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vot table tests\Supported features\Sorting\"/>
    </mc:Choice>
  </mc:AlternateContent>
  <xr:revisionPtr revIDLastSave="0" documentId="8_{23E4ACA4-0403-4FE9-A6CE-619603FEF153}" xr6:coauthVersionLast="36" xr6:coauthVersionMax="36" xr10:uidLastSave="{00000000-0000-0000-0000-000000000000}"/>
  <bookViews>
    <workbookView xWindow="0" yWindow="0" windowWidth="30720" windowHeight="13380" xr2:uid="{6AF389A5-87F3-4E16-80ED-A3E0DEED3AC4}"/>
  </bookViews>
  <sheets>
    <sheet name="Sheet8" sheetId="8" r:id="rId1"/>
    <sheet name="Sheet1" sheetId="1" r:id="rId2"/>
    <sheet name="Sheet5" sheetId="5" state="veryHidden" r:id="rId3"/>
    <sheet name="Sheet6" sheetId="6" state="veryHidden" r:id="rId4"/>
    <sheet name="Sheet7" sheetId="7" state="veryHidden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</calcChain>
</file>

<file path=xl/sharedStrings.xml><?xml version="1.0" encoding="utf-8"?>
<sst xmlns="http://schemas.openxmlformats.org/spreadsheetml/2006/main" count="3674" uniqueCount="3195">
  <si>
    <t>Hide</t>
  </si>
  <si>
    <t>Description</t>
  </si>
  <si>
    <t>Fit</t>
  </si>
  <si>
    <t>Lot Size</t>
  </si>
  <si>
    <t>Lot Nos.</t>
  </si>
  <si>
    <t>Maximum Order Quantity</t>
  </si>
  <si>
    <t>Minimum Order Quantity</t>
  </si>
  <si>
    <t>Manufacturer Code</t>
  </si>
  <si>
    <t>Net Weight</t>
  </si>
  <si>
    <t>Net Change</t>
  </si>
  <si>
    <t>Next Counting End Date</t>
  </si>
  <si>
    <t>Next Counting Start Date</t>
  </si>
  <si>
    <t>No.</t>
  </si>
  <si>
    <t>Profit %</t>
  </si>
  <si>
    <t>Purchases ($)</t>
  </si>
  <si>
    <t>Qty. in Transit</t>
  </si>
  <si>
    <t>Qty. Picked</t>
  </si>
  <si>
    <t>Quantity on Hand</t>
  </si>
  <si>
    <t>Tariff No.</t>
  </si>
  <si>
    <t>Unit List Price</t>
  </si>
  <si>
    <t>Unit Cost</t>
  </si>
  <si>
    <t>Unit Volume</t>
  </si>
  <si>
    <t>Units per Parcel</t>
  </si>
  <si>
    <t>=NL("Rows","Item")</t>
  </si>
  <si>
    <t>=NF($F11,"Description")</t>
  </si>
  <si>
    <t>=NF($F11,"Lot Size")</t>
  </si>
  <si>
    <t>=NF($F11,"Lot Nos.")</t>
  </si>
  <si>
    <t>=NF($F11,"Maximum Order Quantity")</t>
  </si>
  <si>
    <t>=NF($F11,"Minimum Order Quantity")</t>
  </si>
  <si>
    <t>=NF($F11,"Manufacturer Code")</t>
  </si>
  <si>
    <t>=NF($F11,"Net Weight")</t>
  </si>
  <si>
    <t>=NF($F11,"Net Change")</t>
  </si>
  <si>
    <t>=NF($F11,"Next Counting End Date")</t>
  </si>
  <si>
    <t>=NF($F11,"Next Counting Start Date")</t>
  </si>
  <si>
    <t>=NF($F11,"No.")</t>
  </si>
  <si>
    <t>=NF($F11,"Profit %")</t>
  </si>
  <si>
    <t>=NF($F11,"Purchases ($)")</t>
  </si>
  <si>
    <t>=NF($F11,"Qty. in Transit")</t>
  </si>
  <si>
    <t>=NF($F11,"Qty. Picked")</t>
  </si>
  <si>
    <t>=NF($F11,"Quantity on Hand")</t>
  </si>
  <si>
    <t>=NF($F11,"Tariff No.")</t>
  </si>
  <si>
    <t>=NF($F11,"Unit List Price")</t>
  </si>
  <si>
    <t>=NF($F11,"Unit Cost")</t>
  </si>
  <si>
    <t>=NF($F11,"Unit Volume")</t>
  </si>
  <si>
    <t>=NF($F11,"Units per Parcel")</t>
  </si>
  <si>
    <t>Auto</t>
  </si>
  <si>
    <t>="""Navdirect"",""CRONUS USA, Inc."",""27"",""1"",""1001"""</t>
  </si>
  <si>
    <t>="""Navdirect"",""CRONUS USA, Inc."",""27"",""1"",""1100"""</t>
  </si>
  <si>
    <t>="""Navdirect"",""CRONUS USA, Inc."",""27"",""1"",""1110"""</t>
  </si>
  <si>
    <t>="""Navdirect"",""CRONUS USA, Inc."",""27"",""1"",""1120"""</t>
  </si>
  <si>
    <t>="""Navdirect"",""CRONUS USA, Inc."",""27"",""1"",""1150"""</t>
  </si>
  <si>
    <t>="""Navdirect"",""CRONUS USA, Inc."",""27"",""1"",""1151"""</t>
  </si>
  <si>
    <t>="""Navdirect"",""CRONUS USA, Inc."",""27"",""1"",""1155"""</t>
  </si>
  <si>
    <t>="""Navdirect"",""CRONUS USA, Inc."",""27"",""1"",""1160"""</t>
  </si>
  <si>
    <t>="""Navdirect"",""CRONUS USA, Inc."",""27"",""1"",""1170"""</t>
  </si>
  <si>
    <t>="""Navdirect"",""CRONUS USA, Inc."",""27"",""1"",""1200"""</t>
  </si>
  <si>
    <t>="""Navdirect"",""CRONUS USA, Inc."",""27"",""1"",""1250"""</t>
  </si>
  <si>
    <t>="""Navdirect"",""CRONUS USA, Inc."",""27"",""1"",""1251"""</t>
  </si>
  <si>
    <t>="""Navdirect"",""CRONUS USA, Inc."",""27"",""1"",""1255"""</t>
  </si>
  <si>
    <t>="""Navdirect"",""CRONUS USA, Inc."",""27"",""1"",""1300"""</t>
  </si>
  <si>
    <t>="""Navdirect"",""CRONUS USA, Inc."",""27"",""1"",""1310"""</t>
  </si>
  <si>
    <t>="""Navdirect"",""CRONUS USA, Inc."",""27"",""1"",""1320"""</t>
  </si>
  <si>
    <t>="""Navdirect"",""CRONUS USA, Inc."",""27"",""1"",""1330"""</t>
  </si>
  <si>
    <t>="""Navdirect"",""CRONUS USA, Inc."",""27"",""1"",""1400"""</t>
  </si>
  <si>
    <t>="""Navdirect"",""CRONUS USA, Inc."",""27"",""1"",""1450"""</t>
  </si>
  <si>
    <t>="""Navdirect"",""CRONUS USA, Inc."",""27"",""1"",""1500"""</t>
  </si>
  <si>
    <t>="""Navdirect"",""CRONUS USA, Inc."",""27"",""1"",""1600"""</t>
  </si>
  <si>
    <t>="""Navdirect"",""CRONUS USA, Inc."",""27"",""1"",""1700"""</t>
  </si>
  <si>
    <t>="""Navdirect"",""CRONUS USA, Inc."",""27"",""1"",""1710"""</t>
  </si>
  <si>
    <t>="""Navdirect"",""CRONUS USA, Inc."",""27"",""1"",""1720"""</t>
  </si>
  <si>
    <t>="""Navdirect"",""CRONUS USA, Inc."",""27"",""1"",""1800"""</t>
  </si>
  <si>
    <t>="""Navdirect"",""CRONUS USA, Inc."",""27"",""1"",""1850"""</t>
  </si>
  <si>
    <t>="""Navdirect"",""CRONUS USA, Inc."",""27"",""1"",""1896-S"""</t>
  </si>
  <si>
    <t>="""Navdirect"",""CRONUS USA, Inc."",""27"",""1"",""1900"""</t>
  </si>
  <si>
    <t>="""Navdirect"",""CRONUS USA, Inc."",""27"",""1"",""1900-S"""</t>
  </si>
  <si>
    <t>="""Navdirect"",""CRONUS USA, Inc."",""27"",""1"",""1906-S"""</t>
  </si>
  <si>
    <t>="""Navdirect"",""CRONUS USA, Inc."",""27"",""1"",""1908-S"""</t>
  </si>
  <si>
    <t>="""Navdirect"",""CRONUS USA, Inc."",""27"",""1"",""1920-S"""</t>
  </si>
  <si>
    <t>="""Navdirect"",""CRONUS USA, Inc."",""27"",""1"",""1924-W"""</t>
  </si>
  <si>
    <t>="""Navdirect"",""CRONUS USA, Inc."",""27"",""1"",""1928-S"""</t>
  </si>
  <si>
    <t>="""Navdirect"",""CRONUS USA, Inc."",""27"",""1"",""1928-W"""</t>
  </si>
  <si>
    <t>="""Navdirect"",""CRONUS USA, Inc."",""27"",""1"",""1936-S"""</t>
  </si>
  <si>
    <t>="""Navdirect"",""CRONUS USA, Inc."",""27"",""1"",""1952-W"""</t>
  </si>
  <si>
    <t>="""Navdirect"",""CRONUS USA, Inc."",""27"",""1"",""1960-S"""</t>
  </si>
  <si>
    <t>="""Navdirect"",""CRONUS USA, Inc."",""27"",""1"",""1964-S"""</t>
  </si>
  <si>
    <t>="""Navdirect"",""CRONUS USA, Inc."",""27"",""1"",""1964-W"""</t>
  </si>
  <si>
    <t>="""Navdirect"",""CRONUS USA, Inc."",""27"",""1"",""1968-S"""</t>
  </si>
  <si>
    <t>="""Navdirect"",""CRONUS USA, Inc."",""27"",""1"",""1968-W"""</t>
  </si>
  <si>
    <t>="""Navdirect"",""CRONUS USA, Inc."",""27"",""1"",""1972-S"""</t>
  </si>
  <si>
    <t>="""Navdirect"",""CRONUS USA, Inc."",""27"",""1"",""1972-W"""</t>
  </si>
  <si>
    <t>="""Navdirect"",""CRONUS USA, Inc."",""27"",""1"",""1976-W"""</t>
  </si>
  <si>
    <t>="""Navdirect"",""CRONUS USA, Inc."",""27"",""1"",""1980-S"""</t>
  </si>
  <si>
    <t>="""Navdirect"",""CRONUS USA, Inc."",""27"",""1"",""1984-W"""</t>
  </si>
  <si>
    <t>="""Navdirect"",""CRONUS USA, Inc."",""27"",""1"",""1988-S"""</t>
  </si>
  <si>
    <t>="""Navdirect"",""CRONUS USA, Inc."",""27"",""1"",""1988-W"""</t>
  </si>
  <si>
    <t>="""Navdirect"",""CRONUS USA, Inc."",""27"",""1"",""1992-W"""</t>
  </si>
  <si>
    <t>="""Navdirect"",""CRONUS USA, Inc."",""27"",""1"",""1996-S"""</t>
  </si>
  <si>
    <t>="""Navdirect"",""CRONUS USA, Inc."",""27"",""1"",""2000-S"""</t>
  </si>
  <si>
    <t>="""Navdirect"",""CRONUS USA, Inc."",""27"",""1"",""70000"""</t>
  </si>
  <si>
    <t>="""Navdirect"",""CRONUS USA, Inc."",""27"",""1"",""70001"""</t>
  </si>
  <si>
    <t>="""Navdirect"",""CRONUS USA, Inc."",""27"",""1"",""70002"""</t>
  </si>
  <si>
    <t>="""Navdirect"",""CRONUS USA, Inc."",""27"",""1"",""70003"""</t>
  </si>
  <si>
    <t>="""Navdirect"",""CRONUS USA, Inc."",""27"",""1"",""70010"""</t>
  </si>
  <si>
    <t>="""Navdirect"",""CRONUS USA, Inc."",""27"",""1"",""70011"""</t>
  </si>
  <si>
    <t>="""Navdirect"",""CRONUS USA, Inc."",""27"",""1"",""70040"""</t>
  </si>
  <si>
    <t>="""Navdirect"",""CRONUS USA, Inc."",""27"",""1"",""70041"""</t>
  </si>
  <si>
    <t>="""Navdirect"",""CRONUS USA, Inc."",""27"",""1"",""70060"""</t>
  </si>
  <si>
    <t>="""Navdirect"",""CRONUS USA, Inc."",""27"",""1"",""70100"""</t>
  </si>
  <si>
    <t>="""Navdirect"",""CRONUS USA, Inc."",""27"",""1"",""70101"""</t>
  </si>
  <si>
    <t>="""Navdirect"",""CRONUS USA, Inc."",""27"",""1"",""70102"""</t>
  </si>
  <si>
    <t>="""Navdirect"",""CRONUS USA, Inc."",""27"",""1"",""70103"""</t>
  </si>
  <si>
    <t>="""Navdirect"",""CRONUS USA, Inc."",""27"",""1"",""70104"""</t>
  </si>
  <si>
    <t>="""Navdirect"",""CRONUS USA, Inc."",""27"",""1"",""70200"""</t>
  </si>
  <si>
    <t>="""Navdirect"",""CRONUS USA, Inc."",""27"",""1"",""70201"""</t>
  </si>
  <si>
    <t>="""Navdirect"",""CRONUS USA, Inc."",""27"",""1"",""766BC-A"""</t>
  </si>
  <si>
    <t>="""Navdirect"",""CRONUS USA, Inc."",""27"",""1"",""766BC-B"""</t>
  </si>
  <si>
    <t>="""Navdirect"",""CRONUS USA, Inc."",""27"",""1"",""766BC-C"""</t>
  </si>
  <si>
    <t>="""Navdirect"",""CRONUS USA, Inc."",""27"",""1"",""80001"""</t>
  </si>
  <si>
    <t>="""Navdirect"",""CRONUS USA, Inc."",""27"",""1"",""80002"""</t>
  </si>
  <si>
    <t>="""Navdirect"",""CRONUS USA, Inc."",""27"",""1"",""80003"""</t>
  </si>
  <si>
    <t>="""Navdirect"",""CRONUS USA, Inc."",""27"",""1"",""80004"""</t>
  </si>
  <si>
    <t>="""Navdirect"",""CRONUS USA, Inc."",""27"",""1"",""80005"""</t>
  </si>
  <si>
    <t>="""Navdirect"",""CRONUS USA, Inc."",""27"",""1"",""80006"""</t>
  </si>
  <si>
    <t>="""Navdirect"",""CRONUS USA, Inc."",""27"",""1"",""80007"""</t>
  </si>
  <si>
    <t>="""Navdirect"",""CRONUS USA, Inc."",""27"",""1"",""80010"""</t>
  </si>
  <si>
    <t>="""Navdirect"",""CRONUS USA, Inc."",""27"",""1"",""80011"""</t>
  </si>
  <si>
    <t>="""Navdirect"",""CRONUS USA, Inc."",""27"",""1"",""80012"""</t>
  </si>
  <si>
    <t>="""Navdirect"",""CRONUS USA, Inc."",""27"",""1"",""80013"""</t>
  </si>
  <si>
    <t>="""Navdirect"",""CRONUS USA, Inc."",""27"",""1"",""80014"""</t>
  </si>
  <si>
    <t>="""Navdirect"",""CRONUS USA, Inc."",""27"",""1"",""80021"""</t>
  </si>
  <si>
    <t>="""Navdirect"",""CRONUS USA, Inc."",""27"",""1"",""80022"""</t>
  </si>
  <si>
    <t>="""Navdirect"",""CRONUS USA, Inc."",""27"",""1"",""80023"""</t>
  </si>
  <si>
    <t>="""Navdirect"",""CRONUS USA, Inc."",""27"",""1"",""80024"""</t>
  </si>
  <si>
    <t>="""Navdirect"",""CRONUS USA, Inc."",""27"",""1"",""80025"""</t>
  </si>
  <si>
    <t>="""Navdirect"",""CRONUS USA, Inc."",""27"",""1"",""80026"""</t>
  </si>
  <si>
    <t>="""Navdirect"",""CRONUS USA, Inc."",""27"",""1"",""80027"""</t>
  </si>
  <si>
    <t>="""Navdirect"",""CRONUS USA, Inc."",""27"",""1"",""80100"""</t>
  </si>
  <si>
    <t>="""Navdirect"",""CRONUS USA, Inc."",""27"",""1"",""80101"""</t>
  </si>
  <si>
    <t>="""Navdirect"",""CRONUS USA, Inc."",""27"",""1"",""80102"""</t>
  </si>
  <si>
    <t>="""Navdirect"",""CRONUS USA, Inc."",""27"",""1"",""80102-T"""</t>
  </si>
  <si>
    <t>="""Navdirect"",""CRONUS USA, Inc."",""27"",""1"",""80103"""</t>
  </si>
  <si>
    <t>="""Navdirect"",""CRONUS USA, Inc."",""27"",""1"",""80103-T"""</t>
  </si>
  <si>
    <t>="""Navdirect"",""CRONUS USA, Inc."",""27"",""1"",""80104"""</t>
  </si>
  <si>
    <t>="""Navdirect"",""CRONUS USA, Inc."",""27"",""1"",""80105"""</t>
  </si>
  <si>
    <t>="""Navdirect"",""CRONUS USA, Inc."",""27"",""1"",""80201"""</t>
  </si>
  <si>
    <t>="""Navdirect"",""CRONUS USA, Inc."",""27"",""1"",""80202"""</t>
  </si>
  <si>
    <t>="""Navdirect"",""CRONUS USA, Inc."",""27"",""1"",""80203"""</t>
  </si>
  <si>
    <t>="""Navdirect"",""CRONUS USA, Inc."",""27"",""1"",""80204"""</t>
  </si>
  <si>
    <t>="""Navdirect"",""CRONUS USA, Inc."",""27"",""1"",""80205"""</t>
  </si>
  <si>
    <t>="""Navdirect"",""CRONUS USA, Inc."",""27"",""1"",""80206"""</t>
  </si>
  <si>
    <t>="""Navdirect"",""CRONUS USA, Inc."",""27"",""1"",""80207"""</t>
  </si>
  <si>
    <t>="""Navdirect"",""CRONUS USA, Inc."",""27"",""1"",""80208"""</t>
  </si>
  <si>
    <t>="""Navdirect"",""CRONUS USA, Inc."",""27"",""1"",""80208-T"""</t>
  </si>
  <si>
    <t>="""Navdirect"",""CRONUS USA, Inc."",""27"",""1"",""80209"""</t>
  </si>
  <si>
    <t>="""Navdirect"",""CRONUS USA, Inc."",""27"",""1"",""80210"""</t>
  </si>
  <si>
    <t>="""Navdirect"",""CRONUS USA, Inc."",""27"",""1"",""80211"""</t>
  </si>
  <si>
    <t>="""Navdirect"",""CRONUS USA, Inc."",""27"",""1"",""80212"""</t>
  </si>
  <si>
    <t>="""Navdirect"",""CRONUS USA, Inc."",""27"",""1"",""80213"""</t>
  </si>
  <si>
    <t>="""Navdirect"",""CRONUS USA, Inc."",""27"",""1"",""80214"""</t>
  </si>
  <si>
    <t>="""Navdirect"",""CRONUS USA, Inc."",""27"",""1"",""80215"""</t>
  </si>
  <si>
    <t>="""Navdirect"",""CRONUS USA, Inc."",""27"",""1"",""80216"""</t>
  </si>
  <si>
    <t>="""Navdirect"",""CRONUS USA, Inc."",""27"",""1"",""80216-T"""</t>
  </si>
  <si>
    <t>="""Navdirect"",""CRONUS USA, Inc."",""27"",""1"",""80217"""</t>
  </si>
  <si>
    <t>="""Navdirect"",""CRONUS USA, Inc."",""27"",""1"",""80218"""</t>
  </si>
  <si>
    <t>="""Navdirect"",""CRONUS USA, Inc."",""27"",""1"",""80218-T"""</t>
  </si>
  <si>
    <t>="""Navdirect"",""CRONUS USA, Inc."",""27"",""1"",""80219"""</t>
  </si>
  <si>
    <t>="""Navdirect"",""CRONUS USA, Inc."",""27"",""1"",""80220"""</t>
  </si>
  <si>
    <t>="""Navdirect"",""CRONUS USA, Inc."",""27"",""1"",""8904-W"""</t>
  </si>
  <si>
    <t>="""Navdirect"",""CRONUS USA, Inc."",""27"",""1"",""8908-W"""</t>
  </si>
  <si>
    <t>="""Navdirect"",""CRONUS USA, Inc."",""27"",""1"",""8912-W"""</t>
  </si>
  <si>
    <t>="""Navdirect"",""CRONUS USA, Inc."",""27"",""1"",""8916-W"""</t>
  </si>
  <si>
    <t>="""Navdirect"",""CRONUS USA, Inc."",""27"",""1"",""8920-W"""</t>
  </si>
  <si>
    <t>="""Navdirect"",""CRONUS USA, Inc."",""27"",""1"",""8924-W"""</t>
  </si>
  <si>
    <t>="""Navdirect"",""CRONUS USA, Inc."",""27"",""1"",""C-100"""</t>
  </si>
  <si>
    <t>="""Navdirect"",""CRONUS USA, Inc."",""27"",""1"",""FF-100"""</t>
  </si>
  <si>
    <t>="""Navdirect"",""CRONUS USA, Inc."",""27"",""1"",""HS-100"""</t>
  </si>
  <si>
    <t>="""Navdirect"",""CRONUS USA, Inc."",""27"",""1"",""LS-100"""</t>
  </si>
  <si>
    <t>="""Navdirect"",""CRONUS USA, Inc."",""27"",""1"",""LS-10PC"""</t>
  </si>
  <si>
    <t>="""Navdirect"",""CRONUS USA, Inc."",""27"",""1"",""LS-120"""</t>
  </si>
  <si>
    <t>="""Navdirect"",""CRONUS USA, Inc."",""27"",""1"",""LS-150"""</t>
  </si>
  <si>
    <t>="""Navdirect"",""CRONUS USA, Inc."",""27"",""1"",""LS-2"""</t>
  </si>
  <si>
    <t>="""Navdirect"",""CRONUS USA, Inc."",""27"",""1"",""LS-75"""</t>
  </si>
  <si>
    <t>="""Navdirect"",""CRONUS USA, Inc."",""27"",""1"",""LS-81"""</t>
  </si>
  <si>
    <t>="""Navdirect"",""CRONUS USA, Inc."",""27"",""1"",""LS-MAN-10"""</t>
  </si>
  <si>
    <t>="""Navdirect"",""CRONUS USA, Inc."",""27"",""1"",""LS-S15"""</t>
  </si>
  <si>
    <t>="""Navdirect"",""CRONUS USA, Inc."",""27"",""1"",""LSU-15"""</t>
  </si>
  <si>
    <t>="""Navdirect"",""CRONUS USA, Inc."",""27"",""1"",""LSU-4"""</t>
  </si>
  <si>
    <t>="""Navdirect"",""CRONUS USA, Inc."",""27"",""1"",""LSU-8"""</t>
  </si>
  <si>
    <t>="""Navdirect"",""CRONUS USA, Inc."",""27"",""1"",""SPK-100"""</t>
  </si>
  <si>
    <t>=NF($F12,"Description")</t>
  </si>
  <si>
    <t>=NF($F13,"Description")</t>
  </si>
  <si>
    <t>=NF($F14,"Description")</t>
  </si>
  <si>
    <t>=NF($F15,"Description")</t>
  </si>
  <si>
    <t>=NF($F16,"Description")</t>
  </si>
  <si>
    <t>=NF($F17,"Description")</t>
  </si>
  <si>
    <t>=NF($F18,"Description")</t>
  </si>
  <si>
    <t>=NF($F19,"Description")</t>
  </si>
  <si>
    <t>=NF($F20,"Description")</t>
  </si>
  <si>
    <t>=NF($F21,"Description")</t>
  </si>
  <si>
    <t>=NF($F22,"Description")</t>
  </si>
  <si>
    <t>=NF($F23,"Description")</t>
  </si>
  <si>
    <t>=NF($F24,"Description")</t>
  </si>
  <si>
    <t>=NF($F25,"Description")</t>
  </si>
  <si>
    <t>=NF($F26,"Description")</t>
  </si>
  <si>
    <t>=NF($F27,"Description")</t>
  </si>
  <si>
    <t>=NF($F28,"Description")</t>
  </si>
  <si>
    <t>=NF($F29,"Description")</t>
  </si>
  <si>
    <t>=NF($F30,"Description")</t>
  </si>
  <si>
    <t>=NF($F31,"Description")</t>
  </si>
  <si>
    <t>=NF($F32,"Description")</t>
  </si>
  <si>
    <t>=NF($F33,"Description")</t>
  </si>
  <si>
    <t>=NF($F34,"Description")</t>
  </si>
  <si>
    <t>=NF($F35,"Description")</t>
  </si>
  <si>
    <t>=NF($F36,"Description")</t>
  </si>
  <si>
    <t>=NF($F37,"Description")</t>
  </si>
  <si>
    <t>=NF($F38,"Description")</t>
  </si>
  <si>
    <t>=NF($F39,"Description")</t>
  </si>
  <si>
    <t>=NF($F40,"Description")</t>
  </si>
  <si>
    <t>=NF($F41,"Description")</t>
  </si>
  <si>
    <t>=NF($F42,"Description")</t>
  </si>
  <si>
    <t>=NF($F43,"Description")</t>
  </si>
  <si>
    <t>=NF($F44,"Description")</t>
  </si>
  <si>
    <t>=NF($F45,"Description")</t>
  </si>
  <si>
    <t>=NF($F46,"Description")</t>
  </si>
  <si>
    <t>=NF($F47,"Description")</t>
  </si>
  <si>
    <t>=NF($F48,"Description")</t>
  </si>
  <si>
    <t>=NF($F49,"Description")</t>
  </si>
  <si>
    <t>=NF($F50,"Description")</t>
  </si>
  <si>
    <t>=NF($F51,"Description")</t>
  </si>
  <si>
    <t>=NF($F52,"Description")</t>
  </si>
  <si>
    <t>=NF($F53,"Description")</t>
  </si>
  <si>
    <t>=NF($F54,"Description")</t>
  </si>
  <si>
    <t>=NF($F55,"Description")</t>
  </si>
  <si>
    <t>=NF($F56,"Description")</t>
  </si>
  <si>
    <t>=NF($F57,"Description")</t>
  </si>
  <si>
    <t>=NF($F58,"Description")</t>
  </si>
  <si>
    <t>=NF($F59,"Description")</t>
  </si>
  <si>
    <t>=NF($F60,"Description")</t>
  </si>
  <si>
    <t>=NF($F61,"Description")</t>
  </si>
  <si>
    <t>=NF($F62,"Description")</t>
  </si>
  <si>
    <t>=NF($F63,"Description")</t>
  </si>
  <si>
    <t>=NF($F64,"Description")</t>
  </si>
  <si>
    <t>=NF($F65,"Description")</t>
  </si>
  <si>
    <t>=NF($F66,"Description")</t>
  </si>
  <si>
    <t>=NF($F67,"Description")</t>
  </si>
  <si>
    <t>=NF($F68,"Description")</t>
  </si>
  <si>
    <t>=NF($F69,"Description")</t>
  </si>
  <si>
    <t>=NF($F70,"Description")</t>
  </si>
  <si>
    <t>=NF($F71,"Description")</t>
  </si>
  <si>
    <t>=NF($F72,"Description")</t>
  </si>
  <si>
    <t>=NF($F73,"Description")</t>
  </si>
  <si>
    <t>=NF($F74,"Description")</t>
  </si>
  <si>
    <t>=NF($F75,"Description")</t>
  </si>
  <si>
    <t>=NF($F76,"Description")</t>
  </si>
  <si>
    <t>=NF($F77,"Description")</t>
  </si>
  <si>
    <t>=NF($F78,"Description")</t>
  </si>
  <si>
    <t>=NF($F79,"Description")</t>
  </si>
  <si>
    <t>=NF($F80,"Description")</t>
  </si>
  <si>
    <t>=NF($F81,"Description")</t>
  </si>
  <si>
    <t>=NF($F82,"Description")</t>
  </si>
  <si>
    <t>=NF($F83,"Description")</t>
  </si>
  <si>
    <t>=NF($F84,"Description")</t>
  </si>
  <si>
    <t>=NF($F85,"Description")</t>
  </si>
  <si>
    <t>=NF($F86,"Description")</t>
  </si>
  <si>
    <t>=NF($F87,"Description")</t>
  </si>
  <si>
    <t>=NF($F88,"Description")</t>
  </si>
  <si>
    <t>=NF($F89,"Description")</t>
  </si>
  <si>
    <t>=NF($F90,"Description")</t>
  </si>
  <si>
    <t>=NF($F91,"Description")</t>
  </si>
  <si>
    <t>=NF($F92,"Description")</t>
  </si>
  <si>
    <t>=NF($F93,"Description")</t>
  </si>
  <si>
    <t>=NF($F94,"Description")</t>
  </si>
  <si>
    <t>=NF($F95,"Description")</t>
  </si>
  <si>
    <t>=NF($F96,"Description")</t>
  </si>
  <si>
    <t>=NF($F97,"Description")</t>
  </si>
  <si>
    <t>=NF($F98,"Description")</t>
  </si>
  <si>
    <t>=NF($F99,"Description")</t>
  </si>
  <si>
    <t>=NF($F100,"Description")</t>
  </si>
  <si>
    <t>=NF($F101,"Description")</t>
  </si>
  <si>
    <t>=NF($F102,"Description")</t>
  </si>
  <si>
    <t>=NF($F103,"Description")</t>
  </si>
  <si>
    <t>=NF($F104,"Description")</t>
  </si>
  <si>
    <t>=NF($F105,"Description")</t>
  </si>
  <si>
    <t>=NF($F106,"Description")</t>
  </si>
  <si>
    <t>=NF($F107,"Description")</t>
  </si>
  <si>
    <t>=NF($F108,"Description")</t>
  </si>
  <si>
    <t>=NF($F109,"Description")</t>
  </si>
  <si>
    <t>=NF($F110,"Description")</t>
  </si>
  <si>
    <t>=NF($F111,"Description")</t>
  </si>
  <si>
    <t>=NF($F112,"Description")</t>
  </si>
  <si>
    <t>=NF($F113,"Description")</t>
  </si>
  <si>
    <t>=NF($F114,"Description")</t>
  </si>
  <si>
    <t>=NF($F115,"Description")</t>
  </si>
  <si>
    <t>=NF($F116,"Description")</t>
  </si>
  <si>
    <t>=NF($F117,"Description")</t>
  </si>
  <si>
    <t>=NF($F118,"Description")</t>
  </si>
  <si>
    <t>=NF($F119,"Description")</t>
  </si>
  <si>
    <t>=NF($F120,"Description")</t>
  </si>
  <si>
    <t>=NF($F121,"Description")</t>
  </si>
  <si>
    <t>=NF($F122,"Description")</t>
  </si>
  <si>
    <t>=NF($F123,"Description")</t>
  </si>
  <si>
    <t>=NF($F124,"Description")</t>
  </si>
  <si>
    <t>=NF($F125,"Description")</t>
  </si>
  <si>
    <t>=NF($F126,"Description")</t>
  </si>
  <si>
    <t>=NF($F127,"Description")</t>
  </si>
  <si>
    <t>=NF($F128,"Description")</t>
  </si>
  <si>
    <t>=NF($F129,"Description")</t>
  </si>
  <si>
    <t>=NF($F130,"Description")</t>
  </si>
  <si>
    <t>=NF($F131,"Description")</t>
  </si>
  <si>
    <t>=NF($F132,"Description")</t>
  </si>
  <si>
    <t>=NF($F133,"Description")</t>
  </si>
  <si>
    <t>=NF($F134,"Description")</t>
  </si>
  <si>
    <t>=NF($F135,"Description")</t>
  </si>
  <si>
    <t>=NF($F136,"Description")</t>
  </si>
  <si>
    <t>=NF($F137,"Description")</t>
  </si>
  <si>
    <t>=NF($F138,"Description")</t>
  </si>
  <si>
    <t>=NF($F139,"Description")</t>
  </si>
  <si>
    <t>=NF($F140,"Description")</t>
  </si>
  <si>
    <t>=NF($F141,"Description")</t>
  </si>
  <si>
    <t>=NF($F142,"Description")</t>
  </si>
  <si>
    <t>=NF($F143,"Description")</t>
  </si>
  <si>
    <t>=NF($F144,"Description")</t>
  </si>
  <si>
    <t>=NF($F145,"Description")</t>
  </si>
  <si>
    <t>=NF($F146,"Description")</t>
  </si>
  <si>
    <t>=NF($F147,"Description")</t>
  </si>
  <si>
    <t>=NF($F148,"Description")</t>
  </si>
  <si>
    <t>=NF($F149,"Description")</t>
  </si>
  <si>
    <t>=NF($F150,"Description")</t>
  </si>
  <si>
    <t>=NF($F151,"Description")</t>
  </si>
  <si>
    <t>=NF($F152,"Description")</t>
  </si>
  <si>
    <t>=NF($F153,"Description")</t>
  </si>
  <si>
    <t>=NF($F154,"Description")</t>
  </si>
  <si>
    <t>=NF($F12,"Lot Size")</t>
  </si>
  <si>
    <t>=NF($F13,"Lot Size")</t>
  </si>
  <si>
    <t>=NF($F14,"Lot Size")</t>
  </si>
  <si>
    <t>=NF($F15,"Lot Size")</t>
  </si>
  <si>
    <t>=NF($F16,"Lot Size")</t>
  </si>
  <si>
    <t>=NF($F17,"Lot Size")</t>
  </si>
  <si>
    <t>=NF($F18,"Lot Size")</t>
  </si>
  <si>
    <t>=NF($F19,"Lot Size")</t>
  </si>
  <si>
    <t>=NF($F20,"Lot Size")</t>
  </si>
  <si>
    <t>=NF($F21,"Lot Size")</t>
  </si>
  <si>
    <t>=NF($F22,"Lot Size")</t>
  </si>
  <si>
    <t>=NF($F23,"Lot Size")</t>
  </si>
  <si>
    <t>=NF($F24,"Lot Size")</t>
  </si>
  <si>
    <t>=NF($F25,"Lot Size")</t>
  </si>
  <si>
    <t>=NF($F26,"Lot Size")</t>
  </si>
  <si>
    <t>=NF($F27,"Lot Size")</t>
  </si>
  <si>
    <t>=NF($F28,"Lot Size")</t>
  </si>
  <si>
    <t>=NF($F29,"Lot Size")</t>
  </si>
  <si>
    <t>=NF($F30,"Lot Size")</t>
  </si>
  <si>
    <t>=NF($F31,"Lot Size")</t>
  </si>
  <si>
    <t>=NF($F32,"Lot Size")</t>
  </si>
  <si>
    <t>=NF($F33,"Lot Size")</t>
  </si>
  <si>
    <t>=NF($F34,"Lot Size")</t>
  </si>
  <si>
    <t>=NF($F35,"Lot Size")</t>
  </si>
  <si>
    <t>=NF($F36,"Lot Size")</t>
  </si>
  <si>
    <t>=NF($F37,"Lot Size")</t>
  </si>
  <si>
    <t>=NF($F38,"Lot Size")</t>
  </si>
  <si>
    <t>=NF($F39,"Lot Size")</t>
  </si>
  <si>
    <t>=NF($F40,"Lot Size")</t>
  </si>
  <si>
    <t>=NF($F41,"Lot Size")</t>
  </si>
  <si>
    <t>=NF($F42,"Lot Size")</t>
  </si>
  <si>
    <t>=NF($F43,"Lot Size")</t>
  </si>
  <si>
    <t>=NF($F44,"Lot Size")</t>
  </si>
  <si>
    <t>=NF($F45,"Lot Size")</t>
  </si>
  <si>
    <t>=NF($F46,"Lot Size")</t>
  </si>
  <si>
    <t>=NF($F47,"Lot Size")</t>
  </si>
  <si>
    <t>=NF($F48,"Lot Size")</t>
  </si>
  <si>
    <t>=NF($F49,"Lot Size")</t>
  </si>
  <si>
    <t>=NF($F50,"Lot Size")</t>
  </si>
  <si>
    <t>=NF($F51,"Lot Size")</t>
  </si>
  <si>
    <t>=NF($F52,"Lot Size")</t>
  </si>
  <si>
    <t>=NF($F53,"Lot Size")</t>
  </si>
  <si>
    <t>=NF($F54,"Lot Size")</t>
  </si>
  <si>
    <t>=NF($F55,"Lot Size")</t>
  </si>
  <si>
    <t>=NF($F56,"Lot Size")</t>
  </si>
  <si>
    <t>=NF($F57,"Lot Size")</t>
  </si>
  <si>
    <t>=NF($F58,"Lot Size")</t>
  </si>
  <si>
    <t>=NF($F59,"Lot Size")</t>
  </si>
  <si>
    <t>=NF($F60,"Lot Size")</t>
  </si>
  <si>
    <t>=NF($F61,"Lot Size")</t>
  </si>
  <si>
    <t>=NF($F62,"Lot Size")</t>
  </si>
  <si>
    <t>=NF($F63,"Lot Size")</t>
  </si>
  <si>
    <t>=NF($F64,"Lot Size")</t>
  </si>
  <si>
    <t>=NF($F65,"Lot Size")</t>
  </si>
  <si>
    <t>=NF($F66,"Lot Size")</t>
  </si>
  <si>
    <t>=NF($F67,"Lot Size")</t>
  </si>
  <si>
    <t>=NF($F68,"Lot Size")</t>
  </si>
  <si>
    <t>=NF($F69,"Lot Size")</t>
  </si>
  <si>
    <t>=NF($F70,"Lot Size")</t>
  </si>
  <si>
    <t>=NF($F71,"Lot Size")</t>
  </si>
  <si>
    <t>=NF($F72,"Lot Size")</t>
  </si>
  <si>
    <t>=NF($F73,"Lot Size")</t>
  </si>
  <si>
    <t>=NF($F74,"Lot Size")</t>
  </si>
  <si>
    <t>=NF($F75,"Lot Size")</t>
  </si>
  <si>
    <t>=NF($F76,"Lot Size")</t>
  </si>
  <si>
    <t>=NF($F77,"Lot Size")</t>
  </si>
  <si>
    <t>=NF($F78,"Lot Size")</t>
  </si>
  <si>
    <t>=NF($F79,"Lot Size")</t>
  </si>
  <si>
    <t>=NF($F80,"Lot Size")</t>
  </si>
  <si>
    <t>=NF($F81,"Lot Size")</t>
  </si>
  <si>
    <t>=NF($F82,"Lot Size")</t>
  </si>
  <si>
    <t>=NF($F83,"Lot Size")</t>
  </si>
  <si>
    <t>=NF($F84,"Lot Size")</t>
  </si>
  <si>
    <t>=NF($F85,"Lot Size")</t>
  </si>
  <si>
    <t>=NF($F86,"Lot Size")</t>
  </si>
  <si>
    <t>=NF($F87,"Lot Size")</t>
  </si>
  <si>
    <t>=NF($F88,"Lot Size")</t>
  </si>
  <si>
    <t>=NF($F89,"Lot Size")</t>
  </si>
  <si>
    <t>=NF($F90,"Lot Size")</t>
  </si>
  <si>
    <t>=NF($F91,"Lot Size")</t>
  </si>
  <si>
    <t>=NF($F92,"Lot Size")</t>
  </si>
  <si>
    <t>=NF($F93,"Lot Size")</t>
  </si>
  <si>
    <t>=NF($F94,"Lot Size")</t>
  </si>
  <si>
    <t>=NF($F95,"Lot Size")</t>
  </si>
  <si>
    <t>=NF($F96,"Lot Size")</t>
  </si>
  <si>
    <t>=NF($F97,"Lot Size")</t>
  </si>
  <si>
    <t>=NF($F98,"Lot Size")</t>
  </si>
  <si>
    <t>=NF($F99,"Lot Size")</t>
  </si>
  <si>
    <t>=NF($F100,"Lot Size")</t>
  </si>
  <si>
    <t>=NF($F101,"Lot Size")</t>
  </si>
  <si>
    <t>=NF($F102,"Lot Size")</t>
  </si>
  <si>
    <t>=NF($F103,"Lot Size")</t>
  </si>
  <si>
    <t>=NF($F104,"Lot Size")</t>
  </si>
  <si>
    <t>=NF($F105,"Lot Size")</t>
  </si>
  <si>
    <t>=NF($F106,"Lot Size")</t>
  </si>
  <si>
    <t>=NF($F107,"Lot Size")</t>
  </si>
  <si>
    <t>=NF($F108,"Lot Size")</t>
  </si>
  <si>
    <t>=NF($F109,"Lot Size")</t>
  </si>
  <si>
    <t>=NF($F110,"Lot Size")</t>
  </si>
  <si>
    <t>=NF($F111,"Lot Size")</t>
  </si>
  <si>
    <t>=NF($F112,"Lot Size")</t>
  </si>
  <si>
    <t>=NF($F113,"Lot Size")</t>
  </si>
  <si>
    <t>=NF($F114,"Lot Size")</t>
  </si>
  <si>
    <t>=NF($F115,"Lot Size")</t>
  </si>
  <si>
    <t>=NF($F116,"Lot Size")</t>
  </si>
  <si>
    <t>=NF($F117,"Lot Size")</t>
  </si>
  <si>
    <t>=NF($F118,"Lot Size")</t>
  </si>
  <si>
    <t>=NF($F119,"Lot Size")</t>
  </si>
  <si>
    <t>=NF($F120,"Lot Size")</t>
  </si>
  <si>
    <t>=NF($F121,"Lot Size")</t>
  </si>
  <si>
    <t>=NF($F122,"Lot Size")</t>
  </si>
  <si>
    <t>=NF($F123,"Lot Size")</t>
  </si>
  <si>
    <t>=NF($F124,"Lot Size")</t>
  </si>
  <si>
    <t>=NF($F125,"Lot Size")</t>
  </si>
  <si>
    <t>=NF($F126,"Lot Size")</t>
  </si>
  <si>
    <t>=NF($F127,"Lot Size")</t>
  </si>
  <si>
    <t>=NF($F128,"Lot Size")</t>
  </si>
  <si>
    <t>=NF($F129,"Lot Size")</t>
  </si>
  <si>
    <t>=NF($F130,"Lot Size")</t>
  </si>
  <si>
    <t>=NF($F131,"Lot Size")</t>
  </si>
  <si>
    <t>=NF($F132,"Lot Size")</t>
  </si>
  <si>
    <t>=NF($F133,"Lot Size")</t>
  </si>
  <si>
    <t>=NF($F134,"Lot Size")</t>
  </si>
  <si>
    <t>=NF($F135,"Lot Size")</t>
  </si>
  <si>
    <t>=NF($F136,"Lot Size")</t>
  </si>
  <si>
    <t>=NF($F137,"Lot Size")</t>
  </si>
  <si>
    <t>=NF($F138,"Lot Size")</t>
  </si>
  <si>
    <t>=NF($F139,"Lot Size")</t>
  </si>
  <si>
    <t>=NF($F140,"Lot Size")</t>
  </si>
  <si>
    <t>=NF($F141,"Lot Size")</t>
  </si>
  <si>
    <t>=NF($F142,"Lot Size")</t>
  </si>
  <si>
    <t>=NF($F143,"Lot Size")</t>
  </si>
  <si>
    <t>=NF($F144,"Lot Size")</t>
  </si>
  <si>
    <t>=NF($F145,"Lot Size")</t>
  </si>
  <si>
    <t>=NF($F146,"Lot Size")</t>
  </si>
  <si>
    <t>=NF($F147,"Lot Size")</t>
  </si>
  <si>
    <t>=NF($F148,"Lot Size")</t>
  </si>
  <si>
    <t>=NF($F149,"Lot Size")</t>
  </si>
  <si>
    <t>=NF($F150,"Lot Size")</t>
  </si>
  <si>
    <t>=NF($F151,"Lot Size")</t>
  </si>
  <si>
    <t>=NF($F152,"Lot Size")</t>
  </si>
  <si>
    <t>=NF($F153,"Lot Size")</t>
  </si>
  <si>
    <t>=NF($F154,"Lot Size")</t>
  </si>
  <si>
    <t>=NF($F12,"Lot Nos.")</t>
  </si>
  <si>
    <t>=NF($F13,"Lot Nos.")</t>
  </si>
  <si>
    <t>=NF($F14,"Lot Nos.")</t>
  </si>
  <si>
    <t>=NF($F15,"Lot Nos.")</t>
  </si>
  <si>
    <t>=NF($F16,"Lot Nos.")</t>
  </si>
  <si>
    <t>=NF($F17,"Lot Nos.")</t>
  </si>
  <si>
    <t>=NF($F18,"Lot Nos.")</t>
  </si>
  <si>
    <t>=NF($F19,"Lot Nos.")</t>
  </si>
  <si>
    <t>=NF($F20,"Lot Nos.")</t>
  </si>
  <si>
    <t>=NF($F21,"Lot Nos.")</t>
  </si>
  <si>
    <t>=NF($F22,"Lot Nos.")</t>
  </si>
  <si>
    <t>=NF($F23,"Lot Nos.")</t>
  </si>
  <si>
    <t>=NF($F24,"Lot Nos.")</t>
  </si>
  <si>
    <t>=NF($F25,"Lot Nos.")</t>
  </si>
  <si>
    <t>=NF($F26,"Lot Nos.")</t>
  </si>
  <si>
    <t>=NF($F27,"Lot Nos.")</t>
  </si>
  <si>
    <t>=NF($F28,"Lot Nos.")</t>
  </si>
  <si>
    <t>=NF($F29,"Lot Nos.")</t>
  </si>
  <si>
    <t>=NF($F30,"Lot Nos.")</t>
  </si>
  <si>
    <t>=NF($F31,"Lot Nos.")</t>
  </si>
  <si>
    <t>=NF($F32,"Lot Nos.")</t>
  </si>
  <si>
    <t>=NF($F33,"Lot Nos.")</t>
  </si>
  <si>
    <t>=NF($F34,"Lot Nos.")</t>
  </si>
  <si>
    <t>=NF($F35,"Lot Nos.")</t>
  </si>
  <si>
    <t>=NF($F36,"Lot Nos.")</t>
  </si>
  <si>
    <t>=NF($F37,"Lot Nos.")</t>
  </si>
  <si>
    <t>=NF($F38,"Lot Nos.")</t>
  </si>
  <si>
    <t>=NF($F39,"Lot Nos.")</t>
  </si>
  <si>
    <t>=NF($F40,"Lot Nos.")</t>
  </si>
  <si>
    <t>=NF($F41,"Lot Nos.")</t>
  </si>
  <si>
    <t>=NF($F42,"Lot Nos.")</t>
  </si>
  <si>
    <t>=NF($F43,"Lot Nos.")</t>
  </si>
  <si>
    <t>=NF($F44,"Lot Nos.")</t>
  </si>
  <si>
    <t>=NF($F45,"Lot Nos.")</t>
  </si>
  <si>
    <t>=NF($F46,"Lot Nos.")</t>
  </si>
  <si>
    <t>=NF($F47,"Lot Nos.")</t>
  </si>
  <si>
    <t>=NF($F48,"Lot Nos.")</t>
  </si>
  <si>
    <t>=NF($F49,"Lot Nos.")</t>
  </si>
  <si>
    <t>=NF($F50,"Lot Nos.")</t>
  </si>
  <si>
    <t>=NF($F51,"Lot Nos.")</t>
  </si>
  <si>
    <t>=NF($F52,"Lot Nos.")</t>
  </si>
  <si>
    <t>=NF($F53,"Lot Nos.")</t>
  </si>
  <si>
    <t>=NF($F54,"Lot Nos.")</t>
  </si>
  <si>
    <t>=NF($F55,"Lot Nos.")</t>
  </si>
  <si>
    <t>=NF($F56,"Lot Nos.")</t>
  </si>
  <si>
    <t>=NF($F57,"Lot Nos.")</t>
  </si>
  <si>
    <t>=NF($F58,"Lot Nos.")</t>
  </si>
  <si>
    <t>=NF($F59,"Lot Nos.")</t>
  </si>
  <si>
    <t>=NF($F60,"Lot Nos.")</t>
  </si>
  <si>
    <t>=NF($F61,"Lot Nos.")</t>
  </si>
  <si>
    <t>=NF($F62,"Lot Nos.")</t>
  </si>
  <si>
    <t>=NF($F63,"Lot Nos.")</t>
  </si>
  <si>
    <t>=NF($F64,"Lot Nos.")</t>
  </si>
  <si>
    <t>=NF($F65,"Lot Nos.")</t>
  </si>
  <si>
    <t>=NF($F66,"Lot Nos.")</t>
  </si>
  <si>
    <t>=NF($F67,"Lot Nos.")</t>
  </si>
  <si>
    <t>=NF($F68,"Lot Nos.")</t>
  </si>
  <si>
    <t>=NF($F69,"Lot Nos.")</t>
  </si>
  <si>
    <t>=NF($F70,"Lot Nos.")</t>
  </si>
  <si>
    <t>=NF($F71,"Lot Nos.")</t>
  </si>
  <si>
    <t>=NF($F72,"Lot Nos.")</t>
  </si>
  <si>
    <t>=NF($F73,"Lot Nos.")</t>
  </si>
  <si>
    <t>=NF($F74,"Lot Nos.")</t>
  </si>
  <si>
    <t>=NF($F75,"Lot Nos.")</t>
  </si>
  <si>
    <t>=NF($F76,"Lot Nos.")</t>
  </si>
  <si>
    <t>=NF($F77,"Lot Nos.")</t>
  </si>
  <si>
    <t>=NF($F78,"Lot Nos.")</t>
  </si>
  <si>
    <t>=NF($F79,"Lot Nos.")</t>
  </si>
  <si>
    <t>=NF($F80,"Lot Nos.")</t>
  </si>
  <si>
    <t>=NF($F81,"Lot Nos.")</t>
  </si>
  <si>
    <t>=NF($F82,"Lot Nos.")</t>
  </si>
  <si>
    <t>=NF($F83,"Lot Nos.")</t>
  </si>
  <si>
    <t>=NF($F84,"Lot Nos.")</t>
  </si>
  <si>
    <t>=NF($F85,"Lot Nos.")</t>
  </si>
  <si>
    <t>=NF($F86,"Lot Nos.")</t>
  </si>
  <si>
    <t>=NF($F87,"Lot Nos.")</t>
  </si>
  <si>
    <t>=NF($F88,"Lot Nos.")</t>
  </si>
  <si>
    <t>=NF($F89,"Lot Nos.")</t>
  </si>
  <si>
    <t>=NF($F90,"Lot Nos.")</t>
  </si>
  <si>
    <t>=NF($F91,"Lot Nos.")</t>
  </si>
  <si>
    <t>=NF($F92,"Lot Nos.")</t>
  </si>
  <si>
    <t>=NF($F93,"Lot Nos.")</t>
  </si>
  <si>
    <t>=NF($F94,"Lot Nos.")</t>
  </si>
  <si>
    <t>=NF($F95,"Lot Nos.")</t>
  </si>
  <si>
    <t>=NF($F96,"Lot Nos.")</t>
  </si>
  <si>
    <t>=NF($F97,"Lot Nos.")</t>
  </si>
  <si>
    <t>=NF($F98,"Lot Nos.")</t>
  </si>
  <si>
    <t>=NF($F99,"Lot Nos.")</t>
  </si>
  <si>
    <t>=NF($F100,"Lot Nos.")</t>
  </si>
  <si>
    <t>=NF($F101,"Lot Nos.")</t>
  </si>
  <si>
    <t>=NF($F102,"Lot Nos.")</t>
  </si>
  <si>
    <t>=NF($F103,"Lot Nos.")</t>
  </si>
  <si>
    <t>=NF($F104,"Lot Nos.")</t>
  </si>
  <si>
    <t>=NF($F105,"Lot Nos.")</t>
  </si>
  <si>
    <t>=NF($F106,"Lot Nos.")</t>
  </si>
  <si>
    <t>=NF($F107,"Lot Nos.")</t>
  </si>
  <si>
    <t>=NF($F108,"Lot Nos.")</t>
  </si>
  <si>
    <t>=NF($F109,"Lot Nos.")</t>
  </si>
  <si>
    <t>=NF($F110,"Lot Nos.")</t>
  </si>
  <si>
    <t>=NF($F111,"Lot Nos.")</t>
  </si>
  <si>
    <t>=NF($F112,"Lot Nos.")</t>
  </si>
  <si>
    <t>=NF($F113,"Lot Nos.")</t>
  </si>
  <si>
    <t>=NF($F114,"Lot Nos.")</t>
  </si>
  <si>
    <t>=NF($F115,"Lot Nos.")</t>
  </si>
  <si>
    <t>=NF($F116,"Lot Nos.")</t>
  </si>
  <si>
    <t>=NF($F117,"Lot Nos.")</t>
  </si>
  <si>
    <t>=NF($F118,"Lot Nos.")</t>
  </si>
  <si>
    <t>=NF($F119,"Lot Nos.")</t>
  </si>
  <si>
    <t>=NF($F120,"Lot Nos.")</t>
  </si>
  <si>
    <t>=NF($F121,"Lot Nos.")</t>
  </si>
  <si>
    <t>=NF($F122,"Lot Nos.")</t>
  </si>
  <si>
    <t>=NF($F123,"Lot Nos.")</t>
  </si>
  <si>
    <t>=NF($F124,"Lot Nos.")</t>
  </si>
  <si>
    <t>=NF($F125,"Lot Nos.")</t>
  </si>
  <si>
    <t>=NF($F126,"Lot Nos.")</t>
  </si>
  <si>
    <t>=NF($F127,"Lot Nos.")</t>
  </si>
  <si>
    <t>=NF($F128,"Lot Nos.")</t>
  </si>
  <si>
    <t>=NF($F129,"Lot Nos.")</t>
  </si>
  <si>
    <t>=NF($F130,"Lot Nos.")</t>
  </si>
  <si>
    <t>=NF($F131,"Lot Nos.")</t>
  </si>
  <si>
    <t>=NF($F132,"Lot Nos.")</t>
  </si>
  <si>
    <t>=NF($F133,"Lot Nos.")</t>
  </si>
  <si>
    <t>=NF($F134,"Lot Nos.")</t>
  </si>
  <si>
    <t>=NF($F135,"Lot Nos.")</t>
  </si>
  <si>
    <t>=NF($F136,"Lot Nos.")</t>
  </si>
  <si>
    <t>=NF($F137,"Lot Nos.")</t>
  </si>
  <si>
    <t>=NF($F138,"Lot Nos.")</t>
  </si>
  <si>
    <t>=NF($F139,"Lot Nos.")</t>
  </si>
  <si>
    <t>=NF($F140,"Lot Nos.")</t>
  </si>
  <si>
    <t>=NF($F141,"Lot Nos.")</t>
  </si>
  <si>
    <t>=NF($F142,"Lot Nos.")</t>
  </si>
  <si>
    <t>=NF($F143,"Lot Nos.")</t>
  </si>
  <si>
    <t>=NF($F144,"Lot Nos.")</t>
  </si>
  <si>
    <t>=NF($F145,"Lot Nos.")</t>
  </si>
  <si>
    <t>=NF($F146,"Lot Nos.")</t>
  </si>
  <si>
    <t>=NF($F147,"Lot Nos.")</t>
  </si>
  <si>
    <t>=NF($F148,"Lot Nos.")</t>
  </si>
  <si>
    <t>=NF($F149,"Lot Nos.")</t>
  </si>
  <si>
    <t>=NF($F150,"Lot Nos.")</t>
  </si>
  <si>
    <t>=NF($F151,"Lot Nos.")</t>
  </si>
  <si>
    <t>=NF($F152,"Lot Nos.")</t>
  </si>
  <si>
    <t>=NF($F153,"Lot Nos.")</t>
  </si>
  <si>
    <t>=NF($F154,"Lot Nos.")</t>
  </si>
  <si>
    <t>=NF($F12,"Maximum Order Quantity")</t>
  </si>
  <si>
    <t>=NF($F13,"Maximum Order Quantity")</t>
  </si>
  <si>
    <t>=NF($F14,"Maximum Order Quantity")</t>
  </si>
  <si>
    <t>=NF($F15,"Maximum Order Quantity")</t>
  </si>
  <si>
    <t>=NF($F16,"Maximum Order Quantity")</t>
  </si>
  <si>
    <t>=NF($F17,"Maximum Order Quantity")</t>
  </si>
  <si>
    <t>=NF($F18,"Maximum Order Quantity")</t>
  </si>
  <si>
    <t>=NF($F19,"Maximum Order Quantity")</t>
  </si>
  <si>
    <t>=NF($F20,"Maximum Order Quantity")</t>
  </si>
  <si>
    <t>=NF($F21,"Maximum Order Quantity")</t>
  </si>
  <si>
    <t>=NF($F22,"Maximum Order Quantity")</t>
  </si>
  <si>
    <t>=NF($F23,"Maximum Order Quantity")</t>
  </si>
  <si>
    <t>=NF($F24,"Maximum Order Quantity")</t>
  </si>
  <si>
    <t>=NF($F25,"Maximum Order Quantity")</t>
  </si>
  <si>
    <t>=NF($F26,"Maximum Order Quantity")</t>
  </si>
  <si>
    <t>=NF($F27,"Maximum Order Quantity")</t>
  </si>
  <si>
    <t>=NF($F28,"Maximum Order Quantity")</t>
  </si>
  <si>
    <t>=NF($F29,"Maximum Order Quantity")</t>
  </si>
  <si>
    <t>=NF($F30,"Maximum Order Quantity")</t>
  </si>
  <si>
    <t>=NF($F31,"Maximum Order Quantity")</t>
  </si>
  <si>
    <t>=NF($F32,"Maximum Order Quantity")</t>
  </si>
  <si>
    <t>=NF($F33,"Maximum Order Quantity")</t>
  </si>
  <si>
    <t>=NF($F34,"Maximum Order Quantity")</t>
  </si>
  <si>
    <t>=NF($F35,"Maximum Order Quantity")</t>
  </si>
  <si>
    <t>=NF($F36,"Maximum Order Quantity")</t>
  </si>
  <si>
    <t>=NF($F37,"Maximum Order Quantity")</t>
  </si>
  <si>
    <t>=NF($F38,"Maximum Order Quantity")</t>
  </si>
  <si>
    <t>=NF($F39,"Maximum Order Quantity")</t>
  </si>
  <si>
    <t>=NF($F40,"Maximum Order Quantity")</t>
  </si>
  <si>
    <t>=NF($F41,"Maximum Order Quantity")</t>
  </si>
  <si>
    <t>=NF($F42,"Maximum Order Quantity")</t>
  </si>
  <si>
    <t>=NF($F43,"Maximum Order Quantity")</t>
  </si>
  <si>
    <t>=NF($F44,"Maximum Order Quantity")</t>
  </si>
  <si>
    <t>=NF($F45,"Maximum Order Quantity")</t>
  </si>
  <si>
    <t>=NF($F46,"Maximum Order Quantity")</t>
  </si>
  <si>
    <t>=NF($F47,"Maximum Order Quantity")</t>
  </si>
  <si>
    <t>=NF($F48,"Maximum Order Quantity")</t>
  </si>
  <si>
    <t>=NF($F49,"Maximum Order Quantity")</t>
  </si>
  <si>
    <t>=NF($F50,"Maximum Order Quantity")</t>
  </si>
  <si>
    <t>=NF($F51,"Maximum Order Quantity")</t>
  </si>
  <si>
    <t>=NF($F52,"Maximum Order Quantity")</t>
  </si>
  <si>
    <t>=NF($F53,"Maximum Order Quantity")</t>
  </si>
  <si>
    <t>=NF($F54,"Maximum Order Quantity")</t>
  </si>
  <si>
    <t>=NF($F55,"Maximum Order Quantity")</t>
  </si>
  <si>
    <t>=NF($F56,"Maximum Order Quantity")</t>
  </si>
  <si>
    <t>=NF($F57,"Maximum Order Quantity")</t>
  </si>
  <si>
    <t>=NF($F58,"Maximum Order Quantity")</t>
  </si>
  <si>
    <t>=NF($F59,"Maximum Order Quantity")</t>
  </si>
  <si>
    <t>=NF($F60,"Maximum Order Quantity")</t>
  </si>
  <si>
    <t>=NF($F61,"Maximum Order Quantity")</t>
  </si>
  <si>
    <t>=NF($F62,"Maximum Order Quantity")</t>
  </si>
  <si>
    <t>=NF($F63,"Maximum Order Quantity")</t>
  </si>
  <si>
    <t>=NF($F64,"Maximum Order Quantity")</t>
  </si>
  <si>
    <t>=NF($F65,"Maximum Order Quantity")</t>
  </si>
  <si>
    <t>=NF($F66,"Maximum Order Quantity")</t>
  </si>
  <si>
    <t>=NF($F67,"Maximum Order Quantity")</t>
  </si>
  <si>
    <t>=NF($F68,"Maximum Order Quantity")</t>
  </si>
  <si>
    <t>=NF($F69,"Maximum Order Quantity")</t>
  </si>
  <si>
    <t>=NF($F70,"Maximum Order Quantity")</t>
  </si>
  <si>
    <t>=NF($F71,"Maximum Order Quantity")</t>
  </si>
  <si>
    <t>=NF($F72,"Maximum Order Quantity")</t>
  </si>
  <si>
    <t>=NF($F73,"Maximum Order Quantity")</t>
  </si>
  <si>
    <t>=NF($F74,"Maximum Order Quantity")</t>
  </si>
  <si>
    <t>=NF($F75,"Maximum Order Quantity")</t>
  </si>
  <si>
    <t>=NF($F76,"Maximum Order Quantity")</t>
  </si>
  <si>
    <t>=NF($F77,"Maximum Order Quantity")</t>
  </si>
  <si>
    <t>=NF($F78,"Maximum Order Quantity")</t>
  </si>
  <si>
    <t>=NF($F79,"Maximum Order Quantity")</t>
  </si>
  <si>
    <t>=NF($F80,"Maximum Order Quantity")</t>
  </si>
  <si>
    <t>=NF($F81,"Maximum Order Quantity")</t>
  </si>
  <si>
    <t>=NF($F82,"Maximum Order Quantity")</t>
  </si>
  <si>
    <t>=NF($F83,"Maximum Order Quantity")</t>
  </si>
  <si>
    <t>=NF($F84,"Maximum Order Quantity")</t>
  </si>
  <si>
    <t>=NF($F85,"Maximum Order Quantity")</t>
  </si>
  <si>
    <t>=NF($F86,"Maximum Order Quantity")</t>
  </si>
  <si>
    <t>=NF($F87,"Maximum Order Quantity")</t>
  </si>
  <si>
    <t>=NF($F88,"Maximum Order Quantity")</t>
  </si>
  <si>
    <t>=NF($F89,"Maximum Order Quantity")</t>
  </si>
  <si>
    <t>=NF($F90,"Maximum Order Quantity")</t>
  </si>
  <si>
    <t>=NF($F91,"Maximum Order Quantity")</t>
  </si>
  <si>
    <t>=NF($F92,"Maximum Order Quantity")</t>
  </si>
  <si>
    <t>=NF($F93,"Maximum Order Quantity")</t>
  </si>
  <si>
    <t>=NF($F94,"Maximum Order Quantity")</t>
  </si>
  <si>
    <t>=NF($F95,"Maximum Order Quantity")</t>
  </si>
  <si>
    <t>=NF($F96,"Maximum Order Quantity")</t>
  </si>
  <si>
    <t>=NF($F97,"Maximum Order Quantity")</t>
  </si>
  <si>
    <t>=NF($F98,"Maximum Order Quantity")</t>
  </si>
  <si>
    <t>=NF($F99,"Maximum Order Quantity")</t>
  </si>
  <si>
    <t>=NF($F100,"Maximum Order Quantity")</t>
  </si>
  <si>
    <t>=NF($F101,"Maximum Order Quantity")</t>
  </si>
  <si>
    <t>=NF($F102,"Maximum Order Quantity")</t>
  </si>
  <si>
    <t>=NF($F103,"Maximum Order Quantity")</t>
  </si>
  <si>
    <t>=NF($F104,"Maximum Order Quantity")</t>
  </si>
  <si>
    <t>=NF($F105,"Maximum Order Quantity")</t>
  </si>
  <si>
    <t>=NF($F106,"Maximum Order Quantity")</t>
  </si>
  <si>
    <t>=NF($F107,"Maximum Order Quantity")</t>
  </si>
  <si>
    <t>=NF($F108,"Maximum Order Quantity")</t>
  </si>
  <si>
    <t>=NF($F109,"Maximum Order Quantity")</t>
  </si>
  <si>
    <t>=NF($F110,"Maximum Order Quantity")</t>
  </si>
  <si>
    <t>=NF($F111,"Maximum Order Quantity")</t>
  </si>
  <si>
    <t>=NF($F112,"Maximum Order Quantity")</t>
  </si>
  <si>
    <t>=NF($F113,"Maximum Order Quantity")</t>
  </si>
  <si>
    <t>=NF($F114,"Maximum Order Quantity")</t>
  </si>
  <si>
    <t>=NF($F115,"Maximum Order Quantity")</t>
  </si>
  <si>
    <t>=NF($F116,"Maximum Order Quantity")</t>
  </si>
  <si>
    <t>=NF($F117,"Maximum Order Quantity")</t>
  </si>
  <si>
    <t>=NF($F118,"Maximum Order Quantity")</t>
  </si>
  <si>
    <t>=NF($F119,"Maximum Order Quantity")</t>
  </si>
  <si>
    <t>=NF($F120,"Maximum Order Quantity")</t>
  </si>
  <si>
    <t>=NF($F121,"Maximum Order Quantity")</t>
  </si>
  <si>
    <t>=NF($F122,"Maximum Order Quantity")</t>
  </si>
  <si>
    <t>=NF($F123,"Maximum Order Quantity")</t>
  </si>
  <si>
    <t>=NF($F124,"Maximum Order Quantity")</t>
  </si>
  <si>
    <t>=NF($F125,"Maximum Order Quantity")</t>
  </si>
  <si>
    <t>=NF($F126,"Maximum Order Quantity")</t>
  </si>
  <si>
    <t>=NF($F127,"Maximum Order Quantity")</t>
  </si>
  <si>
    <t>=NF($F128,"Maximum Order Quantity")</t>
  </si>
  <si>
    <t>=NF($F129,"Maximum Order Quantity")</t>
  </si>
  <si>
    <t>=NF($F130,"Maximum Order Quantity")</t>
  </si>
  <si>
    <t>=NF($F131,"Maximum Order Quantity")</t>
  </si>
  <si>
    <t>=NF($F132,"Maximum Order Quantity")</t>
  </si>
  <si>
    <t>=NF($F133,"Maximum Order Quantity")</t>
  </si>
  <si>
    <t>=NF($F134,"Maximum Order Quantity")</t>
  </si>
  <si>
    <t>=NF($F135,"Maximum Order Quantity")</t>
  </si>
  <si>
    <t>=NF($F136,"Maximum Order Quantity")</t>
  </si>
  <si>
    <t>=NF($F137,"Maximum Order Quantity")</t>
  </si>
  <si>
    <t>=NF($F138,"Maximum Order Quantity")</t>
  </si>
  <si>
    <t>=NF($F139,"Maximum Order Quantity")</t>
  </si>
  <si>
    <t>=NF($F140,"Maximum Order Quantity")</t>
  </si>
  <si>
    <t>=NF($F141,"Maximum Order Quantity")</t>
  </si>
  <si>
    <t>=NF($F142,"Maximum Order Quantity")</t>
  </si>
  <si>
    <t>=NF($F143,"Maximum Order Quantity")</t>
  </si>
  <si>
    <t>=NF($F144,"Maximum Order Quantity")</t>
  </si>
  <si>
    <t>=NF($F145,"Maximum Order Quantity")</t>
  </si>
  <si>
    <t>=NF($F146,"Maximum Order Quantity")</t>
  </si>
  <si>
    <t>=NF($F147,"Maximum Order Quantity")</t>
  </si>
  <si>
    <t>=NF($F148,"Maximum Order Quantity")</t>
  </si>
  <si>
    <t>=NF($F149,"Maximum Order Quantity")</t>
  </si>
  <si>
    <t>=NF($F150,"Maximum Order Quantity")</t>
  </si>
  <si>
    <t>=NF($F151,"Maximum Order Quantity")</t>
  </si>
  <si>
    <t>=NF($F152,"Maximum Order Quantity")</t>
  </si>
  <si>
    <t>=NF($F153,"Maximum Order Quantity")</t>
  </si>
  <si>
    <t>=NF($F154,"Maximum Order Quantity")</t>
  </si>
  <si>
    <t>=NF($F12,"Minimum Order Quantity")</t>
  </si>
  <si>
    <t>=NF($F13,"Minimum Order Quantity")</t>
  </si>
  <si>
    <t>=NF($F14,"Minimum Order Quantity")</t>
  </si>
  <si>
    <t>=NF($F15,"Minimum Order Quantity")</t>
  </si>
  <si>
    <t>=NF($F16,"Minimum Order Quantity")</t>
  </si>
  <si>
    <t>=NF($F17,"Minimum Order Quantity")</t>
  </si>
  <si>
    <t>=NF($F18,"Minimum Order Quantity")</t>
  </si>
  <si>
    <t>=NF($F19,"Minimum Order Quantity")</t>
  </si>
  <si>
    <t>=NF($F20,"Minimum Order Quantity")</t>
  </si>
  <si>
    <t>=NF($F21,"Minimum Order Quantity")</t>
  </si>
  <si>
    <t>=NF($F22,"Minimum Order Quantity")</t>
  </si>
  <si>
    <t>=NF($F23,"Minimum Order Quantity")</t>
  </si>
  <si>
    <t>=NF($F24,"Minimum Order Quantity")</t>
  </si>
  <si>
    <t>=NF($F25,"Minimum Order Quantity")</t>
  </si>
  <si>
    <t>=NF($F26,"Minimum Order Quantity")</t>
  </si>
  <si>
    <t>=NF($F27,"Minimum Order Quantity")</t>
  </si>
  <si>
    <t>=NF($F28,"Minimum Order Quantity")</t>
  </si>
  <si>
    <t>=NF($F29,"Minimum Order Quantity")</t>
  </si>
  <si>
    <t>=NF($F30,"Minimum Order Quantity")</t>
  </si>
  <si>
    <t>=NF($F31,"Minimum Order Quantity")</t>
  </si>
  <si>
    <t>=NF($F32,"Minimum Order Quantity")</t>
  </si>
  <si>
    <t>=NF($F33,"Minimum Order Quantity")</t>
  </si>
  <si>
    <t>=NF($F34,"Minimum Order Quantity")</t>
  </si>
  <si>
    <t>=NF($F35,"Minimum Order Quantity")</t>
  </si>
  <si>
    <t>=NF($F36,"Minimum Order Quantity")</t>
  </si>
  <si>
    <t>=NF($F37,"Minimum Order Quantity")</t>
  </si>
  <si>
    <t>=NF($F38,"Minimum Order Quantity")</t>
  </si>
  <si>
    <t>=NF($F39,"Minimum Order Quantity")</t>
  </si>
  <si>
    <t>=NF($F40,"Minimum Order Quantity")</t>
  </si>
  <si>
    <t>=NF($F41,"Minimum Order Quantity")</t>
  </si>
  <si>
    <t>=NF($F42,"Minimum Order Quantity")</t>
  </si>
  <si>
    <t>=NF($F43,"Minimum Order Quantity")</t>
  </si>
  <si>
    <t>=NF($F44,"Minimum Order Quantity")</t>
  </si>
  <si>
    <t>=NF($F45,"Minimum Order Quantity")</t>
  </si>
  <si>
    <t>=NF($F46,"Minimum Order Quantity")</t>
  </si>
  <si>
    <t>=NF($F47,"Minimum Order Quantity")</t>
  </si>
  <si>
    <t>=NF($F48,"Minimum Order Quantity")</t>
  </si>
  <si>
    <t>=NF($F49,"Minimum Order Quantity")</t>
  </si>
  <si>
    <t>=NF($F50,"Minimum Order Quantity")</t>
  </si>
  <si>
    <t>=NF($F51,"Minimum Order Quantity")</t>
  </si>
  <si>
    <t>=NF($F52,"Minimum Order Quantity")</t>
  </si>
  <si>
    <t>=NF($F53,"Minimum Order Quantity")</t>
  </si>
  <si>
    <t>=NF($F54,"Minimum Order Quantity")</t>
  </si>
  <si>
    <t>=NF($F55,"Minimum Order Quantity")</t>
  </si>
  <si>
    <t>=NF($F56,"Minimum Order Quantity")</t>
  </si>
  <si>
    <t>=NF($F57,"Minimum Order Quantity")</t>
  </si>
  <si>
    <t>=NF($F58,"Minimum Order Quantity")</t>
  </si>
  <si>
    <t>=NF($F59,"Minimum Order Quantity")</t>
  </si>
  <si>
    <t>=NF($F60,"Minimum Order Quantity")</t>
  </si>
  <si>
    <t>=NF($F61,"Minimum Order Quantity")</t>
  </si>
  <si>
    <t>=NF($F62,"Minimum Order Quantity")</t>
  </si>
  <si>
    <t>=NF($F63,"Minimum Order Quantity")</t>
  </si>
  <si>
    <t>=NF($F64,"Minimum Order Quantity")</t>
  </si>
  <si>
    <t>=NF($F65,"Minimum Order Quantity")</t>
  </si>
  <si>
    <t>=NF($F66,"Minimum Order Quantity")</t>
  </si>
  <si>
    <t>=NF($F67,"Minimum Order Quantity")</t>
  </si>
  <si>
    <t>=NF($F68,"Minimum Order Quantity")</t>
  </si>
  <si>
    <t>=NF($F69,"Minimum Order Quantity")</t>
  </si>
  <si>
    <t>=NF($F70,"Minimum Order Quantity")</t>
  </si>
  <si>
    <t>=NF($F71,"Minimum Order Quantity")</t>
  </si>
  <si>
    <t>=NF($F72,"Minimum Order Quantity")</t>
  </si>
  <si>
    <t>=NF($F73,"Minimum Order Quantity")</t>
  </si>
  <si>
    <t>=NF($F74,"Minimum Order Quantity")</t>
  </si>
  <si>
    <t>=NF($F75,"Minimum Order Quantity")</t>
  </si>
  <si>
    <t>=NF($F76,"Minimum Order Quantity")</t>
  </si>
  <si>
    <t>=NF($F77,"Minimum Order Quantity")</t>
  </si>
  <si>
    <t>=NF($F78,"Minimum Order Quantity")</t>
  </si>
  <si>
    <t>=NF($F79,"Minimum Order Quantity")</t>
  </si>
  <si>
    <t>=NF($F80,"Minimum Order Quantity")</t>
  </si>
  <si>
    <t>=NF($F81,"Minimum Order Quantity")</t>
  </si>
  <si>
    <t>=NF($F82,"Minimum Order Quantity")</t>
  </si>
  <si>
    <t>=NF($F83,"Minimum Order Quantity")</t>
  </si>
  <si>
    <t>=NF($F84,"Minimum Order Quantity")</t>
  </si>
  <si>
    <t>=NF($F85,"Minimum Order Quantity")</t>
  </si>
  <si>
    <t>=NF($F86,"Minimum Order Quantity")</t>
  </si>
  <si>
    <t>=NF($F87,"Minimum Order Quantity")</t>
  </si>
  <si>
    <t>=NF($F88,"Minimum Order Quantity")</t>
  </si>
  <si>
    <t>=NF($F89,"Minimum Order Quantity")</t>
  </si>
  <si>
    <t>=NF($F90,"Minimum Order Quantity")</t>
  </si>
  <si>
    <t>=NF($F91,"Minimum Order Quantity")</t>
  </si>
  <si>
    <t>=NF($F92,"Minimum Order Quantity")</t>
  </si>
  <si>
    <t>=NF($F93,"Minimum Order Quantity")</t>
  </si>
  <si>
    <t>=NF($F94,"Minimum Order Quantity")</t>
  </si>
  <si>
    <t>=NF($F95,"Minimum Order Quantity")</t>
  </si>
  <si>
    <t>=NF($F96,"Minimum Order Quantity")</t>
  </si>
  <si>
    <t>=NF($F97,"Minimum Order Quantity")</t>
  </si>
  <si>
    <t>=NF($F98,"Minimum Order Quantity")</t>
  </si>
  <si>
    <t>=NF($F99,"Minimum Order Quantity")</t>
  </si>
  <si>
    <t>=NF($F100,"Minimum Order Quantity")</t>
  </si>
  <si>
    <t>=NF($F101,"Minimum Order Quantity")</t>
  </si>
  <si>
    <t>=NF($F102,"Minimum Order Quantity")</t>
  </si>
  <si>
    <t>=NF($F103,"Minimum Order Quantity")</t>
  </si>
  <si>
    <t>=NF($F104,"Minimum Order Quantity")</t>
  </si>
  <si>
    <t>=NF($F105,"Minimum Order Quantity")</t>
  </si>
  <si>
    <t>=NF($F106,"Minimum Order Quantity")</t>
  </si>
  <si>
    <t>=NF($F107,"Minimum Order Quantity")</t>
  </si>
  <si>
    <t>=NF($F108,"Minimum Order Quantity")</t>
  </si>
  <si>
    <t>=NF($F109,"Minimum Order Quantity")</t>
  </si>
  <si>
    <t>=NF($F110,"Minimum Order Quantity")</t>
  </si>
  <si>
    <t>=NF($F111,"Minimum Order Quantity")</t>
  </si>
  <si>
    <t>=NF($F112,"Minimum Order Quantity")</t>
  </si>
  <si>
    <t>=NF($F113,"Minimum Order Quantity")</t>
  </si>
  <si>
    <t>=NF($F114,"Minimum Order Quantity")</t>
  </si>
  <si>
    <t>=NF($F115,"Minimum Order Quantity")</t>
  </si>
  <si>
    <t>=NF($F116,"Minimum Order Quantity")</t>
  </si>
  <si>
    <t>=NF($F117,"Minimum Order Quantity")</t>
  </si>
  <si>
    <t>=NF($F118,"Minimum Order Quantity")</t>
  </si>
  <si>
    <t>=NF($F119,"Minimum Order Quantity")</t>
  </si>
  <si>
    <t>=NF($F120,"Minimum Order Quantity")</t>
  </si>
  <si>
    <t>=NF($F121,"Minimum Order Quantity")</t>
  </si>
  <si>
    <t>=NF($F122,"Minimum Order Quantity")</t>
  </si>
  <si>
    <t>=NF($F123,"Minimum Order Quantity")</t>
  </si>
  <si>
    <t>=NF($F124,"Minimum Order Quantity")</t>
  </si>
  <si>
    <t>=NF($F125,"Minimum Order Quantity")</t>
  </si>
  <si>
    <t>=NF($F126,"Minimum Order Quantity")</t>
  </si>
  <si>
    <t>=NF($F127,"Minimum Order Quantity")</t>
  </si>
  <si>
    <t>=NF($F128,"Minimum Order Quantity")</t>
  </si>
  <si>
    <t>=NF($F129,"Minimum Order Quantity")</t>
  </si>
  <si>
    <t>=NF($F130,"Minimum Order Quantity")</t>
  </si>
  <si>
    <t>=NF($F131,"Minimum Order Quantity")</t>
  </si>
  <si>
    <t>=NF($F132,"Minimum Order Quantity")</t>
  </si>
  <si>
    <t>=NF($F133,"Minimum Order Quantity")</t>
  </si>
  <si>
    <t>=NF($F134,"Minimum Order Quantity")</t>
  </si>
  <si>
    <t>=NF($F135,"Minimum Order Quantity")</t>
  </si>
  <si>
    <t>=NF($F136,"Minimum Order Quantity")</t>
  </si>
  <si>
    <t>=NF($F137,"Minimum Order Quantity")</t>
  </si>
  <si>
    <t>=NF($F138,"Minimum Order Quantity")</t>
  </si>
  <si>
    <t>=NF($F139,"Minimum Order Quantity")</t>
  </si>
  <si>
    <t>=NF($F140,"Minimum Order Quantity")</t>
  </si>
  <si>
    <t>=NF($F141,"Minimum Order Quantity")</t>
  </si>
  <si>
    <t>=NF($F142,"Minimum Order Quantity")</t>
  </si>
  <si>
    <t>=NF($F143,"Minimum Order Quantity")</t>
  </si>
  <si>
    <t>=NF($F144,"Minimum Order Quantity")</t>
  </si>
  <si>
    <t>=NF($F145,"Minimum Order Quantity")</t>
  </si>
  <si>
    <t>=NF($F146,"Minimum Order Quantity")</t>
  </si>
  <si>
    <t>=NF($F147,"Minimum Order Quantity")</t>
  </si>
  <si>
    <t>=NF($F148,"Minimum Order Quantity")</t>
  </si>
  <si>
    <t>=NF($F149,"Minimum Order Quantity")</t>
  </si>
  <si>
    <t>=NF($F150,"Minimum Order Quantity")</t>
  </si>
  <si>
    <t>=NF($F151,"Minimum Order Quantity")</t>
  </si>
  <si>
    <t>=NF($F152,"Minimum Order Quantity")</t>
  </si>
  <si>
    <t>=NF($F153,"Minimum Order Quantity")</t>
  </si>
  <si>
    <t>=NF($F154,"Minimum Order Quantity")</t>
  </si>
  <si>
    <t>=NF($F12,"Manufacturer Code")</t>
  </si>
  <si>
    <t>=NF($F13,"Manufacturer Code")</t>
  </si>
  <si>
    <t>=NF($F14,"Manufacturer Code")</t>
  </si>
  <si>
    <t>=NF($F15,"Manufacturer Code")</t>
  </si>
  <si>
    <t>=NF($F16,"Manufacturer Code")</t>
  </si>
  <si>
    <t>=NF($F17,"Manufacturer Code")</t>
  </si>
  <si>
    <t>=NF($F18,"Manufacturer Code")</t>
  </si>
  <si>
    <t>=NF($F19,"Manufacturer Code")</t>
  </si>
  <si>
    <t>=NF($F20,"Manufacturer Code")</t>
  </si>
  <si>
    <t>=NF($F21,"Manufacturer Code")</t>
  </si>
  <si>
    <t>=NF($F22,"Manufacturer Code")</t>
  </si>
  <si>
    <t>=NF($F23,"Manufacturer Code")</t>
  </si>
  <si>
    <t>=NF($F24,"Manufacturer Code")</t>
  </si>
  <si>
    <t>=NF($F25,"Manufacturer Code")</t>
  </si>
  <si>
    <t>=NF($F26,"Manufacturer Code")</t>
  </si>
  <si>
    <t>=NF($F27,"Manufacturer Code")</t>
  </si>
  <si>
    <t>=NF($F28,"Manufacturer Code")</t>
  </si>
  <si>
    <t>=NF($F29,"Manufacturer Code")</t>
  </si>
  <si>
    <t>=NF($F30,"Manufacturer Code")</t>
  </si>
  <si>
    <t>=NF($F31,"Manufacturer Code")</t>
  </si>
  <si>
    <t>=NF($F32,"Manufacturer Code")</t>
  </si>
  <si>
    <t>=NF($F33,"Manufacturer Code")</t>
  </si>
  <si>
    <t>=NF($F34,"Manufacturer Code")</t>
  </si>
  <si>
    <t>=NF($F35,"Manufacturer Code")</t>
  </si>
  <si>
    <t>=NF($F36,"Manufacturer Code")</t>
  </si>
  <si>
    <t>=NF($F37,"Manufacturer Code")</t>
  </si>
  <si>
    <t>=NF($F38,"Manufacturer Code")</t>
  </si>
  <si>
    <t>=NF($F39,"Manufacturer Code")</t>
  </si>
  <si>
    <t>=NF($F40,"Manufacturer Code")</t>
  </si>
  <si>
    <t>=NF($F41,"Manufacturer Code")</t>
  </si>
  <si>
    <t>=NF($F42,"Manufacturer Code")</t>
  </si>
  <si>
    <t>=NF($F43,"Manufacturer Code")</t>
  </si>
  <si>
    <t>=NF($F44,"Manufacturer Code")</t>
  </si>
  <si>
    <t>=NF($F45,"Manufacturer Code")</t>
  </si>
  <si>
    <t>=NF($F46,"Manufacturer Code")</t>
  </si>
  <si>
    <t>=NF($F47,"Manufacturer Code")</t>
  </si>
  <si>
    <t>=NF($F48,"Manufacturer Code")</t>
  </si>
  <si>
    <t>=NF($F49,"Manufacturer Code")</t>
  </si>
  <si>
    <t>=NF($F50,"Manufacturer Code")</t>
  </si>
  <si>
    <t>=NF($F51,"Manufacturer Code")</t>
  </si>
  <si>
    <t>=NF($F52,"Manufacturer Code")</t>
  </si>
  <si>
    <t>=NF($F53,"Manufacturer Code")</t>
  </si>
  <si>
    <t>=NF($F54,"Manufacturer Code")</t>
  </si>
  <si>
    <t>=NF($F55,"Manufacturer Code")</t>
  </si>
  <si>
    <t>=NF($F56,"Manufacturer Code")</t>
  </si>
  <si>
    <t>=NF($F57,"Manufacturer Code")</t>
  </si>
  <si>
    <t>=NF($F58,"Manufacturer Code")</t>
  </si>
  <si>
    <t>=NF($F59,"Manufacturer Code")</t>
  </si>
  <si>
    <t>=NF($F60,"Manufacturer Code")</t>
  </si>
  <si>
    <t>=NF($F61,"Manufacturer Code")</t>
  </si>
  <si>
    <t>=NF($F62,"Manufacturer Code")</t>
  </si>
  <si>
    <t>=NF($F63,"Manufacturer Code")</t>
  </si>
  <si>
    <t>=NF($F64,"Manufacturer Code")</t>
  </si>
  <si>
    <t>=NF($F65,"Manufacturer Code")</t>
  </si>
  <si>
    <t>=NF($F66,"Manufacturer Code")</t>
  </si>
  <si>
    <t>=NF($F67,"Manufacturer Code")</t>
  </si>
  <si>
    <t>=NF($F68,"Manufacturer Code")</t>
  </si>
  <si>
    <t>=NF($F69,"Manufacturer Code")</t>
  </si>
  <si>
    <t>=NF($F70,"Manufacturer Code")</t>
  </si>
  <si>
    <t>=NF($F71,"Manufacturer Code")</t>
  </si>
  <si>
    <t>=NF($F72,"Manufacturer Code")</t>
  </si>
  <si>
    <t>=NF($F73,"Manufacturer Code")</t>
  </si>
  <si>
    <t>=NF($F74,"Manufacturer Code")</t>
  </si>
  <si>
    <t>=NF($F75,"Manufacturer Code")</t>
  </si>
  <si>
    <t>=NF($F76,"Manufacturer Code")</t>
  </si>
  <si>
    <t>=NF($F77,"Manufacturer Code")</t>
  </si>
  <si>
    <t>=NF($F78,"Manufacturer Code")</t>
  </si>
  <si>
    <t>=NF($F79,"Manufacturer Code")</t>
  </si>
  <si>
    <t>=NF($F80,"Manufacturer Code")</t>
  </si>
  <si>
    <t>=NF($F81,"Manufacturer Code")</t>
  </si>
  <si>
    <t>=NF($F82,"Manufacturer Code")</t>
  </si>
  <si>
    <t>=NF($F83,"Manufacturer Code")</t>
  </si>
  <si>
    <t>=NF($F84,"Manufacturer Code")</t>
  </si>
  <si>
    <t>=NF($F85,"Manufacturer Code")</t>
  </si>
  <si>
    <t>=NF($F86,"Manufacturer Code")</t>
  </si>
  <si>
    <t>=NF($F87,"Manufacturer Code")</t>
  </si>
  <si>
    <t>=NF($F88,"Manufacturer Code")</t>
  </si>
  <si>
    <t>=NF($F89,"Manufacturer Code")</t>
  </si>
  <si>
    <t>=NF($F90,"Manufacturer Code")</t>
  </si>
  <si>
    <t>=NF($F91,"Manufacturer Code")</t>
  </si>
  <si>
    <t>=NF($F92,"Manufacturer Code")</t>
  </si>
  <si>
    <t>=NF($F93,"Manufacturer Code")</t>
  </si>
  <si>
    <t>=NF($F94,"Manufacturer Code")</t>
  </si>
  <si>
    <t>=NF($F95,"Manufacturer Code")</t>
  </si>
  <si>
    <t>=NF($F96,"Manufacturer Code")</t>
  </si>
  <si>
    <t>=NF($F97,"Manufacturer Code")</t>
  </si>
  <si>
    <t>=NF($F98,"Manufacturer Code")</t>
  </si>
  <si>
    <t>=NF($F99,"Manufacturer Code")</t>
  </si>
  <si>
    <t>=NF($F100,"Manufacturer Code")</t>
  </si>
  <si>
    <t>=NF($F101,"Manufacturer Code")</t>
  </si>
  <si>
    <t>=NF($F102,"Manufacturer Code")</t>
  </si>
  <si>
    <t>=NF($F103,"Manufacturer Code")</t>
  </si>
  <si>
    <t>=NF($F104,"Manufacturer Code")</t>
  </si>
  <si>
    <t>=NF($F105,"Manufacturer Code")</t>
  </si>
  <si>
    <t>=NF($F106,"Manufacturer Code")</t>
  </si>
  <si>
    <t>=NF($F107,"Manufacturer Code")</t>
  </si>
  <si>
    <t>=NF($F108,"Manufacturer Code")</t>
  </si>
  <si>
    <t>=NF($F109,"Manufacturer Code")</t>
  </si>
  <si>
    <t>=NF($F110,"Manufacturer Code")</t>
  </si>
  <si>
    <t>=NF($F111,"Manufacturer Code")</t>
  </si>
  <si>
    <t>=NF($F112,"Manufacturer Code")</t>
  </si>
  <si>
    <t>=NF($F113,"Manufacturer Code")</t>
  </si>
  <si>
    <t>=NF($F114,"Manufacturer Code")</t>
  </si>
  <si>
    <t>=NF($F115,"Manufacturer Code")</t>
  </si>
  <si>
    <t>=NF($F116,"Manufacturer Code")</t>
  </si>
  <si>
    <t>=NF($F117,"Manufacturer Code")</t>
  </si>
  <si>
    <t>=NF($F118,"Manufacturer Code")</t>
  </si>
  <si>
    <t>=NF($F119,"Manufacturer Code")</t>
  </si>
  <si>
    <t>=NF($F120,"Manufacturer Code")</t>
  </si>
  <si>
    <t>=NF($F121,"Manufacturer Code")</t>
  </si>
  <si>
    <t>=NF($F122,"Manufacturer Code")</t>
  </si>
  <si>
    <t>=NF($F123,"Manufacturer Code")</t>
  </si>
  <si>
    <t>=NF($F124,"Manufacturer Code")</t>
  </si>
  <si>
    <t>=NF($F125,"Manufacturer Code")</t>
  </si>
  <si>
    <t>=NF($F126,"Manufacturer Code")</t>
  </si>
  <si>
    <t>=NF($F127,"Manufacturer Code")</t>
  </si>
  <si>
    <t>=NF($F128,"Manufacturer Code")</t>
  </si>
  <si>
    <t>=NF($F129,"Manufacturer Code")</t>
  </si>
  <si>
    <t>=NF($F130,"Manufacturer Code")</t>
  </si>
  <si>
    <t>=NF($F131,"Manufacturer Code")</t>
  </si>
  <si>
    <t>=NF($F132,"Manufacturer Code")</t>
  </si>
  <si>
    <t>=NF($F133,"Manufacturer Code")</t>
  </si>
  <si>
    <t>=NF($F134,"Manufacturer Code")</t>
  </si>
  <si>
    <t>=NF($F135,"Manufacturer Code")</t>
  </si>
  <si>
    <t>=NF($F136,"Manufacturer Code")</t>
  </si>
  <si>
    <t>=NF($F137,"Manufacturer Code")</t>
  </si>
  <si>
    <t>=NF($F138,"Manufacturer Code")</t>
  </si>
  <si>
    <t>=NF($F139,"Manufacturer Code")</t>
  </si>
  <si>
    <t>=NF($F140,"Manufacturer Code")</t>
  </si>
  <si>
    <t>=NF($F141,"Manufacturer Code")</t>
  </si>
  <si>
    <t>=NF($F142,"Manufacturer Code")</t>
  </si>
  <si>
    <t>=NF($F143,"Manufacturer Code")</t>
  </si>
  <si>
    <t>=NF($F144,"Manufacturer Code")</t>
  </si>
  <si>
    <t>=NF($F145,"Manufacturer Code")</t>
  </si>
  <si>
    <t>=NF($F146,"Manufacturer Code")</t>
  </si>
  <si>
    <t>=NF($F147,"Manufacturer Code")</t>
  </si>
  <si>
    <t>=NF($F148,"Manufacturer Code")</t>
  </si>
  <si>
    <t>=NF($F149,"Manufacturer Code")</t>
  </si>
  <si>
    <t>=NF($F150,"Manufacturer Code")</t>
  </si>
  <si>
    <t>=NF($F151,"Manufacturer Code")</t>
  </si>
  <si>
    <t>=NF($F152,"Manufacturer Code")</t>
  </si>
  <si>
    <t>=NF($F153,"Manufacturer Code")</t>
  </si>
  <si>
    <t>=NF($F154,"Manufacturer Code")</t>
  </si>
  <si>
    <t>=NF($F12,"Net Weight")</t>
  </si>
  <si>
    <t>=NF($F13,"Net Weight")</t>
  </si>
  <si>
    <t>=NF($F14,"Net Weight")</t>
  </si>
  <si>
    <t>=NF($F15,"Net Weight")</t>
  </si>
  <si>
    <t>=NF($F16,"Net Weight")</t>
  </si>
  <si>
    <t>=NF($F17,"Net Weight")</t>
  </si>
  <si>
    <t>=NF($F18,"Net Weight")</t>
  </si>
  <si>
    <t>=NF($F19,"Net Weight")</t>
  </si>
  <si>
    <t>=NF($F20,"Net Weight")</t>
  </si>
  <si>
    <t>=NF($F21,"Net Weight")</t>
  </si>
  <si>
    <t>=NF($F22,"Net Weight")</t>
  </si>
  <si>
    <t>=NF($F23,"Net Weight")</t>
  </si>
  <si>
    <t>=NF($F24,"Net Weight")</t>
  </si>
  <si>
    <t>=NF($F25,"Net Weight")</t>
  </si>
  <si>
    <t>=NF($F26,"Net Weight")</t>
  </si>
  <si>
    <t>=NF($F27,"Net Weight")</t>
  </si>
  <si>
    <t>=NF($F28,"Net Weight")</t>
  </si>
  <si>
    <t>=NF($F29,"Net Weight")</t>
  </si>
  <si>
    <t>=NF($F30,"Net Weight")</t>
  </si>
  <si>
    <t>=NF($F31,"Net Weight")</t>
  </si>
  <si>
    <t>=NF($F32,"Net Weight")</t>
  </si>
  <si>
    <t>=NF($F33,"Net Weight")</t>
  </si>
  <si>
    <t>=NF($F34,"Net Weight")</t>
  </si>
  <si>
    <t>=NF($F35,"Net Weight")</t>
  </si>
  <si>
    <t>=NF($F36,"Net Weight")</t>
  </si>
  <si>
    <t>=NF($F37,"Net Weight")</t>
  </si>
  <si>
    <t>=NF($F38,"Net Weight")</t>
  </si>
  <si>
    <t>=NF($F39,"Net Weight")</t>
  </si>
  <si>
    <t>=NF($F40,"Net Weight")</t>
  </si>
  <si>
    <t>=NF($F41,"Net Weight")</t>
  </si>
  <si>
    <t>=NF($F42,"Net Weight")</t>
  </si>
  <si>
    <t>=NF($F43,"Net Weight")</t>
  </si>
  <si>
    <t>=NF($F44,"Net Weight")</t>
  </si>
  <si>
    <t>=NF($F45,"Net Weight")</t>
  </si>
  <si>
    <t>=NF($F46,"Net Weight")</t>
  </si>
  <si>
    <t>=NF($F47,"Net Weight")</t>
  </si>
  <si>
    <t>=NF($F48,"Net Weight")</t>
  </si>
  <si>
    <t>=NF($F49,"Net Weight")</t>
  </si>
  <si>
    <t>=NF($F50,"Net Weight")</t>
  </si>
  <si>
    <t>=NF($F51,"Net Weight")</t>
  </si>
  <si>
    <t>=NF($F52,"Net Weight")</t>
  </si>
  <si>
    <t>=NF($F53,"Net Weight")</t>
  </si>
  <si>
    <t>=NF($F54,"Net Weight")</t>
  </si>
  <si>
    <t>=NF($F55,"Net Weight")</t>
  </si>
  <si>
    <t>=NF($F56,"Net Weight")</t>
  </si>
  <si>
    <t>=NF($F57,"Net Weight")</t>
  </si>
  <si>
    <t>=NF($F58,"Net Weight")</t>
  </si>
  <si>
    <t>=NF($F59,"Net Weight")</t>
  </si>
  <si>
    <t>=NF($F60,"Net Weight")</t>
  </si>
  <si>
    <t>=NF($F61,"Net Weight")</t>
  </si>
  <si>
    <t>=NF($F62,"Net Weight")</t>
  </si>
  <si>
    <t>=NF($F63,"Net Weight")</t>
  </si>
  <si>
    <t>=NF($F64,"Net Weight")</t>
  </si>
  <si>
    <t>=NF($F65,"Net Weight")</t>
  </si>
  <si>
    <t>=NF($F66,"Net Weight")</t>
  </si>
  <si>
    <t>=NF($F67,"Net Weight")</t>
  </si>
  <si>
    <t>=NF($F68,"Net Weight")</t>
  </si>
  <si>
    <t>=NF($F69,"Net Weight")</t>
  </si>
  <si>
    <t>=NF($F70,"Net Weight")</t>
  </si>
  <si>
    <t>=NF($F71,"Net Weight")</t>
  </si>
  <si>
    <t>=NF($F72,"Net Weight")</t>
  </si>
  <si>
    <t>=NF($F73,"Net Weight")</t>
  </si>
  <si>
    <t>=NF($F74,"Net Weight")</t>
  </si>
  <si>
    <t>=NF($F75,"Net Weight")</t>
  </si>
  <si>
    <t>=NF($F76,"Net Weight")</t>
  </si>
  <si>
    <t>=NF($F77,"Net Weight")</t>
  </si>
  <si>
    <t>=NF($F78,"Net Weight")</t>
  </si>
  <si>
    <t>=NF($F79,"Net Weight")</t>
  </si>
  <si>
    <t>=NF($F80,"Net Weight")</t>
  </si>
  <si>
    <t>=NF($F81,"Net Weight")</t>
  </si>
  <si>
    <t>=NF($F82,"Net Weight")</t>
  </si>
  <si>
    <t>=NF($F83,"Net Weight")</t>
  </si>
  <si>
    <t>=NF($F84,"Net Weight")</t>
  </si>
  <si>
    <t>=NF($F85,"Net Weight")</t>
  </si>
  <si>
    <t>=NF($F86,"Net Weight")</t>
  </si>
  <si>
    <t>=NF($F87,"Net Weight")</t>
  </si>
  <si>
    <t>=NF($F88,"Net Weight")</t>
  </si>
  <si>
    <t>=NF($F89,"Net Weight")</t>
  </si>
  <si>
    <t>=NF($F90,"Net Weight")</t>
  </si>
  <si>
    <t>=NF($F91,"Net Weight")</t>
  </si>
  <si>
    <t>=NF($F92,"Net Weight")</t>
  </si>
  <si>
    <t>=NF($F93,"Net Weight")</t>
  </si>
  <si>
    <t>=NF($F94,"Net Weight")</t>
  </si>
  <si>
    <t>=NF($F95,"Net Weight")</t>
  </si>
  <si>
    <t>=NF($F96,"Net Weight")</t>
  </si>
  <si>
    <t>=NF($F97,"Net Weight")</t>
  </si>
  <si>
    <t>=NF($F98,"Net Weight")</t>
  </si>
  <si>
    <t>=NF($F99,"Net Weight")</t>
  </si>
  <si>
    <t>=NF($F100,"Net Weight")</t>
  </si>
  <si>
    <t>=NF($F101,"Net Weight")</t>
  </si>
  <si>
    <t>=NF($F102,"Net Weight")</t>
  </si>
  <si>
    <t>=NF($F103,"Net Weight")</t>
  </si>
  <si>
    <t>=NF($F104,"Net Weight")</t>
  </si>
  <si>
    <t>=NF($F105,"Net Weight")</t>
  </si>
  <si>
    <t>=NF($F106,"Net Weight")</t>
  </si>
  <si>
    <t>=NF($F107,"Net Weight")</t>
  </si>
  <si>
    <t>=NF($F108,"Net Weight")</t>
  </si>
  <si>
    <t>=NF($F109,"Net Weight")</t>
  </si>
  <si>
    <t>=NF($F110,"Net Weight")</t>
  </si>
  <si>
    <t>=NF($F111,"Net Weight")</t>
  </si>
  <si>
    <t>=NF($F112,"Net Weight")</t>
  </si>
  <si>
    <t>=NF($F113,"Net Weight")</t>
  </si>
  <si>
    <t>=NF($F114,"Net Weight")</t>
  </si>
  <si>
    <t>=NF($F115,"Net Weight")</t>
  </si>
  <si>
    <t>=NF($F116,"Net Weight")</t>
  </si>
  <si>
    <t>=NF($F117,"Net Weight")</t>
  </si>
  <si>
    <t>=NF($F118,"Net Weight")</t>
  </si>
  <si>
    <t>=NF($F119,"Net Weight")</t>
  </si>
  <si>
    <t>=NF($F120,"Net Weight")</t>
  </si>
  <si>
    <t>=NF($F121,"Net Weight")</t>
  </si>
  <si>
    <t>=NF($F122,"Net Weight")</t>
  </si>
  <si>
    <t>=NF($F123,"Net Weight")</t>
  </si>
  <si>
    <t>=NF($F124,"Net Weight")</t>
  </si>
  <si>
    <t>=NF($F125,"Net Weight")</t>
  </si>
  <si>
    <t>=NF($F126,"Net Weight")</t>
  </si>
  <si>
    <t>=NF($F127,"Net Weight")</t>
  </si>
  <si>
    <t>=NF($F128,"Net Weight")</t>
  </si>
  <si>
    <t>=NF($F129,"Net Weight")</t>
  </si>
  <si>
    <t>=NF($F130,"Net Weight")</t>
  </si>
  <si>
    <t>=NF($F131,"Net Weight")</t>
  </si>
  <si>
    <t>=NF($F132,"Net Weight")</t>
  </si>
  <si>
    <t>=NF($F133,"Net Weight")</t>
  </si>
  <si>
    <t>=NF($F134,"Net Weight")</t>
  </si>
  <si>
    <t>=NF($F135,"Net Weight")</t>
  </si>
  <si>
    <t>=NF($F136,"Net Weight")</t>
  </si>
  <si>
    <t>=NF($F137,"Net Weight")</t>
  </si>
  <si>
    <t>=NF($F138,"Net Weight")</t>
  </si>
  <si>
    <t>=NF($F139,"Net Weight")</t>
  </si>
  <si>
    <t>=NF($F140,"Net Weight")</t>
  </si>
  <si>
    <t>=NF($F141,"Net Weight")</t>
  </si>
  <si>
    <t>=NF($F142,"Net Weight")</t>
  </si>
  <si>
    <t>=NF($F143,"Net Weight")</t>
  </si>
  <si>
    <t>=NF($F144,"Net Weight")</t>
  </si>
  <si>
    <t>=NF($F145,"Net Weight")</t>
  </si>
  <si>
    <t>=NF($F146,"Net Weight")</t>
  </si>
  <si>
    <t>=NF($F147,"Net Weight")</t>
  </si>
  <si>
    <t>=NF($F148,"Net Weight")</t>
  </si>
  <si>
    <t>=NF($F149,"Net Weight")</t>
  </si>
  <si>
    <t>=NF($F150,"Net Weight")</t>
  </si>
  <si>
    <t>=NF($F151,"Net Weight")</t>
  </si>
  <si>
    <t>=NF($F152,"Net Weight")</t>
  </si>
  <si>
    <t>=NF($F153,"Net Weight")</t>
  </si>
  <si>
    <t>=NF($F154,"Net Weight")</t>
  </si>
  <si>
    <t>=NF($F12,"Net Change")</t>
  </si>
  <si>
    <t>=NF($F13,"Net Change")</t>
  </si>
  <si>
    <t>=NF($F14,"Net Change")</t>
  </si>
  <si>
    <t>=NF($F15,"Net Change")</t>
  </si>
  <si>
    <t>=NF($F16,"Net Change")</t>
  </si>
  <si>
    <t>=NF($F17,"Net Change")</t>
  </si>
  <si>
    <t>=NF($F18,"Net Change")</t>
  </si>
  <si>
    <t>=NF($F19,"Net Change")</t>
  </si>
  <si>
    <t>=NF($F20,"Net Change")</t>
  </si>
  <si>
    <t>=NF($F21,"Net Change")</t>
  </si>
  <si>
    <t>=NF($F22,"Net Change")</t>
  </si>
  <si>
    <t>=NF($F23,"Net Change")</t>
  </si>
  <si>
    <t>=NF($F24,"Net Change")</t>
  </si>
  <si>
    <t>=NF($F25,"Net Change")</t>
  </si>
  <si>
    <t>=NF($F26,"Net Change")</t>
  </si>
  <si>
    <t>=NF($F27,"Net Change")</t>
  </si>
  <si>
    <t>=NF($F28,"Net Change")</t>
  </si>
  <si>
    <t>=NF($F29,"Net Change")</t>
  </si>
  <si>
    <t>=NF($F30,"Net Change")</t>
  </si>
  <si>
    <t>=NF($F31,"Net Change")</t>
  </si>
  <si>
    <t>=NF($F32,"Net Change")</t>
  </si>
  <si>
    <t>=NF($F33,"Net Change")</t>
  </si>
  <si>
    <t>=NF($F34,"Net Change")</t>
  </si>
  <si>
    <t>=NF($F35,"Net Change")</t>
  </si>
  <si>
    <t>=NF($F36,"Net Change")</t>
  </si>
  <si>
    <t>=NF($F37,"Net Change")</t>
  </si>
  <si>
    <t>=NF($F38,"Net Change")</t>
  </si>
  <si>
    <t>=NF($F39,"Net Change")</t>
  </si>
  <si>
    <t>=NF($F40,"Net Change")</t>
  </si>
  <si>
    <t>=NF($F41,"Net Change")</t>
  </si>
  <si>
    <t>=NF($F42,"Net Change")</t>
  </si>
  <si>
    <t>=NF($F43,"Net Change")</t>
  </si>
  <si>
    <t>=NF($F44,"Net Change")</t>
  </si>
  <si>
    <t>=NF($F45,"Net Change")</t>
  </si>
  <si>
    <t>=NF($F46,"Net Change")</t>
  </si>
  <si>
    <t>=NF($F47,"Net Change")</t>
  </si>
  <si>
    <t>=NF($F48,"Net Change")</t>
  </si>
  <si>
    <t>=NF($F49,"Net Change")</t>
  </si>
  <si>
    <t>=NF($F50,"Net Change")</t>
  </si>
  <si>
    <t>=NF($F51,"Net Change")</t>
  </si>
  <si>
    <t>=NF($F52,"Net Change")</t>
  </si>
  <si>
    <t>=NF($F53,"Net Change")</t>
  </si>
  <si>
    <t>=NF($F54,"Net Change")</t>
  </si>
  <si>
    <t>=NF($F55,"Net Change")</t>
  </si>
  <si>
    <t>=NF($F56,"Net Change")</t>
  </si>
  <si>
    <t>=NF($F57,"Net Change")</t>
  </si>
  <si>
    <t>=NF($F58,"Net Change")</t>
  </si>
  <si>
    <t>=NF($F59,"Net Change")</t>
  </si>
  <si>
    <t>=NF($F60,"Net Change")</t>
  </si>
  <si>
    <t>=NF($F61,"Net Change")</t>
  </si>
  <si>
    <t>=NF($F62,"Net Change")</t>
  </si>
  <si>
    <t>=NF($F63,"Net Change")</t>
  </si>
  <si>
    <t>=NF($F64,"Net Change")</t>
  </si>
  <si>
    <t>=NF($F65,"Net Change")</t>
  </si>
  <si>
    <t>=NF($F66,"Net Change")</t>
  </si>
  <si>
    <t>=NF($F67,"Net Change")</t>
  </si>
  <si>
    <t>=NF($F68,"Net Change")</t>
  </si>
  <si>
    <t>=NF($F69,"Net Change")</t>
  </si>
  <si>
    <t>=NF($F70,"Net Change")</t>
  </si>
  <si>
    <t>=NF($F71,"Net Change")</t>
  </si>
  <si>
    <t>=NF($F72,"Net Change")</t>
  </si>
  <si>
    <t>=NF($F73,"Net Change")</t>
  </si>
  <si>
    <t>=NF($F74,"Net Change")</t>
  </si>
  <si>
    <t>=NF($F75,"Net Change")</t>
  </si>
  <si>
    <t>=NF($F76,"Net Change")</t>
  </si>
  <si>
    <t>=NF($F77,"Net Change")</t>
  </si>
  <si>
    <t>=NF($F78,"Net Change")</t>
  </si>
  <si>
    <t>=NF($F79,"Net Change")</t>
  </si>
  <si>
    <t>=NF($F80,"Net Change")</t>
  </si>
  <si>
    <t>=NF($F81,"Net Change")</t>
  </si>
  <si>
    <t>=NF($F82,"Net Change")</t>
  </si>
  <si>
    <t>=NF($F83,"Net Change")</t>
  </si>
  <si>
    <t>=NF($F84,"Net Change")</t>
  </si>
  <si>
    <t>=NF($F85,"Net Change")</t>
  </si>
  <si>
    <t>=NF($F86,"Net Change")</t>
  </si>
  <si>
    <t>=NF($F87,"Net Change")</t>
  </si>
  <si>
    <t>=NF($F88,"Net Change")</t>
  </si>
  <si>
    <t>=NF($F89,"Net Change")</t>
  </si>
  <si>
    <t>=NF($F90,"Net Change")</t>
  </si>
  <si>
    <t>=NF($F91,"Net Change")</t>
  </si>
  <si>
    <t>=NF($F92,"Net Change")</t>
  </si>
  <si>
    <t>=NF($F93,"Net Change")</t>
  </si>
  <si>
    <t>=NF($F94,"Net Change")</t>
  </si>
  <si>
    <t>=NF($F95,"Net Change")</t>
  </si>
  <si>
    <t>=NF($F96,"Net Change")</t>
  </si>
  <si>
    <t>=NF($F97,"Net Change")</t>
  </si>
  <si>
    <t>=NF($F98,"Net Change")</t>
  </si>
  <si>
    <t>=NF($F99,"Net Change")</t>
  </si>
  <si>
    <t>=NF($F100,"Net Change")</t>
  </si>
  <si>
    <t>=NF($F101,"Net Change")</t>
  </si>
  <si>
    <t>=NF($F102,"Net Change")</t>
  </si>
  <si>
    <t>=NF($F103,"Net Change")</t>
  </si>
  <si>
    <t>=NF($F104,"Net Change")</t>
  </si>
  <si>
    <t>=NF($F105,"Net Change")</t>
  </si>
  <si>
    <t>=NF($F106,"Net Change")</t>
  </si>
  <si>
    <t>=NF($F107,"Net Change")</t>
  </si>
  <si>
    <t>=NF($F108,"Net Change")</t>
  </si>
  <si>
    <t>=NF($F109,"Net Change")</t>
  </si>
  <si>
    <t>=NF($F110,"Net Change")</t>
  </si>
  <si>
    <t>=NF($F111,"Net Change")</t>
  </si>
  <si>
    <t>=NF($F112,"Net Change")</t>
  </si>
  <si>
    <t>=NF($F113,"Net Change")</t>
  </si>
  <si>
    <t>=NF($F114,"Net Change")</t>
  </si>
  <si>
    <t>=NF($F115,"Net Change")</t>
  </si>
  <si>
    <t>=NF($F116,"Net Change")</t>
  </si>
  <si>
    <t>=NF($F117,"Net Change")</t>
  </si>
  <si>
    <t>=NF($F118,"Net Change")</t>
  </si>
  <si>
    <t>=NF($F119,"Net Change")</t>
  </si>
  <si>
    <t>=NF($F120,"Net Change")</t>
  </si>
  <si>
    <t>=NF($F121,"Net Change")</t>
  </si>
  <si>
    <t>=NF($F122,"Net Change")</t>
  </si>
  <si>
    <t>=NF($F123,"Net Change")</t>
  </si>
  <si>
    <t>=NF($F124,"Net Change")</t>
  </si>
  <si>
    <t>=NF($F125,"Net Change")</t>
  </si>
  <si>
    <t>=NF($F126,"Net Change")</t>
  </si>
  <si>
    <t>=NF($F127,"Net Change")</t>
  </si>
  <si>
    <t>=NF($F128,"Net Change")</t>
  </si>
  <si>
    <t>=NF($F129,"Net Change")</t>
  </si>
  <si>
    <t>=NF($F130,"Net Change")</t>
  </si>
  <si>
    <t>=NF($F131,"Net Change")</t>
  </si>
  <si>
    <t>=NF($F132,"Net Change")</t>
  </si>
  <si>
    <t>=NF($F133,"Net Change")</t>
  </si>
  <si>
    <t>=NF($F134,"Net Change")</t>
  </si>
  <si>
    <t>=NF($F135,"Net Change")</t>
  </si>
  <si>
    <t>=NF($F136,"Net Change")</t>
  </si>
  <si>
    <t>=NF($F137,"Net Change")</t>
  </si>
  <si>
    <t>=NF($F138,"Net Change")</t>
  </si>
  <si>
    <t>=NF($F139,"Net Change")</t>
  </si>
  <si>
    <t>=NF($F140,"Net Change")</t>
  </si>
  <si>
    <t>=NF($F141,"Net Change")</t>
  </si>
  <si>
    <t>=NF($F142,"Net Change")</t>
  </si>
  <si>
    <t>=NF($F143,"Net Change")</t>
  </si>
  <si>
    <t>=NF($F144,"Net Change")</t>
  </si>
  <si>
    <t>=NF($F145,"Net Change")</t>
  </si>
  <si>
    <t>=NF($F146,"Net Change")</t>
  </si>
  <si>
    <t>=NF($F147,"Net Change")</t>
  </si>
  <si>
    <t>=NF($F148,"Net Change")</t>
  </si>
  <si>
    <t>=NF($F149,"Net Change")</t>
  </si>
  <si>
    <t>=NF($F150,"Net Change")</t>
  </si>
  <si>
    <t>=NF($F151,"Net Change")</t>
  </si>
  <si>
    <t>=NF($F152,"Net Change")</t>
  </si>
  <si>
    <t>=NF($F153,"Net Change")</t>
  </si>
  <si>
    <t>=NF($F154,"Net Change")</t>
  </si>
  <si>
    <t>=NF($F12,"Next Counting End Date")</t>
  </si>
  <si>
    <t>=NF($F13,"Next Counting End Date")</t>
  </si>
  <si>
    <t>=NF($F14,"Next Counting End Date")</t>
  </si>
  <si>
    <t>=NF($F15,"Next Counting End Date")</t>
  </si>
  <si>
    <t>=NF($F16,"Next Counting End Date")</t>
  </si>
  <si>
    <t>=NF($F17,"Next Counting End Date")</t>
  </si>
  <si>
    <t>=NF($F18,"Next Counting End Date")</t>
  </si>
  <si>
    <t>=NF($F19,"Next Counting End Date")</t>
  </si>
  <si>
    <t>=NF($F20,"Next Counting End Date")</t>
  </si>
  <si>
    <t>=NF($F21,"Next Counting End Date")</t>
  </si>
  <si>
    <t>=NF($F22,"Next Counting End Date")</t>
  </si>
  <si>
    <t>=NF($F23,"Next Counting End Date")</t>
  </si>
  <si>
    <t>=NF($F24,"Next Counting End Date")</t>
  </si>
  <si>
    <t>=NF($F25,"Next Counting End Date")</t>
  </si>
  <si>
    <t>=NF($F26,"Next Counting End Date")</t>
  </si>
  <si>
    <t>=NF($F27,"Next Counting End Date")</t>
  </si>
  <si>
    <t>=NF($F28,"Next Counting End Date")</t>
  </si>
  <si>
    <t>=NF($F29,"Next Counting End Date")</t>
  </si>
  <si>
    <t>=NF($F30,"Next Counting End Date")</t>
  </si>
  <si>
    <t>=NF($F31,"Next Counting End Date")</t>
  </si>
  <si>
    <t>=NF($F32,"Next Counting End Date")</t>
  </si>
  <si>
    <t>=NF($F33,"Next Counting End Date")</t>
  </si>
  <si>
    <t>=NF($F34,"Next Counting End Date")</t>
  </si>
  <si>
    <t>=NF($F35,"Next Counting End Date")</t>
  </si>
  <si>
    <t>=NF($F36,"Next Counting End Date")</t>
  </si>
  <si>
    <t>=NF($F37,"Next Counting End Date")</t>
  </si>
  <si>
    <t>=NF($F38,"Next Counting End Date")</t>
  </si>
  <si>
    <t>=NF($F39,"Next Counting End Date")</t>
  </si>
  <si>
    <t>=NF($F40,"Next Counting End Date")</t>
  </si>
  <si>
    <t>=NF($F41,"Next Counting End Date")</t>
  </si>
  <si>
    <t>=NF($F42,"Next Counting End Date")</t>
  </si>
  <si>
    <t>=NF($F43,"Next Counting End Date")</t>
  </si>
  <si>
    <t>=NF($F44,"Next Counting End Date")</t>
  </si>
  <si>
    <t>=NF($F45,"Next Counting End Date")</t>
  </si>
  <si>
    <t>=NF($F46,"Next Counting End Date")</t>
  </si>
  <si>
    <t>=NF($F47,"Next Counting End Date")</t>
  </si>
  <si>
    <t>=NF($F48,"Next Counting End Date")</t>
  </si>
  <si>
    <t>=NF($F49,"Next Counting End Date")</t>
  </si>
  <si>
    <t>=NF($F50,"Next Counting End Date")</t>
  </si>
  <si>
    <t>=NF($F51,"Next Counting End Date")</t>
  </si>
  <si>
    <t>=NF($F52,"Next Counting End Date")</t>
  </si>
  <si>
    <t>=NF($F53,"Next Counting End Date")</t>
  </si>
  <si>
    <t>=NF($F54,"Next Counting End Date")</t>
  </si>
  <si>
    <t>=NF($F55,"Next Counting End Date")</t>
  </si>
  <si>
    <t>=NF($F56,"Next Counting End Date")</t>
  </si>
  <si>
    <t>=NF($F57,"Next Counting End Date")</t>
  </si>
  <si>
    <t>=NF($F58,"Next Counting End Date")</t>
  </si>
  <si>
    <t>=NF($F59,"Next Counting End Date")</t>
  </si>
  <si>
    <t>=NF($F60,"Next Counting End Date")</t>
  </si>
  <si>
    <t>=NF($F61,"Next Counting End Date")</t>
  </si>
  <si>
    <t>=NF($F62,"Next Counting End Date")</t>
  </si>
  <si>
    <t>=NF($F63,"Next Counting End Date")</t>
  </si>
  <si>
    <t>=NF($F64,"Next Counting End Date")</t>
  </si>
  <si>
    <t>=NF($F65,"Next Counting End Date")</t>
  </si>
  <si>
    <t>=NF($F66,"Next Counting End Date")</t>
  </si>
  <si>
    <t>=NF($F67,"Next Counting End Date")</t>
  </si>
  <si>
    <t>=NF($F68,"Next Counting End Date")</t>
  </si>
  <si>
    <t>=NF($F69,"Next Counting End Date")</t>
  </si>
  <si>
    <t>=NF($F70,"Next Counting End Date")</t>
  </si>
  <si>
    <t>=NF($F71,"Next Counting End Date")</t>
  </si>
  <si>
    <t>=NF($F72,"Next Counting End Date")</t>
  </si>
  <si>
    <t>=NF($F73,"Next Counting End Date")</t>
  </si>
  <si>
    <t>=NF($F74,"Next Counting End Date")</t>
  </si>
  <si>
    <t>=NF($F75,"Next Counting End Date")</t>
  </si>
  <si>
    <t>=NF($F76,"Next Counting End Date")</t>
  </si>
  <si>
    <t>=NF($F77,"Next Counting End Date")</t>
  </si>
  <si>
    <t>=NF($F78,"Next Counting End Date")</t>
  </si>
  <si>
    <t>=NF($F79,"Next Counting End Date")</t>
  </si>
  <si>
    <t>=NF($F80,"Next Counting End Date")</t>
  </si>
  <si>
    <t>=NF($F81,"Next Counting End Date")</t>
  </si>
  <si>
    <t>=NF($F82,"Next Counting End Date")</t>
  </si>
  <si>
    <t>=NF($F83,"Next Counting End Date")</t>
  </si>
  <si>
    <t>=NF($F84,"Next Counting End Date")</t>
  </si>
  <si>
    <t>=NF($F85,"Next Counting End Date")</t>
  </si>
  <si>
    <t>=NF($F86,"Next Counting End Date")</t>
  </si>
  <si>
    <t>=NF($F87,"Next Counting End Date")</t>
  </si>
  <si>
    <t>=NF($F88,"Next Counting End Date")</t>
  </si>
  <si>
    <t>=NF($F89,"Next Counting End Date")</t>
  </si>
  <si>
    <t>=NF($F90,"Next Counting End Date")</t>
  </si>
  <si>
    <t>=NF($F91,"Next Counting End Date")</t>
  </si>
  <si>
    <t>=NF($F92,"Next Counting End Date")</t>
  </si>
  <si>
    <t>=NF($F93,"Next Counting End Date")</t>
  </si>
  <si>
    <t>=NF($F94,"Next Counting End Date")</t>
  </si>
  <si>
    <t>=NF($F95,"Next Counting End Date")</t>
  </si>
  <si>
    <t>=NF($F96,"Next Counting End Date")</t>
  </si>
  <si>
    <t>=NF($F97,"Next Counting End Date")</t>
  </si>
  <si>
    <t>=NF($F98,"Next Counting End Date")</t>
  </si>
  <si>
    <t>=NF($F99,"Next Counting End Date")</t>
  </si>
  <si>
    <t>=NF($F100,"Next Counting End Date")</t>
  </si>
  <si>
    <t>=NF($F101,"Next Counting End Date")</t>
  </si>
  <si>
    <t>=NF($F102,"Next Counting End Date")</t>
  </si>
  <si>
    <t>=NF($F103,"Next Counting End Date")</t>
  </si>
  <si>
    <t>=NF($F104,"Next Counting End Date")</t>
  </si>
  <si>
    <t>=NF($F105,"Next Counting End Date")</t>
  </si>
  <si>
    <t>=NF($F106,"Next Counting End Date")</t>
  </si>
  <si>
    <t>=NF($F107,"Next Counting End Date")</t>
  </si>
  <si>
    <t>=NF($F108,"Next Counting End Date")</t>
  </si>
  <si>
    <t>=NF($F109,"Next Counting End Date")</t>
  </si>
  <si>
    <t>=NF($F110,"Next Counting End Date")</t>
  </si>
  <si>
    <t>=NF($F111,"Next Counting End Date")</t>
  </si>
  <si>
    <t>=NF($F112,"Next Counting End Date")</t>
  </si>
  <si>
    <t>=NF($F113,"Next Counting End Date")</t>
  </si>
  <si>
    <t>=NF($F114,"Next Counting End Date")</t>
  </si>
  <si>
    <t>=NF($F115,"Next Counting End Date")</t>
  </si>
  <si>
    <t>=NF($F116,"Next Counting End Date")</t>
  </si>
  <si>
    <t>=NF($F117,"Next Counting End Date")</t>
  </si>
  <si>
    <t>=NF($F118,"Next Counting End Date")</t>
  </si>
  <si>
    <t>=NF($F119,"Next Counting End Date")</t>
  </si>
  <si>
    <t>=NF($F120,"Next Counting End Date")</t>
  </si>
  <si>
    <t>=NF($F121,"Next Counting End Date")</t>
  </si>
  <si>
    <t>=NF($F122,"Next Counting End Date")</t>
  </si>
  <si>
    <t>=NF($F123,"Next Counting End Date")</t>
  </si>
  <si>
    <t>=NF($F124,"Next Counting End Date")</t>
  </si>
  <si>
    <t>=NF($F125,"Next Counting End Date")</t>
  </si>
  <si>
    <t>=NF($F126,"Next Counting End Date")</t>
  </si>
  <si>
    <t>=NF($F127,"Next Counting End Date")</t>
  </si>
  <si>
    <t>=NF($F128,"Next Counting End Date")</t>
  </si>
  <si>
    <t>=NF($F129,"Next Counting End Date")</t>
  </si>
  <si>
    <t>=NF($F130,"Next Counting End Date")</t>
  </si>
  <si>
    <t>=NF($F131,"Next Counting End Date")</t>
  </si>
  <si>
    <t>=NF($F132,"Next Counting End Date")</t>
  </si>
  <si>
    <t>=NF($F133,"Next Counting End Date")</t>
  </si>
  <si>
    <t>=NF($F134,"Next Counting End Date")</t>
  </si>
  <si>
    <t>=NF($F135,"Next Counting End Date")</t>
  </si>
  <si>
    <t>=NF($F136,"Next Counting End Date")</t>
  </si>
  <si>
    <t>=NF($F137,"Next Counting End Date")</t>
  </si>
  <si>
    <t>=NF($F138,"Next Counting End Date")</t>
  </si>
  <si>
    <t>=NF($F139,"Next Counting End Date")</t>
  </si>
  <si>
    <t>=NF($F140,"Next Counting End Date")</t>
  </si>
  <si>
    <t>=NF($F141,"Next Counting End Date")</t>
  </si>
  <si>
    <t>=NF($F142,"Next Counting End Date")</t>
  </si>
  <si>
    <t>=NF($F143,"Next Counting End Date")</t>
  </si>
  <si>
    <t>=NF($F144,"Next Counting End Date")</t>
  </si>
  <si>
    <t>=NF($F145,"Next Counting End Date")</t>
  </si>
  <si>
    <t>=NF($F146,"Next Counting End Date")</t>
  </si>
  <si>
    <t>=NF($F147,"Next Counting End Date")</t>
  </si>
  <si>
    <t>=NF($F148,"Next Counting End Date")</t>
  </si>
  <si>
    <t>=NF($F149,"Next Counting End Date")</t>
  </si>
  <si>
    <t>=NF($F150,"Next Counting End Date")</t>
  </si>
  <si>
    <t>=NF($F151,"Next Counting End Date")</t>
  </si>
  <si>
    <t>=NF($F152,"Next Counting End Date")</t>
  </si>
  <si>
    <t>=NF($F153,"Next Counting End Date")</t>
  </si>
  <si>
    <t>=NF($F154,"Next Counting End Date")</t>
  </si>
  <si>
    <t>=NF($F12,"Next Counting Start Date")</t>
  </si>
  <si>
    <t>=NF($F13,"Next Counting Start Date")</t>
  </si>
  <si>
    <t>=NF($F14,"Next Counting Start Date")</t>
  </si>
  <si>
    <t>=NF($F15,"Next Counting Start Date")</t>
  </si>
  <si>
    <t>=NF($F16,"Next Counting Start Date")</t>
  </si>
  <si>
    <t>=NF($F17,"Next Counting Start Date")</t>
  </si>
  <si>
    <t>=NF($F18,"Next Counting Start Date")</t>
  </si>
  <si>
    <t>=NF($F19,"Next Counting Start Date")</t>
  </si>
  <si>
    <t>=NF($F20,"Next Counting Start Date")</t>
  </si>
  <si>
    <t>=NF($F21,"Next Counting Start Date")</t>
  </si>
  <si>
    <t>=NF($F22,"Next Counting Start Date")</t>
  </si>
  <si>
    <t>=NF($F23,"Next Counting Start Date")</t>
  </si>
  <si>
    <t>=NF($F24,"Next Counting Start Date")</t>
  </si>
  <si>
    <t>=NF($F25,"Next Counting Start Date")</t>
  </si>
  <si>
    <t>=NF($F26,"Next Counting Start Date")</t>
  </si>
  <si>
    <t>=NF($F27,"Next Counting Start Date")</t>
  </si>
  <si>
    <t>=NF($F28,"Next Counting Start Date")</t>
  </si>
  <si>
    <t>=NF($F29,"Next Counting Start Date")</t>
  </si>
  <si>
    <t>=NF($F30,"Next Counting Start Date")</t>
  </si>
  <si>
    <t>=NF($F31,"Next Counting Start Date")</t>
  </si>
  <si>
    <t>=NF($F32,"Next Counting Start Date")</t>
  </si>
  <si>
    <t>=NF($F33,"Next Counting Start Date")</t>
  </si>
  <si>
    <t>=NF($F34,"Next Counting Start Date")</t>
  </si>
  <si>
    <t>=NF($F35,"Next Counting Start Date")</t>
  </si>
  <si>
    <t>=NF($F36,"Next Counting Start Date")</t>
  </si>
  <si>
    <t>=NF($F37,"Next Counting Start Date")</t>
  </si>
  <si>
    <t>=NF($F38,"Next Counting Start Date")</t>
  </si>
  <si>
    <t>=NF($F39,"Next Counting Start Date")</t>
  </si>
  <si>
    <t>=NF($F40,"Next Counting Start Date")</t>
  </si>
  <si>
    <t>=NF($F41,"Next Counting Start Date")</t>
  </si>
  <si>
    <t>=NF($F42,"Next Counting Start Date")</t>
  </si>
  <si>
    <t>=NF($F43,"Next Counting Start Date")</t>
  </si>
  <si>
    <t>=NF($F44,"Next Counting Start Date")</t>
  </si>
  <si>
    <t>=NF($F45,"Next Counting Start Date")</t>
  </si>
  <si>
    <t>=NF($F46,"Next Counting Start Date")</t>
  </si>
  <si>
    <t>=NF($F47,"Next Counting Start Date")</t>
  </si>
  <si>
    <t>=NF($F48,"Next Counting Start Date")</t>
  </si>
  <si>
    <t>=NF($F49,"Next Counting Start Date")</t>
  </si>
  <si>
    <t>=NF($F50,"Next Counting Start Date")</t>
  </si>
  <si>
    <t>=NF($F51,"Next Counting Start Date")</t>
  </si>
  <si>
    <t>=NF($F52,"Next Counting Start Date")</t>
  </si>
  <si>
    <t>=NF($F53,"Next Counting Start Date")</t>
  </si>
  <si>
    <t>=NF($F54,"Next Counting Start Date")</t>
  </si>
  <si>
    <t>=NF($F55,"Next Counting Start Date")</t>
  </si>
  <si>
    <t>=NF($F56,"Next Counting Start Date")</t>
  </si>
  <si>
    <t>=NF($F57,"Next Counting Start Date")</t>
  </si>
  <si>
    <t>=NF($F58,"Next Counting Start Date")</t>
  </si>
  <si>
    <t>=NF($F59,"Next Counting Start Date")</t>
  </si>
  <si>
    <t>=NF($F60,"Next Counting Start Date")</t>
  </si>
  <si>
    <t>=NF($F61,"Next Counting Start Date")</t>
  </si>
  <si>
    <t>=NF($F62,"Next Counting Start Date")</t>
  </si>
  <si>
    <t>=NF($F63,"Next Counting Start Date")</t>
  </si>
  <si>
    <t>=NF($F64,"Next Counting Start Date")</t>
  </si>
  <si>
    <t>=NF($F65,"Next Counting Start Date")</t>
  </si>
  <si>
    <t>=NF($F66,"Next Counting Start Date")</t>
  </si>
  <si>
    <t>=NF($F67,"Next Counting Start Date")</t>
  </si>
  <si>
    <t>=NF($F68,"Next Counting Start Date")</t>
  </si>
  <si>
    <t>=NF($F69,"Next Counting Start Date")</t>
  </si>
  <si>
    <t>=NF($F70,"Next Counting Start Date")</t>
  </si>
  <si>
    <t>=NF($F71,"Next Counting Start Date")</t>
  </si>
  <si>
    <t>=NF($F72,"Next Counting Start Date")</t>
  </si>
  <si>
    <t>=NF($F73,"Next Counting Start Date")</t>
  </si>
  <si>
    <t>=NF($F74,"Next Counting Start Date")</t>
  </si>
  <si>
    <t>=NF($F75,"Next Counting Start Date")</t>
  </si>
  <si>
    <t>=NF($F76,"Next Counting Start Date")</t>
  </si>
  <si>
    <t>=NF($F77,"Next Counting Start Date")</t>
  </si>
  <si>
    <t>=NF($F78,"Next Counting Start Date")</t>
  </si>
  <si>
    <t>=NF($F79,"Next Counting Start Date")</t>
  </si>
  <si>
    <t>=NF($F80,"Next Counting Start Date")</t>
  </si>
  <si>
    <t>=NF($F81,"Next Counting Start Date")</t>
  </si>
  <si>
    <t>=NF($F82,"Next Counting Start Date")</t>
  </si>
  <si>
    <t>=NF($F83,"Next Counting Start Date")</t>
  </si>
  <si>
    <t>=NF($F84,"Next Counting Start Date")</t>
  </si>
  <si>
    <t>=NF($F85,"Next Counting Start Date")</t>
  </si>
  <si>
    <t>=NF($F86,"Next Counting Start Date")</t>
  </si>
  <si>
    <t>=NF($F87,"Next Counting Start Date")</t>
  </si>
  <si>
    <t>=NF($F88,"Next Counting Start Date")</t>
  </si>
  <si>
    <t>=NF($F89,"Next Counting Start Date")</t>
  </si>
  <si>
    <t>=NF($F90,"Next Counting Start Date")</t>
  </si>
  <si>
    <t>=NF($F91,"Next Counting Start Date")</t>
  </si>
  <si>
    <t>=NF($F92,"Next Counting Start Date")</t>
  </si>
  <si>
    <t>=NF($F93,"Next Counting Start Date")</t>
  </si>
  <si>
    <t>=NF($F94,"Next Counting Start Date")</t>
  </si>
  <si>
    <t>=NF($F95,"Next Counting Start Date")</t>
  </si>
  <si>
    <t>=NF($F96,"Next Counting Start Date")</t>
  </si>
  <si>
    <t>=NF($F97,"Next Counting Start Date")</t>
  </si>
  <si>
    <t>=NF($F98,"Next Counting Start Date")</t>
  </si>
  <si>
    <t>=NF($F99,"Next Counting Start Date")</t>
  </si>
  <si>
    <t>=NF($F100,"Next Counting Start Date")</t>
  </si>
  <si>
    <t>=NF($F101,"Next Counting Start Date")</t>
  </si>
  <si>
    <t>=NF($F102,"Next Counting Start Date")</t>
  </si>
  <si>
    <t>=NF($F103,"Next Counting Start Date")</t>
  </si>
  <si>
    <t>=NF($F104,"Next Counting Start Date")</t>
  </si>
  <si>
    <t>=NF($F105,"Next Counting Start Date")</t>
  </si>
  <si>
    <t>=NF($F106,"Next Counting Start Date")</t>
  </si>
  <si>
    <t>=NF($F107,"Next Counting Start Date")</t>
  </si>
  <si>
    <t>=NF($F108,"Next Counting Start Date")</t>
  </si>
  <si>
    <t>=NF($F109,"Next Counting Start Date")</t>
  </si>
  <si>
    <t>=NF($F110,"Next Counting Start Date")</t>
  </si>
  <si>
    <t>=NF($F111,"Next Counting Start Date")</t>
  </si>
  <si>
    <t>=NF($F112,"Next Counting Start Date")</t>
  </si>
  <si>
    <t>=NF($F113,"Next Counting Start Date")</t>
  </si>
  <si>
    <t>=NF($F114,"Next Counting Start Date")</t>
  </si>
  <si>
    <t>=NF($F115,"Next Counting Start Date")</t>
  </si>
  <si>
    <t>=NF($F116,"Next Counting Start Date")</t>
  </si>
  <si>
    <t>=NF($F117,"Next Counting Start Date")</t>
  </si>
  <si>
    <t>=NF($F118,"Next Counting Start Date")</t>
  </si>
  <si>
    <t>=NF($F119,"Next Counting Start Date")</t>
  </si>
  <si>
    <t>=NF($F120,"Next Counting Start Date")</t>
  </si>
  <si>
    <t>=NF($F121,"Next Counting Start Date")</t>
  </si>
  <si>
    <t>=NF($F122,"Next Counting Start Date")</t>
  </si>
  <si>
    <t>=NF($F123,"Next Counting Start Date")</t>
  </si>
  <si>
    <t>=NF($F124,"Next Counting Start Date")</t>
  </si>
  <si>
    <t>=NF($F125,"Next Counting Start Date")</t>
  </si>
  <si>
    <t>=NF($F126,"Next Counting Start Date")</t>
  </si>
  <si>
    <t>=NF($F127,"Next Counting Start Date")</t>
  </si>
  <si>
    <t>=NF($F128,"Next Counting Start Date")</t>
  </si>
  <si>
    <t>=NF($F129,"Next Counting Start Date")</t>
  </si>
  <si>
    <t>=NF($F130,"Next Counting Start Date")</t>
  </si>
  <si>
    <t>=NF($F131,"Next Counting Start Date")</t>
  </si>
  <si>
    <t>=NF($F132,"Next Counting Start Date")</t>
  </si>
  <si>
    <t>=NF($F133,"Next Counting Start Date")</t>
  </si>
  <si>
    <t>=NF($F134,"Next Counting Start Date")</t>
  </si>
  <si>
    <t>=NF($F135,"Next Counting Start Date")</t>
  </si>
  <si>
    <t>=NF($F136,"Next Counting Start Date")</t>
  </si>
  <si>
    <t>=NF($F137,"Next Counting Start Date")</t>
  </si>
  <si>
    <t>=NF($F138,"Next Counting Start Date")</t>
  </si>
  <si>
    <t>=NF($F139,"Next Counting Start Date")</t>
  </si>
  <si>
    <t>=NF($F140,"Next Counting Start Date")</t>
  </si>
  <si>
    <t>=NF($F141,"Next Counting Start Date")</t>
  </si>
  <si>
    <t>=NF($F142,"Next Counting Start Date")</t>
  </si>
  <si>
    <t>=NF($F143,"Next Counting Start Date")</t>
  </si>
  <si>
    <t>=NF($F144,"Next Counting Start Date")</t>
  </si>
  <si>
    <t>=NF($F145,"Next Counting Start Date")</t>
  </si>
  <si>
    <t>=NF($F146,"Next Counting Start Date")</t>
  </si>
  <si>
    <t>=NF($F147,"Next Counting Start Date")</t>
  </si>
  <si>
    <t>=NF($F148,"Next Counting Start Date")</t>
  </si>
  <si>
    <t>=NF($F149,"Next Counting Start Date")</t>
  </si>
  <si>
    <t>=NF($F150,"Next Counting Start Date")</t>
  </si>
  <si>
    <t>=NF($F151,"Next Counting Start Date")</t>
  </si>
  <si>
    <t>=NF($F152,"Next Counting Start Date")</t>
  </si>
  <si>
    <t>=NF($F153,"Next Counting Start Date")</t>
  </si>
  <si>
    <t>=NF($F154,"Next Counting Start Date")</t>
  </si>
  <si>
    <t>=NF($F12,"No.")</t>
  </si>
  <si>
    <t>=NF($F13,"No.")</t>
  </si>
  <si>
    <t>=NF($F14,"No.")</t>
  </si>
  <si>
    <t>=NF($F15,"No.")</t>
  </si>
  <si>
    <t>=NF($F16,"No.")</t>
  </si>
  <si>
    <t>=NF($F17,"No.")</t>
  </si>
  <si>
    <t>=NF($F18,"No.")</t>
  </si>
  <si>
    <t>=NF($F19,"No.")</t>
  </si>
  <si>
    <t>=NF($F20,"No.")</t>
  </si>
  <si>
    <t>=NF($F21,"No.")</t>
  </si>
  <si>
    <t>=NF($F22,"No.")</t>
  </si>
  <si>
    <t>=NF($F23,"No.")</t>
  </si>
  <si>
    <t>=NF($F24,"No.")</t>
  </si>
  <si>
    <t>=NF($F25,"No.")</t>
  </si>
  <si>
    <t>=NF($F26,"No.")</t>
  </si>
  <si>
    <t>=NF($F27,"No.")</t>
  </si>
  <si>
    <t>=NF($F28,"No.")</t>
  </si>
  <si>
    <t>=NF($F29,"No.")</t>
  </si>
  <si>
    <t>=NF($F30,"No.")</t>
  </si>
  <si>
    <t>=NF($F31,"No.")</t>
  </si>
  <si>
    <t>=NF($F32,"No.")</t>
  </si>
  <si>
    <t>=NF($F33,"No.")</t>
  </si>
  <si>
    <t>=NF($F34,"No.")</t>
  </si>
  <si>
    <t>=NF($F35,"No.")</t>
  </si>
  <si>
    <t>=NF($F36,"No.")</t>
  </si>
  <si>
    <t>=NF($F37,"No.")</t>
  </si>
  <si>
    <t>=NF($F38,"No.")</t>
  </si>
  <si>
    <t>=NF($F39,"No.")</t>
  </si>
  <si>
    <t>=NF($F40,"No.")</t>
  </si>
  <si>
    <t>=NF($F41,"No.")</t>
  </si>
  <si>
    <t>=NF($F42,"No.")</t>
  </si>
  <si>
    <t>=NF($F43,"No.")</t>
  </si>
  <si>
    <t>=NF($F44,"No.")</t>
  </si>
  <si>
    <t>=NF($F45,"No.")</t>
  </si>
  <si>
    <t>=NF($F46,"No.")</t>
  </si>
  <si>
    <t>=NF($F47,"No.")</t>
  </si>
  <si>
    <t>=NF($F48,"No.")</t>
  </si>
  <si>
    <t>=NF($F49,"No.")</t>
  </si>
  <si>
    <t>=NF($F50,"No.")</t>
  </si>
  <si>
    <t>=NF($F51,"No.")</t>
  </si>
  <si>
    <t>=NF($F52,"No.")</t>
  </si>
  <si>
    <t>=NF($F53,"No.")</t>
  </si>
  <si>
    <t>=NF($F54,"No.")</t>
  </si>
  <si>
    <t>=NF($F55,"No.")</t>
  </si>
  <si>
    <t>=NF($F56,"No.")</t>
  </si>
  <si>
    <t>=NF($F57,"No.")</t>
  </si>
  <si>
    <t>=NF($F58,"No.")</t>
  </si>
  <si>
    <t>=NF($F59,"No.")</t>
  </si>
  <si>
    <t>=NF($F60,"No.")</t>
  </si>
  <si>
    <t>=NF($F61,"No.")</t>
  </si>
  <si>
    <t>=NF($F62,"No.")</t>
  </si>
  <si>
    <t>=NF($F63,"No.")</t>
  </si>
  <si>
    <t>=NF($F64,"No.")</t>
  </si>
  <si>
    <t>=NF($F65,"No.")</t>
  </si>
  <si>
    <t>=NF($F66,"No.")</t>
  </si>
  <si>
    <t>=NF($F67,"No.")</t>
  </si>
  <si>
    <t>=NF($F68,"No.")</t>
  </si>
  <si>
    <t>=NF($F69,"No.")</t>
  </si>
  <si>
    <t>=NF($F70,"No.")</t>
  </si>
  <si>
    <t>=NF($F71,"No.")</t>
  </si>
  <si>
    <t>=NF($F72,"No.")</t>
  </si>
  <si>
    <t>=NF($F73,"No.")</t>
  </si>
  <si>
    <t>=NF($F74,"No.")</t>
  </si>
  <si>
    <t>=NF($F75,"No.")</t>
  </si>
  <si>
    <t>=NF($F76,"No.")</t>
  </si>
  <si>
    <t>=NF($F77,"No.")</t>
  </si>
  <si>
    <t>=NF($F78,"No.")</t>
  </si>
  <si>
    <t>=NF($F79,"No.")</t>
  </si>
  <si>
    <t>=NF($F80,"No.")</t>
  </si>
  <si>
    <t>=NF($F81,"No.")</t>
  </si>
  <si>
    <t>=NF($F82,"No.")</t>
  </si>
  <si>
    <t>=NF($F83,"No.")</t>
  </si>
  <si>
    <t>=NF($F84,"No.")</t>
  </si>
  <si>
    <t>=NF($F85,"No.")</t>
  </si>
  <si>
    <t>=NF($F86,"No.")</t>
  </si>
  <si>
    <t>=NF($F87,"No.")</t>
  </si>
  <si>
    <t>=NF($F88,"No.")</t>
  </si>
  <si>
    <t>=NF($F89,"No.")</t>
  </si>
  <si>
    <t>=NF($F90,"No.")</t>
  </si>
  <si>
    <t>=NF($F91,"No.")</t>
  </si>
  <si>
    <t>=NF($F92,"No.")</t>
  </si>
  <si>
    <t>=NF($F93,"No.")</t>
  </si>
  <si>
    <t>=NF($F94,"No.")</t>
  </si>
  <si>
    <t>=NF($F95,"No.")</t>
  </si>
  <si>
    <t>=NF($F96,"No.")</t>
  </si>
  <si>
    <t>=NF($F97,"No.")</t>
  </si>
  <si>
    <t>=NF($F98,"No.")</t>
  </si>
  <si>
    <t>=NF($F99,"No.")</t>
  </si>
  <si>
    <t>=NF($F100,"No.")</t>
  </si>
  <si>
    <t>=NF($F101,"No.")</t>
  </si>
  <si>
    <t>=NF($F102,"No.")</t>
  </si>
  <si>
    <t>=NF($F103,"No.")</t>
  </si>
  <si>
    <t>=NF($F104,"No.")</t>
  </si>
  <si>
    <t>=NF($F105,"No.")</t>
  </si>
  <si>
    <t>=NF($F106,"No.")</t>
  </si>
  <si>
    <t>=NF($F107,"No.")</t>
  </si>
  <si>
    <t>=NF($F108,"No.")</t>
  </si>
  <si>
    <t>=NF($F109,"No.")</t>
  </si>
  <si>
    <t>=NF($F110,"No.")</t>
  </si>
  <si>
    <t>=NF($F111,"No.")</t>
  </si>
  <si>
    <t>=NF($F112,"No.")</t>
  </si>
  <si>
    <t>=NF($F113,"No.")</t>
  </si>
  <si>
    <t>=NF($F114,"No.")</t>
  </si>
  <si>
    <t>=NF($F115,"No.")</t>
  </si>
  <si>
    <t>=NF($F116,"No.")</t>
  </si>
  <si>
    <t>=NF($F117,"No.")</t>
  </si>
  <si>
    <t>=NF($F118,"No.")</t>
  </si>
  <si>
    <t>=NF($F119,"No.")</t>
  </si>
  <si>
    <t>=NF($F120,"No.")</t>
  </si>
  <si>
    <t>=NF($F121,"No.")</t>
  </si>
  <si>
    <t>=NF($F122,"No.")</t>
  </si>
  <si>
    <t>=NF($F123,"No.")</t>
  </si>
  <si>
    <t>=NF($F124,"No.")</t>
  </si>
  <si>
    <t>=NF($F125,"No.")</t>
  </si>
  <si>
    <t>=NF($F126,"No.")</t>
  </si>
  <si>
    <t>=NF($F127,"No.")</t>
  </si>
  <si>
    <t>=NF($F128,"No.")</t>
  </si>
  <si>
    <t>=NF($F129,"No.")</t>
  </si>
  <si>
    <t>=NF($F130,"No.")</t>
  </si>
  <si>
    <t>=NF($F131,"No.")</t>
  </si>
  <si>
    <t>=NF($F132,"No.")</t>
  </si>
  <si>
    <t>=NF($F133,"No.")</t>
  </si>
  <si>
    <t>=NF($F134,"No.")</t>
  </si>
  <si>
    <t>=NF($F135,"No.")</t>
  </si>
  <si>
    <t>=NF($F136,"No.")</t>
  </si>
  <si>
    <t>=NF($F137,"No.")</t>
  </si>
  <si>
    <t>=NF($F138,"No.")</t>
  </si>
  <si>
    <t>=NF($F139,"No.")</t>
  </si>
  <si>
    <t>=NF($F140,"No.")</t>
  </si>
  <si>
    <t>=NF($F141,"No.")</t>
  </si>
  <si>
    <t>=NF($F142,"No.")</t>
  </si>
  <si>
    <t>=NF($F143,"No.")</t>
  </si>
  <si>
    <t>=NF($F144,"No.")</t>
  </si>
  <si>
    <t>=NF($F145,"No.")</t>
  </si>
  <si>
    <t>=NF($F146,"No.")</t>
  </si>
  <si>
    <t>=NF($F147,"No.")</t>
  </si>
  <si>
    <t>=NF($F148,"No.")</t>
  </si>
  <si>
    <t>=NF($F149,"No.")</t>
  </si>
  <si>
    <t>=NF($F150,"No.")</t>
  </si>
  <si>
    <t>=NF($F151,"No.")</t>
  </si>
  <si>
    <t>=NF($F152,"No.")</t>
  </si>
  <si>
    <t>=NF($F153,"No.")</t>
  </si>
  <si>
    <t>=NF($F154,"No.")</t>
  </si>
  <si>
    <t>=NF($F12,"Profit %")</t>
  </si>
  <si>
    <t>=NF($F13,"Profit %")</t>
  </si>
  <si>
    <t>=NF($F14,"Profit %")</t>
  </si>
  <si>
    <t>=NF($F15,"Profit %")</t>
  </si>
  <si>
    <t>=NF($F16,"Profit %")</t>
  </si>
  <si>
    <t>=NF($F17,"Profit %")</t>
  </si>
  <si>
    <t>=NF($F18,"Profit %")</t>
  </si>
  <si>
    <t>=NF($F19,"Profit %")</t>
  </si>
  <si>
    <t>=NF($F20,"Profit %")</t>
  </si>
  <si>
    <t>=NF($F21,"Profit %")</t>
  </si>
  <si>
    <t>=NF($F22,"Profit %")</t>
  </si>
  <si>
    <t>=NF($F23,"Profit %")</t>
  </si>
  <si>
    <t>=NF($F24,"Profit %")</t>
  </si>
  <si>
    <t>=NF($F25,"Profit %")</t>
  </si>
  <si>
    <t>=NF($F26,"Profit %")</t>
  </si>
  <si>
    <t>=NF($F27,"Profit %")</t>
  </si>
  <si>
    <t>=NF($F28,"Profit %")</t>
  </si>
  <si>
    <t>=NF($F29,"Profit %")</t>
  </si>
  <si>
    <t>=NF($F30,"Profit %")</t>
  </si>
  <si>
    <t>=NF($F31,"Profit %")</t>
  </si>
  <si>
    <t>=NF($F32,"Profit %")</t>
  </si>
  <si>
    <t>=NF($F33,"Profit %")</t>
  </si>
  <si>
    <t>=NF($F34,"Profit %")</t>
  </si>
  <si>
    <t>=NF($F35,"Profit %")</t>
  </si>
  <si>
    <t>=NF($F36,"Profit %")</t>
  </si>
  <si>
    <t>=NF($F37,"Profit %")</t>
  </si>
  <si>
    <t>=NF($F38,"Profit %")</t>
  </si>
  <si>
    <t>=NF($F39,"Profit %")</t>
  </si>
  <si>
    <t>=NF($F40,"Profit %")</t>
  </si>
  <si>
    <t>=NF($F41,"Profit %")</t>
  </si>
  <si>
    <t>=NF($F42,"Profit %")</t>
  </si>
  <si>
    <t>=NF($F43,"Profit %")</t>
  </si>
  <si>
    <t>=NF($F44,"Profit %")</t>
  </si>
  <si>
    <t>=NF($F45,"Profit %")</t>
  </si>
  <si>
    <t>=NF($F46,"Profit %")</t>
  </si>
  <si>
    <t>=NF($F47,"Profit %")</t>
  </si>
  <si>
    <t>=NF($F48,"Profit %")</t>
  </si>
  <si>
    <t>=NF($F49,"Profit %")</t>
  </si>
  <si>
    <t>=NF($F50,"Profit %")</t>
  </si>
  <si>
    <t>=NF($F51,"Profit %")</t>
  </si>
  <si>
    <t>=NF($F52,"Profit %")</t>
  </si>
  <si>
    <t>=NF($F53,"Profit %")</t>
  </si>
  <si>
    <t>=NF($F54,"Profit %")</t>
  </si>
  <si>
    <t>=NF($F55,"Profit %")</t>
  </si>
  <si>
    <t>=NF($F56,"Profit %")</t>
  </si>
  <si>
    <t>=NF($F57,"Profit %")</t>
  </si>
  <si>
    <t>=NF($F58,"Profit %")</t>
  </si>
  <si>
    <t>=NF($F59,"Profit %")</t>
  </si>
  <si>
    <t>=NF($F60,"Profit %")</t>
  </si>
  <si>
    <t>=NF($F61,"Profit %")</t>
  </si>
  <si>
    <t>=NF($F62,"Profit %")</t>
  </si>
  <si>
    <t>=NF($F63,"Profit %")</t>
  </si>
  <si>
    <t>=NF($F64,"Profit %")</t>
  </si>
  <si>
    <t>=NF($F65,"Profit %")</t>
  </si>
  <si>
    <t>=NF($F66,"Profit %")</t>
  </si>
  <si>
    <t>=NF($F67,"Profit %")</t>
  </si>
  <si>
    <t>=NF($F68,"Profit %")</t>
  </si>
  <si>
    <t>=NF($F69,"Profit %")</t>
  </si>
  <si>
    <t>=NF($F70,"Profit %")</t>
  </si>
  <si>
    <t>=NF($F71,"Profit %")</t>
  </si>
  <si>
    <t>=NF($F72,"Profit %")</t>
  </si>
  <si>
    <t>=NF($F73,"Profit %")</t>
  </si>
  <si>
    <t>=NF($F74,"Profit %")</t>
  </si>
  <si>
    <t>=NF($F75,"Profit %")</t>
  </si>
  <si>
    <t>=NF($F76,"Profit %")</t>
  </si>
  <si>
    <t>=NF($F77,"Profit %")</t>
  </si>
  <si>
    <t>=NF($F78,"Profit %")</t>
  </si>
  <si>
    <t>=NF($F79,"Profit %")</t>
  </si>
  <si>
    <t>=NF($F80,"Profit %")</t>
  </si>
  <si>
    <t>=NF($F81,"Profit %")</t>
  </si>
  <si>
    <t>=NF($F82,"Profit %")</t>
  </si>
  <si>
    <t>=NF($F83,"Profit %")</t>
  </si>
  <si>
    <t>=NF($F84,"Profit %")</t>
  </si>
  <si>
    <t>=NF($F85,"Profit %")</t>
  </si>
  <si>
    <t>=NF($F86,"Profit %")</t>
  </si>
  <si>
    <t>=NF($F87,"Profit %")</t>
  </si>
  <si>
    <t>=NF($F88,"Profit %")</t>
  </si>
  <si>
    <t>=NF($F89,"Profit %")</t>
  </si>
  <si>
    <t>=NF($F90,"Profit %")</t>
  </si>
  <si>
    <t>=NF($F91,"Profit %")</t>
  </si>
  <si>
    <t>=NF($F92,"Profit %")</t>
  </si>
  <si>
    <t>=NF($F93,"Profit %")</t>
  </si>
  <si>
    <t>=NF($F94,"Profit %")</t>
  </si>
  <si>
    <t>=NF($F95,"Profit %")</t>
  </si>
  <si>
    <t>=NF($F96,"Profit %")</t>
  </si>
  <si>
    <t>=NF($F97,"Profit %")</t>
  </si>
  <si>
    <t>=NF($F98,"Profit %")</t>
  </si>
  <si>
    <t>=NF($F99,"Profit %")</t>
  </si>
  <si>
    <t>=NF($F100,"Profit %")</t>
  </si>
  <si>
    <t>=NF($F101,"Profit %")</t>
  </si>
  <si>
    <t>=NF($F102,"Profit %")</t>
  </si>
  <si>
    <t>=NF($F103,"Profit %")</t>
  </si>
  <si>
    <t>=NF($F104,"Profit %")</t>
  </si>
  <si>
    <t>=NF($F105,"Profit %")</t>
  </si>
  <si>
    <t>=NF($F106,"Profit %")</t>
  </si>
  <si>
    <t>=NF($F107,"Profit %")</t>
  </si>
  <si>
    <t>=NF($F108,"Profit %")</t>
  </si>
  <si>
    <t>=NF($F109,"Profit %")</t>
  </si>
  <si>
    <t>=NF($F110,"Profit %")</t>
  </si>
  <si>
    <t>=NF($F111,"Profit %")</t>
  </si>
  <si>
    <t>=NF($F112,"Profit %")</t>
  </si>
  <si>
    <t>=NF($F113,"Profit %")</t>
  </si>
  <si>
    <t>=NF($F114,"Profit %")</t>
  </si>
  <si>
    <t>=NF($F115,"Profit %")</t>
  </si>
  <si>
    <t>=NF($F116,"Profit %")</t>
  </si>
  <si>
    <t>=NF($F117,"Profit %")</t>
  </si>
  <si>
    <t>=NF($F118,"Profit %")</t>
  </si>
  <si>
    <t>=NF($F119,"Profit %")</t>
  </si>
  <si>
    <t>=NF($F120,"Profit %")</t>
  </si>
  <si>
    <t>=NF($F121,"Profit %")</t>
  </si>
  <si>
    <t>=NF($F122,"Profit %")</t>
  </si>
  <si>
    <t>=NF($F123,"Profit %")</t>
  </si>
  <si>
    <t>=NF($F124,"Profit %")</t>
  </si>
  <si>
    <t>=NF($F125,"Profit %")</t>
  </si>
  <si>
    <t>=NF($F126,"Profit %")</t>
  </si>
  <si>
    <t>=NF($F127,"Profit %")</t>
  </si>
  <si>
    <t>=NF($F128,"Profit %")</t>
  </si>
  <si>
    <t>=NF($F129,"Profit %")</t>
  </si>
  <si>
    <t>=NF($F130,"Profit %")</t>
  </si>
  <si>
    <t>=NF($F131,"Profit %")</t>
  </si>
  <si>
    <t>=NF($F132,"Profit %")</t>
  </si>
  <si>
    <t>=NF($F133,"Profit %")</t>
  </si>
  <si>
    <t>=NF($F134,"Profit %")</t>
  </si>
  <si>
    <t>=NF($F135,"Profit %")</t>
  </si>
  <si>
    <t>=NF($F136,"Profit %")</t>
  </si>
  <si>
    <t>=NF($F137,"Profit %")</t>
  </si>
  <si>
    <t>=NF($F138,"Profit %")</t>
  </si>
  <si>
    <t>=NF($F139,"Profit %")</t>
  </si>
  <si>
    <t>=NF($F140,"Profit %")</t>
  </si>
  <si>
    <t>=NF($F141,"Profit %")</t>
  </si>
  <si>
    <t>=NF($F142,"Profit %")</t>
  </si>
  <si>
    <t>=NF($F143,"Profit %")</t>
  </si>
  <si>
    <t>=NF($F144,"Profit %")</t>
  </si>
  <si>
    <t>=NF($F145,"Profit %")</t>
  </si>
  <si>
    <t>=NF($F146,"Profit %")</t>
  </si>
  <si>
    <t>=NF($F147,"Profit %")</t>
  </si>
  <si>
    <t>=NF($F148,"Profit %")</t>
  </si>
  <si>
    <t>=NF($F149,"Profit %")</t>
  </si>
  <si>
    <t>=NF($F150,"Profit %")</t>
  </si>
  <si>
    <t>=NF($F151,"Profit %")</t>
  </si>
  <si>
    <t>=NF($F152,"Profit %")</t>
  </si>
  <si>
    <t>=NF($F153,"Profit %")</t>
  </si>
  <si>
    <t>=NF($F154,"Profit %")</t>
  </si>
  <si>
    <t>=NF($F12,"Purchases ($)")</t>
  </si>
  <si>
    <t>=NF($F13,"Purchases ($)")</t>
  </si>
  <si>
    <t>=NF($F14,"Purchases ($)")</t>
  </si>
  <si>
    <t>=NF($F15,"Purchases ($)")</t>
  </si>
  <si>
    <t>=NF($F16,"Purchases ($)")</t>
  </si>
  <si>
    <t>=NF($F17,"Purchases ($)")</t>
  </si>
  <si>
    <t>=NF($F18,"Purchases ($)")</t>
  </si>
  <si>
    <t>=NF($F19,"Purchases ($)")</t>
  </si>
  <si>
    <t>=NF($F20,"Purchases ($)")</t>
  </si>
  <si>
    <t>=NF($F21,"Purchases ($)")</t>
  </si>
  <si>
    <t>=NF($F22,"Purchases ($)")</t>
  </si>
  <si>
    <t>=NF($F23,"Purchases ($)")</t>
  </si>
  <si>
    <t>=NF($F24,"Purchases ($)")</t>
  </si>
  <si>
    <t>=NF($F25,"Purchases ($)")</t>
  </si>
  <si>
    <t>=NF($F26,"Purchases ($)")</t>
  </si>
  <si>
    <t>=NF($F27,"Purchases ($)")</t>
  </si>
  <si>
    <t>=NF($F28,"Purchases ($)")</t>
  </si>
  <si>
    <t>=NF($F29,"Purchases ($)")</t>
  </si>
  <si>
    <t>=NF($F30,"Purchases ($)")</t>
  </si>
  <si>
    <t>=NF($F31,"Purchases ($)")</t>
  </si>
  <si>
    <t>=NF($F32,"Purchases ($)")</t>
  </si>
  <si>
    <t>=NF($F33,"Purchases ($)")</t>
  </si>
  <si>
    <t>=NF($F34,"Purchases ($)")</t>
  </si>
  <si>
    <t>=NF($F35,"Purchases ($)")</t>
  </si>
  <si>
    <t>=NF($F36,"Purchases ($)")</t>
  </si>
  <si>
    <t>=NF($F37,"Purchases ($)")</t>
  </si>
  <si>
    <t>=NF($F38,"Purchases ($)")</t>
  </si>
  <si>
    <t>=NF($F39,"Purchases ($)")</t>
  </si>
  <si>
    <t>=NF($F40,"Purchases ($)")</t>
  </si>
  <si>
    <t>=NF($F41,"Purchases ($)")</t>
  </si>
  <si>
    <t>=NF($F42,"Purchases ($)")</t>
  </si>
  <si>
    <t>=NF($F43,"Purchases ($)")</t>
  </si>
  <si>
    <t>=NF($F44,"Purchases ($)")</t>
  </si>
  <si>
    <t>=NF($F45,"Purchases ($)")</t>
  </si>
  <si>
    <t>=NF($F46,"Purchases ($)")</t>
  </si>
  <si>
    <t>=NF($F47,"Purchases ($)")</t>
  </si>
  <si>
    <t>=NF($F48,"Purchases ($)")</t>
  </si>
  <si>
    <t>=NF($F49,"Purchases ($)")</t>
  </si>
  <si>
    <t>=NF($F50,"Purchases ($)")</t>
  </si>
  <si>
    <t>=NF($F51,"Purchases ($)")</t>
  </si>
  <si>
    <t>=NF($F52,"Purchases ($)")</t>
  </si>
  <si>
    <t>=NF($F53,"Purchases ($)")</t>
  </si>
  <si>
    <t>=NF($F54,"Purchases ($)")</t>
  </si>
  <si>
    <t>=NF($F55,"Purchases ($)")</t>
  </si>
  <si>
    <t>=NF($F56,"Purchases ($)")</t>
  </si>
  <si>
    <t>=NF($F57,"Purchases ($)")</t>
  </si>
  <si>
    <t>=NF($F58,"Purchases ($)")</t>
  </si>
  <si>
    <t>=NF($F59,"Purchases ($)")</t>
  </si>
  <si>
    <t>=NF($F60,"Purchases ($)")</t>
  </si>
  <si>
    <t>=NF($F61,"Purchases ($)")</t>
  </si>
  <si>
    <t>=NF($F62,"Purchases ($)")</t>
  </si>
  <si>
    <t>=NF($F63,"Purchases ($)")</t>
  </si>
  <si>
    <t>=NF($F64,"Purchases ($)")</t>
  </si>
  <si>
    <t>=NF($F65,"Purchases ($)")</t>
  </si>
  <si>
    <t>=NF($F66,"Purchases ($)")</t>
  </si>
  <si>
    <t>=NF($F67,"Purchases ($)")</t>
  </si>
  <si>
    <t>=NF($F68,"Purchases ($)")</t>
  </si>
  <si>
    <t>=NF($F69,"Purchases ($)")</t>
  </si>
  <si>
    <t>=NF($F70,"Purchases ($)")</t>
  </si>
  <si>
    <t>=NF($F71,"Purchases ($)")</t>
  </si>
  <si>
    <t>=NF($F72,"Purchases ($)")</t>
  </si>
  <si>
    <t>=NF($F73,"Purchases ($)")</t>
  </si>
  <si>
    <t>=NF($F74,"Purchases ($)")</t>
  </si>
  <si>
    <t>=NF($F75,"Purchases ($)")</t>
  </si>
  <si>
    <t>=NF($F76,"Purchases ($)")</t>
  </si>
  <si>
    <t>=NF($F77,"Purchases ($)")</t>
  </si>
  <si>
    <t>=NF($F78,"Purchases ($)")</t>
  </si>
  <si>
    <t>=NF($F79,"Purchases ($)")</t>
  </si>
  <si>
    <t>=NF($F80,"Purchases ($)")</t>
  </si>
  <si>
    <t>=NF($F81,"Purchases ($)")</t>
  </si>
  <si>
    <t>=NF($F82,"Purchases ($)")</t>
  </si>
  <si>
    <t>=NF($F83,"Purchases ($)")</t>
  </si>
  <si>
    <t>=NF($F84,"Purchases ($)")</t>
  </si>
  <si>
    <t>=NF($F85,"Purchases ($)")</t>
  </si>
  <si>
    <t>=NF($F86,"Purchases ($)")</t>
  </si>
  <si>
    <t>=NF($F87,"Purchases ($)")</t>
  </si>
  <si>
    <t>=NF($F88,"Purchases ($)")</t>
  </si>
  <si>
    <t>=NF($F89,"Purchases ($)")</t>
  </si>
  <si>
    <t>=NF($F90,"Purchases ($)")</t>
  </si>
  <si>
    <t>=NF($F91,"Purchases ($)")</t>
  </si>
  <si>
    <t>=NF($F92,"Purchases ($)")</t>
  </si>
  <si>
    <t>=NF($F93,"Purchases ($)")</t>
  </si>
  <si>
    <t>=NF($F94,"Purchases ($)")</t>
  </si>
  <si>
    <t>=NF($F95,"Purchases ($)")</t>
  </si>
  <si>
    <t>=NF($F96,"Purchases ($)")</t>
  </si>
  <si>
    <t>=NF($F97,"Purchases ($)")</t>
  </si>
  <si>
    <t>=NF($F98,"Purchases ($)")</t>
  </si>
  <si>
    <t>=NF($F99,"Purchases ($)")</t>
  </si>
  <si>
    <t>=NF($F100,"Purchases ($)")</t>
  </si>
  <si>
    <t>=NF($F101,"Purchases ($)")</t>
  </si>
  <si>
    <t>=NF($F102,"Purchases ($)")</t>
  </si>
  <si>
    <t>=NF($F103,"Purchases ($)")</t>
  </si>
  <si>
    <t>=NF($F104,"Purchases ($)")</t>
  </si>
  <si>
    <t>=NF($F105,"Purchases ($)")</t>
  </si>
  <si>
    <t>=NF($F106,"Purchases ($)")</t>
  </si>
  <si>
    <t>=NF($F107,"Purchases ($)")</t>
  </si>
  <si>
    <t>=NF($F108,"Purchases ($)")</t>
  </si>
  <si>
    <t>=NF($F109,"Purchases ($)")</t>
  </si>
  <si>
    <t>=NF($F110,"Purchases ($)")</t>
  </si>
  <si>
    <t>=NF($F111,"Purchases ($)")</t>
  </si>
  <si>
    <t>=NF($F112,"Purchases ($)")</t>
  </si>
  <si>
    <t>=NF($F113,"Purchases ($)")</t>
  </si>
  <si>
    <t>=NF($F114,"Purchases ($)")</t>
  </si>
  <si>
    <t>=NF($F115,"Purchases ($)")</t>
  </si>
  <si>
    <t>=NF($F116,"Purchases ($)")</t>
  </si>
  <si>
    <t>=NF($F117,"Purchases ($)")</t>
  </si>
  <si>
    <t>=NF($F118,"Purchases ($)")</t>
  </si>
  <si>
    <t>=NF($F119,"Purchases ($)")</t>
  </si>
  <si>
    <t>=NF($F120,"Purchases ($)")</t>
  </si>
  <si>
    <t>=NF($F121,"Purchases ($)")</t>
  </si>
  <si>
    <t>=NF($F122,"Purchases ($)")</t>
  </si>
  <si>
    <t>=NF($F123,"Purchases ($)")</t>
  </si>
  <si>
    <t>=NF($F124,"Purchases ($)")</t>
  </si>
  <si>
    <t>=NF($F125,"Purchases ($)")</t>
  </si>
  <si>
    <t>=NF($F126,"Purchases ($)")</t>
  </si>
  <si>
    <t>=NF($F127,"Purchases ($)")</t>
  </si>
  <si>
    <t>=NF($F128,"Purchases ($)")</t>
  </si>
  <si>
    <t>=NF($F129,"Purchases ($)")</t>
  </si>
  <si>
    <t>=NF($F130,"Purchases ($)")</t>
  </si>
  <si>
    <t>=NF($F131,"Purchases ($)")</t>
  </si>
  <si>
    <t>=NF($F132,"Purchases ($)")</t>
  </si>
  <si>
    <t>=NF($F133,"Purchases ($)")</t>
  </si>
  <si>
    <t>=NF($F134,"Purchases ($)")</t>
  </si>
  <si>
    <t>=NF($F135,"Purchases ($)")</t>
  </si>
  <si>
    <t>=NF($F136,"Purchases ($)")</t>
  </si>
  <si>
    <t>=NF($F137,"Purchases ($)")</t>
  </si>
  <si>
    <t>=NF($F138,"Purchases ($)")</t>
  </si>
  <si>
    <t>=NF($F139,"Purchases ($)")</t>
  </si>
  <si>
    <t>=NF($F140,"Purchases ($)")</t>
  </si>
  <si>
    <t>=NF($F141,"Purchases ($)")</t>
  </si>
  <si>
    <t>=NF($F142,"Purchases ($)")</t>
  </si>
  <si>
    <t>=NF($F143,"Purchases ($)")</t>
  </si>
  <si>
    <t>=NF($F144,"Purchases ($)")</t>
  </si>
  <si>
    <t>=NF($F145,"Purchases ($)")</t>
  </si>
  <si>
    <t>=NF($F146,"Purchases ($)")</t>
  </si>
  <si>
    <t>=NF($F147,"Purchases ($)")</t>
  </si>
  <si>
    <t>=NF($F148,"Purchases ($)")</t>
  </si>
  <si>
    <t>=NF($F149,"Purchases ($)")</t>
  </si>
  <si>
    <t>=NF($F150,"Purchases ($)")</t>
  </si>
  <si>
    <t>=NF($F151,"Purchases ($)")</t>
  </si>
  <si>
    <t>=NF($F152,"Purchases ($)")</t>
  </si>
  <si>
    <t>=NF($F153,"Purchases ($)")</t>
  </si>
  <si>
    <t>=NF($F154,"Purchases ($)")</t>
  </si>
  <si>
    <t>=NF($F12,"Qty. in Transit")</t>
  </si>
  <si>
    <t>=NF($F13,"Qty. in Transit")</t>
  </si>
  <si>
    <t>=NF($F14,"Qty. in Transit")</t>
  </si>
  <si>
    <t>=NF($F15,"Qty. in Transit")</t>
  </si>
  <si>
    <t>=NF($F16,"Qty. in Transit")</t>
  </si>
  <si>
    <t>=NF($F17,"Qty. in Transit")</t>
  </si>
  <si>
    <t>=NF($F18,"Qty. in Transit")</t>
  </si>
  <si>
    <t>=NF($F19,"Qty. in Transit")</t>
  </si>
  <si>
    <t>=NF($F20,"Qty. in Transit")</t>
  </si>
  <si>
    <t>=NF($F21,"Qty. in Transit")</t>
  </si>
  <si>
    <t>=NF($F22,"Qty. in Transit")</t>
  </si>
  <si>
    <t>=NF($F23,"Qty. in Transit")</t>
  </si>
  <si>
    <t>=NF($F24,"Qty. in Transit")</t>
  </si>
  <si>
    <t>=NF($F25,"Qty. in Transit")</t>
  </si>
  <si>
    <t>=NF($F26,"Qty. in Transit")</t>
  </si>
  <si>
    <t>=NF($F27,"Qty. in Transit")</t>
  </si>
  <si>
    <t>=NF($F28,"Qty. in Transit")</t>
  </si>
  <si>
    <t>=NF($F29,"Qty. in Transit")</t>
  </si>
  <si>
    <t>=NF($F30,"Qty. in Transit")</t>
  </si>
  <si>
    <t>=NF($F31,"Qty. in Transit")</t>
  </si>
  <si>
    <t>=NF($F32,"Qty. in Transit")</t>
  </si>
  <si>
    <t>=NF($F33,"Qty. in Transit")</t>
  </si>
  <si>
    <t>=NF($F34,"Qty. in Transit")</t>
  </si>
  <si>
    <t>=NF($F35,"Qty. in Transit")</t>
  </si>
  <si>
    <t>=NF($F36,"Qty. in Transit")</t>
  </si>
  <si>
    <t>=NF($F37,"Qty. in Transit")</t>
  </si>
  <si>
    <t>=NF($F38,"Qty. in Transit")</t>
  </si>
  <si>
    <t>=NF($F39,"Qty. in Transit")</t>
  </si>
  <si>
    <t>=NF($F40,"Qty. in Transit")</t>
  </si>
  <si>
    <t>=NF($F41,"Qty. in Transit")</t>
  </si>
  <si>
    <t>=NF($F42,"Qty. in Transit")</t>
  </si>
  <si>
    <t>=NF($F43,"Qty. in Transit")</t>
  </si>
  <si>
    <t>=NF($F44,"Qty. in Transit")</t>
  </si>
  <si>
    <t>=NF($F45,"Qty. in Transit")</t>
  </si>
  <si>
    <t>=NF($F46,"Qty. in Transit")</t>
  </si>
  <si>
    <t>=NF($F47,"Qty. in Transit")</t>
  </si>
  <si>
    <t>=NF($F48,"Qty. in Transit")</t>
  </si>
  <si>
    <t>=NF($F49,"Qty. in Transit")</t>
  </si>
  <si>
    <t>=NF($F50,"Qty. in Transit")</t>
  </si>
  <si>
    <t>=NF($F51,"Qty. in Transit")</t>
  </si>
  <si>
    <t>=NF($F52,"Qty. in Transit")</t>
  </si>
  <si>
    <t>=NF($F53,"Qty. in Transit")</t>
  </si>
  <si>
    <t>=NF($F54,"Qty. in Transit")</t>
  </si>
  <si>
    <t>=NF($F55,"Qty. in Transit")</t>
  </si>
  <si>
    <t>=NF($F56,"Qty. in Transit")</t>
  </si>
  <si>
    <t>=NF($F57,"Qty. in Transit")</t>
  </si>
  <si>
    <t>=NF($F58,"Qty. in Transit")</t>
  </si>
  <si>
    <t>=NF($F59,"Qty. in Transit")</t>
  </si>
  <si>
    <t>=NF($F60,"Qty. in Transit")</t>
  </si>
  <si>
    <t>=NF($F61,"Qty. in Transit")</t>
  </si>
  <si>
    <t>=NF($F62,"Qty. in Transit")</t>
  </si>
  <si>
    <t>=NF($F63,"Qty. in Transit")</t>
  </si>
  <si>
    <t>=NF($F64,"Qty. in Transit")</t>
  </si>
  <si>
    <t>=NF($F65,"Qty. in Transit")</t>
  </si>
  <si>
    <t>=NF($F66,"Qty. in Transit")</t>
  </si>
  <si>
    <t>=NF($F67,"Qty. in Transit")</t>
  </si>
  <si>
    <t>=NF($F68,"Qty. in Transit")</t>
  </si>
  <si>
    <t>=NF($F69,"Qty. in Transit")</t>
  </si>
  <si>
    <t>=NF($F70,"Qty. in Transit")</t>
  </si>
  <si>
    <t>=NF($F71,"Qty. in Transit")</t>
  </si>
  <si>
    <t>=NF($F72,"Qty. in Transit")</t>
  </si>
  <si>
    <t>=NF($F73,"Qty. in Transit")</t>
  </si>
  <si>
    <t>=NF($F74,"Qty. in Transit")</t>
  </si>
  <si>
    <t>=NF($F75,"Qty. in Transit")</t>
  </si>
  <si>
    <t>=NF($F76,"Qty. in Transit")</t>
  </si>
  <si>
    <t>=NF($F77,"Qty. in Transit")</t>
  </si>
  <si>
    <t>=NF($F78,"Qty. in Transit")</t>
  </si>
  <si>
    <t>=NF($F79,"Qty. in Transit")</t>
  </si>
  <si>
    <t>=NF($F80,"Qty. in Transit")</t>
  </si>
  <si>
    <t>=NF($F81,"Qty. in Transit")</t>
  </si>
  <si>
    <t>=NF($F82,"Qty. in Transit")</t>
  </si>
  <si>
    <t>=NF($F83,"Qty. in Transit")</t>
  </si>
  <si>
    <t>=NF($F84,"Qty. in Transit")</t>
  </si>
  <si>
    <t>=NF($F85,"Qty. in Transit")</t>
  </si>
  <si>
    <t>=NF($F86,"Qty. in Transit")</t>
  </si>
  <si>
    <t>=NF($F87,"Qty. in Transit")</t>
  </si>
  <si>
    <t>=NF($F88,"Qty. in Transit")</t>
  </si>
  <si>
    <t>=NF($F89,"Qty. in Transit")</t>
  </si>
  <si>
    <t>=NF($F90,"Qty. in Transit")</t>
  </si>
  <si>
    <t>=NF($F91,"Qty. in Transit")</t>
  </si>
  <si>
    <t>=NF($F92,"Qty. in Transit")</t>
  </si>
  <si>
    <t>=NF($F93,"Qty. in Transit")</t>
  </si>
  <si>
    <t>=NF($F94,"Qty. in Transit")</t>
  </si>
  <si>
    <t>=NF($F95,"Qty. in Transit")</t>
  </si>
  <si>
    <t>=NF($F96,"Qty. in Transit")</t>
  </si>
  <si>
    <t>=NF($F97,"Qty. in Transit")</t>
  </si>
  <si>
    <t>=NF($F98,"Qty. in Transit")</t>
  </si>
  <si>
    <t>=NF($F99,"Qty. in Transit")</t>
  </si>
  <si>
    <t>=NF($F100,"Qty. in Transit")</t>
  </si>
  <si>
    <t>=NF($F101,"Qty. in Transit")</t>
  </si>
  <si>
    <t>=NF($F102,"Qty. in Transit")</t>
  </si>
  <si>
    <t>=NF($F103,"Qty. in Transit")</t>
  </si>
  <si>
    <t>=NF($F104,"Qty. in Transit")</t>
  </si>
  <si>
    <t>=NF($F105,"Qty. in Transit")</t>
  </si>
  <si>
    <t>=NF($F106,"Qty. in Transit")</t>
  </si>
  <si>
    <t>=NF($F107,"Qty. in Transit")</t>
  </si>
  <si>
    <t>=NF($F108,"Qty. in Transit")</t>
  </si>
  <si>
    <t>=NF($F109,"Qty. in Transit")</t>
  </si>
  <si>
    <t>=NF($F110,"Qty. in Transit")</t>
  </si>
  <si>
    <t>=NF($F111,"Qty. in Transit")</t>
  </si>
  <si>
    <t>=NF($F112,"Qty. in Transit")</t>
  </si>
  <si>
    <t>=NF($F113,"Qty. in Transit")</t>
  </si>
  <si>
    <t>=NF($F114,"Qty. in Transit")</t>
  </si>
  <si>
    <t>=NF($F115,"Qty. in Transit")</t>
  </si>
  <si>
    <t>=NF($F116,"Qty. in Transit")</t>
  </si>
  <si>
    <t>=NF($F117,"Qty. in Transit")</t>
  </si>
  <si>
    <t>=NF($F118,"Qty. in Transit")</t>
  </si>
  <si>
    <t>=NF($F119,"Qty. in Transit")</t>
  </si>
  <si>
    <t>=NF($F120,"Qty. in Transit")</t>
  </si>
  <si>
    <t>=NF($F121,"Qty. in Transit")</t>
  </si>
  <si>
    <t>=NF($F122,"Qty. in Transit")</t>
  </si>
  <si>
    <t>=NF($F123,"Qty. in Transit")</t>
  </si>
  <si>
    <t>=NF($F124,"Qty. in Transit")</t>
  </si>
  <si>
    <t>=NF($F125,"Qty. in Transit")</t>
  </si>
  <si>
    <t>=NF($F126,"Qty. in Transit")</t>
  </si>
  <si>
    <t>=NF($F127,"Qty. in Transit")</t>
  </si>
  <si>
    <t>=NF($F128,"Qty. in Transit")</t>
  </si>
  <si>
    <t>=NF($F129,"Qty. in Transit")</t>
  </si>
  <si>
    <t>=NF($F130,"Qty. in Transit")</t>
  </si>
  <si>
    <t>=NF($F131,"Qty. in Transit")</t>
  </si>
  <si>
    <t>=NF($F132,"Qty. in Transit")</t>
  </si>
  <si>
    <t>=NF($F133,"Qty. in Transit")</t>
  </si>
  <si>
    <t>=NF($F134,"Qty. in Transit")</t>
  </si>
  <si>
    <t>=NF($F135,"Qty. in Transit")</t>
  </si>
  <si>
    <t>=NF($F136,"Qty. in Transit")</t>
  </si>
  <si>
    <t>=NF($F137,"Qty. in Transit")</t>
  </si>
  <si>
    <t>=NF($F138,"Qty. in Transit")</t>
  </si>
  <si>
    <t>=NF($F139,"Qty. in Transit")</t>
  </si>
  <si>
    <t>=NF($F140,"Qty. in Transit")</t>
  </si>
  <si>
    <t>=NF($F141,"Qty. in Transit")</t>
  </si>
  <si>
    <t>=NF($F142,"Qty. in Transit")</t>
  </si>
  <si>
    <t>=NF($F143,"Qty. in Transit")</t>
  </si>
  <si>
    <t>=NF($F144,"Qty. in Transit")</t>
  </si>
  <si>
    <t>=NF($F145,"Qty. in Transit")</t>
  </si>
  <si>
    <t>=NF($F146,"Qty. in Transit")</t>
  </si>
  <si>
    <t>=NF($F147,"Qty. in Transit")</t>
  </si>
  <si>
    <t>=NF($F148,"Qty. in Transit")</t>
  </si>
  <si>
    <t>=NF($F149,"Qty. in Transit")</t>
  </si>
  <si>
    <t>=NF($F150,"Qty. in Transit")</t>
  </si>
  <si>
    <t>=NF($F151,"Qty. in Transit")</t>
  </si>
  <si>
    <t>=NF($F152,"Qty. in Transit")</t>
  </si>
  <si>
    <t>=NF($F153,"Qty. in Transit")</t>
  </si>
  <si>
    <t>=NF($F154,"Qty. in Transit")</t>
  </si>
  <si>
    <t>=NF($F12,"Qty. Picked")</t>
  </si>
  <si>
    <t>=NF($F13,"Qty. Picked")</t>
  </si>
  <si>
    <t>=NF($F14,"Qty. Picked")</t>
  </si>
  <si>
    <t>=NF($F15,"Qty. Picked")</t>
  </si>
  <si>
    <t>=NF($F16,"Qty. Picked")</t>
  </si>
  <si>
    <t>=NF($F17,"Qty. Picked")</t>
  </si>
  <si>
    <t>=NF($F18,"Qty. Picked")</t>
  </si>
  <si>
    <t>=NF($F19,"Qty. Picked")</t>
  </si>
  <si>
    <t>=NF($F20,"Qty. Picked")</t>
  </si>
  <si>
    <t>=NF($F21,"Qty. Picked")</t>
  </si>
  <si>
    <t>=NF($F22,"Qty. Picked")</t>
  </si>
  <si>
    <t>=NF($F23,"Qty. Picked")</t>
  </si>
  <si>
    <t>=NF($F24,"Qty. Picked")</t>
  </si>
  <si>
    <t>=NF($F25,"Qty. Picked")</t>
  </si>
  <si>
    <t>=NF($F26,"Qty. Picked")</t>
  </si>
  <si>
    <t>=NF($F27,"Qty. Picked")</t>
  </si>
  <si>
    <t>=NF($F28,"Qty. Picked")</t>
  </si>
  <si>
    <t>=NF($F29,"Qty. Picked")</t>
  </si>
  <si>
    <t>=NF($F30,"Qty. Picked")</t>
  </si>
  <si>
    <t>=NF($F31,"Qty. Picked")</t>
  </si>
  <si>
    <t>=NF($F32,"Qty. Picked")</t>
  </si>
  <si>
    <t>=NF($F33,"Qty. Picked")</t>
  </si>
  <si>
    <t>=NF($F34,"Qty. Picked")</t>
  </si>
  <si>
    <t>=NF($F35,"Qty. Picked")</t>
  </si>
  <si>
    <t>=NF($F36,"Qty. Picked")</t>
  </si>
  <si>
    <t>=NF($F37,"Qty. Picked")</t>
  </si>
  <si>
    <t>=NF($F38,"Qty. Picked")</t>
  </si>
  <si>
    <t>=NF($F39,"Qty. Picked")</t>
  </si>
  <si>
    <t>=NF($F40,"Qty. Picked")</t>
  </si>
  <si>
    <t>=NF($F41,"Qty. Picked")</t>
  </si>
  <si>
    <t>=NF($F42,"Qty. Picked")</t>
  </si>
  <si>
    <t>=NF($F43,"Qty. Picked")</t>
  </si>
  <si>
    <t>=NF($F44,"Qty. Picked")</t>
  </si>
  <si>
    <t>=NF($F45,"Qty. Picked")</t>
  </si>
  <si>
    <t>=NF($F46,"Qty. Picked")</t>
  </si>
  <si>
    <t>=NF($F47,"Qty. Picked")</t>
  </si>
  <si>
    <t>=NF($F48,"Qty. Picked")</t>
  </si>
  <si>
    <t>=NF($F49,"Qty. Picked")</t>
  </si>
  <si>
    <t>=NF($F50,"Qty. Picked")</t>
  </si>
  <si>
    <t>=NF($F51,"Qty. Picked")</t>
  </si>
  <si>
    <t>=NF($F52,"Qty. Picked")</t>
  </si>
  <si>
    <t>=NF($F53,"Qty. Picked")</t>
  </si>
  <si>
    <t>=NF($F54,"Qty. Picked")</t>
  </si>
  <si>
    <t>=NF($F55,"Qty. Picked")</t>
  </si>
  <si>
    <t>=NF($F56,"Qty. Picked")</t>
  </si>
  <si>
    <t>=NF($F57,"Qty. Picked")</t>
  </si>
  <si>
    <t>=NF($F58,"Qty. Picked")</t>
  </si>
  <si>
    <t>=NF($F59,"Qty. Picked")</t>
  </si>
  <si>
    <t>=NF($F60,"Qty. Picked")</t>
  </si>
  <si>
    <t>=NF($F61,"Qty. Picked")</t>
  </si>
  <si>
    <t>=NF($F62,"Qty. Picked")</t>
  </si>
  <si>
    <t>=NF($F63,"Qty. Picked")</t>
  </si>
  <si>
    <t>=NF($F64,"Qty. Picked")</t>
  </si>
  <si>
    <t>=NF($F65,"Qty. Picked")</t>
  </si>
  <si>
    <t>=NF($F66,"Qty. Picked")</t>
  </si>
  <si>
    <t>=NF($F67,"Qty. Picked")</t>
  </si>
  <si>
    <t>=NF($F68,"Qty. Picked")</t>
  </si>
  <si>
    <t>=NF($F69,"Qty. Picked")</t>
  </si>
  <si>
    <t>=NF($F70,"Qty. Picked")</t>
  </si>
  <si>
    <t>=NF($F71,"Qty. Picked")</t>
  </si>
  <si>
    <t>=NF($F72,"Qty. Picked")</t>
  </si>
  <si>
    <t>=NF($F73,"Qty. Picked")</t>
  </si>
  <si>
    <t>=NF($F74,"Qty. Picked")</t>
  </si>
  <si>
    <t>=NF($F75,"Qty. Picked")</t>
  </si>
  <si>
    <t>=NF($F76,"Qty. Picked")</t>
  </si>
  <si>
    <t>=NF($F77,"Qty. Picked")</t>
  </si>
  <si>
    <t>=NF($F78,"Qty. Picked")</t>
  </si>
  <si>
    <t>=NF($F79,"Qty. Picked")</t>
  </si>
  <si>
    <t>=NF($F80,"Qty. Picked")</t>
  </si>
  <si>
    <t>=NF($F81,"Qty. Picked")</t>
  </si>
  <si>
    <t>=NF($F82,"Qty. Picked")</t>
  </si>
  <si>
    <t>=NF($F83,"Qty. Picked")</t>
  </si>
  <si>
    <t>=NF($F84,"Qty. Picked")</t>
  </si>
  <si>
    <t>=NF($F85,"Qty. Picked")</t>
  </si>
  <si>
    <t>=NF($F86,"Qty. Picked")</t>
  </si>
  <si>
    <t>=NF($F87,"Qty. Picked")</t>
  </si>
  <si>
    <t>=NF($F88,"Qty. Picked")</t>
  </si>
  <si>
    <t>=NF($F89,"Qty. Picked")</t>
  </si>
  <si>
    <t>=NF($F90,"Qty. Picked")</t>
  </si>
  <si>
    <t>=NF($F91,"Qty. Picked")</t>
  </si>
  <si>
    <t>=NF($F92,"Qty. Picked")</t>
  </si>
  <si>
    <t>=NF($F93,"Qty. Picked")</t>
  </si>
  <si>
    <t>=NF($F94,"Qty. Picked")</t>
  </si>
  <si>
    <t>=NF($F95,"Qty. Picked")</t>
  </si>
  <si>
    <t>=NF($F96,"Qty. Picked")</t>
  </si>
  <si>
    <t>=NF($F97,"Qty. Picked")</t>
  </si>
  <si>
    <t>=NF($F98,"Qty. Picked")</t>
  </si>
  <si>
    <t>=NF($F99,"Qty. Picked")</t>
  </si>
  <si>
    <t>=NF($F100,"Qty. Picked")</t>
  </si>
  <si>
    <t>=NF($F101,"Qty. Picked")</t>
  </si>
  <si>
    <t>=NF($F102,"Qty. Picked")</t>
  </si>
  <si>
    <t>=NF($F103,"Qty. Picked")</t>
  </si>
  <si>
    <t>=NF($F104,"Qty. Picked")</t>
  </si>
  <si>
    <t>=NF($F105,"Qty. Picked")</t>
  </si>
  <si>
    <t>=NF($F106,"Qty. Picked")</t>
  </si>
  <si>
    <t>=NF($F107,"Qty. Picked")</t>
  </si>
  <si>
    <t>=NF($F108,"Qty. Picked")</t>
  </si>
  <si>
    <t>=NF($F109,"Qty. Picked")</t>
  </si>
  <si>
    <t>=NF($F110,"Qty. Picked")</t>
  </si>
  <si>
    <t>=NF($F111,"Qty. Picked")</t>
  </si>
  <si>
    <t>=NF($F112,"Qty. Picked")</t>
  </si>
  <si>
    <t>=NF($F113,"Qty. Picked")</t>
  </si>
  <si>
    <t>=NF($F114,"Qty. Picked")</t>
  </si>
  <si>
    <t>=NF($F115,"Qty. Picked")</t>
  </si>
  <si>
    <t>=NF($F116,"Qty. Picked")</t>
  </si>
  <si>
    <t>=NF($F117,"Qty. Picked")</t>
  </si>
  <si>
    <t>=NF($F118,"Qty. Picked")</t>
  </si>
  <si>
    <t>=NF($F119,"Qty. Picked")</t>
  </si>
  <si>
    <t>=NF($F120,"Qty. Picked")</t>
  </si>
  <si>
    <t>=NF($F121,"Qty. Picked")</t>
  </si>
  <si>
    <t>=NF($F122,"Qty. Picked")</t>
  </si>
  <si>
    <t>=NF($F123,"Qty. Picked")</t>
  </si>
  <si>
    <t>=NF($F124,"Qty. Picked")</t>
  </si>
  <si>
    <t>=NF($F125,"Qty. Picked")</t>
  </si>
  <si>
    <t>=NF($F126,"Qty. Picked")</t>
  </si>
  <si>
    <t>=NF($F127,"Qty. Picked")</t>
  </si>
  <si>
    <t>=NF($F128,"Qty. Picked")</t>
  </si>
  <si>
    <t>=NF($F129,"Qty. Picked")</t>
  </si>
  <si>
    <t>=NF($F130,"Qty. Picked")</t>
  </si>
  <si>
    <t>=NF($F131,"Qty. Picked")</t>
  </si>
  <si>
    <t>=NF($F132,"Qty. Picked")</t>
  </si>
  <si>
    <t>=NF($F133,"Qty. Picked")</t>
  </si>
  <si>
    <t>=NF($F134,"Qty. Picked")</t>
  </si>
  <si>
    <t>=NF($F135,"Qty. Picked")</t>
  </si>
  <si>
    <t>=NF($F136,"Qty. Picked")</t>
  </si>
  <si>
    <t>=NF($F137,"Qty. Picked")</t>
  </si>
  <si>
    <t>=NF($F138,"Qty. Picked")</t>
  </si>
  <si>
    <t>=NF($F139,"Qty. Picked")</t>
  </si>
  <si>
    <t>=NF($F140,"Qty. Picked")</t>
  </si>
  <si>
    <t>=NF($F141,"Qty. Picked")</t>
  </si>
  <si>
    <t>=NF($F142,"Qty. Picked")</t>
  </si>
  <si>
    <t>=NF($F143,"Qty. Picked")</t>
  </si>
  <si>
    <t>=NF($F144,"Qty. Picked")</t>
  </si>
  <si>
    <t>=NF($F145,"Qty. Picked")</t>
  </si>
  <si>
    <t>=NF($F146,"Qty. Picked")</t>
  </si>
  <si>
    <t>=NF($F147,"Qty. Picked")</t>
  </si>
  <si>
    <t>=NF($F148,"Qty. Picked")</t>
  </si>
  <si>
    <t>=NF($F149,"Qty. Picked")</t>
  </si>
  <si>
    <t>=NF($F150,"Qty. Picked")</t>
  </si>
  <si>
    <t>=NF($F151,"Qty. Picked")</t>
  </si>
  <si>
    <t>=NF($F152,"Qty. Picked")</t>
  </si>
  <si>
    <t>=NF($F153,"Qty. Picked")</t>
  </si>
  <si>
    <t>=NF($F154,"Qty. Picked")</t>
  </si>
  <si>
    <t>=NF($F12,"Quantity on Hand")</t>
  </si>
  <si>
    <t>=NF($F13,"Quantity on Hand")</t>
  </si>
  <si>
    <t>=NF($F14,"Quantity on Hand")</t>
  </si>
  <si>
    <t>=NF($F15,"Quantity on Hand")</t>
  </si>
  <si>
    <t>=NF($F16,"Quantity on Hand")</t>
  </si>
  <si>
    <t>=NF($F17,"Quantity on Hand")</t>
  </si>
  <si>
    <t>=NF($F18,"Quantity on Hand")</t>
  </si>
  <si>
    <t>=NF($F19,"Quantity on Hand")</t>
  </si>
  <si>
    <t>=NF($F20,"Quantity on Hand")</t>
  </si>
  <si>
    <t>=NF($F21,"Quantity on Hand")</t>
  </si>
  <si>
    <t>=NF($F22,"Quantity on Hand")</t>
  </si>
  <si>
    <t>=NF($F23,"Quantity on Hand")</t>
  </si>
  <si>
    <t>=NF($F24,"Quantity on Hand")</t>
  </si>
  <si>
    <t>=NF($F25,"Quantity on Hand")</t>
  </si>
  <si>
    <t>=NF($F26,"Quantity on Hand")</t>
  </si>
  <si>
    <t>=NF($F27,"Quantity on Hand")</t>
  </si>
  <si>
    <t>=NF($F28,"Quantity on Hand")</t>
  </si>
  <si>
    <t>=NF($F29,"Quantity on Hand")</t>
  </si>
  <si>
    <t>=NF($F30,"Quantity on Hand")</t>
  </si>
  <si>
    <t>=NF($F31,"Quantity on Hand")</t>
  </si>
  <si>
    <t>=NF($F32,"Quantity on Hand")</t>
  </si>
  <si>
    <t>=NF($F33,"Quantity on Hand")</t>
  </si>
  <si>
    <t>=NF($F34,"Quantity on Hand")</t>
  </si>
  <si>
    <t>=NF($F35,"Quantity on Hand")</t>
  </si>
  <si>
    <t>=NF($F36,"Quantity on Hand")</t>
  </si>
  <si>
    <t>=NF($F37,"Quantity on Hand")</t>
  </si>
  <si>
    <t>=NF($F38,"Quantity on Hand")</t>
  </si>
  <si>
    <t>=NF($F39,"Quantity on Hand")</t>
  </si>
  <si>
    <t>=NF($F40,"Quantity on Hand")</t>
  </si>
  <si>
    <t>=NF($F41,"Quantity on Hand")</t>
  </si>
  <si>
    <t>=NF($F42,"Quantity on Hand")</t>
  </si>
  <si>
    <t>=NF($F43,"Quantity on Hand")</t>
  </si>
  <si>
    <t>=NF($F44,"Quantity on Hand")</t>
  </si>
  <si>
    <t>=NF($F45,"Quantity on Hand")</t>
  </si>
  <si>
    <t>=NF($F46,"Quantity on Hand")</t>
  </si>
  <si>
    <t>=NF($F47,"Quantity on Hand")</t>
  </si>
  <si>
    <t>=NF($F48,"Quantity on Hand")</t>
  </si>
  <si>
    <t>=NF($F49,"Quantity on Hand")</t>
  </si>
  <si>
    <t>=NF($F50,"Quantity on Hand")</t>
  </si>
  <si>
    <t>=NF($F51,"Quantity on Hand")</t>
  </si>
  <si>
    <t>=NF($F52,"Quantity on Hand")</t>
  </si>
  <si>
    <t>=NF($F53,"Quantity on Hand")</t>
  </si>
  <si>
    <t>=NF($F54,"Quantity on Hand")</t>
  </si>
  <si>
    <t>=NF($F55,"Quantity on Hand")</t>
  </si>
  <si>
    <t>=NF($F56,"Quantity on Hand")</t>
  </si>
  <si>
    <t>=NF($F57,"Quantity on Hand")</t>
  </si>
  <si>
    <t>=NF($F58,"Quantity on Hand")</t>
  </si>
  <si>
    <t>=NF($F59,"Quantity on Hand")</t>
  </si>
  <si>
    <t>=NF($F60,"Quantity on Hand")</t>
  </si>
  <si>
    <t>=NF($F61,"Quantity on Hand")</t>
  </si>
  <si>
    <t>=NF($F62,"Quantity on Hand")</t>
  </si>
  <si>
    <t>=NF($F63,"Quantity on Hand")</t>
  </si>
  <si>
    <t>=NF($F64,"Quantity on Hand")</t>
  </si>
  <si>
    <t>=NF($F65,"Quantity on Hand")</t>
  </si>
  <si>
    <t>=NF($F66,"Quantity on Hand")</t>
  </si>
  <si>
    <t>=NF($F67,"Quantity on Hand")</t>
  </si>
  <si>
    <t>=NF($F68,"Quantity on Hand")</t>
  </si>
  <si>
    <t>=NF($F69,"Quantity on Hand")</t>
  </si>
  <si>
    <t>=NF($F70,"Quantity on Hand")</t>
  </si>
  <si>
    <t>=NF($F71,"Quantity on Hand")</t>
  </si>
  <si>
    <t>=NF($F72,"Quantity on Hand")</t>
  </si>
  <si>
    <t>=NF($F73,"Quantity on Hand")</t>
  </si>
  <si>
    <t>=NF($F74,"Quantity on Hand")</t>
  </si>
  <si>
    <t>=NF($F75,"Quantity on Hand")</t>
  </si>
  <si>
    <t>=NF($F76,"Quantity on Hand")</t>
  </si>
  <si>
    <t>=NF($F77,"Quantity on Hand")</t>
  </si>
  <si>
    <t>=NF($F78,"Quantity on Hand")</t>
  </si>
  <si>
    <t>=NF($F79,"Quantity on Hand")</t>
  </si>
  <si>
    <t>=NF($F80,"Quantity on Hand")</t>
  </si>
  <si>
    <t>=NF($F81,"Quantity on Hand")</t>
  </si>
  <si>
    <t>=NF($F82,"Quantity on Hand")</t>
  </si>
  <si>
    <t>=NF($F83,"Quantity on Hand")</t>
  </si>
  <si>
    <t>=NF($F84,"Quantity on Hand")</t>
  </si>
  <si>
    <t>=NF($F85,"Quantity on Hand")</t>
  </si>
  <si>
    <t>=NF($F86,"Quantity on Hand")</t>
  </si>
  <si>
    <t>=NF($F87,"Quantity on Hand")</t>
  </si>
  <si>
    <t>=NF($F88,"Quantity on Hand")</t>
  </si>
  <si>
    <t>=NF($F89,"Quantity on Hand")</t>
  </si>
  <si>
    <t>=NF($F90,"Quantity on Hand")</t>
  </si>
  <si>
    <t>=NF($F91,"Quantity on Hand")</t>
  </si>
  <si>
    <t>=NF($F92,"Quantity on Hand")</t>
  </si>
  <si>
    <t>=NF($F93,"Quantity on Hand")</t>
  </si>
  <si>
    <t>=NF($F94,"Quantity on Hand")</t>
  </si>
  <si>
    <t>=NF($F95,"Quantity on Hand")</t>
  </si>
  <si>
    <t>=NF($F96,"Quantity on Hand")</t>
  </si>
  <si>
    <t>=NF($F97,"Quantity on Hand")</t>
  </si>
  <si>
    <t>=NF($F98,"Quantity on Hand")</t>
  </si>
  <si>
    <t>=NF($F99,"Quantity on Hand")</t>
  </si>
  <si>
    <t>=NF($F100,"Quantity on Hand")</t>
  </si>
  <si>
    <t>=NF($F101,"Quantity on Hand")</t>
  </si>
  <si>
    <t>=NF($F102,"Quantity on Hand")</t>
  </si>
  <si>
    <t>=NF($F103,"Quantity on Hand")</t>
  </si>
  <si>
    <t>=NF($F104,"Quantity on Hand")</t>
  </si>
  <si>
    <t>=NF($F105,"Quantity on Hand")</t>
  </si>
  <si>
    <t>=NF($F106,"Quantity on Hand")</t>
  </si>
  <si>
    <t>=NF($F107,"Quantity on Hand")</t>
  </si>
  <si>
    <t>=NF($F108,"Quantity on Hand")</t>
  </si>
  <si>
    <t>=NF($F109,"Quantity on Hand")</t>
  </si>
  <si>
    <t>=NF($F110,"Quantity on Hand")</t>
  </si>
  <si>
    <t>=NF($F111,"Quantity on Hand")</t>
  </si>
  <si>
    <t>=NF($F112,"Quantity on Hand")</t>
  </si>
  <si>
    <t>=NF($F113,"Quantity on Hand")</t>
  </si>
  <si>
    <t>=NF($F114,"Quantity on Hand")</t>
  </si>
  <si>
    <t>=NF($F115,"Quantity on Hand")</t>
  </si>
  <si>
    <t>=NF($F116,"Quantity on Hand")</t>
  </si>
  <si>
    <t>=NF($F117,"Quantity on Hand")</t>
  </si>
  <si>
    <t>=NF($F118,"Quantity on Hand")</t>
  </si>
  <si>
    <t>=NF($F119,"Quantity on Hand")</t>
  </si>
  <si>
    <t>=NF($F120,"Quantity on Hand")</t>
  </si>
  <si>
    <t>=NF($F121,"Quantity on Hand")</t>
  </si>
  <si>
    <t>=NF($F122,"Quantity on Hand")</t>
  </si>
  <si>
    <t>=NF($F123,"Quantity on Hand")</t>
  </si>
  <si>
    <t>=NF($F124,"Quantity on Hand")</t>
  </si>
  <si>
    <t>=NF($F125,"Quantity on Hand")</t>
  </si>
  <si>
    <t>=NF($F126,"Quantity on Hand")</t>
  </si>
  <si>
    <t>=NF($F127,"Quantity on Hand")</t>
  </si>
  <si>
    <t>=NF($F128,"Quantity on Hand")</t>
  </si>
  <si>
    <t>=NF($F129,"Quantity on Hand")</t>
  </si>
  <si>
    <t>=NF($F130,"Quantity on Hand")</t>
  </si>
  <si>
    <t>=NF($F131,"Quantity on Hand")</t>
  </si>
  <si>
    <t>=NF($F132,"Quantity on Hand")</t>
  </si>
  <si>
    <t>=NF($F133,"Quantity on Hand")</t>
  </si>
  <si>
    <t>=NF($F134,"Quantity on Hand")</t>
  </si>
  <si>
    <t>=NF($F135,"Quantity on Hand")</t>
  </si>
  <si>
    <t>=NF($F136,"Quantity on Hand")</t>
  </si>
  <si>
    <t>=NF($F137,"Quantity on Hand")</t>
  </si>
  <si>
    <t>=NF($F138,"Quantity on Hand")</t>
  </si>
  <si>
    <t>=NF($F139,"Quantity on Hand")</t>
  </si>
  <si>
    <t>=NF($F140,"Quantity on Hand")</t>
  </si>
  <si>
    <t>=NF($F141,"Quantity on Hand")</t>
  </si>
  <si>
    <t>=NF($F142,"Quantity on Hand")</t>
  </si>
  <si>
    <t>=NF($F143,"Quantity on Hand")</t>
  </si>
  <si>
    <t>=NF($F144,"Quantity on Hand")</t>
  </si>
  <si>
    <t>=NF($F145,"Quantity on Hand")</t>
  </si>
  <si>
    <t>=NF($F146,"Quantity on Hand")</t>
  </si>
  <si>
    <t>=NF($F147,"Quantity on Hand")</t>
  </si>
  <si>
    <t>=NF($F148,"Quantity on Hand")</t>
  </si>
  <si>
    <t>=NF($F149,"Quantity on Hand")</t>
  </si>
  <si>
    <t>=NF($F150,"Quantity on Hand")</t>
  </si>
  <si>
    <t>=NF($F151,"Quantity on Hand")</t>
  </si>
  <si>
    <t>=NF($F152,"Quantity on Hand")</t>
  </si>
  <si>
    <t>=NF($F153,"Quantity on Hand")</t>
  </si>
  <si>
    <t>=NF($F154,"Quantity on Hand")</t>
  </si>
  <si>
    <t>=NF($F12,"Tariff No.")</t>
  </si>
  <si>
    <t>=NF($F13,"Tariff No.")</t>
  </si>
  <si>
    <t>=NF($F14,"Tariff No.")</t>
  </si>
  <si>
    <t>=NF($F15,"Tariff No.")</t>
  </si>
  <si>
    <t>=NF($F16,"Tariff No.")</t>
  </si>
  <si>
    <t>=NF($F17,"Tariff No.")</t>
  </si>
  <si>
    <t>=NF($F18,"Tariff No.")</t>
  </si>
  <si>
    <t>=NF($F19,"Tariff No.")</t>
  </si>
  <si>
    <t>=NF($F20,"Tariff No.")</t>
  </si>
  <si>
    <t>=NF($F21,"Tariff No.")</t>
  </si>
  <si>
    <t>=NF($F22,"Tariff No.")</t>
  </si>
  <si>
    <t>=NF($F23,"Tariff No.")</t>
  </si>
  <si>
    <t>=NF($F24,"Tariff No.")</t>
  </si>
  <si>
    <t>=NF($F25,"Tariff No.")</t>
  </si>
  <si>
    <t>=NF($F26,"Tariff No.")</t>
  </si>
  <si>
    <t>=NF($F27,"Tariff No.")</t>
  </si>
  <si>
    <t>=NF($F28,"Tariff No.")</t>
  </si>
  <si>
    <t>=NF($F29,"Tariff No.")</t>
  </si>
  <si>
    <t>=NF($F30,"Tariff No.")</t>
  </si>
  <si>
    <t>=NF($F31,"Tariff No.")</t>
  </si>
  <si>
    <t>=NF($F32,"Tariff No.")</t>
  </si>
  <si>
    <t>=NF($F33,"Tariff No.")</t>
  </si>
  <si>
    <t>=NF($F34,"Tariff No.")</t>
  </si>
  <si>
    <t>=NF($F35,"Tariff No.")</t>
  </si>
  <si>
    <t>=NF($F36,"Tariff No.")</t>
  </si>
  <si>
    <t>=NF($F37,"Tariff No.")</t>
  </si>
  <si>
    <t>=NF($F38,"Tariff No.")</t>
  </si>
  <si>
    <t>=NF($F39,"Tariff No.")</t>
  </si>
  <si>
    <t>=NF($F40,"Tariff No.")</t>
  </si>
  <si>
    <t>=NF($F41,"Tariff No.")</t>
  </si>
  <si>
    <t>=NF($F42,"Tariff No.")</t>
  </si>
  <si>
    <t>=NF($F43,"Tariff No.")</t>
  </si>
  <si>
    <t>=NF($F44,"Tariff No.")</t>
  </si>
  <si>
    <t>=NF($F45,"Tariff No.")</t>
  </si>
  <si>
    <t>=NF($F46,"Tariff No.")</t>
  </si>
  <si>
    <t>=NF($F47,"Tariff No.")</t>
  </si>
  <si>
    <t>=NF($F48,"Tariff No.")</t>
  </si>
  <si>
    <t>=NF($F49,"Tariff No.")</t>
  </si>
  <si>
    <t>=NF($F50,"Tariff No.")</t>
  </si>
  <si>
    <t>=NF($F51,"Tariff No.")</t>
  </si>
  <si>
    <t>=NF($F52,"Tariff No.")</t>
  </si>
  <si>
    <t>=NF($F53,"Tariff No.")</t>
  </si>
  <si>
    <t>=NF($F54,"Tariff No.")</t>
  </si>
  <si>
    <t>=NF($F55,"Tariff No.")</t>
  </si>
  <si>
    <t>=NF($F56,"Tariff No.")</t>
  </si>
  <si>
    <t>=NF($F57,"Tariff No.")</t>
  </si>
  <si>
    <t>=NF($F58,"Tariff No.")</t>
  </si>
  <si>
    <t>=NF($F59,"Tariff No.")</t>
  </si>
  <si>
    <t>=NF($F60,"Tariff No.")</t>
  </si>
  <si>
    <t>=NF($F61,"Tariff No.")</t>
  </si>
  <si>
    <t>=NF($F62,"Tariff No.")</t>
  </si>
  <si>
    <t>=NF($F63,"Tariff No.")</t>
  </si>
  <si>
    <t>=NF($F64,"Tariff No.")</t>
  </si>
  <si>
    <t>=NF($F65,"Tariff No.")</t>
  </si>
  <si>
    <t>=NF($F66,"Tariff No.")</t>
  </si>
  <si>
    <t>=NF($F67,"Tariff No.")</t>
  </si>
  <si>
    <t>=NF($F68,"Tariff No.")</t>
  </si>
  <si>
    <t>=NF($F69,"Tariff No.")</t>
  </si>
  <si>
    <t>=NF($F70,"Tariff No.")</t>
  </si>
  <si>
    <t>=NF($F71,"Tariff No.")</t>
  </si>
  <si>
    <t>=NF($F72,"Tariff No.")</t>
  </si>
  <si>
    <t>=NF($F73,"Tariff No.")</t>
  </si>
  <si>
    <t>=NF($F74,"Tariff No.")</t>
  </si>
  <si>
    <t>=NF($F75,"Tariff No.")</t>
  </si>
  <si>
    <t>=NF($F76,"Tariff No.")</t>
  </si>
  <si>
    <t>=NF($F77,"Tariff No.")</t>
  </si>
  <si>
    <t>=NF($F78,"Tariff No.")</t>
  </si>
  <si>
    <t>=NF($F79,"Tariff No.")</t>
  </si>
  <si>
    <t>=NF($F80,"Tariff No.")</t>
  </si>
  <si>
    <t>=NF($F81,"Tariff No.")</t>
  </si>
  <si>
    <t>=NF($F82,"Tariff No.")</t>
  </si>
  <si>
    <t>=NF($F83,"Tariff No.")</t>
  </si>
  <si>
    <t>=NF($F84,"Tariff No.")</t>
  </si>
  <si>
    <t>=NF($F85,"Tariff No.")</t>
  </si>
  <si>
    <t>=NF($F86,"Tariff No.")</t>
  </si>
  <si>
    <t>=NF($F87,"Tariff No.")</t>
  </si>
  <si>
    <t>=NF($F88,"Tariff No.")</t>
  </si>
  <si>
    <t>=NF($F89,"Tariff No.")</t>
  </si>
  <si>
    <t>=NF($F90,"Tariff No.")</t>
  </si>
  <si>
    <t>=NF($F91,"Tariff No.")</t>
  </si>
  <si>
    <t>=NF($F92,"Tariff No.")</t>
  </si>
  <si>
    <t>=NF($F93,"Tariff No.")</t>
  </si>
  <si>
    <t>=NF($F94,"Tariff No.")</t>
  </si>
  <si>
    <t>=NF($F95,"Tariff No.")</t>
  </si>
  <si>
    <t>=NF($F96,"Tariff No.")</t>
  </si>
  <si>
    <t>=NF($F97,"Tariff No.")</t>
  </si>
  <si>
    <t>=NF($F98,"Tariff No.")</t>
  </si>
  <si>
    <t>=NF($F99,"Tariff No.")</t>
  </si>
  <si>
    <t>=NF($F100,"Tariff No.")</t>
  </si>
  <si>
    <t>=NF($F101,"Tariff No.")</t>
  </si>
  <si>
    <t>=NF($F102,"Tariff No.")</t>
  </si>
  <si>
    <t>=NF($F103,"Tariff No.")</t>
  </si>
  <si>
    <t>=NF($F104,"Tariff No.")</t>
  </si>
  <si>
    <t>=NF($F105,"Tariff No.")</t>
  </si>
  <si>
    <t>=NF($F106,"Tariff No.")</t>
  </si>
  <si>
    <t>=NF($F107,"Tariff No.")</t>
  </si>
  <si>
    <t>=NF($F108,"Tariff No.")</t>
  </si>
  <si>
    <t>=NF($F109,"Tariff No.")</t>
  </si>
  <si>
    <t>=NF($F110,"Tariff No.")</t>
  </si>
  <si>
    <t>=NF($F111,"Tariff No.")</t>
  </si>
  <si>
    <t>=NF($F112,"Tariff No.")</t>
  </si>
  <si>
    <t>=NF($F113,"Tariff No.")</t>
  </si>
  <si>
    <t>=NF($F114,"Tariff No.")</t>
  </si>
  <si>
    <t>=NF($F115,"Tariff No.")</t>
  </si>
  <si>
    <t>=NF($F116,"Tariff No.")</t>
  </si>
  <si>
    <t>=NF($F117,"Tariff No.")</t>
  </si>
  <si>
    <t>=NF($F118,"Tariff No.")</t>
  </si>
  <si>
    <t>=NF($F119,"Tariff No.")</t>
  </si>
  <si>
    <t>=NF($F120,"Tariff No.")</t>
  </si>
  <si>
    <t>=NF($F121,"Tariff No.")</t>
  </si>
  <si>
    <t>=NF($F122,"Tariff No.")</t>
  </si>
  <si>
    <t>=NF($F123,"Tariff No.")</t>
  </si>
  <si>
    <t>=NF($F124,"Tariff No.")</t>
  </si>
  <si>
    <t>=NF($F125,"Tariff No.")</t>
  </si>
  <si>
    <t>=NF($F126,"Tariff No.")</t>
  </si>
  <si>
    <t>=NF($F127,"Tariff No.")</t>
  </si>
  <si>
    <t>=NF($F128,"Tariff No.")</t>
  </si>
  <si>
    <t>=NF($F129,"Tariff No.")</t>
  </si>
  <si>
    <t>=NF($F130,"Tariff No.")</t>
  </si>
  <si>
    <t>=NF($F131,"Tariff No.")</t>
  </si>
  <si>
    <t>=NF($F132,"Tariff No.")</t>
  </si>
  <si>
    <t>=NF($F133,"Tariff No.")</t>
  </si>
  <si>
    <t>=NF($F134,"Tariff No.")</t>
  </si>
  <si>
    <t>=NF($F135,"Tariff No.")</t>
  </si>
  <si>
    <t>=NF($F136,"Tariff No.")</t>
  </si>
  <si>
    <t>=NF($F137,"Tariff No.")</t>
  </si>
  <si>
    <t>=NF($F138,"Tariff No.")</t>
  </si>
  <si>
    <t>=NF($F139,"Tariff No.")</t>
  </si>
  <si>
    <t>=NF($F140,"Tariff No.")</t>
  </si>
  <si>
    <t>=NF($F141,"Tariff No.")</t>
  </si>
  <si>
    <t>=NF($F142,"Tariff No.")</t>
  </si>
  <si>
    <t>=NF($F143,"Tariff No.")</t>
  </si>
  <si>
    <t>=NF($F144,"Tariff No.")</t>
  </si>
  <si>
    <t>=NF($F145,"Tariff No.")</t>
  </si>
  <si>
    <t>=NF($F146,"Tariff No.")</t>
  </si>
  <si>
    <t>=NF($F147,"Tariff No.")</t>
  </si>
  <si>
    <t>=NF($F148,"Tariff No.")</t>
  </si>
  <si>
    <t>=NF($F149,"Tariff No.")</t>
  </si>
  <si>
    <t>=NF($F150,"Tariff No.")</t>
  </si>
  <si>
    <t>=NF($F151,"Tariff No.")</t>
  </si>
  <si>
    <t>=NF($F152,"Tariff No.")</t>
  </si>
  <si>
    <t>=NF($F153,"Tariff No.")</t>
  </si>
  <si>
    <t>=NF($F154,"Tariff No.")</t>
  </si>
  <si>
    <t>=NF($F12,"Unit List Price")</t>
  </si>
  <si>
    <t>=NF($F13,"Unit List Price")</t>
  </si>
  <si>
    <t>=NF($F14,"Unit List Price")</t>
  </si>
  <si>
    <t>=NF($F15,"Unit List Price")</t>
  </si>
  <si>
    <t>=NF($F16,"Unit List Price")</t>
  </si>
  <si>
    <t>=NF($F17,"Unit List Price")</t>
  </si>
  <si>
    <t>=NF($F18,"Unit List Price")</t>
  </si>
  <si>
    <t>=NF($F19,"Unit List Price")</t>
  </si>
  <si>
    <t>=NF($F20,"Unit List Price")</t>
  </si>
  <si>
    <t>=NF($F21,"Unit List Price")</t>
  </si>
  <si>
    <t>=NF($F22,"Unit List Price")</t>
  </si>
  <si>
    <t>=NF($F23,"Unit List Price")</t>
  </si>
  <si>
    <t>=NF($F24,"Unit List Price")</t>
  </si>
  <si>
    <t>=NF($F25,"Unit List Price")</t>
  </si>
  <si>
    <t>=NF($F26,"Unit List Price")</t>
  </si>
  <si>
    <t>=NF($F27,"Unit List Price")</t>
  </si>
  <si>
    <t>=NF($F28,"Unit List Price")</t>
  </si>
  <si>
    <t>=NF($F29,"Unit List Price")</t>
  </si>
  <si>
    <t>=NF($F30,"Unit List Price")</t>
  </si>
  <si>
    <t>=NF($F31,"Unit List Price")</t>
  </si>
  <si>
    <t>=NF($F32,"Unit List Price")</t>
  </si>
  <si>
    <t>=NF($F33,"Unit List Price")</t>
  </si>
  <si>
    <t>=NF($F34,"Unit List Price")</t>
  </si>
  <si>
    <t>=NF($F35,"Unit List Price")</t>
  </si>
  <si>
    <t>=NF($F36,"Unit List Price")</t>
  </si>
  <si>
    <t>=NF($F37,"Unit List Price")</t>
  </si>
  <si>
    <t>=NF($F38,"Unit List Price")</t>
  </si>
  <si>
    <t>=NF($F39,"Unit List Price")</t>
  </si>
  <si>
    <t>=NF($F40,"Unit List Price")</t>
  </si>
  <si>
    <t>=NF($F41,"Unit List Price")</t>
  </si>
  <si>
    <t>=NF($F42,"Unit List Price")</t>
  </si>
  <si>
    <t>=NF($F43,"Unit List Price")</t>
  </si>
  <si>
    <t>=NF($F44,"Unit List Price")</t>
  </si>
  <si>
    <t>=NF($F45,"Unit List Price")</t>
  </si>
  <si>
    <t>=NF($F46,"Unit List Price")</t>
  </si>
  <si>
    <t>=NF($F47,"Unit List Price")</t>
  </si>
  <si>
    <t>=NF($F48,"Unit List Price")</t>
  </si>
  <si>
    <t>=NF($F49,"Unit List Price")</t>
  </si>
  <si>
    <t>=NF($F50,"Unit List Price")</t>
  </si>
  <si>
    <t>=NF($F51,"Unit List Price")</t>
  </si>
  <si>
    <t>=NF($F52,"Unit List Price")</t>
  </si>
  <si>
    <t>=NF($F53,"Unit List Price")</t>
  </si>
  <si>
    <t>=NF($F54,"Unit List Price")</t>
  </si>
  <si>
    <t>=NF($F55,"Unit List Price")</t>
  </si>
  <si>
    <t>=NF($F56,"Unit List Price")</t>
  </si>
  <si>
    <t>=NF($F57,"Unit List Price")</t>
  </si>
  <si>
    <t>=NF($F58,"Unit List Price")</t>
  </si>
  <si>
    <t>=NF($F59,"Unit List Price")</t>
  </si>
  <si>
    <t>=NF($F60,"Unit List Price")</t>
  </si>
  <si>
    <t>=NF($F61,"Unit List Price")</t>
  </si>
  <si>
    <t>=NF($F62,"Unit List Price")</t>
  </si>
  <si>
    <t>=NF($F63,"Unit List Price")</t>
  </si>
  <si>
    <t>=NF($F64,"Unit List Price")</t>
  </si>
  <si>
    <t>=NF($F65,"Unit List Price")</t>
  </si>
  <si>
    <t>=NF($F66,"Unit List Price")</t>
  </si>
  <si>
    <t>=NF($F67,"Unit List Price")</t>
  </si>
  <si>
    <t>=NF($F68,"Unit List Price")</t>
  </si>
  <si>
    <t>=NF($F69,"Unit List Price")</t>
  </si>
  <si>
    <t>=NF($F70,"Unit List Price")</t>
  </si>
  <si>
    <t>=NF($F71,"Unit List Price")</t>
  </si>
  <si>
    <t>=NF($F72,"Unit List Price")</t>
  </si>
  <si>
    <t>=NF($F73,"Unit List Price")</t>
  </si>
  <si>
    <t>=NF($F74,"Unit List Price")</t>
  </si>
  <si>
    <t>=NF($F75,"Unit List Price")</t>
  </si>
  <si>
    <t>=NF($F76,"Unit List Price")</t>
  </si>
  <si>
    <t>=NF($F77,"Unit List Price")</t>
  </si>
  <si>
    <t>=NF($F78,"Unit List Price")</t>
  </si>
  <si>
    <t>=NF($F79,"Unit List Price")</t>
  </si>
  <si>
    <t>=NF($F80,"Unit List Price")</t>
  </si>
  <si>
    <t>=NF($F81,"Unit List Price")</t>
  </si>
  <si>
    <t>=NF($F82,"Unit List Price")</t>
  </si>
  <si>
    <t>=NF($F83,"Unit List Price")</t>
  </si>
  <si>
    <t>=NF($F84,"Unit List Price")</t>
  </si>
  <si>
    <t>=NF($F85,"Unit List Price")</t>
  </si>
  <si>
    <t>=NF($F86,"Unit List Price")</t>
  </si>
  <si>
    <t>=NF($F87,"Unit List Price")</t>
  </si>
  <si>
    <t>=NF($F88,"Unit List Price")</t>
  </si>
  <si>
    <t>=NF($F89,"Unit List Price")</t>
  </si>
  <si>
    <t>=NF($F90,"Unit List Price")</t>
  </si>
  <si>
    <t>=NF($F91,"Unit List Price")</t>
  </si>
  <si>
    <t>=NF($F92,"Unit List Price")</t>
  </si>
  <si>
    <t>=NF($F93,"Unit List Price")</t>
  </si>
  <si>
    <t>=NF($F94,"Unit List Price")</t>
  </si>
  <si>
    <t>=NF($F95,"Unit List Price")</t>
  </si>
  <si>
    <t>=NF($F96,"Unit List Price")</t>
  </si>
  <si>
    <t>=NF($F97,"Unit List Price")</t>
  </si>
  <si>
    <t>=NF($F98,"Unit List Price")</t>
  </si>
  <si>
    <t>=NF($F99,"Unit List Price")</t>
  </si>
  <si>
    <t>=NF($F100,"Unit List Price")</t>
  </si>
  <si>
    <t>=NF($F101,"Unit List Price")</t>
  </si>
  <si>
    <t>=NF($F102,"Unit List Price")</t>
  </si>
  <si>
    <t>=NF($F103,"Unit List Price")</t>
  </si>
  <si>
    <t>=NF($F104,"Unit List Price")</t>
  </si>
  <si>
    <t>=NF($F105,"Unit List Price")</t>
  </si>
  <si>
    <t>=NF($F106,"Unit List Price")</t>
  </si>
  <si>
    <t>=NF($F107,"Unit List Price")</t>
  </si>
  <si>
    <t>=NF($F108,"Unit List Price")</t>
  </si>
  <si>
    <t>=NF($F109,"Unit List Price")</t>
  </si>
  <si>
    <t>=NF($F110,"Unit List Price")</t>
  </si>
  <si>
    <t>=NF($F111,"Unit List Price")</t>
  </si>
  <si>
    <t>=NF($F112,"Unit List Price")</t>
  </si>
  <si>
    <t>=NF($F113,"Unit List Price")</t>
  </si>
  <si>
    <t>=NF($F114,"Unit List Price")</t>
  </si>
  <si>
    <t>=NF($F115,"Unit List Price")</t>
  </si>
  <si>
    <t>=NF($F116,"Unit List Price")</t>
  </si>
  <si>
    <t>=NF($F117,"Unit List Price")</t>
  </si>
  <si>
    <t>=NF($F118,"Unit List Price")</t>
  </si>
  <si>
    <t>=NF($F119,"Unit List Price")</t>
  </si>
  <si>
    <t>=NF($F120,"Unit List Price")</t>
  </si>
  <si>
    <t>=NF($F121,"Unit List Price")</t>
  </si>
  <si>
    <t>=NF($F122,"Unit List Price")</t>
  </si>
  <si>
    <t>=NF($F123,"Unit List Price")</t>
  </si>
  <si>
    <t>=NF($F124,"Unit List Price")</t>
  </si>
  <si>
    <t>=NF($F125,"Unit List Price")</t>
  </si>
  <si>
    <t>=NF($F126,"Unit List Price")</t>
  </si>
  <si>
    <t>=NF($F127,"Unit List Price")</t>
  </si>
  <si>
    <t>=NF($F128,"Unit List Price")</t>
  </si>
  <si>
    <t>=NF($F129,"Unit List Price")</t>
  </si>
  <si>
    <t>=NF($F130,"Unit List Price")</t>
  </si>
  <si>
    <t>=NF($F131,"Unit List Price")</t>
  </si>
  <si>
    <t>=NF($F132,"Unit List Price")</t>
  </si>
  <si>
    <t>=NF($F133,"Unit List Price")</t>
  </si>
  <si>
    <t>=NF($F134,"Unit List Price")</t>
  </si>
  <si>
    <t>=NF($F135,"Unit List Price")</t>
  </si>
  <si>
    <t>=NF($F136,"Unit List Price")</t>
  </si>
  <si>
    <t>=NF($F137,"Unit List Price")</t>
  </si>
  <si>
    <t>=NF($F138,"Unit List Price")</t>
  </si>
  <si>
    <t>=NF($F139,"Unit List Price")</t>
  </si>
  <si>
    <t>=NF($F140,"Unit List Price")</t>
  </si>
  <si>
    <t>=NF($F141,"Unit List Price")</t>
  </si>
  <si>
    <t>=NF($F142,"Unit List Price")</t>
  </si>
  <si>
    <t>=NF($F143,"Unit List Price")</t>
  </si>
  <si>
    <t>=NF($F144,"Unit List Price")</t>
  </si>
  <si>
    <t>=NF($F145,"Unit List Price")</t>
  </si>
  <si>
    <t>=NF($F146,"Unit List Price")</t>
  </si>
  <si>
    <t>=NF($F147,"Unit List Price")</t>
  </si>
  <si>
    <t>=NF($F148,"Unit List Price")</t>
  </si>
  <si>
    <t>=NF($F149,"Unit List Price")</t>
  </si>
  <si>
    <t>=NF($F150,"Unit List Price")</t>
  </si>
  <si>
    <t>=NF($F151,"Unit List Price")</t>
  </si>
  <si>
    <t>=NF($F152,"Unit List Price")</t>
  </si>
  <si>
    <t>=NF($F153,"Unit List Price")</t>
  </si>
  <si>
    <t>=NF($F154,"Unit List Price")</t>
  </si>
  <si>
    <t>=NF($F12,"Unit Cost")</t>
  </si>
  <si>
    <t>=NF($F13,"Unit Cost")</t>
  </si>
  <si>
    <t>=NF($F14,"Unit Cost")</t>
  </si>
  <si>
    <t>=NF($F15,"Unit Cost")</t>
  </si>
  <si>
    <t>=NF($F16,"Unit Cost")</t>
  </si>
  <si>
    <t>=NF($F17,"Unit Cost")</t>
  </si>
  <si>
    <t>=NF($F18,"Unit Cost")</t>
  </si>
  <si>
    <t>=NF($F19,"Unit Cost")</t>
  </si>
  <si>
    <t>=NF($F20,"Unit Cost")</t>
  </si>
  <si>
    <t>=NF($F21,"Unit Cost")</t>
  </si>
  <si>
    <t>=NF($F22,"Unit Cost")</t>
  </si>
  <si>
    <t>=NF($F23,"Unit Cost")</t>
  </si>
  <si>
    <t>=NF($F24,"Unit Cost")</t>
  </si>
  <si>
    <t>=NF($F25,"Unit Cost")</t>
  </si>
  <si>
    <t>=NF($F26,"Unit Cost")</t>
  </si>
  <si>
    <t>=NF($F27,"Unit Cost")</t>
  </si>
  <si>
    <t>=NF($F28,"Unit Cost")</t>
  </si>
  <si>
    <t>=NF($F29,"Unit Cost")</t>
  </si>
  <si>
    <t>=NF($F30,"Unit Cost")</t>
  </si>
  <si>
    <t>=NF($F31,"Unit Cost")</t>
  </si>
  <si>
    <t>=NF($F32,"Unit Cost")</t>
  </si>
  <si>
    <t>=NF($F33,"Unit Cost")</t>
  </si>
  <si>
    <t>=NF($F34,"Unit Cost")</t>
  </si>
  <si>
    <t>=NF($F35,"Unit Cost")</t>
  </si>
  <si>
    <t>=NF($F36,"Unit Cost")</t>
  </si>
  <si>
    <t>=NF($F37,"Unit Cost")</t>
  </si>
  <si>
    <t>=NF($F38,"Unit Cost")</t>
  </si>
  <si>
    <t>=NF($F39,"Unit Cost")</t>
  </si>
  <si>
    <t>=NF($F40,"Unit Cost")</t>
  </si>
  <si>
    <t>=NF($F41,"Unit Cost")</t>
  </si>
  <si>
    <t>=NF($F42,"Unit Cost")</t>
  </si>
  <si>
    <t>=NF($F43,"Unit Cost")</t>
  </si>
  <si>
    <t>=NF($F44,"Unit Cost")</t>
  </si>
  <si>
    <t>=NF($F45,"Unit Cost")</t>
  </si>
  <si>
    <t>=NF($F46,"Unit Cost")</t>
  </si>
  <si>
    <t>=NF($F47,"Unit Cost")</t>
  </si>
  <si>
    <t>=NF($F48,"Unit Cost")</t>
  </si>
  <si>
    <t>=NF($F49,"Unit Cost")</t>
  </si>
  <si>
    <t>=NF($F50,"Unit Cost")</t>
  </si>
  <si>
    <t>=NF($F51,"Unit Cost")</t>
  </si>
  <si>
    <t>=NF($F52,"Unit Cost")</t>
  </si>
  <si>
    <t>=NF($F53,"Unit Cost")</t>
  </si>
  <si>
    <t>=NF($F54,"Unit Cost")</t>
  </si>
  <si>
    <t>=NF($F55,"Unit Cost")</t>
  </si>
  <si>
    <t>=NF($F56,"Unit Cost")</t>
  </si>
  <si>
    <t>=NF($F57,"Unit Cost")</t>
  </si>
  <si>
    <t>=NF($F58,"Unit Cost")</t>
  </si>
  <si>
    <t>=NF($F59,"Unit Cost")</t>
  </si>
  <si>
    <t>=NF($F60,"Unit Cost")</t>
  </si>
  <si>
    <t>=NF($F61,"Unit Cost")</t>
  </si>
  <si>
    <t>=NF($F62,"Unit Cost")</t>
  </si>
  <si>
    <t>=NF($F63,"Unit Cost")</t>
  </si>
  <si>
    <t>=NF($F64,"Unit Cost")</t>
  </si>
  <si>
    <t>=NF($F65,"Unit Cost")</t>
  </si>
  <si>
    <t>=NF($F66,"Unit Cost")</t>
  </si>
  <si>
    <t>=NF($F67,"Unit Cost")</t>
  </si>
  <si>
    <t>=NF($F68,"Unit Cost")</t>
  </si>
  <si>
    <t>=NF($F69,"Unit Cost")</t>
  </si>
  <si>
    <t>=NF($F70,"Unit Cost")</t>
  </si>
  <si>
    <t>=NF($F71,"Unit Cost")</t>
  </si>
  <si>
    <t>=NF($F72,"Unit Cost")</t>
  </si>
  <si>
    <t>=NF($F73,"Unit Cost")</t>
  </si>
  <si>
    <t>=NF($F74,"Unit Cost")</t>
  </si>
  <si>
    <t>=NF($F75,"Unit Cost")</t>
  </si>
  <si>
    <t>=NF($F76,"Unit Cost")</t>
  </si>
  <si>
    <t>=NF($F77,"Unit Cost")</t>
  </si>
  <si>
    <t>=NF($F78,"Unit Cost")</t>
  </si>
  <si>
    <t>=NF($F79,"Unit Cost")</t>
  </si>
  <si>
    <t>=NF($F80,"Unit Cost")</t>
  </si>
  <si>
    <t>=NF($F81,"Unit Cost")</t>
  </si>
  <si>
    <t>=NF($F82,"Unit Cost")</t>
  </si>
  <si>
    <t>=NF($F83,"Unit Cost")</t>
  </si>
  <si>
    <t>=NF($F84,"Unit Cost")</t>
  </si>
  <si>
    <t>=NF($F85,"Unit Cost")</t>
  </si>
  <si>
    <t>=NF($F86,"Unit Cost")</t>
  </si>
  <si>
    <t>=NF($F87,"Unit Cost")</t>
  </si>
  <si>
    <t>=NF($F88,"Unit Cost")</t>
  </si>
  <si>
    <t>=NF($F89,"Unit Cost")</t>
  </si>
  <si>
    <t>=NF($F90,"Unit Cost")</t>
  </si>
  <si>
    <t>=NF($F91,"Unit Cost")</t>
  </si>
  <si>
    <t>=NF($F92,"Unit Cost")</t>
  </si>
  <si>
    <t>=NF($F93,"Unit Cost")</t>
  </si>
  <si>
    <t>=NF($F94,"Unit Cost")</t>
  </si>
  <si>
    <t>=NF($F95,"Unit Cost")</t>
  </si>
  <si>
    <t>=NF($F96,"Unit Cost")</t>
  </si>
  <si>
    <t>=NF($F97,"Unit Cost")</t>
  </si>
  <si>
    <t>=NF($F98,"Unit Cost")</t>
  </si>
  <si>
    <t>=NF($F99,"Unit Cost")</t>
  </si>
  <si>
    <t>=NF($F100,"Unit Cost")</t>
  </si>
  <si>
    <t>=NF($F101,"Unit Cost")</t>
  </si>
  <si>
    <t>=NF($F102,"Unit Cost")</t>
  </si>
  <si>
    <t>=NF($F103,"Unit Cost")</t>
  </si>
  <si>
    <t>=NF($F104,"Unit Cost")</t>
  </si>
  <si>
    <t>=NF($F105,"Unit Cost")</t>
  </si>
  <si>
    <t>=NF($F106,"Unit Cost")</t>
  </si>
  <si>
    <t>=NF($F107,"Unit Cost")</t>
  </si>
  <si>
    <t>=NF($F108,"Unit Cost")</t>
  </si>
  <si>
    <t>=NF($F109,"Unit Cost")</t>
  </si>
  <si>
    <t>=NF($F110,"Unit Cost")</t>
  </si>
  <si>
    <t>=NF($F111,"Unit Cost")</t>
  </si>
  <si>
    <t>=NF($F112,"Unit Cost")</t>
  </si>
  <si>
    <t>=NF($F113,"Unit Cost")</t>
  </si>
  <si>
    <t>=NF($F114,"Unit Cost")</t>
  </si>
  <si>
    <t>=NF($F115,"Unit Cost")</t>
  </si>
  <si>
    <t>=NF($F116,"Unit Cost")</t>
  </si>
  <si>
    <t>=NF($F117,"Unit Cost")</t>
  </si>
  <si>
    <t>=NF($F118,"Unit Cost")</t>
  </si>
  <si>
    <t>=NF($F119,"Unit Cost")</t>
  </si>
  <si>
    <t>=NF($F120,"Unit Cost")</t>
  </si>
  <si>
    <t>=NF($F121,"Unit Cost")</t>
  </si>
  <si>
    <t>=NF($F122,"Unit Cost")</t>
  </si>
  <si>
    <t>=NF($F123,"Unit Cost")</t>
  </si>
  <si>
    <t>=NF($F124,"Unit Cost")</t>
  </si>
  <si>
    <t>=NF($F125,"Unit Cost")</t>
  </si>
  <si>
    <t>=NF($F126,"Unit Cost")</t>
  </si>
  <si>
    <t>=NF($F127,"Unit Cost")</t>
  </si>
  <si>
    <t>=NF($F128,"Unit Cost")</t>
  </si>
  <si>
    <t>=NF($F129,"Unit Cost")</t>
  </si>
  <si>
    <t>=NF($F130,"Unit Cost")</t>
  </si>
  <si>
    <t>=NF($F131,"Unit Cost")</t>
  </si>
  <si>
    <t>=NF($F132,"Unit Cost")</t>
  </si>
  <si>
    <t>=NF($F133,"Unit Cost")</t>
  </si>
  <si>
    <t>=NF($F134,"Unit Cost")</t>
  </si>
  <si>
    <t>=NF($F135,"Unit Cost")</t>
  </si>
  <si>
    <t>=NF($F136,"Unit Cost")</t>
  </si>
  <si>
    <t>=NF($F137,"Unit Cost")</t>
  </si>
  <si>
    <t>=NF($F138,"Unit Cost")</t>
  </si>
  <si>
    <t>=NF($F139,"Unit Cost")</t>
  </si>
  <si>
    <t>=NF($F140,"Unit Cost")</t>
  </si>
  <si>
    <t>=NF($F141,"Unit Cost")</t>
  </si>
  <si>
    <t>=NF($F142,"Unit Cost")</t>
  </si>
  <si>
    <t>=NF($F143,"Unit Cost")</t>
  </si>
  <si>
    <t>=NF($F144,"Unit Cost")</t>
  </si>
  <si>
    <t>=NF($F145,"Unit Cost")</t>
  </si>
  <si>
    <t>=NF($F146,"Unit Cost")</t>
  </si>
  <si>
    <t>=NF($F147,"Unit Cost")</t>
  </si>
  <si>
    <t>=NF($F148,"Unit Cost")</t>
  </si>
  <si>
    <t>=NF($F149,"Unit Cost")</t>
  </si>
  <si>
    <t>=NF($F150,"Unit Cost")</t>
  </si>
  <si>
    <t>=NF($F151,"Unit Cost")</t>
  </si>
  <si>
    <t>=NF($F152,"Unit Cost")</t>
  </si>
  <si>
    <t>=NF($F153,"Unit Cost")</t>
  </si>
  <si>
    <t>=NF($F154,"Unit Cost")</t>
  </si>
  <si>
    <t>=NF($F12,"Unit Volume")</t>
  </si>
  <si>
    <t>=NF($F13,"Unit Volume")</t>
  </si>
  <si>
    <t>=NF($F14,"Unit Volume")</t>
  </si>
  <si>
    <t>=NF($F15,"Unit Volume")</t>
  </si>
  <si>
    <t>=NF($F16,"Unit Volume")</t>
  </si>
  <si>
    <t>=NF($F17,"Unit Volume")</t>
  </si>
  <si>
    <t>=NF($F18,"Unit Volume")</t>
  </si>
  <si>
    <t>=NF($F19,"Unit Volume")</t>
  </si>
  <si>
    <t>=NF($F20,"Unit Volume")</t>
  </si>
  <si>
    <t>=NF($F21,"Unit Volume")</t>
  </si>
  <si>
    <t>=NF($F22,"Unit Volume")</t>
  </si>
  <si>
    <t>=NF($F23,"Unit Volume")</t>
  </si>
  <si>
    <t>=NF($F24,"Unit Volume")</t>
  </si>
  <si>
    <t>=NF($F25,"Unit Volume")</t>
  </si>
  <si>
    <t>=NF($F26,"Unit Volume")</t>
  </si>
  <si>
    <t>=NF($F27,"Unit Volume")</t>
  </si>
  <si>
    <t>=NF($F28,"Unit Volume")</t>
  </si>
  <si>
    <t>=NF($F29,"Unit Volume")</t>
  </si>
  <si>
    <t>=NF($F30,"Unit Volume")</t>
  </si>
  <si>
    <t>=NF($F31,"Unit Volume")</t>
  </si>
  <si>
    <t>=NF($F32,"Unit Volume")</t>
  </si>
  <si>
    <t>=NF($F33,"Unit Volume")</t>
  </si>
  <si>
    <t>=NF($F34,"Unit Volume")</t>
  </si>
  <si>
    <t>=NF($F35,"Unit Volume")</t>
  </si>
  <si>
    <t>=NF($F36,"Unit Volume")</t>
  </si>
  <si>
    <t>=NF($F37,"Unit Volume")</t>
  </si>
  <si>
    <t>=NF($F38,"Unit Volume")</t>
  </si>
  <si>
    <t>=NF($F39,"Unit Volume")</t>
  </si>
  <si>
    <t>=NF($F40,"Unit Volume")</t>
  </si>
  <si>
    <t>=NF($F41,"Unit Volume")</t>
  </si>
  <si>
    <t>=NF($F42,"Unit Volume")</t>
  </si>
  <si>
    <t>=NF($F43,"Unit Volume")</t>
  </si>
  <si>
    <t>=NF($F44,"Unit Volume")</t>
  </si>
  <si>
    <t>=NF($F45,"Unit Volume")</t>
  </si>
  <si>
    <t>=NF($F46,"Unit Volume")</t>
  </si>
  <si>
    <t>=NF($F47,"Unit Volume")</t>
  </si>
  <si>
    <t>=NF($F48,"Unit Volume")</t>
  </si>
  <si>
    <t>=NF($F49,"Unit Volume")</t>
  </si>
  <si>
    <t>=NF($F50,"Unit Volume")</t>
  </si>
  <si>
    <t>=NF($F51,"Unit Volume")</t>
  </si>
  <si>
    <t>=NF($F52,"Unit Volume")</t>
  </si>
  <si>
    <t>=NF($F53,"Unit Volume")</t>
  </si>
  <si>
    <t>=NF($F54,"Unit Volume")</t>
  </si>
  <si>
    <t>=NF($F55,"Unit Volume")</t>
  </si>
  <si>
    <t>=NF($F56,"Unit Volume")</t>
  </si>
  <si>
    <t>=NF($F57,"Unit Volume")</t>
  </si>
  <si>
    <t>=NF($F58,"Unit Volume")</t>
  </si>
  <si>
    <t>=NF($F59,"Unit Volume")</t>
  </si>
  <si>
    <t>=NF($F60,"Unit Volume")</t>
  </si>
  <si>
    <t>=NF($F61,"Unit Volume")</t>
  </si>
  <si>
    <t>=NF($F62,"Unit Volume")</t>
  </si>
  <si>
    <t>=NF($F63,"Unit Volume")</t>
  </si>
  <si>
    <t>=NF($F64,"Unit Volume")</t>
  </si>
  <si>
    <t>=NF($F65,"Unit Volume")</t>
  </si>
  <si>
    <t>=NF($F66,"Unit Volume")</t>
  </si>
  <si>
    <t>=NF($F67,"Unit Volume")</t>
  </si>
  <si>
    <t>=NF($F68,"Unit Volume")</t>
  </si>
  <si>
    <t>=NF($F69,"Unit Volume")</t>
  </si>
  <si>
    <t>=NF($F70,"Unit Volume")</t>
  </si>
  <si>
    <t>=NF($F71,"Unit Volume")</t>
  </si>
  <si>
    <t>=NF($F72,"Unit Volume")</t>
  </si>
  <si>
    <t>=NF($F73,"Unit Volume")</t>
  </si>
  <si>
    <t>=NF($F74,"Unit Volume")</t>
  </si>
  <si>
    <t>=NF($F75,"Unit Volume")</t>
  </si>
  <si>
    <t>=NF($F76,"Unit Volume")</t>
  </si>
  <si>
    <t>=NF($F77,"Unit Volume")</t>
  </si>
  <si>
    <t>=NF($F78,"Unit Volume")</t>
  </si>
  <si>
    <t>=NF($F79,"Unit Volume")</t>
  </si>
  <si>
    <t>=NF($F80,"Unit Volume")</t>
  </si>
  <si>
    <t>=NF($F81,"Unit Volume")</t>
  </si>
  <si>
    <t>=NF($F82,"Unit Volume")</t>
  </si>
  <si>
    <t>=NF($F83,"Unit Volume")</t>
  </si>
  <si>
    <t>=NF($F84,"Unit Volume")</t>
  </si>
  <si>
    <t>=NF($F85,"Unit Volume")</t>
  </si>
  <si>
    <t>=NF($F86,"Unit Volume")</t>
  </si>
  <si>
    <t>=NF($F87,"Unit Volume")</t>
  </si>
  <si>
    <t>=NF($F88,"Unit Volume")</t>
  </si>
  <si>
    <t>=NF($F89,"Unit Volume")</t>
  </si>
  <si>
    <t>=NF($F90,"Unit Volume")</t>
  </si>
  <si>
    <t>=NF($F91,"Unit Volume")</t>
  </si>
  <si>
    <t>=NF($F92,"Unit Volume")</t>
  </si>
  <si>
    <t>=NF($F93,"Unit Volume")</t>
  </si>
  <si>
    <t>=NF($F94,"Unit Volume")</t>
  </si>
  <si>
    <t>=NF($F95,"Unit Volume")</t>
  </si>
  <si>
    <t>=NF($F96,"Unit Volume")</t>
  </si>
  <si>
    <t>=NF($F97,"Unit Volume")</t>
  </si>
  <si>
    <t>=NF($F98,"Unit Volume")</t>
  </si>
  <si>
    <t>=NF($F99,"Unit Volume")</t>
  </si>
  <si>
    <t>=NF($F100,"Unit Volume")</t>
  </si>
  <si>
    <t>=NF($F101,"Unit Volume")</t>
  </si>
  <si>
    <t>=NF($F102,"Unit Volume")</t>
  </si>
  <si>
    <t>=NF($F103,"Unit Volume")</t>
  </si>
  <si>
    <t>=NF($F104,"Unit Volume")</t>
  </si>
  <si>
    <t>=NF($F105,"Unit Volume")</t>
  </si>
  <si>
    <t>=NF($F106,"Unit Volume")</t>
  </si>
  <si>
    <t>=NF($F107,"Unit Volume")</t>
  </si>
  <si>
    <t>=NF($F108,"Unit Volume")</t>
  </si>
  <si>
    <t>=NF($F109,"Unit Volume")</t>
  </si>
  <si>
    <t>=NF($F110,"Unit Volume")</t>
  </si>
  <si>
    <t>=NF($F111,"Unit Volume")</t>
  </si>
  <si>
    <t>=NF($F112,"Unit Volume")</t>
  </si>
  <si>
    <t>=NF($F113,"Unit Volume")</t>
  </si>
  <si>
    <t>=NF($F114,"Unit Volume")</t>
  </si>
  <si>
    <t>=NF($F115,"Unit Volume")</t>
  </si>
  <si>
    <t>=NF($F116,"Unit Volume")</t>
  </si>
  <si>
    <t>=NF($F117,"Unit Volume")</t>
  </si>
  <si>
    <t>=NF($F118,"Unit Volume")</t>
  </si>
  <si>
    <t>=NF($F119,"Unit Volume")</t>
  </si>
  <si>
    <t>=NF($F120,"Unit Volume")</t>
  </si>
  <si>
    <t>=NF($F121,"Unit Volume")</t>
  </si>
  <si>
    <t>=NF($F122,"Unit Volume")</t>
  </si>
  <si>
    <t>=NF($F123,"Unit Volume")</t>
  </si>
  <si>
    <t>=NF($F124,"Unit Volume")</t>
  </si>
  <si>
    <t>=NF($F125,"Unit Volume")</t>
  </si>
  <si>
    <t>=NF($F126,"Unit Volume")</t>
  </si>
  <si>
    <t>=NF($F127,"Unit Volume")</t>
  </si>
  <si>
    <t>=NF($F128,"Unit Volume")</t>
  </si>
  <si>
    <t>=NF($F129,"Unit Volume")</t>
  </si>
  <si>
    <t>=NF($F130,"Unit Volume")</t>
  </si>
  <si>
    <t>=NF($F131,"Unit Volume")</t>
  </si>
  <si>
    <t>=NF($F132,"Unit Volume")</t>
  </si>
  <si>
    <t>=NF($F133,"Unit Volume")</t>
  </si>
  <si>
    <t>=NF($F134,"Unit Volume")</t>
  </si>
  <si>
    <t>=NF($F135,"Unit Volume")</t>
  </si>
  <si>
    <t>=NF($F136,"Unit Volume")</t>
  </si>
  <si>
    <t>=NF($F137,"Unit Volume")</t>
  </si>
  <si>
    <t>=NF($F138,"Unit Volume")</t>
  </si>
  <si>
    <t>=NF($F139,"Unit Volume")</t>
  </si>
  <si>
    <t>=NF($F140,"Unit Volume")</t>
  </si>
  <si>
    <t>=NF($F141,"Unit Volume")</t>
  </si>
  <si>
    <t>=NF($F142,"Unit Volume")</t>
  </si>
  <si>
    <t>=NF($F143,"Unit Volume")</t>
  </si>
  <si>
    <t>=NF($F144,"Unit Volume")</t>
  </si>
  <si>
    <t>=NF($F145,"Unit Volume")</t>
  </si>
  <si>
    <t>=NF($F146,"Unit Volume")</t>
  </si>
  <si>
    <t>=NF($F147,"Unit Volume")</t>
  </si>
  <si>
    <t>=NF($F148,"Unit Volume")</t>
  </si>
  <si>
    <t>=NF($F149,"Unit Volume")</t>
  </si>
  <si>
    <t>=NF($F150,"Unit Volume")</t>
  </si>
  <si>
    <t>=NF($F151,"Unit Volume")</t>
  </si>
  <si>
    <t>=NF($F152,"Unit Volume")</t>
  </si>
  <si>
    <t>=NF($F153,"Unit Volume")</t>
  </si>
  <si>
    <t>=NF($F154,"Unit Volume")</t>
  </si>
  <si>
    <t>=NF($F12,"Units per Parcel")</t>
  </si>
  <si>
    <t>=NF($F13,"Units per Parcel")</t>
  </si>
  <si>
    <t>=NF($F14,"Units per Parcel")</t>
  </si>
  <si>
    <t>=NF($F15,"Units per Parcel")</t>
  </si>
  <si>
    <t>=NF($F16,"Units per Parcel")</t>
  </si>
  <si>
    <t>=NF($F17,"Units per Parcel")</t>
  </si>
  <si>
    <t>=NF($F18,"Units per Parcel")</t>
  </si>
  <si>
    <t>=NF($F19,"Units per Parcel")</t>
  </si>
  <si>
    <t>=NF($F20,"Units per Parcel")</t>
  </si>
  <si>
    <t>=NF($F21,"Units per Parcel")</t>
  </si>
  <si>
    <t>=NF($F22,"Units per Parcel")</t>
  </si>
  <si>
    <t>=NF($F23,"Units per Parcel")</t>
  </si>
  <si>
    <t>=NF($F24,"Units per Parcel")</t>
  </si>
  <si>
    <t>=NF($F25,"Units per Parcel")</t>
  </si>
  <si>
    <t>=NF($F26,"Units per Parcel")</t>
  </si>
  <si>
    <t>=NF($F27,"Units per Parcel")</t>
  </si>
  <si>
    <t>=NF($F28,"Units per Parcel")</t>
  </si>
  <si>
    <t>=NF($F29,"Units per Parcel")</t>
  </si>
  <si>
    <t>=NF($F30,"Units per Parcel")</t>
  </si>
  <si>
    <t>=NF($F31,"Units per Parcel")</t>
  </si>
  <si>
    <t>=NF($F32,"Units per Parcel")</t>
  </si>
  <si>
    <t>=NF($F33,"Units per Parcel")</t>
  </si>
  <si>
    <t>=NF($F34,"Units per Parcel")</t>
  </si>
  <si>
    <t>=NF($F35,"Units per Parcel")</t>
  </si>
  <si>
    <t>=NF($F36,"Units per Parcel")</t>
  </si>
  <si>
    <t>=NF($F37,"Units per Parcel")</t>
  </si>
  <si>
    <t>=NF($F38,"Units per Parcel")</t>
  </si>
  <si>
    <t>=NF($F39,"Units per Parcel")</t>
  </si>
  <si>
    <t>=NF($F40,"Units per Parcel")</t>
  </si>
  <si>
    <t>=NF($F41,"Units per Parcel")</t>
  </si>
  <si>
    <t>=NF($F42,"Units per Parcel")</t>
  </si>
  <si>
    <t>=NF($F43,"Units per Parcel")</t>
  </si>
  <si>
    <t>=NF($F44,"Units per Parcel")</t>
  </si>
  <si>
    <t>=NF($F45,"Units per Parcel")</t>
  </si>
  <si>
    <t>=NF($F46,"Units per Parcel")</t>
  </si>
  <si>
    <t>=NF($F47,"Units per Parcel")</t>
  </si>
  <si>
    <t>=NF($F48,"Units per Parcel")</t>
  </si>
  <si>
    <t>=NF($F49,"Units per Parcel")</t>
  </si>
  <si>
    <t>=NF($F50,"Units per Parcel")</t>
  </si>
  <si>
    <t>=NF($F51,"Units per Parcel")</t>
  </si>
  <si>
    <t>=NF($F52,"Units per Parcel")</t>
  </si>
  <si>
    <t>=NF($F53,"Units per Parcel")</t>
  </si>
  <si>
    <t>=NF($F54,"Units per Parcel")</t>
  </si>
  <si>
    <t>=NF($F55,"Units per Parcel")</t>
  </si>
  <si>
    <t>=NF($F56,"Units per Parcel")</t>
  </si>
  <si>
    <t>=NF($F57,"Units per Parcel")</t>
  </si>
  <si>
    <t>=NF($F58,"Units per Parcel")</t>
  </si>
  <si>
    <t>=NF($F59,"Units per Parcel")</t>
  </si>
  <si>
    <t>=NF($F60,"Units per Parcel")</t>
  </si>
  <si>
    <t>=NF($F61,"Units per Parcel")</t>
  </si>
  <si>
    <t>=NF($F62,"Units per Parcel")</t>
  </si>
  <si>
    <t>=NF($F63,"Units per Parcel")</t>
  </si>
  <si>
    <t>=NF($F64,"Units per Parcel")</t>
  </si>
  <si>
    <t>=NF($F65,"Units per Parcel")</t>
  </si>
  <si>
    <t>=NF($F66,"Units per Parcel")</t>
  </si>
  <si>
    <t>=NF($F67,"Units per Parcel")</t>
  </si>
  <si>
    <t>=NF($F68,"Units per Parcel")</t>
  </si>
  <si>
    <t>=NF($F69,"Units per Parcel")</t>
  </si>
  <si>
    <t>=NF($F70,"Units per Parcel")</t>
  </si>
  <si>
    <t>=NF($F71,"Units per Parcel")</t>
  </si>
  <si>
    <t>=NF($F72,"Units per Parcel")</t>
  </si>
  <si>
    <t>=NF($F73,"Units per Parcel")</t>
  </si>
  <si>
    <t>=NF($F74,"Units per Parcel")</t>
  </si>
  <si>
    <t>=NF($F75,"Units per Parcel")</t>
  </si>
  <si>
    <t>=NF($F76,"Units per Parcel")</t>
  </si>
  <si>
    <t>=NF($F77,"Units per Parcel")</t>
  </si>
  <si>
    <t>=NF($F78,"Units per Parcel")</t>
  </si>
  <si>
    <t>=NF($F79,"Units per Parcel")</t>
  </si>
  <si>
    <t>=NF($F80,"Units per Parcel")</t>
  </si>
  <si>
    <t>=NF($F81,"Units per Parcel")</t>
  </si>
  <si>
    <t>=NF($F82,"Units per Parcel")</t>
  </si>
  <si>
    <t>=NF($F83,"Units per Parcel")</t>
  </si>
  <si>
    <t>=NF($F84,"Units per Parcel")</t>
  </si>
  <si>
    <t>=NF($F85,"Units per Parcel")</t>
  </si>
  <si>
    <t>=NF($F86,"Units per Parcel")</t>
  </si>
  <si>
    <t>=NF($F87,"Units per Parcel")</t>
  </si>
  <si>
    <t>=NF($F88,"Units per Parcel")</t>
  </si>
  <si>
    <t>=NF($F89,"Units per Parcel")</t>
  </si>
  <si>
    <t>=NF($F90,"Units per Parcel")</t>
  </si>
  <si>
    <t>=NF($F91,"Units per Parcel")</t>
  </si>
  <si>
    <t>=NF($F92,"Units per Parcel")</t>
  </si>
  <si>
    <t>=NF($F93,"Units per Parcel")</t>
  </si>
  <si>
    <t>=NF($F94,"Units per Parcel")</t>
  </si>
  <si>
    <t>=NF($F95,"Units per Parcel")</t>
  </si>
  <si>
    <t>=NF($F96,"Units per Parcel")</t>
  </si>
  <si>
    <t>=NF($F97,"Units per Parcel")</t>
  </si>
  <si>
    <t>=NF($F98,"Units per Parcel")</t>
  </si>
  <si>
    <t>=NF($F99,"Units per Parcel")</t>
  </si>
  <si>
    <t>=NF($F100,"Units per Parcel")</t>
  </si>
  <si>
    <t>=NF($F101,"Units per Parcel")</t>
  </si>
  <si>
    <t>=NF($F102,"Units per Parcel")</t>
  </si>
  <si>
    <t>=NF($F103,"Units per Parcel")</t>
  </si>
  <si>
    <t>=NF($F104,"Units per Parcel")</t>
  </si>
  <si>
    <t>=NF($F105,"Units per Parcel")</t>
  </si>
  <si>
    <t>=NF($F106,"Units per Parcel")</t>
  </si>
  <si>
    <t>=NF($F107,"Units per Parcel")</t>
  </si>
  <si>
    <t>=NF($F108,"Units per Parcel")</t>
  </si>
  <si>
    <t>=NF($F109,"Units per Parcel")</t>
  </si>
  <si>
    <t>=NF($F110,"Units per Parcel")</t>
  </si>
  <si>
    <t>=NF($F111,"Units per Parcel")</t>
  </si>
  <si>
    <t>=NF($F112,"Units per Parcel")</t>
  </si>
  <si>
    <t>=NF($F113,"Units per Parcel")</t>
  </si>
  <si>
    <t>=NF($F114,"Units per Parcel")</t>
  </si>
  <si>
    <t>=NF($F115,"Units per Parcel")</t>
  </si>
  <si>
    <t>=NF($F116,"Units per Parcel")</t>
  </si>
  <si>
    <t>=NF($F117,"Units per Parcel")</t>
  </si>
  <si>
    <t>=NF($F118,"Units per Parcel")</t>
  </si>
  <si>
    <t>=NF($F119,"Units per Parcel")</t>
  </si>
  <si>
    <t>=NF($F120,"Units per Parcel")</t>
  </si>
  <si>
    <t>=NF($F121,"Units per Parcel")</t>
  </si>
  <si>
    <t>=NF($F122,"Units per Parcel")</t>
  </si>
  <si>
    <t>=NF($F123,"Units per Parcel")</t>
  </si>
  <si>
    <t>=NF($F124,"Units per Parcel")</t>
  </si>
  <si>
    <t>=NF($F125,"Units per Parcel")</t>
  </si>
  <si>
    <t>=NF($F126,"Units per Parcel")</t>
  </si>
  <si>
    <t>=NF($F127,"Units per Parcel")</t>
  </si>
  <si>
    <t>=NF($F128,"Units per Parcel")</t>
  </si>
  <si>
    <t>=NF($F129,"Units per Parcel")</t>
  </si>
  <si>
    <t>=NF($F130,"Units per Parcel")</t>
  </si>
  <si>
    <t>=NF($F131,"Units per Parcel")</t>
  </si>
  <si>
    <t>=NF($F132,"Units per Parcel")</t>
  </si>
  <si>
    <t>=NF($F133,"Units per Parcel")</t>
  </si>
  <si>
    <t>=NF($F134,"Units per Parcel")</t>
  </si>
  <si>
    <t>=NF($F135,"Units per Parcel")</t>
  </si>
  <si>
    <t>=NF($F136,"Units per Parcel")</t>
  </si>
  <si>
    <t>=NF($F137,"Units per Parcel")</t>
  </si>
  <si>
    <t>=NF($F138,"Units per Parcel")</t>
  </si>
  <si>
    <t>=NF($F139,"Units per Parcel")</t>
  </si>
  <si>
    <t>=NF($F140,"Units per Parcel")</t>
  </si>
  <si>
    <t>=NF($F141,"Units per Parcel")</t>
  </si>
  <si>
    <t>=NF($F142,"Units per Parcel")</t>
  </si>
  <si>
    <t>=NF($F143,"Units per Parcel")</t>
  </si>
  <si>
    <t>=NF($F144,"Units per Parcel")</t>
  </si>
  <si>
    <t>=NF($F145,"Units per Parcel")</t>
  </si>
  <si>
    <t>=NF($F146,"Units per Parcel")</t>
  </si>
  <si>
    <t>=NF($F147,"Units per Parcel")</t>
  </si>
  <si>
    <t>=NF($F148,"Units per Parcel")</t>
  </si>
  <si>
    <t>=NF($F149,"Units per Parcel")</t>
  </si>
  <si>
    <t>=NF($F150,"Units per Parcel")</t>
  </si>
  <si>
    <t>=NF($F151,"Units per Parcel")</t>
  </si>
  <si>
    <t>=NF($F152,"Units per Parcel")</t>
  </si>
  <si>
    <t>=NF($F153,"Units per Parcel")</t>
  </si>
  <si>
    <t>=NF($F154,"Units per Parcel")</t>
  </si>
  <si>
    <t>Auto+Hide+Values+Formulas=Sheet5,Sheet6+FormulasOnly</t>
  </si>
  <si>
    <t>Auto+Hide+Values+Formulas=Sheet7,Sheet5,Sheet6</t>
  </si>
  <si>
    <t>Auto+Hide+Values+Formulas=Sheet7,Sheet5,Sheet6+FormulasOnly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</si>
</sst>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C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ha Sampath-Kumar" refreshedDate="43564.530720370371" createdVersion="6" refreshedVersion="6" minRefreshableVersion="3" recordCount="144" xr:uid="{D42AE544-0ABB-46A8-BF4A-0EC069F6BF9D}">
  <cacheSource type="worksheet">
    <worksheetSource ref="G10:AA154" sheet="Sheet1"/>
  </cacheSource>
  <cacheFields count="21">
    <cacheField name="Description" numFmtId="0">
      <sharedItems/>
    </cacheField>
    <cacheField name="Lot Size" numFmtId="0">
      <sharedItems containsSemiMixedTypes="0" containsString="0" containsNumber="1" containsInteger="1" minValue="0" maxValue="10"/>
    </cacheField>
    <cacheField name="Lot Nos." numFmtId="0">
      <sharedItems/>
    </cacheField>
    <cacheField name="Maximum Order Quantity" numFmtId="0">
      <sharedItems containsSemiMixedTypes="0" containsString="0" containsNumber="1" containsInteger="1" minValue="0" maxValue="100"/>
    </cacheField>
    <cacheField name="Minimum Order Quantity" numFmtId="0">
      <sharedItems containsSemiMixedTypes="0" containsString="0" containsNumber="1" containsInteger="1" minValue="0" maxValue="10"/>
    </cacheField>
    <cacheField name="Manufacturer Code" numFmtId="0">
      <sharedItems/>
    </cacheField>
    <cacheField name="Net Weight" numFmtId="0">
      <sharedItems containsSemiMixedTypes="0" containsString="0" containsNumber="1" minValue="0" maxValue="12180"/>
    </cacheField>
    <cacheField name="Net Change" numFmtId="0">
      <sharedItems containsSemiMixedTypes="0" containsString="0" containsNumber="1" minValue="-102.47520000000002" maxValue="10000"/>
    </cacheField>
    <cacheField name="Next Counting End Date" numFmtId="0">
      <sharedItems/>
    </cacheField>
    <cacheField name="Next Counting Start Date" numFmtId="0">
      <sharedItems/>
    </cacheField>
    <cacheField name="No." numFmtId="0">
      <sharedItems/>
    </cacheField>
    <cacheField name="Profit %" numFmtId="0">
      <sharedItems containsSemiMixedTypes="0" containsString="0" containsNumber="1" minValue="0" maxValue="98.867999999999995"/>
    </cacheField>
    <cacheField name="Purchases ($)" numFmtId="0">
      <sharedItems containsSemiMixedTypes="0" containsString="0" containsNumber="1" minValue="-43684" maxValue="65598.42"/>
    </cacheField>
    <cacheField name="Qty. in Transit" numFmtId="0">
      <sharedItems containsSemiMixedTypes="0" containsString="0" containsNumber="1" containsInteger="1" minValue="0" maxValue="1300"/>
    </cacheField>
    <cacheField name="Qty. Picked" numFmtId="0">
      <sharedItems containsSemiMixedTypes="0" containsString="0" containsNumber="1" containsInteger="1" minValue="0" maxValue="38"/>
    </cacheField>
    <cacheField name="Quantity on Hand" numFmtId="0">
      <sharedItems containsSemiMixedTypes="0" containsString="0" containsNumber="1" minValue="-102.47520000000002" maxValue="10000"/>
    </cacheField>
    <cacheField name="Tariff No." numFmtId="0">
      <sharedItems/>
    </cacheField>
    <cacheField name="Unit List Price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" maxValue="5422.7000000000007"/>
    </cacheField>
    <cacheField name="Unit Volume" numFmtId="0">
      <sharedItems containsSemiMixedTypes="0" containsString="0" containsNumber="1" minValue="0" maxValue="6.67"/>
    </cacheField>
    <cacheField name="Units per Parcel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Bicycle"/>
    <n v="10"/>
    <s v=""/>
    <n v="0"/>
    <n v="0"/>
    <s v=""/>
    <n v="0"/>
    <n v="32"/>
    <s v=""/>
    <s v=""/>
    <s v="1000"/>
    <n v="91.235129999999998"/>
    <n v="0"/>
    <n v="0"/>
    <n v="0"/>
    <n v="32"/>
    <s v=""/>
    <n v="0"/>
    <n v="350.59499999999997"/>
    <n v="0"/>
    <n v="0"/>
  </r>
  <r>
    <s v="Touring Bicycle"/>
    <n v="10"/>
    <s v=""/>
    <n v="0"/>
    <n v="0"/>
    <s v=""/>
    <n v="0"/>
    <n v="0"/>
    <s v=""/>
    <s v=""/>
    <s v="1001"/>
    <n v="91.235129999999998"/>
    <n v="0"/>
    <n v="0"/>
    <n v="0"/>
    <n v="0"/>
    <s v=""/>
    <n v="0"/>
    <n v="350.59499999999997"/>
    <n v="0"/>
    <n v="0"/>
  </r>
  <r>
    <s v="Front Wheel"/>
    <n v="10"/>
    <s v=""/>
    <n v="0"/>
    <n v="0"/>
    <s v=""/>
    <n v="0"/>
    <n v="152"/>
    <s v=""/>
    <s v=""/>
    <s v="1100"/>
    <n v="87.032899999999998"/>
    <n v="0"/>
    <n v="0"/>
    <n v="0"/>
    <n v="152"/>
    <s v=""/>
    <n v="0"/>
    <n v="129.67099999999999"/>
    <n v="0"/>
    <n v="0"/>
  </r>
  <r>
    <s v="Rim"/>
    <n v="10"/>
    <s v=""/>
    <n v="100"/>
    <n v="5"/>
    <s v=""/>
    <n v="0"/>
    <n v="400"/>
    <s v=""/>
    <s v=""/>
    <s v="1110"/>
    <n v="0"/>
    <n v="0"/>
    <n v="0"/>
    <n v="0"/>
    <n v="400"/>
    <s v=""/>
    <n v="0"/>
    <n v="1.05"/>
    <n v="0"/>
    <n v="0"/>
  </r>
  <r>
    <s v="Spokes"/>
    <n v="10"/>
    <s v=""/>
    <n v="0"/>
    <n v="5"/>
    <s v=""/>
    <n v="0"/>
    <n v="10000"/>
    <s v=""/>
    <s v=""/>
    <s v="1120"/>
    <n v="0"/>
    <n v="0"/>
    <n v="0"/>
    <n v="0"/>
    <n v="10000"/>
    <s v=""/>
    <n v="0"/>
    <n v="2"/>
    <n v="0"/>
    <n v="0"/>
  </r>
  <r>
    <s v="Front Hub"/>
    <n v="10"/>
    <s v=""/>
    <n v="100"/>
    <n v="5"/>
    <s v=""/>
    <n v="0"/>
    <n v="200"/>
    <s v=""/>
    <s v=""/>
    <s v="1150"/>
    <n v="97.511799999999994"/>
    <n v="0"/>
    <n v="0"/>
    <n v="0"/>
    <n v="200"/>
    <s v=""/>
    <n v="0"/>
    <n v="12.440999999999999"/>
    <n v="0"/>
    <n v="0"/>
  </r>
  <r>
    <s v="Axle Front Wheel"/>
    <n v="10"/>
    <s v=""/>
    <n v="100"/>
    <n v="5"/>
    <s v=""/>
    <n v="0"/>
    <n v="200"/>
    <s v=""/>
    <s v=""/>
    <s v="1151"/>
    <n v="0"/>
    <n v="0"/>
    <n v="0"/>
    <n v="0"/>
    <n v="200"/>
    <s v=""/>
    <n v="0"/>
    <n v="0.45"/>
    <n v="0"/>
    <n v="0"/>
  </r>
  <r>
    <s v="Socket Front"/>
    <n v="10"/>
    <s v=""/>
    <n v="100"/>
    <n v="5"/>
    <s v=""/>
    <n v="0"/>
    <n v="200"/>
    <s v=""/>
    <s v=""/>
    <s v="1155"/>
    <n v="0"/>
    <n v="0"/>
    <n v="0"/>
    <n v="0"/>
    <n v="200"/>
    <s v=""/>
    <n v="0"/>
    <n v="0.77"/>
    <n v="0"/>
    <n v="0"/>
  </r>
  <r>
    <s v="Tire"/>
    <n v="10"/>
    <s v=""/>
    <n v="100"/>
    <n v="5"/>
    <s v=""/>
    <n v="0"/>
    <n v="200"/>
    <s v=""/>
    <s v=""/>
    <s v="1160"/>
    <n v="0"/>
    <n v="0"/>
    <n v="0"/>
    <n v="0"/>
    <n v="200"/>
    <s v=""/>
    <n v="0"/>
    <n v="1.23"/>
    <n v="0"/>
    <n v="0"/>
  </r>
  <r>
    <s v="Tube"/>
    <n v="10"/>
    <s v=""/>
    <n v="100"/>
    <n v="5"/>
    <s v=""/>
    <n v="0"/>
    <n v="200"/>
    <s v=""/>
    <s v=""/>
    <s v="1170"/>
    <n v="0"/>
    <n v="0"/>
    <n v="0"/>
    <n v="0"/>
    <n v="200"/>
    <s v=""/>
    <n v="0"/>
    <n v="1.75"/>
    <n v="0"/>
    <n v="0"/>
  </r>
  <r>
    <s v="Back Wheel"/>
    <n v="10"/>
    <s v=""/>
    <n v="0"/>
    <n v="0"/>
    <s v=""/>
    <n v="0"/>
    <n v="152"/>
    <s v=""/>
    <s v=""/>
    <s v="1200"/>
    <n v="89.193170000000009"/>
    <n v="0"/>
    <n v="0"/>
    <n v="0"/>
    <n v="152"/>
    <s v=""/>
    <n v="0"/>
    <n v="129.68200000000002"/>
    <n v="0"/>
    <n v="0"/>
  </r>
  <r>
    <s v="Back Hub"/>
    <n v="10"/>
    <s v=""/>
    <n v="100"/>
    <n v="10"/>
    <s v=""/>
    <n v="0"/>
    <n v="200"/>
    <s v=""/>
    <s v=""/>
    <s v="1250"/>
    <n v="98.867999999999995"/>
    <n v="0"/>
    <n v="0"/>
    <n v="0"/>
    <n v="200"/>
    <s v=""/>
    <n v="0"/>
    <n v="12.452"/>
    <n v="0"/>
    <n v="0"/>
  </r>
  <r>
    <s v="Axle Back Wheel"/>
    <n v="10"/>
    <s v=""/>
    <n v="100"/>
    <n v="5"/>
    <s v=""/>
    <n v="0"/>
    <n v="10000"/>
    <s v=""/>
    <s v=""/>
    <s v="1251"/>
    <n v="0"/>
    <n v="0"/>
    <n v="0"/>
    <n v="0"/>
    <n v="10000"/>
    <s v=""/>
    <n v="0"/>
    <n v="0.33"/>
    <n v="0"/>
    <n v="0"/>
  </r>
  <r>
    <s v="Socket Back"/>
    <n v="10"/>
    <s v=""/>
    <n v="100"/>
    <n v="5"/>
    <s v=""/>
    <n v="0"/>
    <n v="200"/>
    <s v=""/>
    <s v=""/>
    <s v="1255"/>
    <n v="0"/>
    <n v="0"/>
    <n v="0"/>
    <n v="0"/>
    <n v="200"/>
    <s v=""/>
    <n v="0"/>
    <n v="0.9"/>
    <n v="0"/>
    <n v="0"/>
  </r>
  <r>
    <s v="Chain Assy"/>
    <n v="10"/>
    <s v=""/>
    <n v="100"/>
    <n v="10"/>
    <s v=""/>
    <n v="0"/>
    <n v="152"/>
    <s v=""/>
    <s v=""/>
    <s v="1300"/>
    <n v="98.355380000000011"/>
    <n v="0"/>
    <n v="0"/>
    <n v="0"/>
    <n v="152"/>
    <s v=""/>
    <n v="0"/>
    <n v="13.156999999999998"/>
    <n v="0"/>
    <n v="0"/>
  </r>
  <r>
    <s v="Chain"/>
    <n v="10"/>
    <s v=""/>
    <n v="100"/>
    <n v="5"/>
    <s v=""/>
    <n v="0"/>
    <n v="100"/>
    <s v=""/>
    <s v=""/>
    <s v="1310"/>
    <n v="0"/>
    <n v="0"/>
    <n v="0"/>
    <n v="0"/>
    <n v="100"/>
    <s v=""/>
    <n v="0"/>
    <n v="1.99"/>
    <n v="0"/>
    <n v="0"/>
  </r>
  <r>
    <s v="Chain Wheel Front"/>
    <n v="10"/>
    <s v=""/>
    <n v="100"/>
    <n v="5"/>
    <s v=""/>
    <n v="0"/>
    <n v="100"/>
    <s v=""/>
    <s v=""/>
    <s v="1320"/>
    <n v="0"/>
    <n v="0"/>
    <n v="0"/>
    <n v="0"/>
    <n v="100"/>
    <s v=""/>
    <n v="0"/>
    <n v="4.66"/>
    <n v="0"/>
    <n v="0"/>
  </r>
  <r>
    <s v="Chain Wheel Back"/>
    <n v="10"/>
    <s v=""/>
    <n v="0"/>
    <n v="0"/>
    <s v=""/>
    <n v="0"/>
    <n v="100"/>
    <s v=""/>
    <s v=""/>
    <s v="1330"/>
    <n v="0"/>
    <n v="0"/>
    <n v="0"/>
    <n v="0"/>
    <n v="100"/>
    <s v=""/>
    <n v="0"/>
    <n v="5.88"/>
    <n v="0"/>
    <n v="0"/>
  </r>
  <r>
    <s v="Mudguard front"/>
    <n v="10"/>
    <s v=""/>
    <n v="0"/>
    <n v="0"/>
    <s v=""/>
    <n v="0"/>
    <n v="152"/>
    <s v=""/>
    <s v=""/>
    <s v="1400"/>
    <n v="0"/>
    <n v="0"/>
    <n v="0"/>
    <n v="0"/>
    <n v="152"/>
    <s v=""/>
    <n v="0"/>
    <n v="3.9"/>
    <n v="0"/>
    <n v="0"/>
  </r>
  <r>
    <s v="Mudguard back"/>
    <n v="10"/>
    <s v=""/>
    <n v="0"/>
    <n v="0"/>
    <s v=""/>
    <n v="0"/>
    <n v="152"/>
    <s v=""/>
    <s v=""/>
    <s v="1450"/>
    <n v="0"/>
    <n v="0"/>
    <n v="0"/>
    <n v="0"/>
    <n v="152"/>
    <s v=""/>
    <n v="0"/>
    <n v="3.9"/>
    <n v="0"/>
    <n v="0"/>
  </r>
  <r>
    <s v="Lamp"/>
    <n v="10"/>
    <s v=""/>
    <n v="0"/>
    <n v="0"/>
    <s v=""/>
    <n v="0"/>
    <n v="152"/>
    <s v=""/>
    <s v=""/>
    <s v="1500"/>
    <n v="0"/>
    <n v="0"/>
    <n v="0"/>
    <n v="0"/>
    <n v="152"/>
    <s v=""/>
    <n v="0"/>
    <n v="5.2"/>
    <n v="0"/>
    <n v="0"/>
  </r>
  <r>
    <s v="Bell"/>
    <n v="10"/>
    <s v=""/>
    <n v="0"/>
    <n v="0"/>
    <s v=""/>
    <n v="0"/>
    <n v="152"/>
    <s v=""/>
    <s v=""/>
    <s v="1600"/>
    <n v="0"/>
    <n v="0"/>
    <n v="0"/>
    <n v="0"/>
    <n v="152"/>
    <s v=""/>
    <n v="0"/>
    <n v="2.7"/>
    <n v="0"/>
    <n v="0"/>
  </r>
  <r>
    <s v="Brake"/>
    <n v="10"/>
    <s v=""/>
    <n v="100"/>
    <n v="10"/>
    <s v=""/>
    <n v="0"/>
    <n v="152"/>
    <s v=""/>
    <s v=""/>
    <s v="1700"/>
    <n v="98.372499999999988"/>
    <n v="0"/>
    <n v="0"/>
    <n v="0"/>
    <n v="152"/>
    <s v=""/>
    <n v="0"/>
    <n v="9.7650000000000006"/>
    <n v="0"/>
    <n v="0"/>
  </r>
  <r>
    <s v="Hand rear wheel Brake"/>
    <n v="10"/>
    <s v=""/>
    <n v="0"/>
    <n v="0"/>
    <s v=""/>
    <n v="0"/>
    <n v="200"/>
    <s v=""/>
    <s v=""/>
    <s v="1710"/>
    <n v="0"/>
    <n v="0"/>
    <n v="0"/>
    <n v="0"/>
    <n v="200"/>
    <s v=""/>
    <n v="0"/>
    <n v="4.5"/>
    <n v="0"/>
    <n v="0"/>
  </r>
  <r>
    <s v="Hand front wheel Brake"/>
    <n v="10"/>
    <s v=""/>
    <n v="0"/>
    <n v="0"/>
    <s v=""/>
    <n v="0"/>
    <n v="200"/>
    <s v=""/>
    <s v=""/>
    <s v="1720"/>
    <n v="0"/>
    <n v="0"/>
    <n v="0"/>
    <n v="0"/>
    <n v="200"/>
    <s v=""/>
    <n v="0"/>
    <n v="4.8"/>
    <n v="0"/>
    <n v="0"/>
  </r>
  <r>
    <s v="Handlebars"/>
    <n v="10"/>
    <s v=""/>
    <n v="0"/>
    <n v="0"/>
    <s v=""/>
    <n v="0"/>
    <n v="152"/>
    <s v=""/>
    <s v=""/>
    <s v="1800"/>
    <n v="0"/>
    <n v="0"/>
    <n v="0"/>
    <n v="0"/>
    <n v="152"/>
    <s v=""/>
    <n v="0"/>
    <n v="2.12"/>
    <n v="0"/>
    <n v="0"/>
  </r>
  <r>
    <s v="Saddle"/>
    <n v="10"/>
    <s v=""/>
    <n v="0"/>
    <n v="0"/>
    <s v=""/>
    <n v="0"/>
    <n v="152"/>
    <s v=""/>
    <s v=""/>
    <s v="1850"/>
    <n v="0"/>
    <n v="0"/>
    <n v="0"/>
    <n v="0"/>
    <n v="152"/>
    <s v=""/>
    <n v="0"/>
    <n v="7.2"/>
    <n v="0"/>
    <n v="0"/>
  </r>
  <r>
    <s v="ATHENS Desk"/>
    <n v="0"/>
    <s v=""/>
    <n v="0"/>
    <n v="0"/>
    <s v=""/>
    <n v="34.6"/>
    <n v="254.00000000000003"/>
    <s v=""/>
    <s v=""/>
    <s v="1896-S"/>
    <n v="21.99241"/>
    <n v="0"/>
    <n v="25"/>
    <n v="0"/>
    <n v="254.00000000000003"/>
    <s v="9403 30 11"/>
    <n v="0"/>
    <n v="780.69999999999993"/>
    <n v="1.2"/>
    <n v="0"/>
  </r>
  <r>
    <s v="Frame"/>
    <n v="10"/>
    <s v=""/>
    <n v="0"/>
    <n v="0"/>
    <s v=""/>
    <n v="0"/>
    <n v="152"/>
    <s v=""/>
    <s v=""/>
    <s v="1900"/>
    <n v="0"/>
    <n v="0"/>
    <n v="0"/>
    <n v="0"/>
    <n v="152"/>
    <s v=""/>
    <n v="0"/>
    <n v="15.7"/>
    <n v="0"/>
    <n v="0"/>
  </r>
  <r>
    <s v="PARIS Guest Chair, black"/>
    <n v="0"/>
    <s v=""/>
    <n v="0"/>
    <n v="0"/>
    <s v=""/>
    <n v="8.3000000000000007"/>
    <n v="299"/>
    <s v=""/>
    <s v=""/>
    <s v="1900-S"/>
    <n v="22.043569999999999"/>
    <n v="24048"/>
    <n v="0"/>
    <n v="0"/>
    <n v="299"/>
    <s v="9401 71 00"/>
    <n v="0"/>
    <n v="150.30000000000001"/>
    <n v="0.25"/>
    <n v="0"/>
  </r>
  <r>
    <s v="ATHENS Mobile Pedestal"/>
    <n v="0"/>
    <s v=""/>
    <n v="0"/>
    <n v="0"/>
    <s v=""/>
    <n v="17.100000000000001"/>
    <n v="254.00000000000003"/>
    <s v=""/>
    <s v=""/>
    <s v="1906-S"/>
    <n v="22.001850000000001"/>
    <n v="0"/>
    <n v="40"/>
    <n v="0"/>
    <n v="254.00000000000003"/>
    <s v="9403 30 91"/>
    <n v="0"/>
    <n v="338.2"/>
    <n v="0.26"/>
    <n v="0"/>
  </r>
  <r>
    <s v="LONDON Swivel Chair, blue"/>
    <n v="0"/>
    <s v=""/>
    <n v="0"/>
    <n v="0"/>
    <s v=""/>
    <n v="13.9"/>
    <n v="305"/>
    <s v=""/>
    <s v=""/>
    <s v="1908-S"/>
    <n v="22.093630000000001"/>
    <n v="0"/>
    <n v="0"/>
    <n v="0"/>
    <n v="305"/>
    <s v="9401 30 10"/>
    <n v="0"/>
    <n v="148.1"/>
    <n v="0.25"/>
    <n v="0"/>
  </r>
  <r>
    <s v="ANTWERP Conference Table"/>
    <n v="0"/>
    <s v=""/>
    <n v="0"/>
    <n v="0"/>
    <s v=""/>
    <n v="24.4"/>
    <n v="96"/>
    <s v=""/>
    <s v=""/>
    <s v="1920-S"/>
    <n v="21.982089999999999"/>
    <n v="0"/>
    <n v="0"/>
    <n v="0"/>
    <n v="96"/>
    <s v="9403 30 19"/>
    <n v="0"/>
    <n v="505.4"/>
    <n v="0.9"/>
    <n v="0"/>
  </r>
  <r>
    <s v="CHAMONIX Base Storage Unit"/>
    <n v="0"/>
    <s v=""/>
    <n v="0"/>
    <n v="0"/>
    <s v=""/>
    <n v="13.7"/>
    <n v="26"/>
    <s v=""/>
    <s v=""/>
    <s v="1924-W"/>
    <n v="40.24738"/>
    <n v="2390.2000000000003"/>
    <n v="0"/>
    <n v="0"/>
    <n v="26"/>
    <s v="9403 30 19"/>
    <n v="0"/>
    <n v="125.6"/>
    <n v="0.84"/>
    <n v="0"/>
  </r>
  <r>
    <s v="AMSTERDAM Lamp"/>
    <n v="0"/>
    <s v=""/>
    <n v="0"/>
    <n v="0"/>
    <s v=""/>
    <n v="3.5"/>
    <n v="272"/>
    <s v=""/>
    <s v=""/>
    <s v="1928-S"/>
    <n v="22.04007"/>
    <n v="0"/>
    <n v="0"/>
    <n v="0"/>
    <n v="272"/>
    <s v="9405 20 99"/>
    <n v="0"/>
    <n v="42.8"/>
    <n v="0.03"/>
    <n v="0"/>
  </r>
  <r>
    <s v="ST.MORITZ Storage Unit/Drawers"/>
    <n v="0"/>
    <s v=""/>
    <n v="0"/>
    <n v="0"/>
    <s v=""/>
    <n v="23.1"/>
    <n v="67"/>
    <s v=""/>
    <s v=""/>
    <s v="1928-W"/>
    <n v="43.930199999999999"/>
    <n v="17147.400000000001"/>
    <n v="0"/>
    <n v="0"/>
    <n v="67"/>
    <s v="9403 30 19"/>
    <n v="0"/>
    <n v="295.60000000000002"/>
    <n v="1.29"/>
    <n v="0"/>
  </r>
  <r>
    <s v="BERLIN Guest Chair, yellow"/>
    <n v="0"/>
    <s v=""/>
    <n v="0"/>
    <n v="0"/>
    <s v=""/>
    <n v="8.3000000000000007"/>
    <n v="136"/>
    <s v=""/>
    <s v=""/>
    <s v="1936-S"/>
    <n v="22.043569999999999"/>
    <n v="0"/>
    <n v="4"/>
    <n v="0"/>
    <n v="136"/>
    <s v="9401 71 00"/>
    <n v="0"/>
    <n v="150.30000000000001"/>
    <n v="0.25"/>
    <n v="0"/>
  </r>
  <r>
    <s v="OSLO Storage Unit/Shelf"/>
    <n v="0"/>
    <s v=""/>
    <n v="0"/>
    <n v="0"/>
    <s v=""/>
    <n v="15.8"/>
    <n v="15"/>
    <s v=""/>
    <s v=""/>
    <s v="1952-W"/>
    <n v="41.056079999999994"/>
    <n v="1687.14"/>
    <n v="0"/>
    <n v="0"/>
    <n v="15"/>
    <s v="9403 30 19"/>
    <n v="0"/>
    <n v="144"/>
    <n v="1.24"/>
    <n v="0"/>
  </r>
  <r>
    <s v="ROME Guest Chair, green"/>
    <n v="0"/>
    <s v=""/>
    <n v="0"/>
    <n v="0"/>
    <s v=""/>
    <n v="8.3000000000000007"/>
    <n v="177"/>
    <s v=""/>
    <s v=""/>
    <s v="1960-S"/>
    <n v="22.043569999999999"/>
    <n v="0"/>
    <n v="0"/>
    <n v="0"/>
    <n v="177"/>
    <s v="9401 71 00"/>
    <n v="0"/>
    <n v="150.30000000000001"/>
    <n v="0.25"/>
    <n v="0"/>
  </r>
  <r>
    <s v="TOKYO Guest Chair, blue"/>
    <n v="0"/>
    <s v=""/>
    <n v="0"/>
    <n v="0"/>
    <s v=""/>
    <n v="8.3000000000000007"/>
    <n v="112.99999999999999"/>
    <s v=""/>
    <s v=""/>
    <s v="1964-S"/>
    <n v="22.043569999999999"/>
    <n v="1893.78"/>
    <n v="25"/>
    <n v="0"/>
    <n v="112.99999999999999"/>
    <s v="9401 71 00"/>
    <n v="0"/>
    <n v="150.30000000000001"/>
    <n v="0.25"/>
    <n v="0"/>
  </r>
  <r>
    <s v="INNSBRUCK Storage Unit/G.Door"/>
    <n v="0"/>
    <s v=""/>
    <n v="0"/>
    <n v="0"/>
    <s v=""/>
    <n v="22.6"/>
    <n v="54"/>
    <s v=""/>
    <s v=""/>
    <s v="1964-W"/>
    <n v="41.333329999999997"/>
    <n v="14514.5"/>
    <n v="0"/>
    <n v="0"/>
    <n v="54"/>
    <s v="9403 30 91"/>
    <n v="0"/>
    <n v="264"/>
    <n v="1.3"/>
    <n v="0"/>
  </r>
  <r>
    <s v="MEXICO Swivel Chair, black"/>
    <n v="0"/>
    <s v=""/>
    <n v="0"/>
    <n v="0"/>
    <s v=""/>
    <n v="13.9"/>
    <n v="265"/>
    <s v=""/>
    <s v=""/>
    <s v="1968-S"/>
    <n v="22.093630000000001"/>
    <n v="0"/>
    <n v="0"/>
    <n v="0"/>
    <n v="265"/>
    <s v="9401 30 10"/>
    <n v="0"/>
    <n v="148.1"/>
    <n v="0.25"/>
    <n v="0"/>
  </r>
  <r>
    <s v="GRENOBLE Whiteboard, red"/>
    <n v="0"/>
    <s v=""/>
    <n v="0"/>
    <n v="0"/>
    <s v=""/>
    <n v="0"/>
    <n v="-22"/>
    <s v=""/>
    <s v=""/>
    <s v="1968-W"/>
    <n v="27.3048"/>
    <n v="-43684"/>
    <n v="0"/>
    <n v="0"/>
    <n v="-22"/>
    <s v="9403 30 19"/>
    <n v="0"/>
    <n v="1092.0999999999999"/>
    <n v="0"/>
    <n v="0"/>
  </r>
  <r>
    <s v="MUNICH Swivel Chair, yellow"/>
    <n v="0"/>
    <s v=""/>
    <n v="0"/>
    <n v="0"/>
    <s v=""/>
    <n v="13.9"/>
    <n v="122"/>
    <s v=""/>
    <s v=""/>
    <s v="1972-S"/>
    <n v="22.093630000000001"/>
    <n v="0"/>
    <n v="0"/>
    <n v="0"/>
    <n v="122"/>
    <s v="9401 30 10"/>
    <n v="0"/>
    <n v="148.1"/>
    <n v="0.25"/>
    <n v="0"/>
  </r>
  <r>
    <s v="SAPPORO Whiteboard, black"/>
    <n v="0"/>
    <s v=""/>
    <n v="0"/>
    <n v="0"/>
    <s v=""/>
    <n v="71.400000000000006"/>
    <n v="11"/>
    <s v=""/>
    <s v=""/>
    <s v="1972-W"/>
    <n v="27.3048"/>
    <n v="0"/>
    <n v="0"/>
    <n v="0"/>
    <n v="11"/>
    <s v="9403 30 19"/>
    <n v="0"/>
    <n v="1092.0999999999999"/>
    <n v="0.32"/>
    <n v="0"/>
  </r>
  <r>
    <s v="INNSBRUCK Storage Unit/W.Door"/>
    <n v="0"/>
    <s v=""/>
    <n v="0"/>
    <n v="0"/>
    <s v=""/>
    <n v="19"/>
    <n v="-102.47520000000002"/>
    <s v=""/>
    <s v=""/>
    <s v="1976-W"/>
    <n v="41.221180000000004"/>
    <n v="0"/>
    <n v="0"/>
    <n v="0"/>
    <n v="-102.47520000000002"/>
    <s v="9403 30 91"/>
    <n v="0"/>
    <n v="232"/>
    <n v="1.3"/>
    <n v="0"/>
  </r>
  <r>
    <s v="MOSCOW Swivel Chair, red"/>
    <n v="0"/>
    <s v=""/>
    <n v="0"/>
    <n v="0"/>
    <s v=""/>
    <n v="13.9"/>
    <n v="100"/>
    <s v=""/>
    <s v=""/>
    <s v="1980-S"/>
    <n v="22.093630000000001"/>
    <n v="0"/>
    <n v="0"/>
    <n v="0"/>
    <n v="100"/>
    <s v="9401 30 10"/>
    <n v="0"/>
    <n v="148.1"/>
    <n v="0.25"/>
    <n v="0"/>
  </r>
  <r>
    <s v="SARAJEVO Whiteboard, blue"/>
    <n v="0"/>
    <s v=""/>
    <n v="0"/>
    <n v="0"/>
    <s v=""/>
    <n v="71.400000000000006"/>
    <n v="0"/>
    <s v=""/>
    <s v=""/>
    <s v="1984-W"/>
    <n v="27.3048"/>
    <n v="0"/>
    <n v="0"/>
    <n v="0"/>
    <n v="0"/>
    <s v="9403 30 19"/>
    <n v="0"/>
    <n v="1092.0999999999999"/>
    <n v="0.32"/>
    <n v="0"/>
  </r>
  <r>
    <s v="SEOUL Guest Chair, red"/>
    <n v="0"/>
    <s v=""/>
    <n v="0"/>
    <n v="0"/>
    <s v=""/>
    <n v="8.3000000000000007"/>
    <n v="167"/>
    <s v=""/>
    <s v=""/>
    <s v="1988-S"/>
    <n v="22.043569999999999"/>
    <n v="0"/>
    <n v="0"/>
    <n v="0"/>
    <n v="167"/>
    <s v="9401 71 00"/>
    <n v="0"/>
    <n v="150.30000000000001"/>
    <n v="0.25"/>
    <n v="0"/>
  </r>
  <r>
    <s v="CALGARY Whiteboard, yellow"/>
    <n v="0"/>
    <s v=""/>
    <n v="0"/>
    <n v="0"/>
    <s v=""/>
    <n v="71.400000000000006"/>
    <n v="26"/>
    <s v=""/>
    <s v=""/>
    <s v="1988-W"/>
    <n v="27.3048"/>
    <n v="0"/>
    <n v="0"/>
    <n v="0"/>
    <n v="26"/>
    <s v="9403 30 19"/>
    <n v="0"/>
    <n v="1092.0999999999999"/>
    <n v="0.32"/>
    <n v="0"/>
  </r>
  <r>
    <s v="ALBERTVILLE Whiteboard, green"/>
    <n v="0"/>
    <s v=""/>
    <n v="0"/>
    <n v="0"/>
    <s v=""/>
    <n v="71.400000000000006"/>
    <n v="10"/>
    <s v=""/>
    <s v=""/>
    <s v="1992-W"/>
    <n v="27.3048"/>
    <n v="0"/>
    <n v="0"/>
    <n v="0"/>
    <n v="10"/>
    <s v="9403 30 19"/>
    <n v="0"/>
    <n v="1092.0999999999999"/>
    <n v="0.32"/>
    <n v="0"/>
  </r>
  <r>
    <s v="ATLANTA Whiteboard, base"/>
    <n v="0"/>
    <s v=""/>
    <n v="0"/>
    <n v="0"/>
    <s v=""/>
    <n v="69.8"/>
    <n v="181"/>
    <s v=""/>
    <s v=""/>
    <s v="1996-S"/>
    <n v="21.999569999999999"/>
    <n v="0"/>
    <n v="0"/>
    <n v="0"/>
    <n v="181"/>
    <s v="9403 30 19"/>
    <n v="0"/>
    <n v="1089.8999999999999"/>
    <n v="0.31"/>
    <n v="0"/>
  </r>
  <r>
    <s v="SYDNEY Swivel Chair, green"/>
    <n v="0"/>
    <s v=""/>
    <n v="0"/>
    <n v="0"/>
    <s v=""/>
    <n v="13.9"/>
    <n v="163"/>
    <s v=""/>
    <s v=""/>
    <s v="2000-S"/>
    <n v="22.093630000000001"/>
    <n v="0"/>
    <n v="0"/>
    <n v="0"/>
    <n v="163"/>
    <s v="9401 30 10"/>
    <n v="0"/>
    <n v="148.1"/>
    <n v="0.25"/>
    <n v="0"/>
  </r>
  <r>
    <s v="Side Panel"/>
    <n v="0"/>
    <s v=""/>
    <n v="0"/>
    <n v="0"/>
    <s v=""/>
    <n v="2.2999999999999998"/>
    <n v="4282"/>
    <s v=""/>
    <s v=""/>
    <s v="70000"/>
    <n v="49.048630000000003"/>
    <n v="65598.42"/>
    <n v="0"/>
    <n v="0"/>
    <n v="4282"/>
    <s v="9403 90 30"/>
    <n v="0"/>
    <n v="24.1"/>
    <n v="0.04"/>
    <n v="0"/>
  </r>
  <r>
    <s v="Base"/>
    <n v="0"/>
    <s v=""/>
    <n v="0"/>
    <n v="0"/>
    <s v=""/>
    <n v="2.8"/>
    <n v="4325"/>
    <s v=""/>
    <s v=""/>
    <s v="70001"/>
    <n v="48.953299999999999"/>
    <n v="63400"/>
    <n v="0"/>
    <n v="0"/>
    <n v="4325"/>
    <s v="9403 90 30"/>
    <n v="0"/>
    <n v="31.7"/>
    <n v="0.06"/>
    <n v="0"/>
  </r>
  <r>
    <s v="Top Panel "/>
    <n v="0"/>
    <s v=""/>
    <n v="0"/>
    <n v="0"/>
    <s v=""/>
    <n v="2.5"/>
    <n v="2511"/>
    <s v=""/>
    <s v=""/>
    <s v="70002"/>
    <n v="49.209929999999993"/>
    <n v="0"/>
    <n v="0"/>
    <n v="0"/>
    <n v="2511"/>
    <s v="9403 90 30"/>
    <n v="0"/>
    <n v="22.5"/>
    <n v="0.04"/>
    <n v="0"/>
  </r>
  <r>
    <s v="Rear Panel"/>
    <n v="0"/>
    <s v=""/>
    <n v="0"/>
    <n v="0"/>
    <s v=""/>
    <n v="6.1"/>
    <n v="2425"/>
    <s v=""/>
    <s v=""/>
    <s v="70003"/>
    <n v="49.010989999999993"/>
    <n v="6959.9999999999991"/>
    <n v="0"/>
    <n v="0"/>
    <n v="2425"/>
    <s v="9403 90 30"/>
    <n v="0"/>
    <n v="23.2"/>
    <n v="0.7"/>
    <n v="0"/>
  </r>
  <r>
    <s v="Wooden Door"/>
    <n v="0"/>
    <s v=""/>
    <n v="0"/>
    <n v="0"/>
    <s v=""/>
    <n v="2.7"/>
    <n v="2295"/>
    <s v=""/>
    <s v=""/>
    <s v="70010"/>
    <n v="49.065999999999995"/>
    <n v="1022.4999999999999"/>
    <n v="0"/>
    <n v="0"/>
    <n v="2295"/>
    <s v="9403 90 30"/>
    <n v="0"/>
    <n v="40.9"/>
    <n v="0.04"/>
    <n v="0"/>
  </r>
  <r>
    <s v="Glass Door"/>
    <n v="0"/>
    <s v=""/>
    <n v="0"/>
    <n v="0"/>
    <s v=""/>
    <n v="6.3"/>
    <n v="2211"/>
    <s v=""/>
    <s v=""/>
    <s v="70011"/>
    <n v="48.922800000000002"/>
    <n v="2810.86"/>
    <n v="0"/>
    <n v="0"/>
    <n v="2211"/>
    <s v="9403 90 90"/>
    <n v="0"/>
    <n v="56.899999999999991"/>
    <n v="0.04"/>
    <n v="0"/>
  </r>
  <r>
    <s v="Drawer"/>
    <n v="0"/>
    <s v=""/>
    <n v="0"/>
    <n v="0"/>
    <s v=""/>
    <n v="9.4"/>
    <n v="2221"/>
    <s v=""/>
    <s v=""/>
    <s v="70040"/>
    <n v="49.010199999999998"/>
    <n v="0"/>
    <n v="0"/>
    <n v="0"/>
    <n v="2221"/>
    <s v="9403 90 30"/>
    <n v="0"/>
    <n v="85"/>
    <n v="0.45"/>
    <n v="0"/>
  </r>
  <r>
    <s v="Shelf"/>
    <n v="0"/>
    <s v=""/>
    <n v="0"/>
    <n v="0"/>
    <s v=""/>
    <n v="2.1"/>
    <n v="2024"/>
    <s v=""/>
    <s v=""/>
    <s v="70041"/>
    <n v="48.888889999999996"/>
    <n v="0"/>
    <n v="0"/>
    <n v="0"/>
    <n v="2024"/>
    <s v="9403 90 30"/>
    <n v="0"/>
    <n v="18.399999999999999"/>
    <n v="0.4"/>
    <n v="0"/>
  </r>
  <r>
    <s v="Mounting"/>
    <n v="0"/>
    <s v=""/>
    <n v="0"/>
    <n v="0"/>
    <s v=""/>
    <n v="1.5"/>
    <n v="832"/>
    <s v=""/>
    <s v=""/>
    <s v="70060"/>
    <n v="49.009899999999995"/>
    <n v="7338.7499999999991"/>
    <n v="0"/>
    <n v="0"/>
    <n v="832"/>
    <s v="9403 90 10"/>
    <n v="0"/>
    <n v="10.3"/>
    <n v="0.05"/>
    <n v="0"/>
  </r>
  <r>
    <s v="Paint, black"/>
    <n v="0"/>
    <s v=""/>
    <n v="0"/>
    <n v="0"/>
    <s v=""/>
    <n v="1.6"/>
    <n v="3641.0000000000005"/>
    <s v=""/>
    <s v=""/>
    <s v="70100"/>
    <n v="46.341460000000005"/>
    <n v="0"/>
    <n v="0"/>
    <n v="0"/>
    <n v="3641.0000000000005"/>
    <s v="9999 99 99"/>
    <n v="0"/>
    <n v="2.2000000000000002"/>
    <n v="0.01"/>
    <n v="0"/>
  </r>
  <r>
    <s v="Paint, yellow"/>
    <n v="0"/>
    <s v=""/>
    <n v="0"/>
    <n v="0"/>
    <s v=""/>
    <n v="1.6"/>
    <n v="3718.0000000000005"/>
    <s v=""/>
    <s v=""/>
    <s v="70101"/>
    <n v="46.341460000000005"/>
    <n v="0"/>
    <n v="0"/>
    <n v="0"/>
    <n v="3718.0000000000005"/>
    <s v="9999 99 99"/>
    <n v="0"/>
    <n v="2.2000000000000002"/>
    <n v="0.01"/>
    <n v="0"/>
  </r>
  <r>
    <s v="Paint, blue"/>
    <n v="0"/>
    <s v=""/>
    <n v="0"/>
    <n v="0"/>
    <s v=""/>
    <n v="1.6"/>
    <n v="3230"/>
    <s v=""/>
    <s v=""/>
    <s v="70102"/>
    <n v="46.341460000000005"/>
    <n v="0"/>
    <n v="0"/>
    <n v="0"/>
    <n v="3230"/>
    <s v="9999 99 99"/>
    <n v="0"/>
    <n v="2.2000000000000002"/>
    <n v="0.01"/>
    <n v="0"/>
  </r>
  <r>
    <s v="Paint, red"/>
    <n v="0"/>
    <s v=""/>
    <n v="0"/>
    <n v="0"/>
    <s v=""/>
    <n v="1.6"/>
    <n v="3026"/>
    <s v=""/>
    <s v=""/>
    <s v="70103"/>
    <n v="46.341460000000005"/>
    <n v="0"/>
    <n v="0"/>
    <n v="0"/>
    <n v="3026"/>
    <s v="9999 99 99"/>
    <n v="0"/>
    <n v="2.2000000000000002"/>
    <n v="0.01"/>
    <n v="0"/>
  </r>
  <r>
    <s v="Paint, green"/>
    <n v="0"/>
    <s v=""/>
    <n v="0"/>
    <n v="0"/>
    <s v=""/>
    <n v="1.6"/>
    <n v="3788"/>
    <s v=""/>
    <s v=""/>
    <s v="70104"/>
    <n v="46.341460000000005"/>
    <n v="1760.3100000000002"/>
    <n v="0"/>
    <n v="0"/>
    <n v="3788"/>
    <s v="9999 99 99"/>
    <n v="0"/>
    <n v="2.2000000000000002"/>
    <n v="0.01"/>
    <n v="0"/>
  </r>
  <r>
    <s v="Hinge"/>
    <n v="0"/>
    <s v=""/>
    <n v="0"/>
    <n v="0"/>
    <s v=""/>
    <n v="0.3"/>
    <n v="1630.9999999999998"/>
    <s v=""/>
    <s v=""/>
    <s v="70200"/>
    <n v="45"/>
    <n v="0"/>
    <n v="0"/>
    <n v="0"/>
    <n v="1630.9999999999998"/>
    <s v="9403 90 10"/>
    <n v="0"/>
    <n v="1.1000000000000001"/>
    <n v="0.01"/>
    <n v="0"/>
  </r>
  <r>
    <s v="Doorknob"/>
    <n v="0"/>
    <s v=""/>
    <n v="0"/>
    <n v="0"/>
    <s v=""/>
    <n v="0.2"/>
    <n v="1260"/>
    <s v=""/>
    <s v=""/>
    <s v="70201"/>
    <n v="50"/>
    <n v="0"/>
    <n v="0"/>
    <n v="0"/>
    <n v="1260"/>
    <s v="9403 90 30"/>
    <n v="0"/>
    <n v="0.9"/>
    <n v="0.01"/>
    <n v="0"/>
  </r>
  <r>
    <s v="CONTOSO Conference System"/>
    <n v="0"/>
    <s v=""/>
    <n v="0"/>
    <n v="0"/>
    <s v=""/>
    <n v="104.1"/>
    <n v="0"/>
    <s v=""/>
    <s v=""/>
    <s v="766BC-A"/>
    <n v="35.00018"/>
    <n v="0"/>
    <n v="0"/>
    <n v="0"/>
    <n v="0"/>
    <s v="9403 30 19"/>
    <n v="0"/>
    <n v="5422.7000000000007"/>
    <n v="1.47"/>
    <n v="0"/>
  </r>
  <r>
    <s v="CONTOSO Office System"/>
    <n v="0"/>
    <s v=""/>
    <n v="0"/>
    <n v="0"/>
    <s v=""/>
    <n v="135.6"/>
    <n v="5"/>
    <s v=""/>
    <s v=""/>
    <s v="766BC-B"/>
    <n v="30.309629999999999"/>
    <n v="0"/>
    <n v="0"/>
    <n v="0"/>
    <n v="5"/>
    <s v="9403 30 19"/>
    <n v="0"/>
    <n v="1919.7"/>
    <n v="6.67"/>
    <n v="0"/>
  </r>
  <r>
    <s v="CONTOSO Storage System"/>
    <n v="0"/>
    <s v=""/>
    <n v="0"/>
    <n v="0"/>
    <s v=""/>
    <n v="82"/>
    <n v="2"/>
    <s v=""/>
    <s v=""/>
    <s v="766BC-C"/>
    <n v="34.99794"/>
    <n v="0"/>
    <n v="0"/>
    <n v="0"/>
    <n v="2"/>
    <s v="9403 30 19"/>
    <n v="0"/>
    <n v="945.9"/>
    <n v="5.18"/>
    <n v="0"/>
  </r>
  <r>
    <s v="Computer III 533 MHz"/>
    <n v="0"/>
    <s v=""/>
    <n v="0"/>
    <n v="0"/>
    <s v=""/>
    <n v="0"/>
    <n v="0"/>
    <s v=""/>
    <s v=""/>
    <s v="80001"/>
    <n v="53.608249999999998"/>
    <n v="0"/>
    <n v="0"/>
    <n v="0"/>
    <n v="0"/>
    <s v=""/>
    <n v="0"/>
    <n v="9"/>
    <n v="0"/>
    <n v="0"/>
  </r>
  <r>
    <s v="Computer III 600 MHz"/>
    <n v="0"/>
    <s v=""/>
    <n v="0"/>
    <n v="0"/>
    <s v=""/>
    <n v="0"/>
    <n v="0"/>
    <s v=""/>
    <s v=""/>
    <s v="80002"/>
    <n v="53.043479999999995"/>
    <n v="0"/>
    <n v="0"/>
    <n v="0"/>
    <n v="0"/>
    <s v=""/>
    <n v="0"/>
    <n v="10.8"/>
    <n v="0"/>
    <n v="0"/>
  </r>
  <r>
    <s v="Computer III 733 MHz"/>
    <n v="0"/>
    <s v=""/>
    <n v="0"/>
    <n v="0"/>
    <s v=""/>
    <n v="0"/>
    <n v="0"/>
    <s v=""/>
    <s v=""/>
    <s v="80003"/>
    <n v="49.193550000000002"/>
    <n v="0"/>
    <n v="0"/>
    <n v="0"/>
    <n v="0"/>
    <s v=""/>
    <n v="0"/>
    <n v="12.6"/>
    <n v="0"/>
    <n v="0"/>
  </r>
  <r>
    <s v="Computer III 800 MHz"/>
    <n v="0"/>
    <s v=""/>
    <n v="0"/>
    <n v="0"/>
    <s v=""/>
    <n v="0"/>
    <n v="0"/>
    <s v=""/>
    <s v=""/>
    <s v="80004"/>
    <n v="45.864660000000001"/>
    <n v="0"/>
    <n v="0"/>
    <n v="0"/>
    <n v="0"/>
    <s v=""/>
    <n v="0"/>
    <n v="14.4"/>
    <n v="0"/>
    <n v="0"/>
  </r>
  <r>
    <s v="Computer III 866 MHz"/>
    <n v="0"/>
    <s v=""/>
    <n v="0"/>
    <n v="0"/>
    <s v=""/>
    <n v="0"/>
    <n v="0"/>
    <s v=""/>
    <s v=""/>
    <s v="80005"/>
    <n v="49.374999999999993"/>
    <n v="0"/>
    <n v="0"/>
    <n v="0"/>
    <n v="0"/>
    <s v=""/>
    <n v="0"/>
    <n v="16.2"/>
    <n v="0"/>
    <n v="0"/>
  </r>
  <r>
    <s v="Team Work Computer 533 MHz"/>
    <n v="0"/>
    <s v=""/>
    <n v="0"/>
    <n v="0"/>
    <s v=""/>
    <n v="0"/>
    <n v="0"/>
    <s v=""/>
    <s v=""/>
    <s v="80006"/>
    <n v="46.627130000000001"/>
    <n v="0"/>
    <n v="0"/>
    <n v="0"/>
    <n v="0"/>
    <s v=""/>
    <n v="0"/>
    <n v="144"/>
    <n v="0"/>
    <n v="0"/>
  </r>
  <r>
    <s v="Enterprise Computer 667 MHz"/>
    <n v="0"/>
    <s v=""/>
    <n v="0"/>
    <n v="0"/>
    <s v=""/>
    <n v="0"/>
    <n v="0"/>
    <s v=""/>
    <s v=""/>
    <s v="80007"/>
    <n v="48.086000000000006"/>
    <n v="0"/>
    <n v="0"/>
    <n v="0"/>
    <n v="0"/>
    <s v=""/>
    <n v="0"/>
    <n v="198.00000000000003"/>
    <n v="0"/>
    <n v="0"/>
  </r>
  <r>
    <s v="64 MB PC800 ECC"/>
    <n v="0"/>
    <s v=""/>
    <n v="0"/>
    <n v="0"/>
    <s v=""/>
    <n v="0"/>
    <n v="0"/>
    <s v=""/>
    <s v=""/>
    <s v="80010"/>
    <n v="41.176470000000002"/>
    <n v="0"/>
    <n v="0"/>
    <n v="0"/>
    <n v="0"/>
    <s v=""/>
    <n v="0"/>
    <n v="9"/>
    <n v="0"/>
    <n v="0"/>
  </r>
  <r>
    <s v="128 MB PC800 ECC"/>
    <n v="0"/>
    <s v=""/>
    <n v="0"/>
    <n v="0"/>
    <s v=""/>
    <n v="0"/>
    <n v="0"/>
    <s v=""/>
    <s v=""/>
    <s v="80011"/>
    <n v="51.351350000000004"/>
    <n v="0"/>
    <n v="0"/>
    <n v="0"/>
    <n v="0"/>
    <s v=""/>
    <n v="0"/>
    <n v="16.2"/>
    <n v="0"/>
    <n v="0"/>
  </r>
  <r>
    <s v="256 MB PC800 ECC"/>
    <n v="0"/>
    <s v=""/>
    <n v="0"/>
    <n v="0"/>
    <s v=""/>
    <n v="0"/>
    <n v="0"/>
    <s v=""/>
    <s v=""/>
    <s v="80012"/>
    <n v="51.020409999999998"/>
    <n v="0"/>
    <n v="0"/>
    <n v="0"/>
    <n v="0"/>
    <s v=""/>
    <n v="0"/>
    <n v="21.6"/>
    <n v="0"/>
    <n v="0"/>
  </r>
  <r>
    <s v="384 MB PC800 ECC"/>
    <n v="0"/>
    <s v=""/>
    <n v="0"/>
    <n v="0"/>
    <s v=""/>
    <n v="0"/>
    <n v="0"/>
    <s v=""/>
    <s v=""/>
    <s v="80013"/>
    <n v="23.076920000000001"/>
    <n v="0"/>
    <n v="0"/>
    <n v="0"/>
    <n v="0"/>
    <s v=""/>
    <n v="0"/>
    <n v="27"/>
    <n v="0"/>
    <n v="0"/>
  </r>
  <r>
    <s v="512 MB PC800 ECC"/>
    <n v="0"/>
    <s v=""/>
    <n v="0"/>
    <n v="0"/>
    <s v=""/>
    <n v="0"/>
    <n v="0"/>
    <s v=""/>
    <s v=""/>
    <s v="80014"/>
    <n v="49.20635"/>
    <n v="0"/>
    <n v="0"/>
    <n v="0"/>
    <n v="0"/>
    <s v=""/>
    <n v="0"/>
    <n v="28.8"/>
    <n v="0"/>
    <n v="0"/>
  </r>
  <r>
    <s v="10.2 GB ATA-66 IDE"/>
    <n v="0"/>
    <s v=""/>
    <n v="0"/>
    <n v="0"/>
    <s v=""/>
    <n v="0"/>
    <n v="0"/>
    <s v=""/>
    <s v=""/>
    <s v="80021"/>
    <n v="47.826090000000001"/>
    <n v="0"/>
    <n v="0"/>
    <n v="0"/>
    <n v="0"/>
    <s v=""/>
    <n v="0"/>
    <n v="10.8"/>
    <n v="0"/>
    <n v="0"/>
  </r>
  <r>
    <s v="20.4 GB ATA-66 IDE"/>
    <n v="0"/>
    <s v=""/>
    <n v="0"/>
    <n v="0"/>
    <s v=""/>
    <n v="0"/>
    <n v="0"/>
    <s v=""/>
    <s v=""/>
    <s v="80022"/>
    <n v="50"/>
    <n v="0"/>
    <n v="0"/>
    <n v="0"/>
    <n v="0"/>
    <s v=""/>
    <n v="0"/>
    <n v="16.2"/>
    <n v="0"/>
    <n v="0"/>
  </r>
  <r>
    <s v="27GB ATA-66 IDE"/>
    <n v="0"/>
    <s v=""/>
    <n v="0"/>
    <n v="0"/>
    <s v=""/>
    <n v="0"/>
    <n v="0"/>
    <s v=""/>
    <s v=""/>
    <s v="80023"/>
    <n v="48.837210000000006"/>
    <n v="0"/>
    <n v="0"/>
    <n v="0"/>
    <n v="0"/>
    <s v=""/>
    <n v="0"/>
    <n v="19.8"/>
    <n v="0"/>
    <n v="0"/>
  </r>
  <r>
    <s v="40GB ATA-66 IDE"/>
    <n v="0"/>
    <s v=""/>
    <n v="0"/>
    <n v="0"/>
    <s v=""/>
    <n v="0"/>
    <n v="0"/>
    <s v=""/>
    <s v=""/>
    <s v="80024"/>
    <n v="49.180329999999998"/>
    <n v="0"/>
    <n v="0"/>
    <n v="0"/>
    <n v="0"/>
    <s v=""/>
    <n v="0"/>
    <n v="27.9"/>
    <n v="0"/>
    <n v="0"/>
  </r>
  <r>
    <s v="9GB Ultra 160/M SCSI"/>
    <n v="0"/>
    <s v=""/>
    <n v="0"/>
    <n v="0"/>
    <s v=""/>
    <n v="0"/>
    <n v="0"/>
    <s v=""/>
    <s v=""/>
    <s v="80025"/>
    <n v="48.387100000000004"/>
    <n v="0"/>
    <n v="0"/>
    <n v="0"/>
    <n v="0"/>
    <s v=""/>
    <n v="0"/>
    <n v="14.4"/>
    <n v="0"/>
    <n v="0"/>
  </r>
  <r>
    <s v="18GB Ultra 160/M SCSI"/>
    <n v="0"/>
    <s v=""/>
    <n v="0"/>
    <n v="0"/>
    <s v=""/>
    <n v="0"/>
    <n v="0"/>
    <s v=""/>
    <s v=""/>
    <s v="80026"/>
    <n v="48.571429999999999"/>
    <n v="0"/>
    <n v="0"/>
    <n v="0"/>
    <n v="0"/>
    <s v=""/>
    <n v="0"/>
    <n v="16.2"/>
    <n v="0"/>
    <n v="0"/>
  </r>
  <r>
    <s v="36GB Ultra 160/M SCSI"/>
    <n v="0"/>
    <s v=""/>
    <n v="0"/>
    <n v="0"/>
    <s v=""/>
    <n v="0"/>
    <n v="0"/>
    <s v=""/>
    <s v=""/>
    <s v="80027"/>
    <n v="49.814129999999999"/>
    <n v="0"/>
    <n v="0"/>
    <n v="0"/>
    <n v="0"/>
    <s v=""/>
    <n v="0"/>
    <n v="27"/>
    <n v="0"/>
    <n v="0"/>
  </r>
  <r>
    <s v="Printing Paper"/>
    <n v="0"/>
    <s v=""/>
    <n v="0"/>
    <n v="0"/>
    <s v=""/>
    <n v="12180"/>
    <n v="6592.0000000000009"/>
    <s v=""/>
    <s v=""/>
    <s v="80100"/>
    <n v="46.590910000000001"/>
    <n v="902.4"/>
    <n v="1300"/>
    <n v="0"/>
    <n v="6592.0000000000009"/>
    <s v="9999 99 99"/>
    <n v="0"/>
    <n v="4.7"/>
    <n v="0"/>
    <n v="0"/>
  </r>
  <r>
    <s v="15&quot; 1501 FP Flat Panel"/>
    <n v="0"/>
    <s v=""/>
    <n v="0"/>
    <n v="0"/>
    <s v=""/>
    <n v="0"/>
    <n v="0"/>
    <s v=""/>
    <s v=""/>
    <s v="80101"/>
    <n v="53.488369999999996"/>
    <n v="0"/>
    <n v="0"/>
    <n v="0"/>
    <n v="0"/>
    <s v=""/>
    <n v="0"/>
    <n v="18"/>
    <n v="0"/>
    <n v="0"/>
  </r>
  <r>
    <s v="17&quot; M780 Monitor"/>
    <n v="0"/>
    <s v=""/>
    <n v="0"/>
    <n v="0"/>
    <s v=""/>
    <n v="0"/>
    <n v="0"/>
    <s v=""/>
    <s v=""/>
    <s v="80102"/>
    <n v="49.152540000000002"/>
    <n v="0"/>
    <n v="0"/>
    <n v="0"/>
    <n v="0"/>
    <s v=""/>
    <n v="0"/>
    <n v="27"/>
    <n v="0"/>
    <n v="0"/>
  </r>
  <r>
    <s v="17&quot; M780 Monitor"/>
    <n v="0"/>
    <s v=""/>
    <n v="0"/>
    <n v="0"/>
    <s v=""/>
    <n v="15.7"/>
    <n v="0"/>
    <s v=""/>
    <s v=""/>
    <s v="80102-T"/>
    <n v="43.930639999999997"/>
    <n v="0"/>
    <n v="0"/>
    <n v="0"/>
    <n v="0"/>
    <s v="9403 90 90"/>
    <n v="0"/>
    <n v="9.6999999999999993"/>
    <n v="0.1"/>
    <n v="0"/>
  </r>
  <r>
    <s v="19&quot; M009 Monitor"/>
    <n v="0"/>
    <s v=""/>
    <n v="0"/>
    <n v="0"/>
    <s v=""/>
    <n v="0"/>
    <n v="0"/>
    <s v=""/>
    <s v=""/>
    <s v="80103"/>
    <n v="49.453980000000001"/>
    <n v="0"/>
    <n v="0"/>
    <n v="0"/>
    <n v="0"/>
    <s v=""/>
    <n v="0"/>
    <n v="32.4"/>
    <n v="0"/>
    <n v="0"/>
  </r>
  <r>
    <s v="19&quot; M009 Monitor"/>
    <n v="0"/>
    <s v=""/>
    <n v="0"/>
    <n v="0"/>
    <s v=""/>
    <n v="22.3"/>
    <n v="0"/>
    <s v=""/>
    <s v=""/>
    <s v="80103-T"/>
    <n v="47.59207"/>
    <n v="0"/>
    <n v="0"/>
    <n v="0"/>
    <n v="0"/>
    <s v="9403 90 90"/>
    <n v="0"/>
    <n v="18.5"/>
    <n v="0.2"/>
    <n v="0"/>
  </r>
  <r>
    <s v="21&quot; UltraScan P1110"/>
    <n v="0"/>
    <s v=""/>
    <n v="0"/>
    <n v="0"/>
    <s v=""/>
    <n v="0"/>
    <n v="0"/>
    <s v=""/>
    <s v=""/>
    <s v="80104"/>
    <n v="51.482480000000002"/>
    <n v="0"/>
    <n v="0"/>
    <n v="0"/>
    <n v="0"/>
    <s v=""/>
    <n v="0"/>
    <n v="36"/>
    <n v="0"/>
    <n v="0"/>
  </r>
  <r>
    <s v="24&quot; Ultrascan"/>
    <n v="0"/>
    <s v=""/>
    <n v="0"/>
    <n v="0"/>
    <s v=""/>
    <n v="0"/>
    <n v="0"/>
    <s v=""/>
    <s v=""/>
    <s v="80105"/>
    <n v="50.947869999999995"/>
    <n v="0"/>
    <n v="0"/>
    <n v="0"/>
    <n v="0"/>
    <s v=""/>
    <n v="0"/>
    <n v="41.4"/>
    <n v="0"/>
    <n v="0"/>
  </r>
  <r>
    <s v="GRAPHIC PROGRAM"/>
    <n v="0"/>
    <s v=""/>
    <n v="0"/>
    <n v="0"/>
    <s v=""/>
    <n v="0"/>
    <n v="0"/>
    <s v=""/>
    <s v=""/>
    <s v="80201"/>
    <n v="44.615380000000002"/>
    <n v="0"/>
    <n v="0"/>
    <n v="0"/>
    <n v="0"/>
    <s v=""/>
    <n v="0"/>
    <n v="3.6"/>
    <n v="0"/>
    <n v="0"/>
  </r>
  <r>
    <s v="Chip 32 MB"/>
    <n v="0"/>
    <s v=""/>
    <n v="0"/>
    <n v="0"/>
    <s v=""/>
    <n v="0"/>
    <n v="0"/>
    <s v=""/>
    <s v=""/>
    <s v="80202"/>
    <n v="46.913579999999996"/>
    <n v="0"/>
    <n v="0"/>
    <n v="0"/>
    <n v="0"/>
    <s v=""/>
    <n v="0"/>
    <n v="4.3"/>
    <n v="0"/>
    <n v="0"/>
  </r>
  <r>
    <s v="Graphic Card 9400"/>
    <n v="0"/>
    <s v=""/>
    <n v="0"/>
    <n v="0"/>
    <s v=""/>
    <n v="0"/>
    <n v="0"/>
    <s v=""/>
    <s v=""/>
    <s v="80203"/>
    <n v="48.076920000000001"/>
    <n v="0"/>
    <n v="0"/>
    <n v="0"/>
    <n v="0"/>
    <s v=""/>
    <n v="0"/>
    <n v="5.4"/>
    <n v="0"/>
    <n v="0"/>
  </r>
  <r>
    <s v="Ultra 160/M SCSI Controller"/>
    <n v="0"/>
    <s v=""/>
    <n v="0"/>
    <n v="0"/>
    <s v=""/>
    <n v="0"/>
    <n v="0"/>
    <s v=""/>
    <s v=""/>
    <s v="80204"/>
    <n v="48.076920000000001"/>
    <n v="0"/>
    <n v="0"/>
    <n v="0"/>
    <n v="0"/>
    <s v=""/>
    <n v="0"/>
    <n v="5.4"/>
    <n v="0"/>
    <n v="0"/>
  </r>
  <r>
    <s v="10MBit Ethernet"/>
    <n v="0"/>
    <s v=""/>
    <n v="0"/>
    <n v="0"/>
    <s v=""/>
    <n v="0"/>
    <n v="0"/>
    <s v=""/>
    <s v=""/>
    <s v="80205"/>
    <n v="40.983609999999999"/>
    <n v="0"/>
    <n v="0"/>
    <n v="0"/>
    <n v="0"/>
    <s v=""/>
    <n v="0"/>
    <n v="3.6"/>
    <n v="0"/>
    <n v="0"/>
  </r>
  <r>
    <s v="Webcam"/>
    <n v="0"/>
    <s v=""/>
    <n v="0"/>
    <n v="0"/>
    <s v=""/>
    <n v="0"/>
    <n v="0"/>
    <s v=""/>
    <s v=""/>
    <s v="80206"/>
    <n v="50"/>
    <n v="0"/>
    <n v="0"/>
    <n v="0"/>
    <n v="0"/>
    <s v=""/>
    <n v="0"/>
    <n v="1.1000000000000001"/>
    <n v="0"/>
    <n v="0"/>
  </r>
  <r>
    <s v="Basic Mouse"/>
    <n v="0"/>
    <s v=""/>
    <n v="0"/>
    <n v="0"/>
    <s v=""/>
    <n v="0"/>
    <n v="0"/>
    <s v=""/>
    <s v=""/>
    <s v="80207"/>
    <n v="60"/>
    <n v="0"/>
    <n v="0"/>
    <n v="0"/>
    <n v="0"/>
    <s v=""/>
    <n v="0"/>
    <n v="1.8"/>
    <n v="0"/>
    <n v="0"/>
  </r>
  <r>
    <s v="Advanced Mouse"/>
    <n v="0"/>
    <s v=""/>
    <n v="0"/>
    <n v="0"/>
    <s v=""/>
    <n v="0"/>
    <n v="0"/>
    <s v=""/>
    <s v=""/>
    <s v="80208"/>
    <n v="50"/>
    <n v="0"/>
    <n v="0"/>
    <n v="0"/>
    <n v="0"/>
    <s v=""/>
    <n v="0"/>
    <n v="1.6"/>
    <n v="0"/>
    <n v="0"/>
  </r>
  <r>
    <s v="Microsoft Intellimouse"/>
    <n v="0"/>
    <s v=""/>
    <n v="0"/>
    <n v="0"/>
    <s v=""/>
    <n v="1.4999999999999999E-2"/>
    <n v="0"/>
    <s v=""/>
    <s v=""/>
    <s v="80208-T"/>
    <n v="31.11111"/>
    <n v="0"/>
    <n v="0"/>
    <n v="0"/>
    <n v="0"/>
    <s v="9403 90 90"/>
    <n v="0"/>
    <n v="3.1"/>
    <n v="1E-3"/>
    <n v="0"/>
  </r>
  <r>
    <s v="20/48x IDE CD ROM"/>
    <n v="0"/>
    <s v=""/>
    <n v="0"/>
    <n v="0"/>
    <s v=""/>
    <n v="0"/>
    <n v="0"/>
    <s v=""/>
    <s v=""/>
    <s v="80209"/>
    <n v="33.333329999999997"/>
    <n v="0"/>
    <n v="0"/>
    <n v="0"/>
    <n v="0"/>
    <s v=""/>
    <n v="0"/>
    <n v="18"/>
    <n v="0"/>
    <n v="0"/>
  </r>
  <r>
    <s v="8x/4x/32x IDE CD Read-Write"/>
    <n v="0"/>
    <s v=""/>
    <n v="0"/>
    <n v="0"/>
    <s v=""/>
    <n v="0"/>
    <n v="0"/>
    <s v=""/>
    <s v=""/>
    <s v="80210"/>
    <n v="28.571430000000003"/>
    <n v="0"/>
    <n v="0"/>
    <n v="0"/>
    <n v="0"/>
    <s v=""/>
    <n v="0"/>
    <n v="36"/>
    <n v="0"/>
    <n v="0"/>
  </r>
  <r>
    <s v="Quietkey Keyboard"/>
    <n v="0"/>
    <s v=""/>
    <n v="0"/>
    <n v="0"/>
    <s v=""/>
    <n v="0"/>
    <n v="0"/>
    <s v=""/>
    <s v=""/>
    <s v="80211"/>
    <n v="50"/>
    <n v="0"/>
    <n v="0"/>
    <n v="0"/>
    <n v="0"/>
    <s v=""/>
    <n v="0"/>
    <n v="4.5"/>
    <n v="0"/>
    <n v="0"/>
  </r>
  <r>
    <s v="Performance Keyboard"/>
    <n v="0"/>
    <s v=""/>
    <n v="0"/>
    <n v="0"/>
    <s v=""/>
    <n v="0"/>
    <n v="0"/>
    <s v=""/>
    <s v=""/>
    <s v="80212"/>
    <n v="52.941179999999996"/>
    <n v="0"/>
    <n v="0"/>
    <n v="0"/>
    <n v="0"/>
    <s v=""/>
    <n v="0"/>
    <n v="7.2"/>
    <n v="0"/>
    <n v="0"/>
  </r>
  <r>
    <s v="Drive250"/>
    <n v="0"/>
    <s v=""/>
    <n v="0"/>
    <n v="0"/>
    <s v=""/>
    <n v="0"/>
    <n v="0"/>
    <s v=""/>
    <s v=""/>
    <s v="80213"/>
    <n v="65.217389999999995"/>
    <n v="0"/>
    <n v="0"/>
    <n v="0"/>
    <n v="0"/>
    <s v=""/>
    <n v="0"/>
    <n v="7.2"/>
    <n v="0"/>
    <n v="0"/>
  </r>
  <r>
    <s v="250MB Disks/2pack"/>
    <n v="0"/>
    <s v=""/>
    <n v="0"/>
    <n v="0"/>
    <s v=""/>
    <n v="0"/>
    <n v="0"/>
    <s v=""/>
    <s v=""/>
    <s v="80214"/>
    <n v="55"/>
    <n v="0"/>
    <n v="0"/>
    <n v="0"/>
    <n v="0"/>
    <s v=""/>
    <n v="0"/>
    <n v="1.8"/>
    <n v="0"/>
    <n v="0"/>
  </r>
  <r>
    <s v="250MB Disks/4pack"/>
    <n v="0"/>
    <s v=""/>
    <n v="0"/>
    <n v="0"/>
    <s v=""/>
    <n v="0"/>
    <n v="0"/>
    <s v=""/>
    <s v=""/>
    <s v="80215"/>
    <n v="48.571429999999999"/>
    <n v="0"/>
    <n v="0"/>
    <n v="0"/>
    <n v="0"/>
    <s v=""/>
    <n v="0"/>
    <n v="3.6"/>
    <n v="0"/>
    <n v="0"/>
  </r>
  <r>
    <s v="Ethernet Cable"/>
    <n v="0"/>
    <s v=""/>
    <n v="0"/>
    <n v="0"/>
    <s v=""/>
    <n v="0"/>
    <n v="0"/>
    <s v=""/>
    <s v=""/>
    <s v="80216"/>
    <n v="66.666669999999996"/>
    <n v="0"/>
    <n v="0"/>
    <n v="0"/>
    <n v="0"/>
    <s v=""/>
    <n v="0"/>
    <n v="0.2"/>
    <n v="0"/>
    <n v="0"/>
  </r>
  <r>
    <s v="Ethernet Cable"/>
    <n v="0"/>
    <s v="LOT"/>
    <n v="0"/>
    <n v="0"/>
    <s v=""/>
    <n v="7.0000000000000001E-3"/>
    <n v="0"/>
    <s v=""/>
    <s v=""/>
    <s v="80216-T"/>
    <n v="46.153849999999998"/>
    <n v="0"/>
    <n v="0"/>
    <n v="0"/>
    <n v="0"/>
    <s v="9403 90 90"/>
    <n v="0"/>
    <n v="0.7"/>
    <n v="2.0000000000000001E-4"/>
    <n v="0"/>
  </r>
  <r>
    <s v="Power Supply Cable"/>
    <n v="0"/>
    <s v=""/>
    <n v="0"/>
    <n v="0"/>
    <s v=""/>
    <n v="0"/>
    <n v="0"/>
    <s v=""/>
    <s v=""/>
    <s v="80217"/>
    <n v="50"/>
    <n v="0"/>
    <n v="0"/>
    <n v="0"/>
    <n v="0"/>
    <s v=""/>
    <n v="0"/>
    <n v="0.4"/>
    <n v="0"/>
    <n v="0"/>
  </r>
  <r>
    <s v="Hard Disk Drive"/>
    <n v="0"/>
    <s v=""/>
    <n v="0"/>
    <n v="0"/>
    <s v=""/>
    <n v="0"/>
    <n v="0"/>
    <s v=""/>
    <s v=""/>
    <s v="80218"/>
    <n v="48.571429999999999"/>
    <n v="0"/>
    <n v="0"/>
    <n v="0"/>
    <n v="0"/>
    <s v=""/>
    <n v="0"/>
    <n v="3.6"/>
    <n v="0"/>
    <n v="0"/>
  </r>
  <r>
    <s v="Hard disk Drive"/>
    <n v="0"/>
    <s v="LOT"/>
    <n v="0"/>
    <n v="0"/>
    <s v=""/>
    <n v="0.87"/>
    <n v="0"/>
    <s v=""/>
    <s v=""/>
    <s v="80218-T"/>
    <n v="18.413599999999999"/>
    <n v="0"/>
    <n v="0"/>
    <n v="0"/>
    <n v="0"/>
    <s v="9403 90 90"/>
    <n v="0"/>
    <n v="28.8"/>
    <n v="1.6999999999999999E-3"/>
    <n v="0"/>
  </r>
  <r>
    <s v="Screw on Hard Drive Mounting"/>
    <n v="0"/>
    <s v=""/>
    <n v="0"/>
    <n v="0"/>
    <s v=""/>
    <n v="0"/>
    <n v="0"/>
    <s v=""/>
    <s v=""/>
    <s v="80219"/>
    <n v="0"/>
    <n v="0"/>
    <n v="0"/>
    <n v="0"/>
    <n v="0"/>
    <s v=""/>
    <n v="0"/>
    <n v="0"/>
    <n v="0"/>
    <n v="0"/>
  </r>
  <r>
    <s v="Screw on Mount CD/Tape Drive"/>
    <n v="0"/>
    <s v=""/>
    <n v="0"/>
    <n v="0"/>
    <s v=""/>
    <n v="0"/>
    <n v="0"/>
    <s v=""/>
    <s v=""/>
    <s v="80220"/>
    <n v="0"/>
    <n v="0"/>
    <n v="0"/>
    <n v="0"/>
    <n v="0"/>
    <s v=""/>
    <n v="0"/>
    <n v="0"/>
    <n v="0"/>
    <n v="0"/>
  </r>
  <r>
    <s v="Computer - Basic Package"/>
    <n v="0"/>
    <s v=""/>
    <n v="0"/>
    <n v="0"/>
    <s v=""/>
    <n v="0"/>
    <n v="0"/>
    <s v=""/>
    <s v=""/>
    <s v="8904-W"/>
    <n v="0"/>
    <n v="0"/>
    <n v="0"/>
    <n v="0"/>
    <n v="0"/>
    <s v=""/>
    <n v="0"/>
    <n v="0"/>
    <n v="0"/>
    <n v="0"/>
  </r>
  <r>
    <s v="Computer - Highline Package"/>
    <n v="0"/>
    <s v=""/>
    <n v="0"/>
    <n v="0"/>
    <s v=""/>
    <n v="0"/>
    <n v="-6"/>
    <s v=""/>
    <s v=""/>
    <s v="8908-W"/>
    <n v="0"/>
    <n v="0"/>
    <n v="0"/>
    <n v="0"/>
    <n v="-6"/>
    <s v=""/>
    <n v="0"/>
    <n v="0"/>
    <n v="0"/>
    <n v="0"/>
  </r>
  <r>
    <s v="Computer - Trendy Package"/>
    <n v="0"/>
    <s v=""/>
    <n v="0"/>
    <n v="0"/>
    <s v=""/>
    <n v="0"/>
    <n v="0"/>
    <s v=""/>
    <s v=""/>
    <s v="8912-W"/>
    <n v="0"/>
    <n v="0"/>
    <n v="0"/>
    <n v="0"/>
    <n v="0"/>
    <s v=""/>
    <n v="0"/>
    <n v="0"/>
    <n v="0"/>
    <n v="0"/>
  </r>
  <r>
    <s v="Computer - TURBO Package"/>
    <n v="0"/>
    <s v=""/>
    <n v="0"/>
    <n v="0"/>
    <s v=""/>
    <n v="0"/>
    <n v="-3"/>
    <s v=""/>
    <s v=""/>
    <s v="8916-W"/>
    <n v="0"/>
    <n v="0"/>
    <n v="0"/>
    <n v="0"/>
    <n v="-3"/>
    <s v=""/>
    <n v="0"/>
    <n v="0"/>
    <n v="0"/>
    <n v="0"/>
  </r>
  <r>
    <s v="Server - Teamwear Package"/>
    <n v="0"/>
    <s v=""/>
    <n v="0"/>
    <n v="0"/>
    <s v=""/>
    <n v="0"/>
    <n v="0"/>
    <s v=""/>
    <s v=""/>
    <s v="8920-W"/>
    <n v="0"/>
    <n v="0"/>
    <n v="0"/>
    <n v="0"/>
    <n v="0"/>
    <s v=""/>
    <n v="0"/>
    <n v="0"/>
    <n v="0"/>
    <n v="0"/>
  </r>
  <r>
    <s v="Server - Enterprise Package"/>
    <n v="0"/>
    <s v=""/>
    <n v="0"/>
    <n v="0"/>
    <s v=""/>
    <n v="0"/>
    <n v="-3"/>
    <s v=""/>
    <s v=""/>
    <s v="8924-W"/>
    <n v="0"/>
    <n v="0"/>
    <n v="0"/>
    <n v="0"/>
    <n v="-3"/>
    <s v=""/>
    <n v="0"/>
    <n v="0"/>
    <n v="0"/>
    <n v="0"/>
  </r>
  <r>
    <s v="Cabling for LS-100"/>
    <n v="0"/>
    <s v=""/>
    <n v="0"/>
    <n v="0"/>
    <s v=""/>
    <n v="0"/>
    <n v="33"/>
    <s v=""/>
    <s v=""/>
    <s v="C-100"/>
    <n v="28.571430000000003"/>
    <n v="0"/>
    <n v="0"/>
    <n v="0"/>
    <n v="33"/>
    <s v=""/>
    <n v="0"/>
    <n v="15"/>
    <n v="0"/>
    <n v="0"/>
  </r>
  <r>
    <s v="Frequency filter for LS-100"/>
    <n v="0"/>
    <s v=""/>
    <n v="0"/>
    <n v="0"/>
    <s v=""/>
    <n v="0"/>
    <n v="42"/>
    <s v=""/>
    <s v=""/>
    <s v="FF-100"/>
    <n v="28.571430000000003"/>
    <n v="0"/>
    <n v="0"/>
    <n v="0"/>
    <n v="42"/>
    <s v=""/>
    <n v="0"/>
    <n v="15"/>
    <n v="0"/>
    <n v="0"/>
  </r>
  <r>
    <s v="Housing LS-100,Oakwood 120 lts"/>
    <n v="0"/>
    <s v=""/>
    <n v="0"/>
    <n v="0"/>
    <s v=""/>
    <n v="0"/>
    <n v="56"/>
    <s v=""/>
    <s v=""/>
    <s v="HS-100"/>
    <n v="28.571430000000003"/>
    <n v="0"/>
    <n v="0"/>
    <n v="0"/>
    <n v="56"/>
    <s v=""/>
    <n v="0"/>
    <n v="15"/>
    <n v="0"/>
    <n v="0"/>
  </r>
  <r>
    <s v="Loudspeaker 100W OakwoodDeluxe"/>
    <n v="0"/>
    <s v=""/>
    <n v="0"/>
    <n v="0"/>
    <s v=""/>
    <n v="0"/>
    <n v="32"/>
    <s v=""/>
    <s v=""/>
    <s v="LS-100"/>
    <n v="28.571430000000003"/>
    <n v="0"/>
    <n v="0"/>
    <n v="0"/>
    <n v="32"/>
    <s v=""/>
    <n v="0"/>
    <n v="15"/>
    <n v="0"/>
    <n v="0"/>
  </r>
  <r>
    <s v="Loudspeakers, White for PC"/>
    <n v="0"/>
    <s v=""/>
    <n v="0"/>
    <n v="0"/>
    <s v=""/>
    <n v="0"/>
    <n v="38"/>
    <s v=""/>
    <s v=""/>
    <s v="LS-10PC"/>
    <n v="57.627120000000005"/>
    <n v="0"/>
    <n v="0"/>
    <n v="38"/>
    <n v="38"/>
    <s v=""/>
    <n v="0"/>
    <n v="25"/>
    <n v="0"/>
    <n v="0"/>
  </r>
  <r>
    <s v="Loudspeaker, Black, 120W"/>
    <n v="0"/>
    <s v=""/>
    <n v="0"/>
    <n v="0"/>
    <s v=""/>
    <n v="0"/>
    <n v="19"/>
    <s v=""/>
    <s v=""/>
    <s v="LS-120"/>
    <n v="48.863639999999997"/>
    <n v="0"/>
    <n v="0"/>
    <n v="12"/>
    <n v="19"/>
    <s v=""/>
    <n v="0"/>
    <n v="45"/>
    <n v="0"/>
    <n v="0"/>
  </r>
  <r>
    <s v="Loudspeaker, Cherry, 150W"/>
    <n v="0"/>
    <s v=""/>
    <n v="0"/>
    <n v="0"/>
    <s v=""/>
    <n v="0"/>
    <n v="8"/>
    <s v=""/>
    <s v=""/>
    <s v="LS-150"/>
    <n v="44.186050000000002"/>
    <n v="0"/>
    <n v="0"/>
    <n v="0"/>
    <n v="8"/>
    <s v=""/>
    <n v="0"/>
    <n v="72"/>
    <n v="0"/>
    <n v="0"/>
  </r>
  <r>
    <s v="Cables for Loudspeakers"/>
    <n v="0"/>
    <s v=""/>
    <n v="0"/>
    <n v="0"/>
    <s v=""/>
    <n v="0"/>
    <n v="200"/>
    <s v=""/>
    <s v=""/>
    <s v="LS-2"/>
    <n v="28.571430000000003"/>
    <n v="0"/>
    <n v="0"/>
    <n v="0"/>
    <n v="200"/>
    <s v=""/>
    <n v="0"/>
    <n v="15"/>
    <n v="0"/>
    <n v="0"/>
  </r>
  <r>
    <s v="Loudspeaker, Cherry, 75W"/>
    <n v="0"/>
    <s v=""/>
    <n v="0"/>
    <n v="0"/>
    <s v=""/>
    <n v="0"/>
    <n v="23"/>
    <s v=""/>
    <s v=""/>
    <s v="LS-75"/>
    <n v="54.43038"/>
    <n v="0"/>
    <n v="0"/>
    <n v="10"/>
    <n v="23"/>
    <s v=""/>
    <n v="0"/>
    <n v="36"/>
    <n v="0"/>
    <n v="0"/>
  </r>
  <r>
    <s v="Loudspeaker, Walnut, 80W"/>
    <n v="0"/>
    <s v=""/>
    <n v="0"/>
    <n v="0"/>
    <s v=""/>
    <n v="0"/>
    <n v="0"/>
    <s v=""/>
    <s v=""/>
    <s v="LS-81"/>
    <n v="54.43038"/>
    <n v="0"/>
    <n v="0"/>
    <n v="0"/>
    <n v="0"/>
    <s v=""/>
    <n v="0"/>
    <n v="36"/>
    <n v="0"/>
    <n v="0"/>
  </r>
  <r>
    <s v="Manual for Loudspeakers"/>
    <n v="0"/>
    <s v=""/>
    <n v="0"/>
    <n v="0"/>
    <s v=""/>
    <n v="0"/>
    <n v="140"/>
    <s v=""/>
    <s v=""/>
    <s v="LS-MAN-10"/>
    <n v="0"/>
    <n v="0"/>
    <n v="0"/>
    <n v="4"/>
    <n v="140"/>
    <s v=""/>
    <n v="0"/>
    <n v="12"/>
    <n v="0"/>
    <n v="0"/>
  </r>
  <r>
    <s v="Stand for Loudspeakers LS-150"/>
    <n v="0"/>
    <s v=""/>
    <n v="0"/>
    <n v="0"/>
    <s v=""/>
    <n v="0"/>
    <n v="60"/>
    <s v=""/>
    <s v=""/>
    <s v="LS-S15"/>
    <n v="43.037970000000001"/>
    <n v="0"/>
    <n v="0"/>
    <n v="0"/>
    <n v="60"/>
    <s v=""/>
    <n v="0"/>
    <n v="45"/>
    <n v="0"/>
    <n v="0"/>
  </r>
  <r>
    <s v="Base speaker unit 15&quot; 100W"/>
    <n v="0"/>
    <s v=""/>
    <n v="0"/>
    <n v="0"/>
    <s v=""/>
    <n v="0"/>
    <n v="28"/>
    <s v=""/>
    <s v=""/>
    <s v="LSU-15"/>
    <n v="28.571430000000003"/>
    <n v="0"/>
    <n v="0"/>
    <n v="0"/>
    <n v="28"/>
    <s v=""/>
    <n v="0"/>
    <n v="15"/>
    <n v="0"/>
    <n v="0"/>
  </r>
  <r>
    <s v="Tweeter speaker unit 4&quot; 100W"/>
    <n v="0"/>
    <s v=""/>
    <n v="0"/>
    <n v="0"/>
    <s v=""/>
    <n v="0"/>
    <n v="100"/>
    <s v=""/>
    <s v=""/>
    <s v="LSU-4"/>
    <n v="28.571430000000003"/>
    <n v="0"/>
    <n v="0"/>
    <n v="0"/>
    <n v="100"/>
    <s v=""/>
    <n v="0"/>
    <n v="15"/>
    <n v="0"/>
    <n v="0"/>
  </r>
  <r>
    <s v="Middletone speaker unit 8&quot;100W"/>
    <n v="0"/>
    <s v=""/>
    <n v="0"/>
    <n v="0"/>
    <s v=""/>
    <n v="0"/>
    <n v="15"/>
    <s v=""/>
    <s v=""/>
    <s v="LSU-8"/>
    <n v="28.571430000000003"/>
    <n v="0"/>
    <n v="0"/>
    <n v="0"/>
    <n v="15"/>
    <s v=""/>
    <n v="0"/>
    <n v="15"/>
    <n v="0"/>
    <n v="0"/>
  </r>
  <r>
    <s v="Spike for LS-100"/>
    <n v="0"/>
    <s v=""/>
    <n v="0"/>
    <n v="0"/>
    <s v=""/>
    <n v="0"/>
    <n v="78"/>
    <s v=""/>
    <s v=""/>
    <s v="SPK-100"/>
    <n v="28.571430000000003"/>
    <n v="0"/>
    <n v="0"/>
    <n v="0"/>
    <n v="78"/>
    <s v=""/>
    <n v="0"/>
    <n v="1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33730-7D5D-4841-A216-DBB51528413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4C-7CCA-4F79-80A8-0BE729BF0936}">
  <dimension ref="A3:C20"/>
  <sheetViews>
    <sheetView tabSelected="1"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B4C2-D733-464F-A206-1F3BFE4597CC}">
  <dimension ref="A1:AA154"/>
  <sheetViews>
    <sheetView topLeftCell="G10" workbookViewId="0">
      <selection activeCell="G10" sqref="G10:AA154"/>
    </sheetView>
  </sheetViews>
  <sheetFormatPr defaultRowHeight="14.4" x14ac:dyDescent="0.3"/>
  <cols>
    <col min="1" max="1" width="8.88671875" hidden="1" customWidth="1"/>
    <col min="6" max="6" width="8.88671875" style="1" hidden="1" customWidth="1"/>
    <col min="7" max="7" width="31" bestFit="1" customWidth="1"/>
    <col min="8" max="8" width="7.21875" bestFit="1" customWidth="1"/>
    <col min="9" max="9" width="7.88671875" bestFit="1" customWidth="1"/>
    <col min="10" max="10" width="22" bestFit="1" customWidth="1"/>
    <col min="11" max="11" width="21.5546875" bestFit="1" customWidth="1"/>
    <col min="12" max="12" width="17" bestFit="1" customWidth="1"/>
    <col min="13" max="13" width="10.21875" bestFit="1" customWidth="1"/>
    <col min="14" max="14" width="10.44140625" bestFit="1" customWidth="1"/>
    <col min="15" max="15" width="20.5546875" bestFit="1" customWidth="1"/>
    <col min="16" max="16" width="21.5546875" bestFit="1" customWidth="1"/>
    <col min="17" max="17" width="10.21875" bestFit="1" customWidth="1"/>
    <col min="18" max="18" width="9" bestFit="1" customWidth="1"/>
    <col min="19" max="19" width="11.6640625" bestFit="1" customWidth="1"/>
    <col min="20" max="20" width="12.33203125" bestFit="1" customWidth="1"/>
    <col min="21" max="21" width="10.109375" bestFit="1" customWidth="1"/>
    <col min="22" max="22" width="15.33203125" bestFit="1" customWidth="1"/>
    <col min="23" max="23" width="9.88671875" bestFit="1" customWidth="1"/>
    <col min="24" max="24" width="12.109375" bestFit="1" customWidth="1"/>
    <col min="25" max="25" width="8.5546875" bestFit="1" customWidth="1"/>
    <col min="26" max="26" width="11.109375" bestFit="1" customWidth="1"/>
    <col min="27" max="27" width="13.88671875" bestFit="1" customWidth="1"/>
  </cols>
  <sheetData>
    <row r="1" spans="1:27" hidden="1" x14ac:dyDescent="0.3">
      <c r="A1" t="s">
        <v>3193</v>
      </c>
      <c r="F1" s="1" t="s">
        <v>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</row>
    <row r="10" spans="1:27" x14ac:dyDescent="0.3">
      <c r="G10" t="s">
        <v>1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11</v>
      </c>
      <c r="Q10" t="s">
        <v>12</v>
      </c>
      <c r="R10" t="s">
        <v>13</v>
      </c>
      <c r="S10" t="s">
        <v>14</v>
      </c>
      <c r="T10" t="s">
        <v>15</v>
      </c>
      <c r="U10" t="s">
        <v>16</v>
      </c>
      <c r="V10" t="s">
        <v>17</v>
      </c>
      <c r="W10" t="s">
        <v>18</v>
      </c>
      <c r="X10" t="s">
        <v>19</v>
      </c>
      <c r="Y10" t="s">
        <v>20</v>
      </c>
      <c r="Z10" t="s">
        <v>21</v>
      </c>
      <c r="AA10" t="s">
        <v>22</v>
      </c>
    </row>
    <row r="11" spans="1:27" x14ac:dyDescent="0.3">
      <c r="F11" s="1" t="str">
        <f>"""Navdirect"",""CRONUS USA, Inc."",""27"",""1"",""1000"""</f>
        <v>"Navdirect","CRONUS USA, Inc.","27","1","1000"</v>
      </c>
      <c r="G11" t="str">
        <f>"Bicycle"</f>
        <v>Bicycle</v>
      </c>
      <c r="H11">
        <v>10</v>
      </c>
      <c r="I11" t="str">
        <f>""</f>
        <v/>
      </c>
      <c r="J11">
        <v>0</v>
      </c>
      <c r="K11">
        <v>0</v>
      </c>
      <c r="L11" t="str">
        <f>""</f>
        <v/>
      </c>
      <c r="M11">
        <v>0</v>
      </c>
      <c r="N11">
        <v>32</v>
      </c>
      <c r="O11" t="str">
        <f>""</f>
        <v/>
      </c>
      <c r="P11" t="str">
        <f>""</f>
        <v/>
      </c>
      <c r="Q11" t="str">
        <f>"1000"</f>
        <v>1000</v>
      </c>
      <c r="R11">
        <v>91.235129999999998</v>
      </c>
      <c r="S11">
        <v>0</v>
      </c>
      <c r="T11">
        <v>0</v>
      </c>
      <c r="U11">
        <v>0</v>
      </c>
      <c r="V11">
        <v>32</v>
      </c>
      <c r="W11" t="str">
        <f>""</f>
        <v/>
      </c>
      <c r="X11">
        <v>0</v>
      </c>
      <c r="Y11">
        <v>350.59499999999997</v>
      </c>
      <c r="Z11">
        <v>0</v>
      </c>
      <c r="AA11">
        <v>0</v>
      </c>
    </row>
    <row r="12" spans="1:27" x14ac:dyDescent="0.3">
      <c r="A12" t="s">
        <v>45</v>
      </c>
      <c r="F12" s="1" t="str">
        <f>"""Navdirect"",""CRONUS USA, Inc."",""27"",""1"",""1001"""</f>
        <v>"Navdirect","CRONUS USA, Inc.","27","1","1001"</v>
      </c>
      <c r="G12" t="str">
        <f>"Touring Bicycle"</f>
        <v>Touring Bicycle</v>
      </c>
      <c r="H12">
        <v>10</v>
      </c>
      <c r="I12" t="str">
        <f>""</f>
        <v/>
      </c>
      <c r="J12">
        <v>0</v>
      </c>
      <c r="K12">
        <v>0</v>
      </c>
      <c r="L12" t="str">
        <f>""</f>
        <v/>
      </c>
      <c r="M12">
        <v>0</v>
      </c>
      <c r="N12">
        <v>0</v>
      </c>
      <c r="O12" t="str">
        <f>""</f>
        <v/>
      </c>
      <c r="P12" t="str">
        <f>""</f>
        <v/>
      </c>
      <c r="Q12" t="str">
        <f>"1001"</f>
        <v>1001</v>
      </c>
      <c r="R12">
        <v>91.235129999999998</v>
      </c>
      <c r="S12">
        <v>0</v>
      </c>
      <c r="T12">
        <v>0</v>
      </c>
      <c r="U12">
        <v>0</v>
      </c>
      <c r="V12">
        <v>0</v>
      </c>
      <c r="W12" t="str">
        <f>""</f>
        <v/>
      </c>
      <c r="X12">
        <v>0</v>
      </c>
      <c r="Y12">
        <v>350.59499999999997</v>
      </c>
      <c r="Z12">
        <v>0</v>
      </c>
      <c r="AA12">
        <v>0</v>
      </c>
    </row>
    <row r="13" spans="1:27" x14ac:dyDescent="0.3">
      <c r="A13" t="s">
        <v>45</v>
      </c>
      <c r="F13" s="1" t="str">
        <f>"""Navdirect"",""CRONUS USA, Inc."",""27"",""1"",""1100"""</f>
        <v>"Navdirect","CRONUS USA, Inc.","27","1","1100"</v>
      </c>
      <c r="G13" t="str">
        <f>"Front Wheel"</f>
        <v>Front Wheel</v>
      </c>
      <c r="H13">
        <v>10</v>
      </c>
      <c r="I13" t="str">
        <f>""</f>
        <v/>
      </c>
      <c r="J13">
        <v>0</v>
      </c>
      <c r="K13">
        <v>0</v>
      </c>
      <c r="L13" t="str">
        <f>""</f>
        <v/>
      </c>
      <c r="M13">
        <v>0</v>
      </c>
      <c r="N13">
        <v>152</v>
      </c>
      <c r="O13" t="str">
        <f>""</f>
        <v/>
      </c>
      <c r="P13" t="str">
        <f>""</f>
        <v/>
      </c>
      <c r="Q13" t="str">
        <f>"1100"</f>
        <v>1100</v>
      </c>
      <c r="R13">
        <v>87.032899999999998</v>
      </c>
      <c r="S13">
        <v>0</v>
      </c>
      <c r="T13">
        <v>0</v>
      </c>
      <c r="U13">
        <v>0</v>
      </c>
      <c r="V13">
        <v>152</v>
      </c>
      <c r="W13" t="str">
        <f>""</f>
        <v/>
      </c>
      <c r="X13">
        <v>0</v>
      </c>
      <c r="Y13">
        <v>129.67099999999999</v>
      </c>
      <c r="Z13">
        <v>0</v>
      </c>
      <c r="AA13">
        <v>0</v>
      </c>
    </row>
    <row r="14" spans="1:27" x14ac:dyDescent="0.3">
      <c r="A14" t="s">
        <v>45</v>
      </c>
      <c r="F14" s="1" t="str">
        <f>"""Navdirect"",""CRONUS USA, Inc."",""27"",""1"",""1110"""</f>
        <v>"Navdirect","CRONUS USA, Inc.","27","1","1110"</v>
      </c>
      <c r="G14" t="str">
        <f>"Rim"</f>
        <v>Rim</v>
      </c>
      <c r="H14">
        <v>10</v>
      </c>
      <c r="I14" t="str">
        <f>""</f>
        <v/>
      </c>
      <c r="J14">
        <v>100</v>
      </c>
      <c r="K14">
        <v>5</v>
      </c>
      <c r="L14" t="str">
        <f>""</f>
        <v/>
      </c>
      <c r="M14">
        <v>0</v>
      </c>
      <c r="N14">
        <v>400</v>
      </c>
      <c r="O14" t="str">
        <f>""</f>
        <v/>
      </c>
      <c r="P14" t="str">
        <f>""</f>
        <v/>
      </c>
      <c r="Q14" t="str">
        <f>"1110"</f>
        <v>1110</v>
      </c>
      <c r="R14">
        <v>0</v>
      </c>
      <c r="S14">
        <v>0</v>
      </c>
      <c r="T14">
        <v>0</v>
      </c>
      <c r="U14">
        <v>0</v>
      </c>
      <c r="V14">
        <v>400</v>
      </c>
      <c r="W14" t="str">
        <f>""</f>
        <v/>
      </c>
      <c r="X14">
        <v>0</v>
      </c>
      <c r="Y14">
        <v>1.05</v>
      </c>
      <c r="Z14">
        <v>0</v>
      </c>
      <c r="AA14">
        <v>0</v>
      </c>
    </row>
    <row r="15" spans="1:27" x14ac:dyDescent="0.3">
      <c r="A15" t="s">
        <v>45</v>
      </c>
      <c r="F15" s="1" t="str">
        <f>"""Navdirect"",""CRONUS USA, Inc."",""27"",""1"",""1120"""</f>
        <v>"Navdirect","CRONUS USA, Inc.","27","1","1120"</v>
      </c>
      <c r="G15" t="str">
        <f>"Spokes"</f>
        <v>Spokes</v>
      </c>
      <c r="H15">
        <v>10</v>
      </c>
      <c r="I15" t="str">
        <f>""</f>
        <v/>
      </c>
      <c r="J15">
        <v>0</v>
      </c>
      <c r="K15">
        <v>5</v>
      </c>
      <c r="L15" t="str">
        <f>""</f>
        <v/>
      </c>
      <c r="M15">
        <v>0</v>
      </c>
      <c r="N15">
        <v>10000</v>
      </c>
      <c r="O15" t="str">
        <f>""</f>
        <v/>
      </c>
      <c r="P15" t="str">
        <f>""</f>
        <v/>
      </c>
      <c r="Q15" t="str">
        <f>"1120"</f>
        <v>1120</v>
      </c>
      <c r="R15">
        <v>0</v>
      </c>
      <c r="S15">
        <v>0</v>
      </c>
      <c r="T15">
        <v>0</v>
      </c>
      <c r="U15">
        <v>0</v>
      </c>
      <c r="V15">
        <v>10000</v>
      </c>
      <c r="W15" t="str">
        <f>""</f>
        <v/>
      </c>
      <c r="X15">
        <v>0</v>
      </c>
      <c r="Y15">
        <v>2</v>
      </c>
      <c r="Z15">
        <v>0</v>
      </c>
      <c r="AA15">
        <v>0</v>
      </c>
    </row>
    <row r="16" spans="1:27" x14ac:dyDescent="0.3">
      <c r="A16" t="s">
        <v>45</v>
      </c>
      <c r="F16" s="1" t="str">
        <f>"""Navdirect"",""CRONUS USA, Inc."",""27"",""1"",""1150"""</f>
        <v>"Navdirect","CRONUS USA, Inc.","27","1","1150"</v>
      </c>
      <c r="G16" t="str">
        <f>"Front Hub"</f>
        <v>Front Hub</v>
      </c>
      <c r="H16">
        <v>10</v>
      </c>
      <c r="I16" t="str">
        <f>""</f>
        <v/>
      </c>
      <c r="J16">
        <v>100</v>
      </c>
      <c r="K16">
        <v>5</v>
      </c>
      <c r="L16" t="str">
        <f>""</f>
        <v/>
      </c>
      <c r="M16">
        <v>0</v>
      </c>
      <c r="N16">
        <v>200</v>
      </c>
      <c r="O16" t="str">
        <f>""</f>
        <v/>
      </c>
      <c r="P16" t="str">
        <f>""</f>
        <v/>
      </c>
      <c r="Q16" t="str">
        <f>"1150"</f>
        <v>1150</v>
      </c>
      <c r="R16">
        <v>97.511799999999994</v>
      </c>
      <c r="S16">
        <v>0</v>
      </c>
      <c r="T16">
        <v>0</v>
      </c>
      <c r="U16">
        <v>0</v>
      </c>
      <c r="V16">
        <v>200</v>
      </c>
      <c r="W16" t="str">
        <f>""</f>
        <v/>
      </c>
      <c r="X16">
        <v>0</v>
      </c>
      <c r="Y16">
        <v>12.440999999999999</v>
      </c>
      <c r="Z16">
        <v>0</v>
      </c>
      <c r="AA16">
        <v>0</v>
      </c>
    </row>
    <row r="17" spans="1:27" x14ac:dyDescent="0.3">
      <c r="A17" t="s">
        <v>45</v>
      </c>
      <c r="F17" s="1" t="str">
        <f>"""Navdirect"",""CRONUS USA, Inc."",""27"",""1"",""1151"""</f>
        <v>"Navdirect","CRONUS USA, Inc.","27","1","1151"</v>
      </c>
      <c r="G17" t="str">
        <f>"Axle Front Wheel"</f>
        <v>Axle Front Wheel</v>
      </c>
      <c r="H17">
        <v>10</v>
      </c>
      <c r="I17" t="str">
        <f>""</f>
        <v/>
      </c>
      <c r="J17">
        <v>100</v>
      </c>
      <c r="K17">
        <v>5</v>
      </c>
      <c r="L17" t="str">
        <f>""</f>
        <v/>
      </c>
      <c r="M17">
        <v>0</v>
      </c>
      <c r="N17">
        <v>200</v>
      </c>
      <c r="O17" t="str">
        <f>""</f>
        <v/>
      </c>
      <c r="P17" t="str">
        <f>""</f>
        <v/>
      </c>
      <c r="Q17" t="str">
        <f>"1151"</f>
        <v>1151</v>
      </c>
      <c r="R17">
        <v>0</v>
      </c>
      <c r="S17">
        <v>0</v>
      </c>
      <c r="T17">
        <v>0</v>
      </c>
      <c r="U17">
        <v>0</v>
      </c>
      <c r="V17">
        <v>200</v>
      </c>
      <c r="W17" t="str">
        <f>""</f>
        <v/>
      </c>
      <c r="X17">
        <v>0</v>
      </c>
      <c r="Y17">
        <v>0.45</v>
      </c>
      <c r="Z17">
        <v>0</v>
      </c>
      <c r="AA17">
        <v>0</v>
      </c>
    </row>
    <row r="18" spans="1:27" x14ac:dyDescent="0.3">
      <c r="A18" t="s">
        <v>45</v>
      </c>
      <c r="F18" s="1" t="str">
        <f>"""Navdirect"",""CRONUS USA, Inc."",""27"",""1"",""1155"""</f>
        <v>"Navdirect","CRONUS USA, Inc.","27","1","1155"</v>
      </c>
      <c r="G18" t="str">
        <f>"Socket Front"</f>
        <v>Socket Front</v>
      </c>
      <c r="H18">
        <v>10</v>
      </c>
      <c r="I18" t="str">
        <f>""</f>
        <v/>
      </c>
      <c r="J18">
        <v>100</v>
      </c>
      <c r="K18">
        <v>5</v>
      </c>
      <c r="L18" t="str">
        <f>""</f>
        <v/>
      </c>
      <c r="M18">
        <v>0</v>
      </c>
      <c r="N18">
        <v>200</v>
      </c>
      <c r="O18" t="str">
        <f>""</f>
        <v/>
      </c>
      <c r="P18" t="str">
        <f>""</f>
        <v/>
      </c>
      <c r="Q18" t="str">
        <f>"1155"</f>
        <v>1155</v>
      </c>
      <c r="R18">
        <v>0</v>
      </c>
      <c r="S18">
        <v>0</v>
      </c>
      <c r="T18">
        <v>0</v>
      </c>
      <c r="U18">
        <v>0</v>
      </c>
      <c r="V18">
        <v>200</v>
      </c>
      <c r="W18" t="str">
        <f>""</f>
        <v/>
      </c>
      <c r="X18">
        <v>0</v>
      </c>
      <c r="Y18">
        <v>0.77</v>
      </c>
      <c r="Z18">
        <v>0</v>
      </c>
      <c r="AA18">
        <v>0</v>
      </c>
    </row>
    <row r="19" spans="1:27" x14ac:dyDescent="0.3">
      <c r="A19" t="s">
        <v>45</v>
      </c>
      <c r="F19" s="1" t="str">
        <f>"""Navdirect"",""CRONUS USA, Inc."",""27"",""1"",""1160"""</f>
        <v>"Navdirect","CRONUS USA, Inc.","27","1","1160"</v>
      </c>
      <c r="G19" t="str">
        <f>"Tire"</f>
        <v>Tire</v>
      </c>
      <c r="H19">
        <v>10</v>
      </c>
      <c r="I19" t="str">
        <f>""</f>
        <v/>
      </c>
      <c r="J19">
        <v>100</v>
      </c>
      <c r="K19">
        <v>5</v>
      </c>
      <c r="L19" t="str">
        <f>""</f>
        <v/>
      </c>
      <c r="M19">
        <v>0</v>
      </c>
      <c r="N19">
        <v>200</v>
      </c>
      <c r="O19" t="str">
        <f>""</f>
        <v/>
      </c>
      <c r="P19" t="str">
        <f>""</f>
        <v/>
      </c>
      <c r="Q19" t="str">
        <f>"1160"</f>
        <v>1160</v>
      </c>
      <c r="R19">
        <v>0</v>
      </c>
      <c r="S19">
        <v>0</v>
      </c>
      <c r="T19">
        <v>0</v>
      </c>
      <c r="U19">
        <v>0</v>
      </c>
      <c r="V19">
        <v>200</v>
      </c>
      <c r="W19" t="str">
        <f>""</f>
        <v/>
      </c>
      <c r="X19">
        <v>0</v>
      </c>
      <c r="Y19">
        <v>1.23</v>
      </c>
      <c r="Z19">
        <v>0</v>
      </c>
      <c r="AA19">
        <v>0</v>
      </c>
    </row>
    <row r="20" spans="1:27" x14ac:dyDescent="0.3">
      <c r="A20" t="s">
        <v>45</v>
      </c>
      <c r="F20" s="1" t="str">
        <f>"""Navdirect"",""CRONUS USA, Inc."",""27"",""1"",""1170"""</f>
        <v>"Navdirect","CRONUS USA, Inc.","27","1","1170"</v>
      </c>
      <c r="G20" t="str">
        <f>"Tube"</f>
        <v>Tube</v>
      </c>
      <c r="H20">
        <v>10</v>
      </c>
      <c r="I20" t="str">
        <f>""</f>
        <v/>
      </c>
      <c r="J20">
        <v>100</v>
      </c>
      <c r="K20">
        <v>5</v>
      </c>
      <c r="L20" t="str">
        <f>""</f>
        <v/>
      </c>
      <c r="M20">
        <v>0</v>
      </c>
      <c r="N20">
        <v>200</v>
      </c>
      <c r="O20" t="str">
        <f>""</f>
        <v/>
      </c>
      <c r="P20" t="str">
        <f>""</f>
        <v/>
      </c>
      <c r="Q20" t="str">
        <f>"1170"</f>
        <v>1170</v>
      </c>
      <c r="R20">
        <v>0</v>
      </c>
      <c r="S20">
        <v>0</v>
      </c>
      <c r="T20">
        <v>0</v>
      </c>
      <c r="U20">
        <v>0</v>
      </c>
      <c r="V20">
        <v>200</v>
      </c>
      <c r="W20" t="str">
        <f>""</f>
        <v/>
      </c>
      <c r="X20">
        <v>0</v>
      </c>
      <c r="Y20">
        <v>1.75</v>
      </c>
      <c r="Z20">
        <v>0</v>
      </c>
      <c r="AA20">
        <v>0</v>
      </c>
    </row>
    <row r="21" spans="1:27" x14ac:dyDescent="0.3">
      <c r="A21" t="s">
        <v>45</v>
      </c>
      <c r="F21" s="1" t="str">
        <f>"""Navdirect"",""CRONUS USA, Inc."",""27"",""1"",""1200"""</f>
        <v>"Navdirect","CRONUS USA, Inc.","27","1","1200"</v>
      </c>
      <c r="G21" t="str">
        <f>"Back Wheel"</f>
        <v>Back Wheel</v>
      </c>
      <c r="H21">
        <v>10</v>
      </c>
      <c r="I21" t="str">
        <f>""</f>
        <v/>
      </c>
      <c r="J21">
        <v>0</v>
      </c>
      <c r="K21">
        <v>0</v>
      </c>
      <c r="L21" t="str">
        <f>""</f>
        <v/>
      </c>
      <c r="M21">
        <v>0</v>
      </c>
      <c r="N21">
        <v>152</v>
      </c>
      <c r="O21" t="str">
        <f>""</f>
        <v/>
      </c>
      <c r="P21" t="str">
        <f>""</f>
        <v/>
      </c>
      <c r="Q21" t="str">
        <f>"1200"</f>
        <v>1200</v>
      </c>
      <c r="R21">
        <v>89.193170000000009</v>
      </c>
      <c r="S21">
        <v>0</v>
      </c>
      <c r="T21">
        <v>0</v>
      </c>
      <c r="U21">
        <v>0</v>
      </c>
      <c r="V21">
        <v>152</v>
      </c>
      <c r="W21" t="str">
        <f>""</f>
        <v/>
      </c>
      <c r="X21">
        <v>0</v>
      </c>
      <c r="Y21">
        <v>129.68200000000002</v>
      </c>
      <c r="Z21">
        <v>0</v>
      </c>
      <c r="AA21">
        <v>0</v>
      </c>
    </row>
    <row r="22" spans="1:27" x14ac:dyDescent="0.3">
      <c r="A22" t="s">
        <v>45</v>
      </c>
      <c r="F22" s="1" t="str">
        <f>"""Navdirect"",""CRONUS USA, Inc."",""27"",""1"",""1250"""</f>
        <v>"Navdirect","CRONUS USA, Inc.","27","1","1250"</v>
      </c>
      <c r="G22" t="str">
        <f>"Back Hub"</f>
        <v>Back Hub</v>
      </c>
      <c r="H22">
        <v>10</v>
      </c>
      <c r="I22" t="str">
        <f>""</f>
        <v/>
      </c>
      <c r="J22">
        <v>100</v>
      </c>
      <c r="K22">
        <v>10</v>
      </c>
      <c r="L22" t="str">
        <f>""</f>
        <v/>
      </c>
      <c r="M22">
        <v>0</v>
      </c>
      <c r="N22">
        <v>200</v>
      </c>
      <c r="O22" t="str">
        <f>""</f>
        <v/>
      </c>
      <c r="P22" t="str">
        <f>""</f>
        <v/>
      </c>
      <c r="Q22" t="str">
        <f>"1250"</f>
        <v>1250</v>
      </c>
      <c r="R22">
        <v>98.867999999999995</v>
      </c>
      <c r="S22">
        <v>0</v>
      </c>
      <c r="T22">
        <v>0</v>
      </c>
      <c r="U22">
        <v>0</v>
      </c>
      <c r="V22">
        <v>200</v>
      </c>
      <c r="W22" t="str">
        <f>""</f>
        <v/>
      </c>
      <c r="X22">
        <v>0</v>
      </c>
      <c r="Y22">
        <v>12.452</v>
      </c>
      <c r="Z22">
        <v>0</v>
      </c>
      <c r="AA22">
        <v>0</v>
      </c>
    </row>
    <row r="23" spans="1:27" x14ac:dyDescent="0.3">
      <c r="A23" t="s">
        <v>45</v>
      </c>
      <c r="F23" s="1" t="str">
        <f>"""Navdirect"",""CRONUS USA, Inc."",""27"",""1"",""1251"""</f>
        <v>"Navdirect","CRONUS USA, Inc.","27","1","1251"</v>
      </c>
      <c r="G23" t="str">
        <f>"Axle Back Wheel"</f>
        <v>Axle Back Wheel</v>
      </c>
      <c r="H23">
        <v>10</v>
      </c>
      <c r="I23" t="str">
        <f>""</f>
        <v/>
      </c>
      <c r="J23">
        <v>100</v>
      </c>
      <c r="K23">
        <v>5</v>
      </c>
      <c r="L23" t="str">
        <f>""</f>
        <v/>
      </c>
      <c r="M23">
        <v>0</v>
      </c>
      <c r="N23">
        <v>10000</v>
      </c>
      <c r="O23" t="str">
        <f>""</f>
        <v/>
      </c>
      <c r="P23" t="str">
        <f>""</f>
        <v/>
      </c>
      <c r="Q23" t="str">
        <f>"1251"</f>
        <v>1251</v>
      </c>
      <c r="R23">
        <v>0</v>
      </c>
      <c r="S23">
        <v>0</v>
      </c>
      <c r="T23">
        <v>0</v>
      </c>
      <c r="U23">
        <v>0</v>
      </c>
      <c r="V23">
        <v>10000</v>
      </c>
      <c r="W23" t="str">
        <f>""</f>
        <v/>
      </c>
      <c r="X23">
        <v>0</v>
      </c>
      <c r="Y23">
        <v>0.33</v>
      </c>
      <c r="Z23">
        <v>0</v>
      </c>
      <c r="AA23">
        <v>0</v>
      </c>
    </row>
    <row r="24" spans="1:27" x14ac:dyDescent="0.3">
      <c r="A24" t="s">
        <v>45</v>
      </c>
      <c r="F24" s="1" t="str">
        <f>"""Navdirect"",""CRONUS USA, Inc."",""27"",""1"",""1255"""</f>
        <v>"Navdirect","CRONUS USA, Inc.","27","1","1255"</v>
      </c>
      <c r="G24" t="str">
        <f>"Socket Back"</f>
        <v>Socket Back</v>
      </c>
      <c r="H24">
        <v>10</v>
      </c>
      <c r="I24" t="str">
        <f>""</f>
        <v/>
      </c>
      <c r="J24">
        <v>100</v>
      </c>
      <c r="K24">
        <v>5</v>
      </c>
      <c r="L24" t="str">
        <f>""</f>
        <v/>
      </c>
      <c r="M24">
        <v>0</v>
      </c>
      <c r="N24">
        <v>200</v>
      </c>
      <c r="O24" t="str">
        <f>""</f>
        <v/>
      </c>
      <c r="P24" t="str">
        <f>""</f>
        <v/>
      </c>
      <c r="Q24" t="str">
        <f>"1255"</f>
        <v>1255</v>
      </c>
      <c r="R24">
        <v>0</v>
      </c>
      <c r="S24">
        <v>0</v>
      </c>
      <c r="T24">
        <v>0</v>
      </c>
      <c r="U24">
        <v>0</v>
      </c>
      <c r="V24">
        <v>200</v>
      </c>
      <c r="W24" t="str">
        <f>""</f>
        <v/>
      </c>
      <c r="X24">
        <v>0</v>
      </c>
      <c r="Y24">
        <v>0.9</v>
      </c>
      <c r="Z24">
        <v>0</v>
      </c>
      <c r="AA24">
        <v>0</v>
      </c>
    </row>
    <row r="25" spans="1:27" x14ac:dyDescent="0.3">
      <c r="A25" t="s">
        <v>45</v>
      </c>
      <c r="F25" s="1" t="str">
        <f>"""Navdirect"",""CRONUS USA, Inc."",""27"",""1"",""1300"""</f>
        <v>"Navdirect","CRONUS USA, Inc.","27","1","1300"</v>
      </c>
      <c r="G25" t="str">
        <f>"Chain Assy"</f>
        <v>Chain Assy</v>
      </c>
      <c r="H25">
        <v>10</v>
      </c>
      <c r="I25" t="str">
        <f>""</f>
        <v/>
      </c>
      <c r="J25">
        <v>100</v>
      </c>
      <c r="K25">
        <v>10</v>
      </c>
      <c r="L25" t="str">
        <f>""</f>
        <v/>
      </c>
      <c r="M25">
        <v>0</v>
      </c>
      <c r="N25">
        <v>152</v>
      </c>
      <c r="O25" t="str">
        <f>""</f>
        <v/>
      </c>
      <c r="P25" t="str">
        <f>""</f>
        <v/>
      </c>
      <c r="Q25" t="str">
        <f>"1300"</f>
        <v>1300</v>
      </c>
      <c r="R25">
        <v>98.355380000000011</v>
      </c>
      <c r="S25">
        <v>0</v>
      </c>
      <c r="T25">
        <v>0</v>
      </c>
      <c r="U25">
        <v>0</v>
      </c>
      <c r="V25">
        <v>152</v>
      </c>
      <c r="W25" t="str">
        <f>""</f>
        <v/>
      </c>
      <c r="X25">
        <v>0</v>
      </c>
      <c r="Y25">
        <v>13.156999999999998</v>
      </c>
      <c r="Z25">
        <v>0</v>
      </c>
      <c r="AA25">
        <v>0</v>
      </c>
    </row>
    <row r="26" spans="1:27" x14ac:dyDescent="0.3">
      <c r="A26" t="s">
        <v>45</v>
      </c>
      <c r="F26" s="1" t="str">
        <f>"""Navdirect"",""CRONUS USA, Inc."",""27"",""1"",""1310"""</f>
        <v>"Navdirect","CRONUS USA, Inc.","27","1","1310"</v>
      </c>
      <c r="G26" t="str">
        <f>"Chain"</f>
        <v>Chain</v>
      </c>
      <c r="H26">
        <v>10</v>
      </c>
      <c r="I26" t="str">
        <f>""</f>
        <v/>
      </c>
      <c r="J26">
        <v>100</v>
      </c>
      <c r="K26">
        <v>5</v>
      </c>
      <c r="L26" t="str">
        <f>""</f>
        <v/>
      </c>
      <c r="M26">
        <v>0</v>
      </c>
      <c r="N26">
        <v>100</v>
      </c>
      <c r="O26" t="str">
        <f>""</f>
        <v/>
      </c>
      <c r="P26" t="str">
        <f>""</f>
        <v/>
      </c>
      <c r="Q26" t="str">
        <f>"1310"</f>
        <v>1310</v>
      </c>
      <c r="R26">
        <v>0</v>
      </c>
      <c r="S26">
        <v>0</v>
      </c>
      <c r="T26">
        <v>0</v>
      </c>
      <c r="U26">
        <v>0</v>
      </c>
      <c r="V26">
        <v>100</v>
      </c>
      <c r="W26" t="str">
        <f>""</f>
        <v/>
      </c>
      <c r="X26">
        <v>0</v>
      </c>
      <c r="Y26">
        <v>1.99</v>
      </c>
      <c r="Z26">
        <v>0</v>
      </c>
      <c r="AA26">
        <v>0</v>
      </c>
    </row>
    <row r="27" spans="1:27" x14ac:dyDescent="0.3">
      <c r="A27" t="s">
        <v>45</v>
      </c>
      <c r="F27" s="1" t="str">
        <f>"""Navdirect"",""CRONUS USA, Inc."",""27"",""1"",""1320"""</f>
        <v>"Navdirect","CRONUS USA, Inc.","27","1","1320"</v>
      </c>
      <c r="G27" t="str">
        <f>"Chain Wheel Front"</f>
        <v>Chain Wheel Front</v>
      </c>
      <c r="H27">
        <v>10</v>
      </c>
      <c r="I27" t="str">
        <f>""</f>
        <v/>
      </c>
      <c r="J27">
        <v>100</v>
      </c>
      <c r="K27">
        <v>5</v>
      </c>
      <c r="L27" t="str">
        <f>""</f>
        <v/>
      </c>
      <c r="M27">
        <v>0</v>
      </c>
      <c r="N27">
        <v>100</v>
      </c>
      <c r="O27" t="str">
        <f>""</f>
        <v/>
      </c>
      <c r="P27" t="str">
        <f>""</f>
        <v/>
      </c>
      <c r="Q27" t="str">
        <f>"1320"</f>
        <v>1320</v>
      </c>
      <c r="R27">
        <v>0</v>
      </c>
      <c r="S27">
        <v>0</v>
      </c>
      <c r="T27">
        <v>0</v>
      </c>
      <c r="U27">
        <v>0</v>
      </c>
      <c r="V27">
        <v>100</v>
      </c>
      <c r="W27" t="str">
        <f>""</f>
        <v/>
      </c>
      <c r="X27">
        <v>0</v>
      </c>
      <c r="Y27">
        <v>4.66</v>
      </c>
      <c r="Z27">
        <v>0</v>
      </c>
      <c r="AA27">
        <v>0</v>
      </c>
    </row>
    <row r="28" spans="1:27" x14ac:dyDescent="0.3">
      <c r="A28" t="s">
        <v>45</v>
      </c>
      <c r="F28" s="1" t="str">
        <f>"""Navdirect"",""CRONUS USA, Inc."",""27"",""1"",""1330"""</f>
        <v>"Navdirect","CRONUS USA, Inc.","27","1","1330"</v>
      </c>
      <c r="G28" t="str">
        <f>"Chain Wheel Back"</f>
        <v>Chain Wheel Back</v>
      </c>
      <c r="H28">
        <v>10</v>
      </c>
      <c r="I28" t="str">
        <f>""</f>
        <v/>
      </c>
      <c r="J28">
        <v>0</v>
      </c>
      <c r="K28">
        <v>0</v>
      </c>
      <c r="L28" t="str">
        <f>""</f>
        <v/>
      </c>
      <c r="M28">
        <v>0</v>
      </c>
      <c r="N28">
        <v>100</v>
      </c>
      <c r="O28" t="str">
        <f>""</f>
        <v/>
      </c>
      <c r="P28" t="str">
        <f>""</f>
        <v/>
      </c>
      <c r="Q28" t="str">
        <f>"1330"</f>
        <v>1330</v>
      </c>
      <c r="R28">
        <v>0</v>
      </c>
      <c r="S28">
        <v>0</v>
      </c>
      <c r="T28">
        <v>0</v>
      </c>
      <c r="U28">
        <v>0</v>
      </c>
      <c r="V28">
        <v>100</v>
      </c>
      <c r="W28" t="str">
        <f>""</f>
        <v/>
      </c>
      <c r="X28">
        <v>0</v>
      </c>
      <c r="Y28">
        <v>5.88</v>
      </c>
      <c r="Z28">
        <v>0</v>
      </c>
      <c r="AA28">
        <v>0</v>
      </c>
    </row>
    <row r="29" spans="1:27" x14ac:dyDescent="0.3">
      <c r="A29" t="s">
        <v>45</v>
      </c>
      <c r="F29" s="1" t="str">
        <f>"""Navdirect"",""CRONUS USA, Inc."",""27"",""1"",""1400"""</f>
        <v>"Navdirect","CRONUS USA, Inc.","27","1","1400"</v>
      </c>
      <c r="G29" t="str">
        <f>"Mudguard front"</f>
        <v>Mudguard front</v>
      </c>
      <c r="H29">
        <v>10</v>
      </c>
      <c r="I29" t="str">
        <f>""</f>
        <v/>
      </c>
      <c r="J29">
        <v>0</v>
      </c>
      <c r="K29">
        <v>0</v>
      </c>
      <c r="L29" t="str">
        <f>""</f>
        <v/>
      </c>
      <c r="M29">
        <v>0</v>
      </c>
      <c r="N29">
        <v>152</v>
      </c>
      <c r="O29" t="str">
        <f>""</f>
        <v/>
      </c>
      <c r="P29" t="str">
        <f>""</f>
        <v/>
      </c>
      <c r="Q29" t="str">
        <f>"1400"</f>
        <v>1400</v>
      </c>
      <c r="R29">
        <v>0</v>
      </c>
      <c r="S29">
        <v>0</v>
      </c>
      <c r="T29">
        <v>0</v>
      </c>
      <c r="U29">
        <v>0</v>
      </c>
      <c r="V29">
        <v>152</v>
      </c>
      <c r="W29" t="str">
        <f>""</f>
        <v/>
      </c>
      <c r="X29">
        <v>0</v>
      </c>
      <c r="Y29">
        <v>3.9</v>
      </c>
      <c r="Z29">
        <v>0</v>
      </c>
      <c r="AA29">
        <v>0</v>
      </c>
    </row>
    <row r="30" spans="1:27" x14ac:dyDescent="0.3">
      <c r="A30" t="s">
        <v>45</v>
      </c>
      <c r="F30" s="1" t="str">
        <f>"""Navdirect"",""CRONUS USA, Inc."",""27"",""1"",""1450"""</f>
        <v>"Navdirect","CRONUS USA, Inc.","27","1","1450"</v>
      </c>
      <c r="G30" t="str">
        <f>"Mudguard back"</f>
        <v>Mudguard back</v>
      </c>
      <c r="H30">
        <v>10</v>
      </c>
      <c r="I30" t="str">
        <f>""</f>
        <v/>
      </c>
      <c r="J30">
        <v>0</v>
      </c>
      <c r="K30">
        <v>0</v>
      </c>
      <c r="L30" t="str">
        <f>""</f>
        <v/>
      </c>
      <c r="M30">
        <v>0</v>
      </c>
      <c r="N30">
        <v>152</v>
      </c>
      <c r="O30" t="str">
        <f>""</f>
        <v/>
      </c>
      <c r="P30" t="str">
        <f>""</f>
        <v/>
      </c>
      <c r="Q30" t="str">
        <f>"1450"</f>
        <v>1450</v>
      </c>
      <c r="R30">
        <v>0</v>
      </c>
      <c r="S30">
        <v>0</v>
      </c>
      <c r="T30">
        <v>0</v>
      </c>
      <c r="U30">
        <v>0</v>
      </c>
      <c r="V30">
        <v>152</v>
      </c>
      <c r="W30" t="str">
        <f>""</f>
        <v/>
      </c>
      <c r="X30">
        <v>0</v>
      </c>
      <c r="Y30">
        <v>3.9</v>
      </c>
      <c r="Z30">
        <v>0</v>
      </c>
      <c r="AA30">
        <v>0</v>
      </c>
    </row>
    <row r="31" spans="1:27" x14ac:dyDescent="0.3">
      <c r="A31" t="s">
        <v>45</v>
      </c>
      <c r="F31" s="1" t="str">
        <f>"""Navdirect"",""CRONUS USA, Inc."",""27"",""1"",""1500"""</f>
        <v>"Navdirect","CRONUS USA, Inc.","27","1","1500"</v>
      </c>
      <c r="G31" t="str">
        <f>"Lamp"</f>
        <v>Lamp</v>
      </c>
      <c r="H31">
        <v>10</v>
      </c>
      <c r="I31" t="str">
        <f>""</f>
        <v/>
      </c>
      <c r="J31">
        <v>0</v>
      </c>
      <c r="K31">
        <v>0</v>
      </c>
      <c r="L31" t="str">
        <f>""</f>
        <v/>
      </c>
      <c r="M31">
        <v>0</v>
      </c>
      <c r="N31">
        <v>152</v>
      </c>
      <c r="O31" t="str">
        <f>""</f>
        <v/>
      </c>
      <c r="P31" t="str">
        <f>""</f>
        <v/>
      </c>
      <c r="Q31" t="str">
        <f>"1500"</f>
        <v>1500</v>
      </c>
      <c r="R31">
        <v>0</v>
      </c>
      <c r="S31">
        <v>0</v>
      </c>
      <c r="T31">
        <v>0</v>
      </c>
      <c r="U31">
        <v>0</v>
      </c>
      <c r="V31">
        <v>152</v>
      </c>
      <c r="W31" t="str">
        <f>""</f>
        <v/>
      </c>
      <c r="X31">
        <v>0</v>
      </c>
      <c r="Y31">
        <v>5.2</v>
      </c>
      <c r="Z31">
        <v>0</v>
      </c>
      <c r="AA31">
        <v>0</v>
      </c>
    </row>
    <row r="32" spans="1:27" x14ac:dyDescent="0.3">
      <c r="A32" t="s">
        <v>45</v>
      </c>
      <c r="F32" s="1" t="str">
        <f>"""Navdirect"",""CRONUS USA, Inc."",""27"",""1"",""1600"""</f>
        <v>"Navdirect","CRONUS USA, Inc.","27","1","1600"</v>
      </c>
      <c r="G32" t="str">
        <f>"Bell"</f>
        <v>Bell</v>
      </c>
      <c r="H32">
        <v>10</v>
      </c>
      <c r="I32" t="str">
        <f>""</f>
        <v/>
      </c>
      <c r="J32">
        <v>0</v>
      </c>
      <c r="K32">
        <v>0</v>
      </c>
      <c r="L32" t="str">
        <f>""</f>
        <v/>
      </c>
      <c r="M32">
        <v>0</v>
      </c>
      <c r="N32">
        <v>152</v>
      </c>
      <c r="O32" t="str">
        <f>""</f>
        <v/>
      </c>
      <c r="P32" t="str">
        <f>""</f>
        <v/>
      </c>
      <c r="Q32" t="str">
        <f>"1600"</f>
        <v>1600</v>
      </c>
      <c r="R32">
        <v>0</v>
      </c>
      <c r="S32">
        <v>0</v>
      </c>
      <c r="T32">
        <v>0</v>
      </c>
      <c r="U32">
        <v>0</v>
      </c>
      <c r="V32">
        <v>152</v>
      </c>
      <c r="W32" t="str">
        <f>""</f>
        <v/>
      </c>
      <c r="X32">
        <v>0</v>
      </c>
      <c r="Y32">
        <v>2.7</v>
      </c>
      <c r="Z32">
        <v>0</v>
      </c>
      <c r="AA32">
        <v>0</v>
      </c>
    </row>
    <row r="33" spans="1:27" x14ac:dyDescent="0.3">
      <c r="A33" t="s">
        <v>45</v>
      </c>
      <c r="F33" s="1" t="str">
        <f>"""Navdirect"",""CRONUS USA, Inc."",""27"",""1"",""1700"""</f>
        <v>"Navdirect","CRONUS USA, Inc.","27","1","1700"</v>
      </c>
      <c r="G33" t="str">
        <f>"Brake"</f>
        <v>Brake</v>
      </c>
      <c r="H33">
        <v>10</v>
      </c>
      <c r="I33" t="str">
        <f>""</f>
        <v/>
      </c>
      <c r="J33">
        <v>100</v>
      </c>
      <c r="K33">
        <v>10</v>
      </c>
      <c r="L33" t="str">
        <f>""</f>
        <v/>
      </c>
      <c r="M33">
        <v>0</v>
      </c>
      <c r="N33">
        <v>152</v>
      </c>
      <c r="O33" t="str">
        <f>""</f>
        <v/>
      </c>
      <c r="P33" t="str">
        <f>""</f>
        <v/>
      </c>
      <c r="Q33" t="str">
        <f>"1700"</f>
        <v>1700</v>
      </c>
      <c r="R33">
        <v>98.372499999999988</v>
      </c>
      <c r="S33">
        <v>0</v>
      </c>
      <c r="T33">
        <v>0</v>
      </c>
      <c r="U33">
        <v>0</v>
      </c>
      <c r="V33">
        <v>152</v>
      </c>
      <c r="W33" t="str">
        <f>""</f>
        <v/>
      </c>
      <c r="X33">
        <v>0</v>
      </c>
      <c r="Y33">
        <v>9.7650000000000006</v>
      </c>
      <c r="Z33">
        <v>0</v>
      </c>
      <c r="AA33">
        <v>0</v>
      </c>
    </row>
    <row r="34" spans="1:27" x14ac:dyDescent="0.3">
      <c r="A34" t="s">
        <v>45</v>
      </c>
      <c r="F34" s="1" t="str">
        <f>"""Navdirect"",""CRONUS USA, Inc."",""27"",""1"",""1710"""</f>
        <v>"Navdirect","CRONUS USA, Inc.","27","1","1710"</v>
      </c>
      <c r="G34" t="str">
        <f>"Hand rear wheel Brake"</f>
        <v>Hand rear wheel Brake</v>
      </c>
      <c r="H34">
        <v>10</v>
      </c>
      <c r="I34" t="str">
        <f>""</f>
        <v/>
      </c>
      <c r="J34">
        <v>0</v>
      </c>
      <c r="K34">
        <v>0</v>
      </c>
      <c r="L34" t="str">
        <f>""</f>
        <v/>
      </c>
      <c r="M34">
        <v>0</v>
      </c>
      <c r="N34">
        <v>200</v>
      </c>
      <c r="O34" t="str">
        <f>""</f>
        <v/>
      </c>
      <c r="P34" t="str">
        <f>""</f>
        <v/>
      </c>
      <c r="Q34" t="str">
        <f>"1710"</f>
        <v>1710</v>
      </c>
      <c r="R34">
        <v>0</v>
      </c>
      <c r="S34">
        <v>0</v>
      </c>
      <c r="T34">
        <v>0</v>
      </c>
      <c r="U34">
        <v>0</v>
      </c>
      <c r="V34">
        <v>200</v>
      </c>
      <c r="W34" t="str">
        <f>""</f>
        <v/>
      </c>
      <c r="X34">
        <v>0</v>
      </c>
      <c r="Y34">
        <v>4.5</v>
      </c>
      <c r="Z34">
        <v>0</v>
      </c>
      <c r="AA34">
        <v>0</v>
      </c>
    </row>
    <row r="35" spans="1:27" x14ac:dyDescent="0.3">
      <c r="A35" t="s">
        <v>45</v>
      </c>
      <c r="F35" s="1" t="str">
        <f>"""Navdirect"",""CRONUS USA, Inc."",""27"",""1"",""1720"""</f>
        <v>"Navdirect","CRONUS USA, Inc.","27","1","1720"</v>
      </c>
      <c r="G35" t="str">
        <f>"Hand front wheel Brake"</f>
        <v>Hand front wheel Brake</v>
      </c>
      <c r="H35">
        <v>10</v>
      </c>
      <c r="I35" t="str">
        <f>""</f>
        <v/>
      </c>
      <c r="J35">
        <v>0</v>
      </c>
      <c r="K35">
        <v>0</v>
      </c>
      <c r="L35" t="str">
        <f>""</f>
        <v/>
      </c>
      <c r="M35">
        <v>0</v>
      </c>
      <c r="N35">
        <v>200</v>
      </c>
      <c r="O35" t="str">
        <f>""</f>
        <v/>
      </c>
      <c r="P35" t="str">
        <f>""</f>
        <v/>
      </c>
      <c r="Q35" t="str">
        <f>"1720"</f>
        <v>1720</v>
      </c>
      <c r="R35">
        <v>0</v>
      </c>
      <c r="S35">
        <v>0</v>
      </c>
      <c r="T35">
        <v>0</v>
      </c>
      <c r="U35">
        <v>0</v>
      </c>
      <c r="V35">
        <v>200</v>
      </c>
      <c r="W35" t="str">
        <f>""</f>
        <v/>
      </c>
      <c r="X35">
        <v>0</v>
      </c>
      <c r="Y35">
        <v>4.8</v>
      </c>
      <c r="Z35">
        <v>0</v>
      </c>
      <c r="AA35">
        <v>0</v>
      </c>
    </row>
    <row r="36" spans="1:27" x14ac:dyDescent="0.3">
      <c r="A36" t="s">
        <v>45</v>
      </c>
      <c r="F36" s="1" t="str">
        <f>"""Navdirect"",""CRONUS USA, Inc."",""27"",""1"",""1800"""</f>
        <v>"Navdirect","CRONUS USA, Inc.","27","1","1800"</v>
      </c>
      <c r="G36" t="str">
        <f>"Handlebars"</f>
        <v>Handlebars</v>
      </c>
      <c r="H36">
        <v>10</v>
      </c>
      <c r="I36" t="str">
        <f>""</f>
        <v/>
      </c>
      <c r="J36">
        <v>0</v>
      </c>
      <c r="K36">
        <v>0</v>
      </c>
      <c r="L36" t="str">
        <f>""</f>
        <v/>
      </c>
      <c r="M36">
        <v>0</v>
      </c>
      <c r="N36">
        <v>152</v>
      </c>
      <c r="O36" t="str">
        <f>""</f>
        <v/>
      </c>
      <c r="P36" t="str">
        <f>""</f>
        <v/>
      </c>
      <c r="Q36" t="str">
        <f>"1800"</f>
        <v>1800</v>
      </c>
      <c r="R36">
        <v>0</v>
      </c>
      <c r="S36">
        <v>0</v>
      </c>
      <c r="T36">
        <v>0</v>
      </c>
      <c r="U36">
        <v>0</v>
      </c>
      <c r="V36">
        <v>152</v>
      </c>
      <c r="W36" t="str">
        <f>""</f>
        <v/>
      </c>
      <c r="X36">
        <v>0</v>
      </c>
      <c r="Y36">
        <v>2.12</v>
      </c>
      <c r="Z36">
        <v>0</v>
      </c>
      <c r="AA36">
        <v>0</v>
      </c>
    </row>
    <row r="37" spans="1:27" x14ac:dyDescent="0.3">
      <c r="A37" t="s">
        <v>45</v>
      </c>
      <c r="F37" s="1" t="str">
        <f>"""Navdirect"",""CRONUS USA, Inc."",""27"",""1"",""1850"""</f>
        <v>"Navdirect","CRONUS USA, Inc.","27","1","1850"</v>
      </c>
      <c r="G37" t="str">
        <f>"Saddle"</f>
        <v>Saddle</v>
      </c>
      <c r="H37">
        <v>10</v>
      </c>
      <c r="I37" t="str">
        <f>""</f>
        <v/>
      </c>
      <c r="J37">
        <v>0</v>
      </c>
      <c r="K37">
        <v>0</v>
      </c>
      <c r="L37" t="str">
        <f>""</f>
        <v/>
      </c>
      <c r="M37">
        <v>0</v>
      </c>
      <c r="N37">
        <v>152</v>
      </c>
      <c r="O37" t="str">
        <f>""</f>
        <v/>
      </c>
      <c r="P37" t="str">
        <f>""</f>
        <v/>
      </c>
      <c r="Q37" t="str">
        <f>"1850"</f>
        <v>1850</v>
      </c>
      <c r="R37">
        <v>0</v>
      </c>
      <c r="S37">
        <v>0</v>
      </c>
      <c r="T37">
        <v>0</v>
      </c>
      <c r="U37">
        <v>0</v>
      </c>
      <c r="V37">
        <v>152</v>
      </c>
      <c r="W37" t="str">
        <f>""</f>
        <v/>
      </c>
      <c r="X37">
        <v>0</v>
      </c>
      <c r="Y37">
        <v>7.2</v>
      </c>
      <c r="Z37">
        <v>0</v>
      </c>
      <c r="AA37">
        <v>0</v>
      </c>
    </row>
    <row r="38" spans="1:27" x14ac:dyDescent="0.3">
      <c r="A38" t="s">
        <v>45</v>
      </c>
      <c r="F38" s="1" t="str">
        <f>"""Navdirect"",""CRONUS USA, Inc."",""27"",""1"",""1896-S"""</f>
        <v>"Navdirect","CRONUS USA, Inc.","27","1","1896-S"</v>
      </c>
      <c r="G38" t="str">
        <f>"ATHENS Desk"</f>
        <v>ATHENS Desk</v>
      </c>
      <c r="H38">
        <v>0</v>
      </c>
      <c r="I38" t="str">
        <f>""</f>
        <v/>
      </c>
      <c r="J38">
        <v>0</v>
      </c>
      <c r="K38">
        <v>0</v>
      </c>
      <c r="L38" t="str">
        <f>""</f>
        <v/>
      </c>
      <c r="M38">
        <v>34.6</v>
      </c>
      <c r="N38">
        <v>254.00000000000003</v>
      </c>
      <c r="O38" t="str">
        <f>""</f>
        <v/>
      </c>
      <c r="P38" t="str">
        <f>""</f>
        <v/>
      </c>
      <c r="Q38" t="str">
        <f>"1896-S"</f>
        <v>1896-S</v>
      </c>
      <c r="R38">
        <v>21.99241</v>
      </c>
      <c r="S38">
        <v>0</v>
      </c>
      <c r="T38">
        <v>25</v>
      </c>
      <c r="U38">
        <v>0</v>
      </c>
      <c r="V38">
        <v>254.00000000000003</v>
      </c>
      <c r="W38" t="str">
        <f>"9403 30 11"</f>
        <v>9403 30 11</v>
      </c>
      <c r="X38">
        <v>0</v>
      </c>
      <c r="Y38">
        <v>780.69999999999993</v>
      </c>
      <c r="Z38">
        <v>1.2</v>
      </c>
      <c r="AA38">
        <v>0</v>
      </c>
    </row>
    <row r="39" spans="1:27" x14ac:dyDescent="0.3">
      <c r="A39" t="s">
        <v>45</v>
      </c>
      <c r="F39" s="1" t="str">
        <f>"""Navdirect"",""CRONUS USA, Inc."",""27"",""1"",""1900"""</f>
        <v>"Navdirect","CRONUS USA, Inc.","27","1","1900"</v>
      </c>
      <c r="G39" t="str">
        <f>"Frame"</f>
        <v>Frame</v>
      </c>
      <c r="H39">
        <v>10</v>
      </c>
      <c r="I39" t="str">
        <f>""</f>
        <v/>
      </c>
      <c r="J39">
        <v>0</v>
      </c>
      <c r="K39">
        <v>0</v>
      </c>
      <c r="L39" t="str">
        <f>""</f>
        <v/>
      </c>
      <c r="M39">
        <v>0</v>
      </c>
      <c r="N39">
        <v>152</v>
      </c>
      <c r="O39" t="str">
        <f>""</f>
        <v/>
      </c>
      <c r="P39" t="str">
        <f>""</f>
        <v/>
      </c>
      <c r="Q39" t="str">
        <f>"1900"</f>
        <v>1900</v>
      </c>
      <c r="R39">
        <v>0</v>
      </c>
      <c r="S39">
        <v>0</v>
      </c>
      <c r="T39">
        <v>0</v>
      </c>
      <c r="U39">
        <v>0</v>
      </c>
      <c r="V39">
        <v>152</v>
      </c>
      <c r="W39" t="str">
        <f>""</f>
        <v/>
      </c>
      <c r="X39">
        <v>0</v>
      </c>
      <c r="Y39">
        <v>15.7</v>
      </c>
      <c r="Z39">
        <v>0</v>
      </c>
      <c r="AA39">
        <v>0</v>
      </c>
    </row>
    <row r="40" spans="1:27" x14ac:dyDescent="0.3">
      <c r="A40" t="s">
        <v>45</v>
      </c>
      <c r="F40" s="1" t="str">
        <f>"""Navdirect"",""CRONUS USA, Inc."",""27"",""1"",""1900-S"""</f>
        <v>"Navdirect","CRONUS USA, Inc.","27","1","1900-S"</v>
      </c>
      <c r="G40" t="str">
        <f>"PARIS Guest Chair, black"</f>
        <v>PARIS Guest Chair, black</v>
      </c>
      <c r="H40">
        <v>0</v>
      </c>
      <c r="I40" t="str">
        <f>""</f>
        <v/>
      </c>
      <c r="J40">
        <v>0</v>
      </c>
      <c r="K40">
        <v>0</v>
      </c>
      <c r="L40" t="str">
        <f>""</f>
        <v/>
      </c>
      <c r="M40">
        <v>8.3000000000000007</v>
      </c>
      <c r="N40">
        <v>299</v>
      </c>
      <c r="O40" t="str">
        <f>""</f>
        <v/>
      </c>
      <c r="P40" t="str">
        <f>""</f>
        <v/>
      </c>
      <c r="Q40" t="str">
        <f>"1900-S"</f>
        <v>1900-S</v>
      </c>
      <c r="R40">
        <v>22.043569999999999</v>
      </c>
      <c r="S40">
        <v>24048</v>
      </c>
      <c r="T40">
        <v>0</v>
      </c>
      <c r="U40">
        <v>0</v>
      </c>
      <c r="V40">
        <v>299</v>
      </c>
      <c r="W40" t="str">
        <f>"9401 71 00"</f>
        <v>9401 71 00</v>
      </c>
      <c r="X40">
        <v>0</v>
      </c>
      <c r="Y40">
        <v>150.30000000000001</v>
      </c>
      <c r="Z40">
        <v>0.25</v>
      </c>
      <c r="AA40">
        <v>0</v>
      </c>
    </row>
    <row r="41" spans="1:27" x14ac:dyDescent="0.3">
      <c r="A41" t="s">
        <v>45</v>
      </c>
      <c r="F41" s="1" t="str">
        <f>"""Navdirect"",""CRONUS USA, Inc."",""27"",""1"",""1906-S"""</f>
        <v>"Navdirect","CRONUS USA, Inc.","27","1","1906-S"</v>
      </c>
      <c r="G41" t="str">
        <f>"ATHENS Mobile Pedestal"</f>
        <v>ATHENS Mobile Pedestal</v>
      </c>
      <c r="H41">
        <v>0</v>
      </c>
      <c r="I41" t="str">
        <f>""</f>
        <v/>
      </c>
      <c r="J41">
        <v>0</v>
      </c>
      <c r="K41">
        <v>0</v>
      </c>
      <c r="L41" t="str">
        <f>""</f>
        <v/>
      </c>
      <c r="M41">
        <v>17.100000000000001</v>
      </c>
      <c r="N41">
        <v>254.00000000000003</v>
      </c>
      <c r="O41" t="str">
        <f>""</f>
        <v/>
      </c>
      <c r="P41" t="str">
        <f>""</f>
        <v/>
      </c>
      <c r="Q41" t="str">
        <f>"1906-S"</f>
        <v>1906-S</v>
      </c>
      <c r="R41">
        <v>22.001850000000001</v>
      </c>
      <c r="S41">
        <v>0</v>
      </c>
      <c r="T41">
        <v>40</v>
      </c>
      <c r="U41">
        <v>0</v>
      </c>
      <c r="V41">
        <v>254.00000000000003</v>
      </c>
      <c r="W41" t="str">
        <f>"9403 30 91"</f>
        <v>9403 30 91</v>
      </c>
      <c r="X41">
        <v>0</v>
      </c>
      <c r="Y41">
        <v>338.2</v>
      </c>
      <c r="Z41">
        <v>0.26</v>
      </c>
      <c r="AA41">
        <v>0</v>
      </c>
    </row>
    <row r="42" spans="1:27" x14ac:dyDescent="0.3">
      <c r="A42" t="s">
        <v>45</v>
      </c>
      <c r="F42" s="1" t="str">
        <f>"""Navdirect"",""CRONUS USA, Inc."",""27"",""1"",""1908-S"""</f>
        <v>"Navdirect","CRONUS USA, Inc.","27","1","1908-S"</v>
      </c>
      <c r="G42" t="str">
        <f>"LONDON Swivel Chair, blue"</f>
        <v>LONDON Swivel Chair, blue</v>
      </c>
      <c r="H42">
        <v>0</v>
      </c>
      <c r="I42" t="str">
        <f>""</f>
        <v/>
      </c>
      <c r="J42">
        <v>0</v>
      </c>
      <c r="K42">
        <v>0</v>
      </c>
      <c r="L42" t="str">
        <f>""</f>
        <v/>
      </c>
      <c r="M42">
        <v>13.9</v>
      </c>
      <c r="N42">
        <v>305</v>
      </c>
      <c r="O42" t="str">
        <f>""</f>
        <v/>
      </c>
      <c r="P42" t="str">
        <f>""</f>
        <v/>
      </c>
      <c r="Q42" t="str">
        <f>"1908-S"</f>
        <v>1908-S</v>
      </c>
      <c r="R42">
        <v>22.093630000000001</v>
      </c>
      <c r="S42">
        <v>0</v>
      </c>
      <c r="T42">
        <v>0</v>
      </c>
      <c r="U42">
        <v>0</v>
      </c>
      <c r="V42">
        <v>305</v>
      </c>
      <c r="W42" t="str">
        <f>"9401 30 10"</f>
        <v>9401 30 10</v>
      </c>
      <c r="X42">
        <v>0</v>
      </c>
      <c r="Y42">
        <v>148.1</v>
      </c>
      <c r="Z42">
        <v>0.25</v>
      </c>
      <c r="AA42">
        <v>0</v>
      </c>
    </row>
    <row r="43" spans="1:27" x14ac:dyDescent="0.3">
      <c r="A43" t="s">
        <v>45</v>
      </c>
      <c r="F43" s="1" t="str">
        <f>"""Navdirect"",""CRONUS USA, Inc."",""27"",""1"",""1920-S"""</f>
        <v>"Navdirect","CRONUS USA, Inc.","27","1","1920-S"</v>
      </c>
      <c r="G43" t="str">
        <f>"ANTWERP Conference Table"</f>
        <v>ANTWERP Conference Table</v>
      </c>
      <c r="H43">
        <v>0</v>
      </c>
      <c r="I43" t="str">
        <f>""</f>
        <v/>
      </c>
      <c r="J43">
        <v>0</v>
      </c>
      <c r="K43">
        <v>0</v>
      </c>
      <c r="L43" t="str">
        <f>""</f>
        <v/>
      </c>
      <c r="M43">
        <v>24.4</v>
      </c>
      <c r="N43">
        <v>96</v>
      </c>
      <c r="O43" t="str">
        <f>""</f>
        <v/>
      </c>
      <c r="P43" t="str">
        <f>""</f>
        <v/>
      </c>
      <c r="Q43" t="str">
        <f>"1920-S"</f>
        <v>1920-S</v>
      </c>
      <c r="R43">
        <v>21.982089999999999</v>
      </c>
      <c r="S43">
        <v>0</v>
      </c>
      <c r="T43">
        <v>0</v>
      </c>
      <c r="U43">
        <v>0</v>
      </c>
      <c r="V43">
        <v>96</v>
      </c>
      <c r="W43" t="str">
        <f>"9403 30 19"</f>
        <v>9403 30 19</v>
      </c>
      <c r="X43">
        <v>0</v>
      </c>
      <c r="Y43">
        <v>505.4</v>
      </c>
      <c r="Z43">
        <v>0.9</v>
      </c>
      <c r="AA43">
        <v>0</v>
      </c>
    </row>
    <row r="44" spans="1:27" x14ac:dyDescent="0.3">
      <c r="A44" t="s">
        <v>45</v>
      </c>
      <c r="F44" s="1" t="str">
        <f>"""Navdirect"",""CRONUS USA, Inc."",""27"",""1"",""1924-W"""</f>
        <v>"Navdirect","CRONUS USA, Inc.","27","1","1924-W"</v>
      </c>
      <c r="G44" t="str">
        <f>"CHAMONIX Base Storage Unit"</f>
        <v>CHAMONIX Base Storage Unit</v>
      </c>
      <c r="H44">
        <v>0</v>
      </c>
      <c r="I44" t="str">
        <f>""</f>
        <v/>
      </c>
      <c r="J44">
        <v>0</v>
      </c>
      <c r="K44">
        <v>0</v>
      </c>
      <c r="L44" t="str">
        <f>""</f>
        <v/>
      </c>
      <c r="M44">
        <v>13.7</v>
      </c>
      <c r="N44">
        <v>26</v>
      </c>
      <c r="O44" t="str">
        <f>""</f>
        <v/>
      </c>
      <c r="P44" t="str">
        <f>""</f>
        <v/>
      </c>
      <c r="Q44" t="str">
        <f>"1924-W"</f>
        <v>1924-W</v>
      </c>
      <c r="R44">
        <v>40.24738</v>
      </c>
      <c r="S44">
        <v>2390.2000000000003</v>
      </c>
      <c r="T44">
        <v>0</v>
      </c>
      <c r="U44">
        <v>0</v>
      </c>
      <c r="V44">
        <v>26</v>
      </c>
      <c r="W44" t="str">
        <f>"9403 30 19"</f>
        <v>9403 30 19</v>
      </c>
      <c r="X44">
        <v>0</v>
      </c>
      <c r="Y44">
        <v>125.6</v>
      </c>
      <c r="Z44">
        <v>0.84</v>
      </c>
      <c r="AA44">
        <v>0</v>
      </c>
    </row>
    <row r="45" spans="1:27" x14ac:dyDescent="0.3">
      <c r="A45" t="s">
        <v>45</v>
      </c>
      <c r="F45" s="1" t="str">
        <f>"""Navdirect"",""CRONUS USA, Inc."",""27"",""1"",""1928-S"""</f>
        <v>"Navdirect","CRONUS USA, Inc.","27","1","1928-S"</v>
      </c>
      <c r="G45" t="str">
        <f>"AMSTERDAM Lamp"</f>
        <v>AMSTERDAM Lamp</v>
      </c>
      <c r="H45">
        <v>0</v>
      </c>
      <c r="I45" t="str">
        <f>""</f>
        <v/>
      </c>
      <c r="J45">
        <v>0</v>
      </c>
      <c r="K45">
        <v>0</v>
      </c>
      <c r="L45" t="str">
        <f>""</f>
        <v/>
      </c>
      <c r="M45">
        <v>3.5</v>
      </c>
      <c r="N45">
        <v>272</v>
      </c>
      <c r="O45" t="str">
        <f>""</f>
        <v/>
      </c>
      <c r="P45" t="str">
        <f>""</f>
        <v/>
      </c>
      <c r="Q45" t="str">
        <f>"1928-S"</f>
        <v>1928-S</v>
      </c>
      <c r="R45">
        <v>22.04007</v>
      </c>
      <c r="S45">
        <v>0</v>
      </c>
      <c r="T45">
        <v>0</v>
      </c>
      <c r="U45">
        <v>0</v>
      </c>
      <c r="V45">
        <v>272</v>
      </c>
      <c r="W45" t="str">
        <f>"9405 20 99"</f>
        <v>9405 20 99</v>
      </c>
      <c r="X45">
        <v>0</v>
      </c>
      <c r="Y45">
        <v>42.8</v>
      </c>
      <c r="Z45">
        <v>0.03</v>
      </c>
      <c r="AA45">
        <v>0</v>
      </c>
    </row>
    <row r="46" spans="1:27" x14ac:dyDescent="0.3">
      <c r="A46" t="s">
        <v>45</v>
      </c>
      <c r="F46" s="1" t="str">
        <f>"""Navdirect"",""CRONUS USA, Inc."",""27"",""1"",""1928-W"""</f>
        <v>"Navdirect","CRONUS USA, Inc.","27","1","1928-W"</v>
      </c>
      <c r="G46" t="str">
        <f>"ST.MORITZ Storage Unit/Drawers"</f>
        <v>ST.MORITZ Storage Unit/Drawers</v>
      </c>
      <c r="H46">
        <v>0</v>
      </c>
      <c r="I46" t="str">
        <f>""</f>
        <v/>
      </c>
      <c r="J46">
        <v>0</v>
      </c>
      <c r="K46">
        <v>0</v>
      </c>
      <c r="L46" t="str">
        <f>""</f>
        <v/>
      </c>
      <c r="M46">
        <v>23.1</v>
      </c>
      <c r="N46">
        <v>67</v>
      </c>
      <c r="O46" t="str">
        <f>""</f>
        <v/>
      </c>
      <c r="P46" t="str">
        <f>""</f>
        <v/>
      </c>
      <c r="Q46" t="str">
        <f>"1928-W"</f>
        <v>1928-W</v>
      </c>
      <c r="R46">
        <v>43.930199999999999</v>
      </c>
      <c r="S46">
        <v>17147.400000000001</v>
      </c>
      <c r="T46">
        <v>0</v>
      </c>
      <c r="U46">
        <v>0</v>
      </c>
      <c r="V46">
        <v>67</v>
      </c>
      <c r="W46" t="str">
        <f>"9403 30 19"</f>
        <v>9403 30 19</v>
      </c>
      <c r="X46">
        <v>0</v>
      </c>
      <c r="Y46">
        <v>295.60000000000002</v>
      </c>
      <c r="Z46">
        <v>1.29</v>
      </c>
      <c r="AA46">
        <v>0</v>
      </c>
    </row>
    <row r="47" spans="1:27" x14ac:dyDescent="0.3">
      <c r="A47" t="s">
        <v>45</v>
      </c>
      <c r="F47" s="1" t="str">
        <f>"""Navdirect"",""CRONUS USA, Inc."",""27"",""1"",""1936-S"""</f>
        <v>"Navdirect","CRONUS USA, Inc.","27","1","1936-S"</v>
      </c>
      <c r="G47" t="str">
        <f>"BERLIN Guest Chair, yellow"</f>
        <v>BERLIN Guest Chair, yellow</v>
      </c>
      <c r="H47">
        <v>0</v>
      </c>
      <c r="I47" t="str">
        <f>""</f>
        <v/>
      </c>
      <c r="J47">
        <v>0</v>
      </c>
      <c r="K47">
        <v>0</v>
      </c>
      <c r="L47" t="str">
        <f>""</f>
        <v/>
      </c>
      <c r="M47">
        <v>8.3000000000000007</v>
      </c>
      <c r="N47">
        <v>136</v>
      </c>
      <c r="O47" t="str">
        <f>""</f>
        <v/>
      </c>
      <c r="P47" t="str">
        <f>""</f>
        <v/>
      </c>
      <c r="Q47" t="str">
        <f>"1936-S"</f>
        <v>1936-S</v>
      </c>
      <c r="R47">
        <v>22.043569999999999</v>
      </c>
      <c r="S47">
        <v>0</v>
      </c>
      <c r="T47">
        <v>4</v>
      </c>
      <c r="U47">
        <v>0</v>
      </c>
      <c r="V47">
        <v>136</v>
      </c>
      <c r="W47" t="str">
        <f>"9401 71 00"</f>
        <v>9401 71 00</v>
      </c>
      <c r="X47">
        <v>0</v>
      </c>
      <c r="Y47">
        <v>150.30000000000001</v>
      </c>
      <c r="Z47">
        <v>0.25</v>
      </c>
      <c r="AA47">
        <v>0</v>
      </c>
    </row>
    <row r="48" spans="1:27" x14ac:dyDescent="0.3">
      <c r="A48" t="s">
        <v>45</v>
      </c>
      <c r="F48" s="1" t="str">
        <f>"""Navdirect"",""CRONUS USA, Inc."",""27"",""1"",""1952-W"""</f>
        <v>"Navdirect","CRONUS USA, Inc.","27","1","1952-W"</v>
      </c>
      <c r="G48" t="str">
        <f>"OSLO Storage Unit/Shelf"</f>
        <v>OSLO Storage Unit/Shelf</v>
      </c>
      <c r="H48">
        <v>0</v>
      </c>
      <c r="I48" t="str">
        <f>""</f>
        <v/>
      </c>
      <c r="J48">
        <v>0</v>
      </c>
      <c r="K48">
        <v>0</v>
      </c>
      <c r="L48" t="str">
        <f>""</f>
        <v/>
      </c>
      <c r="M48">
        <v>15.8</v>
      </c>
      <c r="N48">
        <v>15</v>
      </c>
      <c r="O48" t="str">
        <f>""</f>
        <v/>
      </c>
      <c r="P48" t="str">
        <f>""</f>
        <v/>
      </c>
      <c r="Q48" t="str">
        <f>"1952-W"</f>
        <v>1952-W</v>
      </c>
      <c r="R48">
        <v>41.056079999999994</v>
      </c>
      <c r="S48">
        <v>1687.14</v>
      </c>
      <c r="T48">
        <v>0</v>
      </c>
      <c r="U48">
        <v>0</v>
      </c>
      <c r="V48">
        <v>15</v>
      </c>
      <c r="W48" t="str">
        <f>"9403 30 19"</f>
        <v>9403 30 19</v>
      </c>
      <c r="X48">
        <v>0</v>
      </c>
      <c r="Y48">
        <v>144</v>
      </c>
      <c r="Z48">
        <v>1.24</v>
      </c>
      <c r="AA48">
        <v>0</v>
      </c>
    </row>
    <row r="49" spans="1:27" x14ac:dyDescent="0.3">
      <c r="A49" t="s">
        <v>45</v>
      </c>
      <c r="F49" s="1" t="str">
        <f>"""Navdirect"",""CRONUS USA, Inc."",""27"",""1"",""1960-S"""</f>
        <v>"Navdirect","CRONUS USA, Inc.","27","1","1960-S"</v>
      </c>
      <c r="G49" t="str">
        <f>"ROME Guest Chair, green"</f>
        <v>ROME Guest Chair, green</v>
      </c>
      <c r="H49">
        <v>0</v>
      </c>
      <c r="I49" t="str">
        <f>""</f>
        <v/>
      </c>
      <c r="J49">
        <v>0</v>
      </c>
      <c r="K49">
        <v>0</v>
      </c>
      <c r="L49" t="str">
        <f>""</f>
        <v/>
      </c>
      <c r="M49">
        <v>8.3000000000000007</v>
      </c>
      <c r="N49">
        <v>177</v>
      </c>
      <c r="O49" t="str">
        <f>""</f>
        <v/>
      </c>
      <c r="P49" t="str">
        <f>""</f>
        <v/>
      </c>
      <c r="Q49" t="str">
        <f>"1960-S"</f>
        <v>1960-S</v>
      </c>
      <c r="R49">
        <v>22.043569999999999</v>
      </c>
      <c r="S49">
        <v>0</v>
      </c>
      <c r="T49">
        <v>0</v>
      </c>
      <c r="U49">
        <v>0</v>
      </c>
      <c r="V49">
        <v>177</v>
      </c>
      <c r="W49" t="str">
        <f>"9401 71 00"</f>
        <v>9401 71 00</v>
      </c>
      <c r="X49">
        <v>0</v>
      </c>
      <c r="Y49">
        <v>150.30000000000001</v>
      </c>
      <c r="Z49">
        <v>0.25</v>
      </c>
      <c r="AA49">
        <v>0</v>
      </c>
    </row>
    <row r="50" spans="1:27" x14ac:dyDescent="0.3">
      <c r="A50" t="s">
        <v>45</v>
      </c>
      <c r="F50" s="1" t="str">
        <f>"""Navdirect"",""CRONUS USA, Inc."",""27"",""1"",""1964-S"""</f>
        <v>"Navdirect","CRONUS USA, Inc.","27","1","1964-S"</v>
      </c>
      <c r="G50" t="str">
        <f>"TOKYO Guest Chair, blue"</f>
        <v>TOKYO Guest Chair, blue</v>
      </c>
      <c r="H50">
        <v>0</v>
      </c>
      <c r="I50" t="str">
        <f>""</f>
        <v/>
      </c>
      <c r="J50">
        <v>0</v>
      </c>
      <c r="K50">
        <v>0</v>
      </c>
      <c r="L50" t="str">
        <f>""</f>
        <v/>
      </c>
      <c r="M50">
        <v>8.3000000000000007</v>
      </c>
      <c r="N50">
        <v>112.99999999999999</v>
      </c>
      <c r="O50" t="str">
        <f>""</f>
        <v/>
      </c>
      <c r="P50" t="str">
        <f>""</f>
        <v/>
      </c>
      <c r="Q50" t="str">
        <f>"1964-S"</f>
        <v>1964-S</v>
      </c>
      <c r="R50">
        <v>22.043569999999999</v>
      </c>
      <c r="S50">
        <v>1893.78</v>
      </c>
      <c r="T50">
        <v>25</v>
      </c>
      <c r="U50">
        <v>0</v>
      </c>
      <c r="V50">
        <v>112.99999999999999</v>
      </c>
      <c r="W50" t="str">
        <f>"9401 71 00"</f>
        <v>9401 71 00</v>
      </c>
      <c r="X50">
        <v>0</v>
      </c>
      <c r="Y50">
        <v>150.30000000000001</v>
      </c>
      <c r="Z50">
        <v>0.25</v>
      </c>
      <c r="AA50">
        <v>0</v>
      </c>
    </row>
    <row r="51" spans="1:27" x14ac:dyDescent="0.3">
      <c r="A51" t="s">
        <v>45</v>
      </c>
      <c r="F51" s="1" t="str">
        <f>"""Navdirect"",""CRONUS USA, Inc."",""27"",""1"",""1964-W"""</f>
        <v>"Navdirect","CRONUS USA, Inc.","27","1","1964-W"</v>
      </c>
      <c r="G51" t="str">
        <f>"INNSBRUCK Storage Unit/G.Door"</f>
        <v>INNSBRUCK Storage Unit/G.Door</v>
      </c>
      <c r="H51">
        <v>0</v>
      </c>
      <c r="I51" t="str">
        <f>""</f>
        <v/>
      </c>
      <c r="J51">
        <v>0</v>
      </c>
      <c r="K51">
        <v>0</v>
      </c>
      <c r="L51" t="str">
        <f>""</f>
        <v/>
      </c>
      <c r="M51">
        <v>22.6</v>
      </c>
      <c r="N51">
        <v>54</v>
      </c>
      <c r="O51" t="str">
        <f>""</f>
        <v/>
      </c>
      <c r="P51" t="str">
        <f>""</f>
        <v/>
      </c>
      <c r="Q51" t="str">
        <f>"1964-W"</f>
        <v>1964-W</v>
      </c>
      <c r="R51">
        <v>41.333329999999997</v>
      </c>
      <c r="S51">
        <v>14514.5</v>
      </c>
      <c r="T51">
        <v>0</v>
      </c>
      <c r="U51">
        <v>0</v>
      </c>
      <c r="V51">
        <v>54</v>
      </c>
      <c r="W51" t="str">
        <f>"9403 30 91"</f>
        <v>9403 30 91</v>
      </c>
      <c r="X51">
        <v>0</v>
      </c>
      <c r="Y51">
        <v>264</v>
      </c>
      <c r="Z51">
        <v>1.3</v>
      </c>
      <c r="AA51">
        <v>0</v>
      </c>
    </row>
    <row r="52" spans="1:27" x14ac:dyDescent="0.3">
      <c r="A52" t="s">
        <v>45</v>
      </c>
      <c r="F52" s="1" t="str">
        <f>"""Navdirect"",""CRONUS USA, Inc."",""27"",""1"",""1968-S"""</f>
        <v>"Navdirect","CRONUS USA, Inc.","27","1","1968-S"</v>
      </c>
      <c r="G52" t="str">
        <f>"MEXICO Swivel Chair, black"</f>
        <v>MEXICO Swivel Chair, black</v>
      </c>
      <c r="H52">
        <v>0</v>
      </c>
      <c r="I52" t="str">
        <f>""</f>
        <v/>
      </c>
      <c r="J52">
        <v>0</v>
      </c>
      <c r="K52">
        <v>0</v>
      </c>
      <c r="L52" t="str">
        <f>""</f>
        <v/>
      </c>
      <c r="M52">
        <v>13.9</v>
      </c>
      <c r="N52">
        <v>265</v>
      </c>
      <c r="O52" t="str">
        <f>""</f>
        <v/>
      </c>
      <c r="P52" t="str">
        <f>""</f>
        <v/>
      </c>
      <c r="Q52" t="str">
        <f>"1968-S"</f>
        <v>1968-S</v>
      </c>
      <c r="R52">
        <v>22.093630000000001</v>
      </c>
      <c r="S52">
        <v>0</v>
      </c>
      <c r="T52">
        <v>0</v>
      </c>
      <c r="U52">
        <v>0</v>
      </c>
      <c r="V52">
        <v>265</v>
      </c>
      <c r="W52" t="str">
        <f>"9401 30 10"</f>
        <v>9401 30 10</v>
      </c>
      <c r="X52">
        <v>0</v>
      </c>
      <c r="Y52">
        <v>148.1</v>
      </c>
      <c r="Z52">
        <v>0.25</v>
      </c>
      <c r="AA52">
        <v>0</v>
      </c>
    </row>
    <row r="53" spans="1:27" x14ac:dyDescent="0.3">
      <c r="A53" t="s">
        <v>45</v>
      </c>
      <c r="F53" s="1" t="str">
        <f>"""Navdirect"",""CRONUS USA, Inc."",""27"",""1"",""1968-W"""</f>
        <v>"Navdirect","CRONUS USA, Inc.","27","1","1968-W"</v>
      </c>
      <c r="G53" t="str">
        <f>"GRENOBLE Whiteboard, red"</f>
        <v>GRENOBLE Whiteboard, red</v>
      </c>
      <c r="H53">
        <v>0</v>
      </c>
      <c r="I53" t="str">
        <f>""</f>
        <v/>
      </c>
      <c r="J53">
        <v>0</v>
      </c>
      <c r="K53">
        <v>0</v>
      </c>
      <c r="L53" t="str">
        <f>""</f>
        <v/>
      </c>
      <c r="M53">
        <v>0</v>
      </c>
      <c r="N53">
        <v>-22</v>
      </c>
      <c r="O53" t="str">
        <f>""</f>
        <v/>
      </c>
      <c r="P53" t="str">
        <f>""</f>
        <v/>
      </c>
      <c r="Q53" t="str">
        <f>"1968-W"</f>
        <v>1968-W</v>
      </c>
      <c r="R53">
        <v>27.3048</v>
      </c>
      <c r="S53">
        <v>-43684</v>
      </c>
      <c r="T53">
        <v>0</v>
      </c>
      <c r="U53">
        <v>0</v>
      </c>
      <c r="V53">
        <v>-22</v>
      </c>
      <c r="W53" t="str">
        <f>"9403 30 19"</f>
        <v>9403 30 19</v>
      </c>
      <c r="X53">
        <v>0</v>
      </c>
      <c r="Y53">
        <v>1092.0999999999999</v>
      </c>
      <c r="Z53">
        <v>0</v>
      </c>
      <c r="AA53">
        <v>0</v>
      </c>
    </row>
    <row r="54" spans="1:27" x14ac:dyDescent="0.3">
      <c r="A54" t="s">
        <v>45</v>
      </c>
      <c r="F54" s="1" t="str">
        <f>"""Navdirect"",""CRONUS USA, Inc."",""27"",""1"",""1972-S"""</f>
        <v>"Navdirect","CRONUS USA, Inc.","27","1","1972-S"</v>
      </c>
      <c r="G54" t="str">
        <f>"MUNICH Swivel Chair, yellow"</f>
        <v>MUNICH Swivel Chair, yellow</v>
      </c>
      <c r="H54">
        <v>0</v>
      </c>
      <c r="I54" t="str">
        <f>""</f>
        <v/>
      </c>
      <c r="J54">
        <v>0</v>
      </c>
      <c r="K54">
        <v>0</v>
      </c>
      <c r="L54" t="str">
        <f>""</f>
        <v/>
      </c>
      <c r="M54">
        <v>13.9</v>
      </c>
      <c r="N54">
        <v>122</v>
      </c>
      <c r="O54" t="str">
        <f>""</f>
        <v/>
      </c>
      <c r="P54" t="str">
        <f>""</f>
        <v/>
      </c>
      <c r="Q54" t="str">
        <f>"1972-S"</f>
        <v>1972-S</v>
      </c>
      <c r="R54">
        <v>22.093630000000001</v>
      </c>
      <c r="S54">
        <v>0</v>
      </c>
      <c r="T54">
        <v>0</v>
      </c>
      <c r="U54">
        <v>0</v>
      </c>
      <c r="V54">
        <v>122</v>
      </c>
      <c r="W54" t="str">
        <f>"9401 30 10"</f>
        <v>9401 30 10</v>
      </c>
      <c r="X54">
        <v>0</v>
      </c>
      <c r="Y54">
        <v>148.1</v>
      </c>
      <c r="Z54">
        <v>0.25</v>
      </c>
      <c r="AA54">
        <v>0</v>
      </c>
    </row>
    <row r="55" spans="1:27" x14ac:dyDescent="0.3">
      <c r="A55" t="s">
        <v>45</v>
      </c>
      <c r="F55" s="1" t="str">
        <f>"""Navdirect"",""CRONUS USA, Inc."",""27"",""1"",""1972-W"""</f>
        <v>"Navdirect","CRONUS USA, Inc.","27","1","1972-W"</v>
      </c>
      <c r="G55" t="str">
        <f>"SAPPORO Whiteboard, black"</f>
        <v>SAPPORO Whiteboard, black</v>
      </c>
      <c r="H55">
        <v>0</v>
      </c>
      <c r="I55" t="str">
        <f>""</f>
        <v/>
      </c>
      <c r="J55">
        <v>0</v>
      </c>
      <c r="K55">
        <v>0</v>
      </c>
      <c r="L55" t="str">
        <f>""</f>
        <v/>
      </c>
      <c r="M55">
        <v>71.400000000000006</v>
      </c>
      <c r="N55">
        <v>11</v>
      </c>
      <c r="O55" t="str">
        <f>""</f>
        <v/>
      </c>
      <c r="P55" t="str">
        <f>""</f>
        <v/>
      </c>
      <c r="Q55" t="str">
        <f>"1972-W"</f>
        <v>1972-W</v>
      </c>
      <c r="R55">
        <v>27.3048</v>
      </c>
      <c r="S55">
        <v>0</v>
      </c>
      <c r="T55">
        <v>0</v>
      </c>
      <c r="U55">
        <v>0</v>
      </c>
      <c r="V55">
        <v>11</v>
      </c>
      <c r="W55" t="str">
        <f>"9403 30 19"</f>
        <v>9403 30 19</v>
      </c>
      <c r="X55">
        <v>0</v>
      </c>
      <c r="Y55">
        <v>1092.0999999999999</v>
      </c>
      <c r="Z55">
        <v>0.32</v>
      </c>
      <c r="AA55">
        <v>0</v>
      </c>
    </row>
    <row r="56" spans="1:27" x14ac:dyDescent="0.3">
      <c r="A56" t="s">
        <v>45</v>
      </c>
      <c r="F56" s="1" t="str">
        <f>"""Navdirect"",""CRONUS USA, Inc."",""27"",""1"",""1976-W"""</f>
        <v>"Navdirect","CRONUS USA, Inc.","27","1","1976-W"</v>
      </c>
      <c r="G56" t="str">
        <f>"INNSBRUCK Storage Unit/W.Door"</f>
        <v>INNSBRUCK Storage Unit/W.Door</v>
      </c>
      <c r="H56">
        <v>0</v>
      </c>
      <c r="I56" t="str">
        <f>""</f>
        <v/>
      </c>
      <c r="J56">
        <v>0</v>
      </c>
      <c r="K56">
        <v>0</v>
      </c>
      <c r="L56" t="str">
        <f>""</f>
        <v/>
      </c>
      <c r="M56">
        <v>19</v>
      </c>
      <c r="N56">
        <v>-102.47520000000002</v>
      </c>
      <c r="O56" t="str">
        <f>""</f>
        <v/>
      </c>
      <c r="P56" t="str">
        <f>""</f>
        <v/>
      </c>
      <c r="Q56" t="str">
        <f>"1976-W"</f>
        <v>1976-W</v>
      </c>
      <c r="R56">
        <v>41.221180000000004</v>
      </c>
      <c r="S56">
        <v>0</v>
      </c>
      <c r="T56">
        <v>0</v>
      </c>
      <c r="U56">
        <v>0</v>
      </c>
      <c r="V56">
        <v>-102.47520000000002</v>
      </c>
      <c r="W56" t="str">
        <f>"9403 30 91"</f>
        <v>9403 30 91</v>
      </c>
      <c r="X56">
        <v>0</v>
      </c>
      <c r="Y56">
        <v>232</v>
      </c>
      <c r="Z56">
        <v>1.3</v>
      </c>
      <c r="AA56">
        <v>0</v>
      </c>
    </row>
    <row r="57" spans="1:27" x14ac:dyDescent="0.3">
      <c r="A57" t="s">
        <v>45</v>
      </c>
      <c r="F57" s="1" t="str">
        <f>"""Navdirect"",""CRONUS USA, Inc."",""27"",""1"",""1980-S"""</f>
        <v>"Navdirect","CRONUS USA, Inc.","27","1","1980-S"</v>
      </c>
      <c r="G57" t="str">
        <f>"MOSCOW Swivel Chair, red"</f>
        <v>MOSCOW Swivel Chair, red</v>
      </c>
      <c r="H57">
        <v>0</v>
      </c>
      <c r="I57" t="str">
        <f>""</f>
        <v/>
      </c>
      <c r="J57">
        <v>0</v>
      </c>
      <c r="K57">
        <v>0</v>
      </c>
      <c r="L57" t="str">
        <f>""</f>
        <v/>
      </c>
      <c r="M57">
        <v>13.9</v>
      </c>
      <c r="N57">
        <v>100</v>
      </c>
      <c r="O57" t="str">
        <f>""</f>
        <v/>
      </c>
      <c r="P57" t="str">
        <f>""</f>
        <v/>
      </c>
      <c r="Q57" t="str">
        <f>"1980-S"</f>
        <v>1980-S</v>
      </c>
      <c r="R57">
        <v>22.093630000000001</v>
      </c>
      <c r="S57">
        <v>0</v>
      </c>
      <c r="T57">
        <v>0</v>
      </c>
      <c r="U57">
        <v>0</v>
      </c>
      <c r="V57">
        <v>100</v>
      </c>
      <c r="W57" t="str">
        <f>"9401 30 10"</f>
        <v>9401 30 10</v>
      </c>
      <c r="X57">
        <v>0</v>
      </c>
      <c r="Y57">
        <v>148.1</v>
      </c>
      <c r="Z57">
        <v>0.25</v>
      </c>
      <c r="AA57">
        <v>0</v>
      </c>
    </row>
    <row r="58" spans="1:27" x14ac:dyDescent="0.3">
      <c r="A58" t="s">
        <v>45</v>
      </c>
      <c r="F58" s="1" t="str">
        <f>"""Navdirect"",""CRONUS USA, Inc."",""27"",""1"",""1984-W"""</f>
        <v>"Navdirect","CRONUS USA, Inc.","27","1","1984-W"</v>
      </c>
      <c r="G58" t="str">
        <f>"SARAJEVO Whiteboard, blue"</f>
        <v>SARAJEVO Whiteboard, blue</v>
      </c>
      <c r="H58">
        <v>0</v>
      </c>
      <c r="I58" t="str">
        <f>""</f>
        <v/>
      </c>
      <c r="J58">
        <v>0</v>
      </c>
      <c r="K58">
        <v>0</v>
      </c>
      <c r="L58" t="str">
        <f>""</f>
        <v/>
      </c>
      <c r="M58">
        <v>71.400000000000006</v>
      </c>
      <c r="N58">
        <v>0</v>
      </c>
      <c r="O58" t="str">
        <f>""</f>
        <v/>
      </c>
      <c r="P58" t="str">
        <f>""</f>
        <v/>
      </c>
      <c r="Q58" t="str">
        <f>"1984-W"</f>
        <v>1984-W</v>
      </c>
      <c r="R58">
        <v>27.3048</v>
      </c>
      <c r="S58">
        <v>0</v>
      </c>
      <c r="T58">
        <v>0</v>
      </c>
      <c r="U58">
        <v>0</v>
      </c>
      <c r="V58">
        <v>0</v>
      </c>
      <c r="W58" t="str">
        <f>"9403 30 19"</f>
        <v>9403 30 19</v>
      </c>
      <c r="X58">
        <v>0</v>
      </c>
      <c r="Y58">
        <v>1092.0999999999999</v>
      </c>
      <c r="Z58">
        <v>0.32</v>
      </c>
      <c r="AA58">
        <v>0</v>
      </c>
    </row>
    <row r="59" spans="1:27" x14ac:dyDescent="0.3">
      <c r="A59" t="s">
        <v>45</v>
      </c>
      <c r="F59" s="1" t="str">
        <f>"""Navdirect"",""CRONUS USA, Inc."",""27"",""1"",""1988-S"""</f>
        <v>"Navdirect","CRONUS USA, Inc.","27","1","1988-S"</v>
      </c>
      <c r="G59" t="str">
        <f>"SEOUL Guest Chair, red"</f>
        <v>SEOUL Guest Chair, red</v>
      </c>
      <c r="H59">
        <v>0</v>
      </c>
      <c r="I59" t="str">
        <f>""</f>
        <v/>
      </c>
      <c r="J59">
        <v>0</v>
      </c>
      <c r="K59">
        <v>0</v>
      </c>
      <c r="L59" t="str">
        <f>""</f>
        <v/>
      </c>
      <c r="M59">
        <v>8.3000000000000007</v>
      </c>
      <c r="N59">
        <v>167</v>
      </c>
      <c r="O59" t="str">
        <f>""</f>
        <v/>
      </c>
      <c r="P59" t="str">
        <f>""</f>
        <v/>
      </c>
      <c r="Q59" t="str">
        <f>"1988-S"</f>
        <v>1988-S</v>
      </c>
      <c r="R59">
        <v>22.043569999999999</v>
      </c>
      <c r="S59">
        <v>0</v>
      </c>
      <c r="T59">
        <v>0</v>
      </c>
      <c r="U59">
        <v>0</v>
      </c>
      <c r="V59">
        <v>167</v>
      </c>
      <c r="W59" t="str">
        <f>"9401 71 00"</f>
        <v>9401 71 00</v>
      </c>
      <c r="X59">
        <v>0</v>
      </c>
      <c r="Y59">
        <v>150.30000000000001</v>
      </c>
      <c r="Z59">
        <v>0.25</v>
      </c>
      <c r="AA59">
        <v>0</v>
      </c>
    </row>
    <row r="60" spans="1:27" x14ac:dyDescent="0.3">
      <c r="A60" t="s">
        <v>45</v>
      </c>
      <c r="F60" s="1" t="str">
        <f>"""Navdirect"",""CRONUS USA, Inc."",""27"",""1"",""1988-W"""</f>
        <v>"Navdirect","CRONUS USA, Inc.","27","1","1988-W"</v>
      </c>
      <c r="G60" t="str">
        <f>"CALGARY Whiteboard, yellow"</f>
        <v>CALGARY Whiteboard, yellow</v>
      </c>
      <c r="H60">
        <v>0</v>
      </c>
      <c r="I60" t="str">
        <f>""</f>
        <v/>
      </c>
      <c r="J60">
        <v>0</v>
      </c>
      <c r="K60">
        <v>0</v>
      </c>
      <c r="L60" t="str">
        <f>""</f>
        <v/>
      </c>
      <c r="M60">
        <v>71.400000000000006</v>
      </c>
      <c r="N60">
        <v>26</v>
      </c>
      <c r="O60" t="str">
        <f>""</f>
        <v/>
      </c>
      <c r="P60" t="str">
        <f>""</f>
        <v/>
      </c>
      <c r="Q60" t="str">
        <f>"1988-W"</f>
        <v>1988-W</v>
      </c>
      <c r="R60">
        <v>27.3048</v>
      </c>
      <c r="S60">
        <v>0</v>
      </c>
      <c r="T60">
        <v>0</v>
      </c>
      <c r="U60">
        <v>0</v>
      </c>
      <c r="V60">
        <v>26</v>
      </c>
      <c r="W60" t="str">
        <f>"9403 30 19"</f>
        <v>9403 30 19</v>
      </c>
      <c r="X60">
        <v>0</v>
      </c>
      <c r="Y60">
        <v>1092.0999999999999</v>
      </c>
      <c r="Z60">
        <v>0.32</v>
      </c>
      <c r="AA60">
        <v>0</v>
      </c>
    </row>
    <row r="61" spans="1:27" x14ac:dyDescent="0.3">
      <c r="A61" t="s">
        <v>45</v>
      </c>
      <c r="F61" s="1" t="str">
        <f>"""Navdirect"",""CRONUS USA, Inc."",""27"",""1"",""1992-W"""</f>
        <v>"Navdirect","CRONUS USA, Inc.","27","1","1992-W"</v>
      </c>
      <c r="G61" t="str">
        <f>"ALBERTVILLE Whiteboard, green"</f>
        <v>ALBERTVILLE Whiteboard, green</v>
      </c>
      <c r="H61">
        <v>0</v>
      </c>
      <c r="I61" t="str">
        <f>""</f>
        <v/>
      </c>
      <c r="J61">
        <v>0</v>
      </c>
      <c r="K61">
        <v>0</v>
      </c>
      <c r="L61" t="str">
        <f>""</f>
        <v/>
      </c>
      <c r="M61">
        <v>71.400000000000006</v>
      </c>
      <c r="N61">
        <v>10</v>
      </c>
      <c r="O61" t="str">
        <f>""</f>
        <v/>
      </c>
      <c r="P61" t="str">
        <f>""</f>
        <v/>
      </c>
      <c r="Q61" t="str">
        <f>"1992-W"</f>
        <v>1992-W</v>
      </c>
      <c r="R61">
        <v>27.3048</v>
      </c>
      <c r="S61">
        <v>0</v>
      </c>
      <c r="T61">
        <v>0</v>
      </c>
      <c r="U61">
        <v>0</v>
      </c>
      <c r="V61">
        <v>10</v>
      </c>
      <c r="W61" t="str">
        <f>"9403 30 19"</f>
        <v>9403 30 19</v>
      </c>
      <c r="X61">
        <v>0</v>
      </c>
      <c r="Y61">
        <v>1092.0999999999999</v>
      </c>
      <c r="Z61">
        <v>0.32</v>
      </c>
      <c r="AA61">
        <v>0</v>
      </c>
    </row>
    <row r="62" spans="1:27" x14ac:dyDescent="0.3">
      <c r="A62" t="s">
        <v>45</v>
      </c>
      <c r="F62" s="1" t="str">
        <f>"""Navdirect"",""CRONUS USA, Inc."",""27"",""1"",""1996-S"""</f>
        <v>"Navdirect","CRONUS USA, Inc.","27","1","1996-S"</v>
      </c>
      <c r="G62" t="str">
        <f>"ATLANTA Whiteboard, base"</f>
        <v>ATLANTA Whiteboard, base</v>
      </c>
      <c r="H62">
        <v>0</v>
      </c>
      <c r="I62" t="str">
        <f>""</f>
        <v/>
      </c>
      <c r="J62">
        <v>0</v>
      </c>
      <c r="K62">
        <v>0</v>
      </c>
      <c r="L62" t="str">
        <f>""</f>
        <v/>
      </c>
      <c r="M62">
        <v>69.8</v>
      </c>
      <c r="N62">
        <v>181</v>
      </c>
      <c r="O62" t="str">
        <f>""</f>
        <v/>
      </c>
      <c r="P62" t="str">
        <f>""</f>
        <v/>
      </c>
      <c r="Q62" t="str">
        <f>"1996-S"</f>
        <v>1996-S</v>
      </c>
      <c r="R62">
        <v>21.999569999999999</v>
      </c>
      <c r="S62">
        <v>0</v>
      </c>
      <c r="T62">
        <v>0</v>
      </c>
      <c r="U62">
        <v>0</v>
      </c>
      <c r="V62">
        <v>181</v>
      </c>
      <c r="W62" t="str">
        <f>"9403 30 19"</f>
        <v>9403 30 19</v>
      </c>
      <c r="X62">
        <v>0</v>
      </c>
      <c r="Y62">
        <v>1089.8999999999999</v>
      </c>
      <c r="Z62">
        <v>0.31</v>
      </c>
      <c r="AA62">
        <v>0</v>
      </c>
    </row>
    <row r="63" spans="1:27" x14ac:dyDescent="0.3">
      <c r="A63" t="s">
        <v>45</v>
      </c>
      <c r="F63" s="1" t="str">
        <f>"""Navdirect"",""CRONUS USA, Inc."",""27"",""1"",""2000-S"""</f>
        <v>"Navdirect","CRONUS USA, Inc.","27","1","2000-S"</v>
      </c>
      <c r="G63" t="str">
        <f>"SYDNEY Swivel Chair, green"</f>
        <v>SYDNEY Swivel Chair, green</v>
      </c>
      <c r="H63">
        <v>0</v>
      </c>
      <c r="I63" t="str">
        <f>""</f>
        <v/>
      </c>
      <c r="J63">
        <v>0</v>
      </c>
      <c r="K63">
        <v>0</v>
      </c>
      <c r="L63" t="str">
        <f>""</f>
        <v/>
      </c>
      <c r="M63">
        <v>13.9</v>
      </c>
      <c r="N63">
        <v>163</v>
      </c>
      <c r="O63" t="str">
        <f>""</f>
        <v/>
      </c>
      <c r="P63" t="str">
        <f>""</f>
        <v/>
      </c>
      <c r="Q63" t="str">
        <f>"2000-S"</f>
        <v>2000-S</v>
      </c>
      <c r="R63">
        <v>22.093630000000001</v>
      </c>
      <c r="S63">
        <v>0</v>
      </c>
      <c r="T63">
        <v>0</v>
      </c>
      <c r="U63">
        <v>0</v>
      </c>
      <c r="V63">
        <v>163</v>
      </c>
      <c r="W63" t="str">
        <f>"9401 30 10"</f>
        <v>9401 30 10</v>
      </c>
      <c r="X63">
        <v>0</v>
      </c>
      <c r="Y63">
        <v>148.1</v>
      </c>
      <c r="Z63">
        <v>0.25</v>
      </c>
      <c r="AA63">
        <v>0</v>
      </c>
    </row>
    <row r="64" spans="1:27" x14ac:dyDescent="0.3">
      <c r="A64" t="s">
        <v>45</v>
      </c>
      <c r="F64" s="1" t="str">
        <f>"""Navdirect"",""CRONUS USA, Inc."",""27"",""1"",""70000"""</f>
        <v>"Navdirect","CRONUS USA, Inc.","27","1","70000"</v>
      </c>
      <c r="G64" t="str">
        <f>"Side Panel"</f>
        <v>Side Panel</v>
      </c>
      <c r="H64">
        <v>0</v>
      </c>
      <c r="I64" t="str">
        <f>""</f>
        <v/>
      </c>
      <c r="J64">
        <v>0</v>
      </c>
      <c r="K64">
        <v>0</v>
      </c>
      <c r="L64" t="str">
        <f>""</f>
        <v/>
      </c>
      <c r="M64">
        <v>2.2999999999999998</v>
      </c>
      <c r="N64">
        <v>4282</v>
      </c>
      <c r="O64" t="str">
        <f>""</f>
        <v/>
      </c>
      <c r="P64" t="str">
        <f>""</f>
        <v/>
      </c>
      <c r="Q64" t="str">
        <f>"70000"</f>
        <v>70000</v>
      </c>
      <c r="R64">
        <v>49.048630000000003</v>
      </c>
      <c r="S64">
        <v>65598.42</v>
      </c>
      <c r="T64">
        <v>0</v>
      </c>
      <c r="U64">
        <v>0</v>
      </c>
      <c r="V64">
        <v>4282</v>
      </c>
      <c r="W64" t="str">
        <f>"9403 90 30"</f>
        <v>9403 90 30</v>
      </c>
      <c r="X64">
        <v>0</v>
      </c>
      <c r="Y64">
        <v>24.1</v>
      </c>
      <c r="Z64">
        <v>0.04</v>
      </c>
      <c r="AA64">
        <v>0</v>
      </c>
    </row>
    <row r="65" spans="1:27" x14ac:dyDescent="0.3">
      <c r="A65" t="s">
        <v>45</v>
      </c>
      <c r="F65" s="1" t="str">
        <f>"""Navdirect"",""CRONUS USA, Inc."",""27"",""1"",""70001"""</f>
        <v>"Navdirect","CRONUS USA, Inc.","27","1","70001"</v>
      </c>
      <c r="G65" t="str">
        <f>"Base"</f>
        <v>Base</v>
      </c>
      <c r="H65">
        <v>0</v>
      </c>
      <c r="I65" t="str">
        <f>""</f>
        <v/>
      </c>
      <c r="J65">
        <v>0</v>
      </c>
      <c r="K65">
        <v>0</v>
      </c>
      <c r="L65" t="str">
        <f>""</f>
        <v/>
      </c>
      <c r="M65">
        <v>2.8</v>
      </c>
      <c r="N65">
        <v>4325</v>
      </c>
      <c r="O65" t="str">
        <f>""</f>
        <v/>
      </c>
      <c r="P65" t="str">
        <f>""</f>
        <v/>
      </c>
      <c r="Q65" t="str">
        <f>"70001"</f>
        <v>70001</v>
      </c>
      <c r="R65">
        <v>48.953299999999999</v>
      </c>
      <c r="S65">
        <v>63400</v>
      </c>
      <c r="T65">
        <v>0</v>
      </c>
      <c r="U65">
        <v>0</v>
      </c>
      <c r="V65">
        <v>4325</v>
      </c>
      <c r="W65" t="str">
        <f>"9403 90 30"</f>
        <v>9403 90 30</v>
      </c>
      <c r="X65">
        <v>0</v>
      </c>
      <c r="Y65">
        <v>31.7</v>
      </c>
      <c r="Z65">
        <v>0.06</v>
      </c>
      <c r="AA65">
        <v>0</v>
      </c>
    </row>
    <row r="66" spans="1:27" x14ac:dyDescent="0.3">
      <c r="A66" t="s">
        <v>45</v>
      </c>
      <c r="F66" s="1" t="str">
        <f>"""Navdirect"",""CRONUS USA, Inc."",""27"",""1"",""70002"""</f>
        <v>"Navdirect","CRONUS USA, Inc.","27","1","70002"</v>
      </c>
      <c r="G66" t="str">
        <f>"Top Panel "</f>
        <v xml:space="preserve">Top Panel </v>
      </c>
      <c r="H66">
        <v>0</v>
      </c>
      <c r="I66" t="str">
        <f>""</f>
        <v/>
      </c>
      <c r="J66">
        <v>0</v>
      </c>
      <c r="K66">
        <v>0</v>
      </c>
      <c r="L66" t="str">
        <f>""</f>
        <v/>
      </c>
      <c r="M66">
        <v>2.5</v>
      </c>
      <c r="N66">
        <v>2511</v>
      </c>
      <c r="O66" t="str">
        <f>""</f>
        <v/>
      </c>
      <c r="P66" t="str">
        <f>""</f>
        <v/>
      </c>
      <c r="Q66" t="str">
        <f>"70002"</f>
        <v>70002</v>
      </c>
      <c r="R66">
        <v>49.209929999999993</v>
      </c>
      <c r="S66">
        <v>0</v>
      </c>
      <c r="T66">
        <v>0</v>
      </c>
      <c r="U66">
        <v>0</v>
      </c>
      <c r="V66">
        <v>2511</v>
      </c>
      <c r="W66" t="str">
        <f>"9403 90 30"</f>
        <v>9403 90 30</v>
      </c>
      <c r="X66">
        <v>0</v>
      </c>
      <c r="Y66">
        <v>22.5</v>
      </c>
      <c r="Z66">
        <v>0.04</v>
      </c>
      <c r="AA66">
        <v>0</v>
      </c>
    </row>
    <row r="67" spans="1:27" x14ac:dyDescent="0.3">
      <c r="A67" t="s">
        <v>45</v>
      </c>
      <c r="F67" s="1" t="str">
        <f>"""Navdirect"",""CRONUS USA, Inc."",""27"",""1"",""70003"""</f>
        <v>"Navdirect","CRONUS USA, Inc.","27","1","70003"</v>
      </c>
      <c r="G67" t="str">
        <f>"Rear Panel"</f>
        <v>Rear Panel</v>
      </c>
      <c r="H67">
        <v>0</v>
      </c>
      <c r="I67" t="str">
        <f>""</f>
        <v/>
      </c>
      <c r="J67">
        <v>0</v>
      </c>
      <c r="K67">
        <v>0</v>
      </c>
      <c r="L67" t="str">
        <f>""</f>
        <v/>
      </c>
      <c r="M67">
        <v>6.1</v>
      </c>
      <c r="N67">
        <v>2425</v>
      </c>
      <c r="O67" t="str">
        <f>""</f>
        <v/>
      </c>
      <c r="P67" t="str">
        <f>""</f>
        <v/>
      </c>
      <c r="Q67" t="str">
        <f>"70003"</f>
        <v>70003</v>
      </c>
      <c r="R67">
        <v>49.010989999999993</v>
      </c>
      <c r="S67">
        <v>6959.9999999999991</v>
      </c>
      <c r="T67">
        <v>0</v>
      </c>
      <c r="U67">
        <v>0</v>
      </c>
      <c r="V67">
        <v>2425</v>
      </c>
      <c r="W67" t="str">
        <f>"9403 90 30"</f>
        <v>9403 90 30</v>
      </c>
      <c r="X67">
        <v>0</v>
      </c>
      <c r="Y67">
        <v>23.2</v>
      </c>
      <c r="Z67">
        <v>0.7</v>
      </c>
      <c r="AA67">
        <v>0</v>
      </c>
    </row>
    <row r="68" spans="1:27" x14ac:dyDescent="0.3">
      <c r="A68" t="s">
        <v>45</v>
      </c>
      <c r="F68" s="1" t="str">
        <f>"""Navdirect"",""CRONUS USA, Inc."",""27"",""1"",""70010"""</f>
        <v>"Navdirect","CRONUS USA, Inc.","27","1","70010"</v>
      </c>
      <c r="G68" t="str">
        <f>"Wooden Door"</f>
        <v>Wooden Door</v>
      </c>
      <c r="H68">
        <v>0</v>
      </c>
      <c r="I68" t="str">
        <f>""</f>
        <v/>
      </c>
      <c r="J68">
        <v>0</v>
      </c>
      <c r="K68">
        <v>0</v>
      </c>
      <c r="L68" t="str">
        <f>""</f>
        <v/>
      </c>
      <c r="M68">
        <v>2.7</v>
      </c>
      <c r="N68">
        <v>2295</v>
      </c>
      <c r="O68" t="str">
        <f>""</f>
        <v/>
      </c>
      <c r="P68" t="str">
        <f>""</f>
        <v/>
      </c>
      <c r="Q68" t="str">
        <f>"70010"</f>
        <v>70010</v>
      </c>
      <c r="R68">
        <v>49.065999999999995</v>
      </c>
      <c r="S68">
        <v>1022.4999999999999</v>
      </c>
      <c r="T68">
        <v>0</v>
      </c>
      <c r="U68">
        <v>0</v>
      </c>
      <c r="V68">
        <v>2295</v>
      </c>
      <c r="W68" t="str">
        <f>"9403 90 30"</f>
        <v>9403 90 30</v>
      </c>
      <c r="X68">
        <v>0</v>
      </c>
      <c r="Y68">
        <v>40.9</v>
      </c>
      <c r="Z68">
        <v>0.04</v>
      </c>
      <c r="AA68">
        <v>0</v>
      </c>
    </row>
    <row r="69" spans="1:27" x14ac:dyDescent="0.3">
      <c r="A69" t="s">
        <v>45</v>
      </c>
      <c r="F69" s="1" t="str">
        <f>"""Navdirect"",""CRONUS USA, Inc."",""27"",""1"",""70011"""</f>
        <v>"Navdirect","CRONUS USA, Inc.","27","1","70011"</v>
      </c>
      <c r="G69" t="str">
        <f>"Glass Door"</f>
        <v>Glass Door</v>
      </c>
      <c r="H69">
        <v>0</v>
      </c>
      <c r="I69" t="str">
        <f>""</f>
        <v/>
      </c>
      <c r="J69">
        <v>0</v>
      </c>
      <c r="K69">
        <v>0</v>
      </c>
      <c r="L69" t="str">
        <f>""</f>
        <v/>
      </c>
      <c r="M69">
        <v>6.3</v>
      </c>
      <c r="N69">
        <v>2211</v>
      </c>
      <c r="O69" t="str">
        <f>""</f>
        <v/>
      </c>
      <c r="P69" t="str">
        <f>""</f>
        <v/>
      </c>
      <c r="Q69" t="str">
        <f>"70011"</f>
        <v>70011</v>
      </c>
      <c r="R69">
        <v>48.922800000000002</v>
      </c>
      <c r="S69">
        <v>2810.86</v>
      </c>
      <c r="T69">
        <v>0</v>
      </c>
      <c r="U69">
        <v>0</v>
      </c>
      <c r="V69">
        <v>2211</v>
      </c>
      <c r="W69" t="str">
        <f>"9403 90 90"</f>
        <v>9403 90 90</v>
      </c>
      <c r="X69">
        <v>0</v>
      </c>
      <c r="Y69">
        <v>56.899999999999991</v>
      </c>
      <c r="Z69">
        <v>0.04</v>
      </c>
      <c r="AA69">
        <v>0</v>
      </c>
    </row>
    <row r="70" spans="1:27" x14ac:dyDescent="0.3">
      <c r="A70" t="s">
        <v>45</v>
      </c>
      <c r="F70" s="1" t="str">
        <f>"""Navdirect"",""CRONUS USA, Inc."",""27"",""1"",""70040"""</f>
        <v>"Navdirect","CRONUS USA, Inc.","27","1","70040"</v>
      </c>
      <c r="G70" t="str">
        <f>"Drawer"</f>
        <v>Drawer</v>
      </c>
      <c r="H70">
        <v>0</v>
      </c>
      <c r="I70" t="str">
        <f>""</f>
        <v/>
      </c>
      <c r="J70">
        <v>0</v>
      </c>
      <c r="K70">
        <v>0</v>
      </c>
      <c r="L70" t="str">
        <f>""</f>
        <v/>
      </c>
      <c r="M70">
        <v>9.4</v>
      </c>
      <c r="N70">
        <v>2221</v>
      </c>
      <c r="O70" t="str">
        <f>""</f>
        <v/>
      </c>
      <c r="P70" t="str">
        <f>""</f>
        <v/>
      </c>
      <c r="Q70" t="str">
        <f>"70040"</f>
        <v>70040</v>
      </c>
      <c r="R70">
        <v>49.010199999999998</v>
      </c>
      <c r="S70">
        <v>0</v>
      </c>
      <c r="T70">
        <v>0</v>
      </c>
      <c r="U70">
        <v>0</v>
      </c>
      <c r="V70">
        <v>2221</v>
      </c>
      <c r="W70" t="str">
        <f>"9403 90 30"</f>
        <v>9403 90 30</v>
      </c>
      <c r="X70">
        <v>0</v>
      </c>
      <c r="Y70">
        <v>85</v>
      </c>
      <c r="Z70">
        <v>0.45</v>
      </c>
      <c r="AA70">
        <v>0</v>
      </c>
    </row>
    <row r="71" spans="1:27" x14ac:dyDescent="0.3">
      <c r="A71" t="s">
        <v>45</v>
      </c>
      <c r="F71" s="1" t="str">
        <f>"""Navdirect"",""CRONUS USA, Inc."",""27"",""1"",""70041"""</f>
        <v>"Navdirect","CRONUS USA, Inc.","27","1","70041"</v>
      </c>
      <c r="G71" t="str">
        <f>"Shelf"</f>
        <v>Shelf</v>
      </c>
      <c r="H71">
        <v>0</v>
      </c>
      <c r="I71" t="str">
        <f>""</f>
        <v/>
      </c>
      <c r="J71">
        <v>0</v>
      </c>
      <c r="K71">
        <v>0</v>
      </c>
      <c r="L71" t="str">
        <f>""</f>
        <v/>
      </c>
      <c r="M71">
        <v>2.1</v>
      </c>
      <c r="N71">
        <v>2024</v>
      </c>
      <c r="O71" t="str">
        <f>""</f>
        <v/>
      </c>
      <c r="P71" t="str">
        <f>""</f>
        <v/>
      </c>
      <c r="Q71" t="str">
        <f>"70041"</f>
        <v>70041</v>
      </c>
      <c r="R71">
        <v>48.888889999999996</v>
      </c>
      <c r="S71">
        <v>0</v>
      </c>
      <c r="T71">
        <v>0</v>
      </c>
      <c r="U71">
        <v>0</v>
      </c>
      <c r="V71">
        <v>2024</v>
      </c>
      <c r="W71" t="str">
        <f>"9403 90 30"</f>
        <v>9403 90 30</v>
      </c>
      <c r="X71">
        <v>0</v>
      </c>
      <c r="Y71">
        <v>18.399999999999999</v>
      </c>
      <c r="Z71">
        <v>0.4</v>
      </c>
      <c r="AA71">
        <v>0</v>
      </c>
    </row>
    <row r="72" spans="1:27" x14ac:dyDescent="0.3">
      <c r="A72" t="s">
        <v>45</v>
      </c>
      <c r="F72" s="1" t="str">
        <f>"""Navdirect"",""CRONUS USA, Inc."",""27"",""1"",""70060"""</f>
        <v>"Navdirect","CRONUS USA, Inc.","27","1","70060"</v>
      </c>
      <c r="G72" t="str">
        <f>"Mounting"</f>
        <v>Mounting</v>
      </c>
      <c r="H72">
        <v>0</v>
      </c>
      <c r="I72" t="str">
        <f>""</f>
        <v/>
      </c>
      <c r="J72">
        <v>0</v>
      </c>
      <c r="K72">
        <v>0</v>
      </c>
      <c r="L72" t="str">
        <f>""</f>
        <v/>
      </c>
      <c r="M72">
        <v>1.5</v>
      </c>
      <c r="N72">
        <v>832</v>
      </c>
      <c r="O72" t="str">
        <f>""</f>
        <v/>
      </c>
      <c r="P72" t="str">
        <f>""</f>
        <v/>
      </c>
      <c r="Q72" t="str">
        <f>"70060"</f>
        <v>70060</v>
      </c>
      <c r="R72">
        <v>49.009899999999995</v>
      </c>
      <c r="S72">
        <v>7338.7499999999991</v>
      </c>
      <c r="T72">
        <v>0</v>
      </c>
      <c r="U72">
        <v>0</v>
      </c>
      <c r="V72">
        <v>832</v>
      </c>
      <c r="W72" t="str">
        <f>"9403 90 10"</f>
        <v>9403 90 10</v>
      </c>
      <c r="X72">
        <v>0</v>
      </c>
      <c r="Y72">
        <v>10.3</v>
      </c>
      <c r="Z72">
        <v>0.05</v>
      </c>
      <c r="AA72">
        <v>0</v>
      </c>
    </row>
    <row r="73" spans="1:27" x14ac:dyDescent="0.3">
      <c r="A73" t="s">
        <v>45</v>
      </c>
      <c r="F73" s="1" t="str">
        <f>"""Navdirect"",""CRONUS USA, Inc."",""27"",""1"",""70100"""</f>
        <v>"Navdirect","CRONUS USA, Inc.","27","1","70100"</v>
      </c>
      <c r="G73" t="str">
        <f>"Paint, black"</f>
        <v>Paint, black</v>
      </c>
      <c r="H73">
        <v>0</v>
      </c>
      <c r="I73" t="str">
        <f>""</f>
        <v/>
      </c>
      <c r="J73">
        <v>0</v>
      </c>
      <c r="K73">
        <v>0</v>
      </c>
      <c r="L73" t="str">
        <f>""</f>
        <v/>
      </c>
      <c r="M73">
        <v>1.6</v>
      </c>
      <c r="N73">
        <v>3641.0000000000005</v>
      </c>
      <c r="O73" t="str">
        <f>""</f>
        <v/>
      </c>
      <c r="P73" t="str">
        <f>""</f>
        <v/>
      </c>
      <c r="Q73" t="str">
        <f>"70100"</f>
        <v>70100</v>
      </c>
      <c r="R73">
        <v>46.341460000000005</v>
      </c>
      <c r="S73">
        <v>0</v>
      </c>
      <c r="T73">
        <v>0</v>
      </c>
      <c r="U73">
        <v>0</v>
      </c>
      <c r="V73">
        <v>3641.0000000000005</v>
      </c>
      <c r="W73" t="str">
        <f>"9999 99 99"</f>
        <v>9999 99 99</v>
      </c>
      <c r="X73">
        <v>0</v>
      </c>
      <c r="Y73">
        <v>2.2000000000000002</v>
      </c>
      <c r="Z73">
        <v>0.01</v>
      </c>
      <c r="AA73">
        <v>0</v>
      </c>
    </row>
    <row r="74" spans="1:27" x14ac:dyDescent="0.3">
      <c r="A74" t="s">
        <v>45</v>
      </c>
      <c r="F74" s="1" t="str">
        <f>"""Navdirect"",""CRONUS USA, Inc."",""27"",""1"",""70101"""</f>
        <v>"Navdirect","CRONUS USA, Inc.","27","1","70101"</v>
      </c>
      <c r="G74" t="str">
        <f>"Paint, yellow"</f>
        <v>Paint, yellow</v>
      </c>
      <c r="H74">
        <v>0</v>
      </c>
      <c r="I74" t="str">
        <f>""</f>
        <v/>
      </c>
      <c r="J74">
        <v>0</v>
      </c>
      <c r="K74">
        <v>0</v>
      </c>
      <c r="L74" t="str">
        <f>""</f>
        <v/>
      </c>
      <c r="M74">
        <v>1.6</v>
      </c>
      <c r="N74">
        <v>3718.0000000000005</v>
      </c>
      <c r="O74" t="str">
        <f>""</f>
        <v/>
      </c>
      <c r="P74" t="str">
        <f>""</f>
        <v/>
      </c>
      <c r="Q74" t="str">
        <f>"70101"</f>
        <v>70101</v>
      </c>
      <c r="R74">
        <v>46.341460000000005</v>
      </c>
      <c r="S74">
        <v>0</v>
      </c>
      <c r="T74">
        <v>0</v>
      </c>
      <c r="U74">
        <v>0</v>
      </c>
      <c r="V74">
        <v>3718.0000000000005</v>
      </c>
      <c r="W74" t="str">
        <f>"9999 99 99"</f>
        <v>9999 99 99</v>
      </c>
      <c r="X74">
        <v>0</v>
      </c>
      <c r="Y74">
        <v>2.2000000000000002</v>
      </c>
      <c r="Z74">
        <v>0.01</v>
      </c>
      <c r="AA74">
        <v>0</v>
      </c>
    </row>
    <row r="75" spans="1:27" x14ac:dyDescent="0.3">
      <c r="A75" t="s">
        <v>45</v>
      </c>
      <c r="F75" s="1" t="str">
        <f>"""Navdirect"",""CRONUS USA, Inc."",""27"",""1"",""70102"""</f>
        <v>"Navdirect","CRONUS USA, Inc.","27","1","70102"</v>
      </c>
      <c r="G75" t="str">
        <f>"Paint, blue"</f>
        <v>Paint, blue</v>
      </c>
      <c r="H75">
        <v>0</v>
      </c>
      <c r="I75" t="str">
        <f>""</f>
        <v/>
      </c>
      <c r="J75">
        <v>0</v>
      </c>
      <c r="K75">
        <v>0</v>
      </c>
      <c r="L75" t="str">
        <f>""</f>
        <v/>
      </c>
      <c r="M75">
        <v>1.6</v>
      </c>
      <c r="N75">
        <v>3230</v>
      </c>
      <c r="O75" t="str">
        <f>""</f>
        <v/>
      </c>
      <c r="P75" t="str">
        <f>""</f>
        <v/>
      </c>
      <c r="Q75" t="str">
        <f>"70102"</f>
        <v>70102</v>
      </c>
      <c r="R75">
        <v>46.341460000000005</v>
      </c>
      <c r="S75">
        <v>0</v>
      </c>
      <c r="T75">
        <v>0</v>
      </c>
      <c r="U75">
        <v>0</v>
      </c>
      <c r="V75">
        <v>3230</v>
      </c>
      <c r="W75" t="str">
        <f>"9999 99 99"</f>
        <v>9999 99 99</v>
      </c>
      <c r="X75">
        <v>0</v>
      </c>
      <c r="Y75">
        <v>2.2000000000000002</v>
      </c>
      <c r="Z75">
        <v>0.01</v>
      </c>
      <c r="AA75">
        <v>0</v>
      </c>
    </row>
    <row r="76" spans="1:27" x14ac:dyDescent="0.3">
      <c r="A76" t="s">
        <v>45</v>
      </c>
      <c r="F76" s="1" t="str">
        <f>"""Navdirect"",""CRONUS USA, Inc."",""27"",""1"",""70103"""</f>
        <v>"Navdirect","CRONUS USA, Inc.","27","1","70103"</v>
      </c>
      <c r="G76" t="str">
        <f>"Paint, red"</f>
        <v>Paint, red</v>
      </c>
      <c r="H76">
        <v>0</v>
      </c>
      <c r="I76" t="str">
        <f>""</f>
        <v/>
      </c>
      <c r="J76">
        <v>0</v>
      </c>
      <c r="K76">
        <v>0</v>
      </c>
      <c r="L76" t="str">
        <f>""</f>
        <v/>
      </c>
      <c r="M76">
        <v>1.6</v>
      </c>
      <c r="N76">
        <v>3026</v>
      </c>
      <c r="O76" t="str">
        <f>""</f>
        <v/>
      </c>
      <c r="P76" t="str">
        <f>""</f>
        <v/>
      </c>
      <c r="Q76" t="str">
        <f>"70103"</f>
        <v>70103</v>
      </c>
      <c r="R76">
        <v>46.341460000000005</v>
      </c>
      <c r="S76">
        <v>0</v>
      </c>
      <c r="T76">
        <v>0</v>
      </c>
      <c r="U76">
        <v>0</v>
      </c>
      <c r="V76">
        <v>3026</v>
      </c>
      <c r="W76" t="str">
        <f>"9999 99 99"</f>
        <v>9999 99 99</v>
      </c>
      <c r="X76">
        <v>0</v>
      </c>
      <c r="Y76">
        <v>2.2000000000000002</v>
      </c>
      <c r="Z76">
        <v>0.01</v>
      </c>
      <c r="AA76">
        <v>0</v>
      </c>
    </row>
    <row r="77" spans="1:27" x14ac:dyDescent="0.3">
      <c r="A77" t="s">
        <v>45</v>
      </c>
      <c r="F77" s="1" t="str">
        <f>"""Navdirect"",""CRONUS USA, Inc."",""27"",""1"",""70104"""</f>
        <v>"Navdirect","CRONUS USA, Inc.","27","1","70104"</v>
      </c>
      <c r="G77" t="str">
        <f>"Paint, green"</f>
        <v>Paint, green</v>
      </c>
      <c r="H77">
        <v>0</v>
      </c>
      <c r="I77" t="str">
        <f>""</f>
        <v/>
      </c>
      <c r="J77">
        <v>0</v>
      </c>
      <c r="K77">
        <v>0</v>
      </c>
      <c r="L77" t="str">
        <f>""</f>
        <v/>
      </c>
      <c r="M77">
        <v>1.6</v>
      </c>
      <c r="N77">
        <v>3788</v>
      </c>
      <c r="O77" t="str">
        <f>""</f>
        <v/>
      </c>
      <c r="P77" t="str">
        <f>""</f>
        <v/>
      </c>
      <c r="Q77" t="str">
        <f>"70104"</f>
        <v>70104</v>
      </c>
      <c r="R77">
        <v>46.341460000000005</v>
      </c>
      <c r="S77">
        <v>1760.3100000000002</v>
      </c>
      <c r="T77">
        <v>0</v>
      </c>
      <c r="U77">
        <v>0</v>
      </c>
      <c r="V77">
        <v>3788</v>
      </c>
      <c r="W77" t="str">
        <f>"9999 99 99"</f>
        <v>9999 99 99</v>
      </c>
      <c r="X77">
        <v>0</v>
      </c>
      <c r="Y77">
        <v>2.2000000000000002</v>
      </c>
      <c r="Z77">
        <v>0.01</v>
      </c>
      <c r="AA77">
        <v>0</v>
      </c>
    </row>
    <row r="78" spans="1:27" x14ac:dyDescent="0.3">
      <c r="A78" t="s">
        <v>45</v>
      </c>
      <c r="F78" s="1" t="str">
        <f>"""Navdirect"",""CRONUS USA, Inc."",""27"",""1"",""70200"""</f>
        <v>"Navdirect","CRONUS USA, Inc.","27","1","70200"</v>
      </c>
      <c r="G78" t="str">
        <f>"Hinge"</f>
        <v>Hinge</v>
      </c>
      <c r="H78">
        <v>0</v>
      </c>
      <c r="I78" t="str">
        <f>""</f>
        <v/>
      </c>
      <c r="J78">
        <v>0</v>
      </c>
      <c r="K78">
        <v>0</v>
      </c>
      <c r="L78" t="str">
        <f>""</f>
        <v/>
      </c>
      <c r="M78">
        <v>0.3</v>
      </c>
      <c r="N78">
        <v>1630.9999999999998</v>
      </c>
      <c r="O78" t="str">
        <f>""</f>
        <v/>
      </c>
      <c r="P78" t="str">
        <f>""</f>
        <v/>
      </c>
      <c r="Q78" t="str">
        <f>"70200"</f>
        <v>70200</v>
      </c>
      <c r="R78">
        <v>45</v>
      </c>
      <c r="S78">
        <v>0</v>
      </c>
      <c r="T78">
        <v>0</v>
      </c>
      <c r="U78">
        <v>0</v>
      </c>
      <c r="V78">
        <v>1630.9999999999998</v>
      </c>
      <c r="W78" t="str">
        <f>"9403 90 10"</f>
        <v>9403 90 10</v>
      </c>
      <c r="X78">
        <v>0</v>
      </c>
      <c r="Y78">
        <v>1.1000000000000001</v>
      </c>
      <c r="Z78">
        <v>0.01</v>
      </c>
      <c r="AA78">
        <v>0</v>
      </c>
    </row>
    <row r="79" spans="1:27" x14ac:dyDescent="0.3">
      <c r="A79" t="s">
        <v>45</v>
      </c>
      <c r="F79" s="1" t="str">
        <f>"""Navdirect"",""CRONUS USA, Inc."",""27"",""1"",""70201"""</f>
        <v>"Navdirect","CRONUS USA, Inc.","27","1","70201"</v>
      </c>
      <c r="G79" t="str">
        <f>"Doorknob"</f>
        <v>Doorknob</v>
      </c>
      <c r="H79">
        <v>0</v>
      </c>
      <c r="I79" t="str">
        <f>""</f>
        <v/>
      </c>
      <c r="J79">
        <v>0</v>
      </c>
      <c r="K79">
        <v>0</v>
      </c>
      <c r="L79" t="str">
        <f>""</f>
        <v/>
      </c>
      <c r="M79">
        <v>0.2</v>
      </c>
      <c r="N79">
        <v>1260</v>
      </c>
      <c r="O79" t="str">
        <f>""</f>
        <v/>
      </c>
      <c r="P79" t="str">
        <f>""</f>
        <v/>
      </c>
      <c r="Q79" t="str">
        <f>"70201"</f>
        <v>70201</v>
      </c>
      <c r="R79">
        <v>50</v>
      </c>
      <c r="S79">
        <v>0</v>
      </c>
      <c r="T79">
        <v>0</v>
      </c>
      <c r="U79">
        <v>0</v>
      </c>
      <c r="V79">
        <v>1260</v>
      </c>
      <c r="W79" t="str">
        <f>"9403 90 30"</f>
        <v>9403 90 30</v>
      </c>
      <c r="X79">
        <v>0</v>
      </c>
      <c r="Y79">
        <v>0.9</v>
      </c>
      <c r="Z79">
        <v>0.01</v>
      </c>
      <c r="AA79">
        <v>0</v>
      </c>
    </row>
    <row r="80" spans="1:27" x14ac:dyDescent="0.3">
      <c r="A80" t="s">
        <v>45</v>
      </c>
      <c r="F80" s="1" t="str">
        <f>"""Navdirect"",""CRONUS USA, Inc."",""27"",""1"",""766BC-A"""</f>
        <v>"Navdirect","CRONUS USA, Inc.","27","1","766BC-A"</v>
      </c>
      <c r="G80" t="str">
        <f>"CONTOSO Conference System"</f>
        <v>CONTOSO Conference System</v>
      </c>
      <c r="H80">
        <v>0</v>
      </c>
      <c r="I80" t="str">
        <f>""</f>
        <v/>
      </c>
      <c r="J80">
        <v>0</v>
      </c>
      <c r="K80">
        <v>0</v>
      </c>
      <c r="L80" t="str">
        <f>""</f>
        <v/>
      </c>
      <c r="M80">
        <v>104.1</v>
      </c>
      <c r="N80">
        <v>0</v>
      </c>
      <c r="O80" t="str">
        <f>""</f>
        <v/>
      </c>
      <c r="P80" t="str">
        <f>""</f>
        <v/>
      </c>
      <c r="Q80" t="str">
        <f>"766BC-A"</f>
        <v>766BC-A</v>
      </c>
      <c r="R80">
        <v>35.00018</v>
      </c>
      <c r="S80">
        <v>0</v>
      </c>
      <c r="T80">
        <v>0</v>
      </c>
      <c r="U80">
        <v>0</v>
      </c>
      <c r="V80">
        <v>0</v>
      </c>
      <c r="W80" t="str">
        <f>"9403 30 19"</f>
        <v>9403 30 19</v>
      </c>
      <c r="X80">
        <v>0</v>
      </c>
      <c r="Y80">
        <v>5422.7000000000007</v>
      </c>
      <c r="Z80">
        <v>1.47</v>
      </c>
      <c r="AA80">
        <v>0</v>
      </c>
    </row>
    <row r="81" spans="1:27" x14ac:dyDescent="0.3">
      <c r="A81" t="s">
        <v>45</v>
      </c>
      <c r="F81" s="1" t="str">
        <f>"""Navdirect"",""CRONUS USA, Inc."",""27"",""1"",""766BC-B"""</f>
        <v>"Navdirect","CRONUS USA, Inc.","27","1","766BC-B"</v>
      </c>
      <c r="G81" t="str">
        <f>"CONTOSO Office System"</f>
        <v>CONTOSO Office System</v>
      </c>
      <c r="H81">
        <v>0</v>
      </c>
      <c r="I81" t="str">
        <f>""</f>
        <v/>
      </c>
      <c r="J81">
        <v>0</v>
      </c>
      <c r="K81">
        <v>0</v>
      </c>
      <c r="L81" t="str">
        <f>""</f>
        <v/>
      </c>
      <c r="M81">
        <v>135.6</v>
      </c>
      <c r="N81">
        <v>5</v>
      </c>
      <c r="O81" t="str">
        <f>""</f>
        <v/>
      </c>
      <c r="P81" t="str">
        <f>""</f>
        <v/>
      </c>
      <c r="Q81" t="str">
        <f>"766BC-B"</f>
        <v>766BC-B</v>
      </c>
      <c r="R81">
        <v>30.309629999999999</v>
      </c>
      <c r="S81">
        <v>0</v>
      </c>
      <c r="T81">
        <v>0</v>
      </c>
      <c r="U81">
        <v>0</v>
      </c>
      <c r="V81">
        <v>5</v>
      </c>
      <c r="W81" t="str">
        <f>"9403 30 19"</f>
        <v>9403 30 19</v>
      </c>
      <c r="X81">
        <v>0</v>
      </c>
      <c r="Y81">
        <v>1919.7</v>
      </c>
      <c r="Z81">
        <v>6.67</v>
      </c>
      <c r="AA81">
        <v>0</v>
      </c>
    </row>
    <row r="82" spans="1:27" x14ac:dyDescent="0.3">
      <c r="A82" t="s">
        <v>45</v>
      </c>
      <c r="F82" s="1" t="str">
        <f>"""Navdirect"",""CRONUS USA, Inc."",""27"",""1"",""766BC-C"""</f>
        <v>"Navdirect","CRONUS USA, Inc.","27","1","766BC-C"</v>
      </c>
      <c r="G82" t="str">
        <f>"CONTOSO Storage System"</f>
        <v>CONTOSO Storage System</v>
      </c>
      <c r="H82">
        <v>0</v>
      </c>
      <c r="I82" t="str">
        <f>""</f>
        <v/>
      </c>
      <c r="J82">
        <v>0</v>
      </c>
      <c r="K82">
        <v>0</v>
      </c>
      <c r="L82" t="str">
        <f>""</f>
        <v/>
      </c>
      <c r="M82">
        <v>82</v>
      </c>
      <c r="N82">
        <v>2</v>
      </c>
      <c r="O82" t="str">
        <f>""</f>
        <v/>
      </c>
      <c r="P82" t="str">
        <f>""</f>
        <v/>
      </c>
      <c r="Q82" t="str">
        <f>"766BC-C"</f>
        <v>766BC-C</v>
      </c>
      <c r="R82">
        <v>34.99794</v>
      </c>
      <c r="S82">
        <v>0</v>
      </c>
      <c r="T82">
        <v>0</v>
      </c>
      <c r="U82">
        <v>0</v>
      </c>
      <c r="V82">
        <v>2</v>
      </c>
      <c r="W82" t="str">
        <f>"9403 30 19"</f>
        <v>9403 30 19</v>
      </c>
      <c r="X82">
        <v>0</v>
      </c>
      <c r="Y82">
        <v>945.9</v>
      </c>
      <c r="Z82">
        <v>5.18</v>
      </c>
      <c r="AA82">
        <v>0</v>
      </c>
    </row>
    <row r="83" spans="1:27" x14ac:dyDescent="0.3">
      <c r="A83" t="s">
        <v>45</v>
      </c>
      <c r="F83" s="1" t="str">
        <f>"""Navdirect"",""CRONUS USA, Inc."",""27"",""1"",""80001"""</f>
        <v>"Navdirect","CRONUS USA, Inc.","27","1","80001"</v>
      </c>
      <c r="G83" t="str">
        <f>"Computer III 533 MHz"</f>
        <v>Computer III 533 MHz</v>
      </c>
      <c r="H83">
        <v>0</v>
      </c>
      <c r="I83" t="str">
        <f>""</f>
        <v/>
      </c>
      <c r="J83">
        <v>0</v>
      </c>
      <c r="K83">
        <v>0</v>
      </c>
      <c r="L83" t="str">
        <f>""</f>
        <v/>
      </c>
      <c r="M83">
        <v>0</v>
      </c>
      <c r="N83">
        <v>0</v>
      </c>
      <c r="O83" t="str">
        <f>""</f>
        <v/>
      </c>
      <c r="P83" t="str">
        <f>""</f>
        <v/>
      </c>
      <c r="Q83" t="str">
        <f>"80001"</f>
        <v>80001</v>
      </c>
      <c r="R83">
        <v>53.608249999999998</v>
      </c>
      <c r="S83">
        <v>0</v>
      </c>
      <c r="T83">
        <v>0</v>
      </c>
      <c r="U83">
        <v>0</v>
      </c>
      <c r="V83">
        <v>0</v>
      </c>
      <c r="W83" t="str">
        <f>""</f>
        <v/>
      </c>
      <c r="X83">
        <v>0</v>
      </c>
      <c r="Y83">
        <v>9</v>
      </c>
      <c r="Z83">
        <v>0</v>
      </c>
      <c r="AA83">
        <v>0</v>
      </c>
    </row>
    <row r="84" spans="1:27" x14ac:dyDescent="0.3">
      <c r="A84" t="s">
        <v>45</v>
      </c>
      <c r="F84" s="1" t="str">
        <f>"""Navdirect"",""CRONUS USA, Inc."",""27"",""1"",""80002"""</f>
        <v>"Navdirect","CRONUS USA, Inc.","27","1","80002"</v>
      </c>
      <c r="G84" t="str">
        <f>"Computer III 600 MHz"</f>
        <v>Computer III 600 MHz</v>
      </c>
      <c r="H84">
        <v>0</v>
      </c>
      <c r="I84" t="str">
        <f>""</f>
        <v/>
      </c>
      <c r="J84">
        <v>0</v>
      </c>
      <c r="K84">
        <v>0</v>
      </c>
      <c r="L84" t="str">
        <f>""</f>
        <v/>
      </c>
      <c r="M84">
        <v>0</v>
      </c>
      <c r="N84">
        <v>0</v>
      </c>
      <c r="O84" t="str">
        <f>""</f>
        <v/>
      </c>
      <c r="P84" t="str">
        <f>""</f>
        <v/>
      </c>
      <c r="Q84" t="str">
        <f>"80002"</f>
        <v>80002</v>
      </c>
      <c r="R84">
        <v>53.043479999999995</v>
      </c>
      <c r="S84">
        <v>0</v>
      </c>
      <c r="T84">
        <v>0</v>
      </c>
      <c r="U84">
        <v>0</v>
      </c>
      <c r="V84">
        <v>0</v>
      </c>
      <c r="W84" t="str">
        <f>""</f>
        <v/>
      </c>
      <c r="X84">
        <v>0</v>
      </c>
      <c r="Y84">
        <v>10.8</v>
      </c>
      <c r="Z84">
        <v>0</v>
      </c>
      <c r="AA84">
        <v>0</v>
      </c>
    </row>
    <row r="85" spans="1:27" x14ac:dyDescent="0.3">
      <c r="A85" t="s">
        <v>45</v>
      </c>
      <c r="F85" s="1" t="str">
        <f>"""Navdirect"",""CRONUS USA, Inc."",""27"",""1"",""80003"""</f>
        <v>"Navdirect","CRONUS USA, Inc.","27","1","80003"</v>
      </c>
      <c r="G85" t="str">
        <f>"Computer III 733 MHz"</f>
        <v>Computer III 733 MHz</v>
      </c>
      <c r="H85">
        <v>0</v>
      </c>
      <c r="I85" t="str">
        <f>""</f>
        <v/>
      </c>
      <c r="J85">
        <v>0</v>
      </c>
      <c r="K85">
        <v>0</v>
      </c>
      <c r="L85" t="str">
        <f>""</f>
        <v/>
      </c>
      <c r="M85">
        <v>0</v>
      </c>
      <c r="N85">
        <v>0</v>
      </c>
      <c r="O85" t="str">
        <f>""</f>
        <v/>
      </c>
      <c r="P85" t="str">
        <f>""</f>
        <v/>
      </c>
      <c r="Q85" t="str">
        <f>"80003"</f>
        <v>80003</v>
      </c>
      <c r="R85">
        <v>49.193550000000002</v>
      </c>
      <c r="S85">
        <v>0</v>
      </c>
      <c r="T85">
        <v>0</v>
      </c>
      <c r="U85">
        <v>0</v>
      </c>
      <c r="V85">
        <v>0</v>
      </c>
      <c r="W85" t="str">
        <f>""</f>
        <v/>
      </c>
      <c r="X85">
        <v>0</v>
      </c>
      <c r="Y85">
        <v>12.6</v>
      </c>
      <c r="Z85">
        <v>0</v>
      </c>
      <c r="AA85">
        <v>0</v>
      </c>
    </row>
    <row r="86" spans="1:27" x14ac:dyDescent="0.3">
      <c r="A86" t="s">
        <v>45</v>
      </c>
      <c r="F86" s="1" t="str">
        <f>"""Navdirect"",""CRONUS USA, Inc."",""27"",""1"",""80004"""</f>
        <v>"Navdirect","CRONUS USA, Inc.","27","1","80004"</v>
      </c>
      <c r="G86" t="str">
        <f>"Computer III 800 MHz"</f>
        <v>Computer III 800 MHz</v>
      </c>
      <c r="H86">
        <v>0</v>
      </c>
      <c r="I86" t="str">
        <f>""</f>
        <v/>
      </c>
      <c r="J86">
        <v>0</v>
      </c>
      <c r="K86">
        <v>0</v>
      </c>
      <c r="L86" t="str">
        <f>""</f>
        <v/>
      </c>
      <c r="M86">
        <v>0</v>
      </c>
      <c r="N86">
        <v>0</v>
      </c>
      <c r="O86" t="str">
        <f>""</f>
        <v/>
      </c>
      <c r="P86" t="str">
        <f>""</f>
        <v/>
      </c>
      <c r="Q86" t="str">
        <f>"80004"</f>
        <v>80004</v>
      </c>
      <c r="R86">
        <v>45.864660000000001</v>
      </c>
      <c r="S86">
        <v>0</v>
      </c>
      <c r="T86">
        <v>0</v>
      </c>
      <c r="U86">
        <v>0</v>
      </c>
      <c r="V86">
        <v>0</v>
      </c>
      <c r="W86" t="str">
        <f>""</f>
        <v/>
      </c>
      <c r="X86">
        <v>0</v>
      </c>
      <c r="Y86">
        <v>14.4</v>
      </c>
      <c r="Z86">
        <v>0</v>
      </c>
      <c r="AA86">
        <v>0</v>
      </c>
    </row>
    <row r="87" spans="1:27" x14ac:dyDescent="0.3">
      <c r="A87" t="s">
        <v>45</v>
      </c>
      <c r="F87" s="1" t="str">
        <f>"""Navdirect"",""CRONUS USA, Inc."",""27"",""1"",""80005"""</f>
        <v>"Navdirect","CRONUS USA, Inc.","27","1","80005"</v>
      </c>
      <c r="G87" t="str">
        <f>"Computer III 866 MHz"</f>
        <v>Computer III 866 MHz</v>
      </c>
      <c r="H87">
        <v>0</v>
      </c>
      <c r="I87" t="str">
        <f>""</f>
        <v/>
      </c>
      <c r="J87">
        <v>0</v>
      </c>
      <c r="K87">
        <v>0</v>
      </c>
      <c r="L87" t="str">
        <f>""</f>
        <v/>
      </c>
      <c r="M87">
        <v>0</v>
      </c>
      <c r="N87">
        <v>0</v>
      </c>
      <c r="O87" t="str">
        <f>""</f>
        <v/>
      </c>
      <c r="P87" t="str">
        <f>""</f>
        <v/>
      </c>
      <c r="Q87" t="str">
        <f>"80005"</f>
        <v>80005</v>
      </c>
      <c r="R87">
        <v>49.374999999999993</v>
      </c>
      <c r="S87">
        <v>0</v>
      </c>
      <c r="T87">
        <v>0</v>
      </c>
      <c r="U87">
        <v>0</v>
      </c>
      <c r="V87">
        <v>0</v>
      </c>
      <c r="W87" t="str">
        <f>""</f>
        <v/>
      </c>
      <c r="X87">
        <v>0</v>
      </c>
      <c r="Y87">
        <v>16.2</v>
      </c>
      <c r="Z87">
        <v>0</v>
      </c>
      <c r="AA87">
        <v>0</v>
      </c>
    </row>
    <row r="88" spans="1:27" x14ac:dyDescent="0.3">
      <c r="A88" t="s">
        <v>45</v>
      </c>
      <c r="F88" s="1" t="str">
        <f>"""Navdirect"",""CRONUS USA, Inc."",""27"",""1"",""80006"""</f>
        <v>"Navdirect","CRONUS USA, Inc.","27","1","80006"</v>
      </c>
      <c r="G88" t="str">
        <f>"Team Work Computer 533 MHz"</f>
        <v>Team Work Computer 533 MHz</v>
      </c>
      <c r="H88">
        <v>0</v>
      </c>
      <c r="I88" t="str">
        <f>""</f>
        <v/>
      </c>
      <c r="J88">
        <v>0</v>
      </c>
      <c r="K88">
        <v>0</v>
      </c>
      <c r="L88" t="str">
        <f>""</f>
        <v/>
      </c>
      <c r="M88">
        <v>0</v>
      </c>
      <c r="N88">
        <v>0</v>
      </c>
      <c r="O88" t="str">
        <f>""</f>
        <v/>
      </c>
      <c r="P88" t="str">
        <f>""</f>
        <v/>
      </c>
      <c r="Q88" t="str">
        <f>"80006"</f>
        <v>80006</v>
      </c>
      <c r="R88">
        <v>46.627130000000001</v>
      </c>
      <c r="S88">
        <v>0</v>
      </c>
      <c r="T88">
        <v>0</v>
      </c>
      <c r="U88">
        <v>0</v>
      </c>
      <c r="V88">
        <v>0</v>
      </c>
      <c r="W88" t="str">
        <f>""</f>
        <v/>
      </c>
      <c r="X88">
        <v>0</v>
      </c>
      <c r="Y88">
        <v>144</v>
      </c>
      <c r="Z88">
        <v>0</v>
      </c>
      <c r="AA88">
        <v>0</v>
      </c>
    </row>
    <row r="89" spans="1:27" x14ac:dyDescent="0.3">
      <c r="A89" t="s">
        <v>45</v>
      </c>
      <c r="F89" s="1" t="str">
        <f>"""Navdirect"",""CRONUS USA, Inc."",""27"",""1"",""80007"""</f>
        <v>"Navdirect","CRONUS USA, Inc.","27","1","80007"</v>
      </c>
      <c r="G89" t="str">
        <f>"Enterprise Computer 667 MHz"</f>
        <v>Enterprise Computer 667 MHz</v>
      </c>
      <c r="H89">
        <v>0</v>
      </c>
      <c r="I89" t="str">
        <f>""</f>
        <v/>
      </c>
      <c r="J89">
        <v>0</v>
      </c>
      <c r="K89">
        <v>0</v>
      </c>
      <c r="L89" t="str">
        <f>""</f>
        <v/>
      </c>
      <c r="M89">
        <v>0</v>
      </c>
      <c r="N89">
        <v>0</v>
      </c>
      <c r="O89" t="str">
        <f>""</f>
        <v/>
      </c>
      <c r="P89" t="str">
        <f>""</f>
        <v/>
      </c>
      <c r="Q89" t="str">
        <f>"80007"</f>
        <v>80007</v>
      </c>
      <c r="R89">
        <v>48.086000000000006</v>
      </c>
      <c r="S89">
        <v>0</v>
      </c>
      <c r="T89">
        <v>0</v>
      </c>
      <c r="U89">
        <v>0</v>
      </c>
      <c r="V89">
        <v>0</v>
      </c>
      <c r="W89" t="str">
        <f>""</f>
        <v/>
      </c>
      <c r="X89">
        <v>0</v>
      </c>
      <c r="Y89">
        <v>198.00000000000003</v>
      </c>
      <c r="Z89">
        <v>0</v>
      </c>
      <c r="AA89">
        <v>0</v>
      </c>
    </row>
    <row r="90" spans="1:27" x14ac:dyDescent="0.3">
      <c r="A90" t="s">
        <v>45</v>
      </c>
      <c r="F90" s="1" t="str">
        <f>"""Navdirect"",""CRONUS USA, Inc."",""27"",""1"",""80010"""</f>
        <v>"Navdirect","CRONUS USA, Inc.","27","1","80010"</v>
      </c>
      <c r="G90" t="str">
        <f>"64 MB PC800 ECC"</f>
        <v>64 MB PC800 ECC</v>
      </c>
      <c r="H90">
        <v>0</v>
      </c>
      <c r="I90" t="str">
        <f>""</f>
        <v/>
      </c>
      <c r="J90">
        <v>0</v>
      </c>
      <c r="K90">
        <v>0</v>
      </c>
      <c r="L90" t="str">
        <f>""</f>
        <v/>
      </c>
      <c r="M90">
        <v>0</v>
      </c>
      <c r="N90">
        <v>0</v>
      </c>
      <c r="O90" t="str">
        <f>""</f>
        <v/>
      </c>
      <c r="P90" t="str">
        <f>""</f>
        <v/>
      </c>
      <c r="Q90" t="str">
        <f>"80010"</f>
        <v>80010</v>
      </c>
      <c r="R90">
        <v>41.176470000000002</v>
      </c>
      <c r="S90">
        <v>0</v>
      </c>
      <c r="T90">
        <v>0</v>
      </c>
      <c r="U90">
        <v>0</v>
      </c>
      <c r="V90">
        <v>0</v>
      </c>
      <c r="W90" t="str">
        <f>""</f>
        <v/>
      </c>
      <c r="X90">
        <v>0</v>
      </c>
      <c r="Y90">
        <v>9</v>
      </c>
      <c r="Z90">
        <v>0</v>
      </c>
      <c r="AA90">
        <v>0</v>
      </c>
    </row>
    <row r="91" spans="1:27" x14ac:dyDescent="0.3">
      <c r="A91" t="s">
        <v>45</v>
      </c>
      <c r="F91" s="1" t="str">
        <f>"""Navdirect"",""CRONUS USA, Inc."",""27"",""1"",""80011"""</f>
        <v>"Navdirect","CRONUS USA, Inc.","27","1","80011"</v>
      </c>
      <c r="G91" t="str">
        <f>"128 MB PC800 ECC"</f>
        <v>128 MB PC800 ECC</v>
      </c>
      <c r="H91">
        <v>0</v>
      </c>
      <c r="I91" t="str">
        <f>""</f>
        <v/>
      </c>
      <c r="J91">
        <v>0</v>
      </c>
      <c r="K91">
        <v>0</v>
      </c>
      <c r="L91" t="str">
        <f>""</f>
        <v/>
      </c>
      <c r="M91">
        <v>0</v>
      </c>
      <c r="N91">
        <v>0</v>
      </c>
      <c r="O91" t="str">
        <f>""</f>
        <v/>
      </c>
      <c r="P91" t="str">
        <f>""</f>
        <v/>
      </c>
      <c r="Q91" t="str">
        <f>"80011"</f>
        <v>80011</v>
      </c>
      <c r="R91">
        <v>51.351350000000004</v>
      </c>
      <c r="S91">
        <v>0</v>
      </c>
      <c r="T91">
        <v>0</v>
      </c>
      <c r="U91">
        <v>0</v>
      </c>
      <c r="V91">
        <v>0</v>
      </c>
      <c r="W91" t="str">
        <f>""</f>
        <v/>
      </c>
      <c r="X91">
        <v>0</v>
      </c>
      <c r="Y91">
        <v>16.2</v>
      </c>
      <c r="Z91">
        <v>0</v>
      </c>
      <c r="AA91">
        <v>0</v>
      </c>
    </row>
    <row r="92" spans="1:27" x14ac:dyDescent="0.3">
      <c r="A92" t="s">
        <v>45</v>
      </c>
      <c r="F92" s="1" t="str">
        <f>"""Navdirect"",""CRONUS USA, Inc."",""27"",""1"",""80012"""</f>
        <v>"Navdirect","CRONUS USA, Inc.","27","1","80012"</v>
      </c>
      <c r="G92" t="str">
        <f>"256 MB PC800 ECC"</f>
        <v>256 MB PC800 ECC</v>
      </c>
      <c r="H92">
        <v>0</v>
      </c>
      <c r="I92" t="str">
        <f>""</f>
        <v/>
      </c>
      <c r="J92">
        <v>0</v>
      </c>
      <c r="K92">
        <v>0</v>
      </c>
      <c r="L92" t="str">
        <f>""</f>
        <v/>
      </c>
      <c r="M92">
        <v>0</v>
      </c>
      <c r="N92">
        <v>0</v>
      </c>
      <c r="O92" t="str">
        <f>""</f>
        <v/>
      </c>
      <c r="P92" t="str">
        <f>""</f>
        <v/>
      </c>
      <c r="Q92" t="str">
        <f>"80012"</f>
        <v>80012</v>
      </c>
      <c r="R92">
        <v>51.020409999999998</v>
      </c>
      <c r="S92">
        <v>0</v>
      </c>
      <c r="T92">
        <v>0</v>
      </c>
      <c r="U92">
        <v>0</v>
      </c>
      <c r="V92">
        <v>0</v>
      </c>
      <c r="W92" t="str">
        <f>""</f>
        <v/>
      </c>
      <c r="X92">
        <v>0</v>
      </c>
      <c r="Y92">
        <v>21.6</v>
      </c>
      <c r="Z92">
        <v>0</v>
      </c>
      <c r="AA92">
        <v>0</v>
      </c>
    </row>
    <row r="93" spans="1:27" x14ac:dyDescent="0.3">
      <c r="A93" t="s">
        <v>45</v>
      </c>
      <c r="F93" s="1" t="str">
        <f>"""Navdirect"",""CRONUS USA, Inc."",""27"",""1"",""80013"""</f>
        <v>"Navdirect","CRONUS USA, Inc.","27","1","80013"</v>
      </c>
      <c r="G93" t="str">
        <f>"384 MB PC800 ECC"</f>
        <v>384 MB PC800 ECC</v>
      </c>
      <c r="H93">
        <v>0</v>
      </c>
      <c r="I93" t="str">
        <f>""</f>
        <v/>
      </c>
      <c r="J93">
        <v>0</v>
      </c>
      <c r="K93">
        <v>0</v>
      </c>
      <c r="L93" t="str">
        <f>""</f>
        <v/>
      </c>
      <c r="M93">
        <v>0</v>
      </c>
      <c r="N93">
        <v>0</v>
      </c>
      <c r="O93" t="str">
        <f>""</f>
        <v/>
      </c>
      <c r="P93" t="str">
        <f>""</f>
        <v/>
      </c>
      <c r="Q93" t="str">
        <f>"80013"</f>
        <v>80013</v>
      </c>
      <c r="R93">
        <v>23.076920000000001</v>
      </c>
      <c r="S93">
        <v>0</v>
      </c>
      <c r="T93">
        <v>0</v>
      </c>
      <c r="U93">
        <v>0</v>
      </c>
      <c r="V93">
        <v>0</v>
      </c>
      <c r="W93" t="str">
        <f>""</f>
        <v/>
      </c>
      <c r="X93">
        <v>0</v>
      </c>
      <c r="Y93">
        <v>27</v>
      </c>
      <c r="Z93">
        <v>0</v>
      </c>
      <c r="AA93">
        <v>0</v>
      </c>
    </row>
    <row r="94" spans="1:27" x14ac:dyDescent="0.3">
      <c r="A94" t="s">
        <v>45</v>
      </c>
      <c r="F94" s="1" t="str">
        <f>"""Navdirect"",""CRONUS USA, Inc."",""27"",""1"",""80014"""</f>
        <v>"Navdirect","CRONUS USA, Inc.","27","1","80014"</v>
      </c>
      <c r="G94" t="str">
        <f>"512 MB PC800 ECC"</f>
        <v>512 MB PC800 ECC</v>
      </c>
      <c r="H94">
        <v>0</v>
      </c>
      <c r="I94" t="str">
        <f>""</f>
        <v/>
      </c>
      <c r="J94">
        <v>0</v>
      </c>
      <c r="K94">
        <v>0</v>
      </c>
      <c r="L94" t="str">
        <f>""</f>
        <v/>
      </c>
      <c r="M94">
        <v>0</v>
      </c>
      <c r="N94">
        <v>0</v>
      </c>
      <c r="O94" t="str">
        <f>""</f>
        <v/>
      </c>
      <c r="P94" t="str">
        <f>""</f>
        <v/>
      </c>
      <c r="Q94" t="str">
        <f>"80014"</f>
        <v>80014</v>
      </c>
      <c r="R94">
        <v>49.20635</v>
      </c>
      <c r="S94">
        <v>0</v>
      </c>
      <c r="T94">
        <v>0</v>
      </c>
      <c r="U94">
        <v>0</v>
      </c>
      <c r="V94">
        <v>0</v>
      </c>
      <c r="W94" t="str">
        <f>""</f>
        <v/>
      </c>
      <c r="X94">
        <v>0</v>
      </c>
      <c r="Y94">
        <v>28.8</v>
      </c>
      <c r="Z94">
        <v>0</v>
      </c>
      <c r="AA94">
        <v>0</v>
      </c>
    </row>
    <row r="95" spans="1:27" x14ac:dyDescent="0.3">
      <c r="A95" t="s">
        <v>45</v>
      </c>
      <c r="F95" s="1" t="str">
        <f>"""Navdirect"",""CRONUS USA, Inc."",""27"",""1"",""80021"""</f>
        <v>"Navdirect","CRONUS USA, Inc.","27","1","80021"</v>
      </c>
      <c r="G95" t="str">
        <f>"10.2 GB ATA-66 IDE"</f>
        <v>10.2 GB ATA-66 IDE</v>
      </c>
      <c r="H95">
        <v>0</v>
      </c>
      <c r="I95" t="str">
        <f>""</f>
        <v/>
      </c>
      <c r="J95">
        <v>0</v>
      </c>
      <c r="K95">
        <v>0</v>
      </c>
      <c r="L95" t="str">
        <f>""</f>
        <v/>
      </c>
      <c r="M95">
        <v>0</v>
      </c>
      <c r="N95">
        <v>0</v>
      </c>
      <c r="O95" t="str">
        <f>""</f>
        <v/>
      </c>
      <c r="P95" t="str">
        <f>""</f>
        <v/>
      </c>
      <c r="Q95" t="str">
        <f>"80021"</f>
        <v>80021</v>
      </c>
      <c r="R95">
        <v>47.826090000000001</v>
      </c>
      <c r="S95">
        <v>0</v>
      </c>
      <c r="T95">
        <v>0</v>
      </c>
      <c r="U95">
        <v>0</v>
      </c>
      <c r="V95">
        <v>0</v>
      </c>
      <c r="W95" t="str">
        <f>""</f>
        <v/>
      </c>
      <c r="X95">
        <v>0</v>
      </c>
      <c r="Y95">
        <v>10.8</v>
      </c>
      <c r="Z95">
        <v>0</v>
      </c>
      <c r="AA95">
        <v>0</v>
      </c>
    </row>
    <row r="96" spans="1:27" x14ac:dyDescent="0.3">
      <c r="A96" t="s">
        <v>45</v>
      </c>
      <c r="F96" s="1" t="str">
        <f>"""Navdirect"",""CRONUS USA, Inc."",""27"",""1"",""80022"""</f>
        <v>"Navdirect","CRONUS USA, Inc.","27","1","80022"</v>
      </c>
      <c r="G96" t="str">
        <f>"20.4 GB ATA-66 IDE"</f>
        <v>20.4 GB ATA-66 IDE</v>
      </c>
      <c r="H96">
        <v>0</v>
      </c>
      <c r="I96" t="str">
        <f>""</f>
        <v/>
      </c>
      <c r="J96">
        <v>0</v>
      </c>
      <c r="K96">
        <v>0</v>
      </c>
      <c r="L96" t="str">
        <f>""</f>
        <v/>
      </c>
      <c r="M96">
        <v>0</v>
      </c>
      <c r="N96">
        <v>0</v>
      </c>
      <c r="O96" t="str">
        <f>""</f>
        <v/>
      </c>
      <c r="P96" t="str">
        <f>""</f>
        <v/>
      </c>
      <c r="Q96" t="str">
        <f>"80022"</f>
        <v>80022</v>
      </c>
      <c r="R96">
        <v>50</v>
      </c>
      <c r="S96">
        <v>0</v>
      </c>
      <c r="T96">
        <v>0</v>
      </c>
      <c r="U96">
        <v>0</v>
      </c>
      <c r="V96">
        <v>0</v>
      </c>
      <c r="W96" t="str">
        <f>""</f>
        <v/>
      </c>
      <c r="X96">
        <v>0</v>
      </c>
      <c r="Y96">
        <v>16.2</v>
      </c>
      <c r="Z96">
        <v>0</v>
      </c>
      <c r="AA96">
        <v>0</v>
      </c>
    </row>
    <row r="97" spans="1:27" x14ac:dyDescent="0.3">
      <c r="A97" t="s">
        <v>45</v>
      </c>
      <c r="F97" s="1" t="str">
        <f>"""Navdirect"",""CRONUS USA, Inc."",""27"",""1"",""80023"""</f>
        <v>"Navdirect","CRONUS USA, Inc.","27","1","80023"</v>
      </c>
      <c r="G97" t="str">
        <f>"27GB ATA-66 IDE"</f>
        <v>27GB ATA-66 IDE</v>
      </c>
      <c r="H97">
        <v>0</v>
      </c>
      <c r="I97" t="str">
        <f>""</f>
        <v/>
      </c>
      <c r="J97">
        <v>0</v>
      </c>
      <c r="K97">
        <v>0</v>
      </c>
      <c r="L97" t="str">
        <f>""</f>
        <v/>
      </c>
      <c r="M97">
        <v>0</v>
      </c>
      <c r="N97">
        <v>0</v>
      </c>
      <c r="O97" t="str">
        <f>""</f>
        <v/>
      </c>
      <c r="P97" t="str">
        <f>""</f>
        <v/>
      </c>
      <c r="Q97" t="str">
        <f>"80023"</f>
        <v>80023</v>
      </c>
      <c r="R97">
        <v>48.837210000000006</v>
      </c>
      <c r="S97">
        <v>0</v>
      </c>
      <c r="T97">
        <v>0</v>
      </c>
      <c r="U97">
        <v>0</v>
      </c>
      <c r="V97">
        <v>0</v>
      </c>
      <c r="W97" t="str">
        <f>""</f>
        <v/>
      </c>
      <c r="X97">
        <v>0</v>
      </c>
      <c r="Y97">
        <v>19.8</v>
      </c>
      <c r="Z97">
        <v>0</v>
      </c>
      <c r="AA97">
        <v>0</v>
      </c>
    </row>
    <row r="98" spans="1:27" x14ac:dyDescent="0.3">
      <c r="A98" t="s">
        <v>45</v>
      </c>
      <c r="F98" s="1" t="str">
        <f>"""Navdirect"",""CRONUS USA, Inc."",""27"",""1"",""80024"""</f>
        <v>"Navdirect","CRONUS USA, Inc.","27","1","80024"</v>
      </c>
      <c r="G98" t="str">
        <f>"40GB ATA-66 IDE"</f>
        <v>40GB ATA-66 IDE</v>
      </c>
      <c r="H98">
        <v>0</v>
      </c>
      <c r="I98" t="str">
        <f>""</f>
        <v/>
      </c>
      <c r="J98">
        <v>0</v>
      </c>
      <c r="K98">
        <v>0</v>
      </c>
      <c r="L98" t="str">
        <f>""</f>
        <v/>
      </c>
      <c r="M98">
        <v>0</v>
      </c>
      <c r="N98">
        <v>0</v>
      </c>
      <c r="O98" t="str">
        <f>""</f>
        <v/>
      </c>
      <c r="P98" t="str">
        <f>""</f>
        <v/>
      </c>
      <c r="Q98" t="str">
        <f>"80024"</f>
        <v>80024</v>
      </c>
      <c r="R98">
        <v>49.180329999999998</v>
      </c>
      <c r="S98">
        <v>0</v>
      </c>
      <c r="T98">
        <v>0</v>
      </c>
      <c r="U98">
        <v>0</v>
      </c>
      <c r="V98">
        <v>0</v>
      </c>
      <c r="W98" t="str">
        <f>""</f>
        <v/>
      </c>
      <c r="X98">
        <v>0</v>
      </c>
      <c r="Y98">
        <v>27.9</v>
      </c>
      <c r="Z98">
        <v>0</v>
      </c>
      <c r="AA98">
        <v>0</v>
      </c>
    </row>
    <row r="99" spans="1:27" x14ac:dyDescent="0.3">
      <c r="A99" t="s">
        <v>45</v>
      </c>
      <c r="F99" s="1" t="str">
        <f>"""Navdirect"",""CRONUS USA, Inc."",""27"",""1"",""80025"""</f>
        <v>"Navdirect","CRONUS USA, Inc.","27","1","80025"</v>
      </c>
      <c r="G99" t="str">
        <f>"9GB Ultra 160/M SCSI"</f>
        <v>9GB Ultra 160/M SCSI</v>
      </c>
      <c r="H99">
        <v>0</v>
      </c>
      <c r="I99" t="str">
        <f>""</f>
        <v/>
      </c>
      <c r="J99">
        <v>0</v>
      </c>
      <c r="K99">
        <v>0</v>
      </c>
      <c r="L99" t="str">
        <f>""</f>
        <v/>
      </c>
      <c r="M99">
        <v>0</v>
      </c>
      <c r="N99">
        <v>0</v>
      </c>
      <c r="O99" t="str">
        <f>""</f>
        <v/>
      </c>
      <c r="P99" t="str">
        <f>""</f>
        <v/>
      </c>
      <c r="Q99" t="str">
        <f>"80025"</f>
        <v>80025</v>
      </c>
      <c r="R99">
        <v>48.387100000000004</v>
      </c>
      <c r="S99">
        <v>0</v>
      </c>
      <c r="T99">
        <v>0</v>
      </c>
      <c r="U99">
        <v>0</v>
      </c>
      <c r="V99">
        <v>0</v>
      </c>
      <c r="W99" t="str">
        <f>""</f>
        <v/>
      </c>
      <c r="X99">
        <v>0</v>
      </c>
      <c r="Y99">
        <v>14.4</v>
      </c>
      <c r="Z99">
        <v>0</v>
      </c>
      <c r="AA99">
        <v>0</v>
      </c>
    </row>
    <row r="100" spans="1:27" x14ac:dyDescent="0.3">
      <c r="A100" t="s">
        <v>45</v>
      </c>
      <c r="F100" s="1" t="str">
        <f>"""Navdirect"",""CRONUS USA, Inc."",""27"",""1"",""80026"""</f>
        <v>"Navdirect","CRONUS USA, Inc.","27","1","80026"</v>
      </c>
      <c r="G100" t="str">
        <f>"18GB Ultra 160/M SCSI"</f>
        <v>18GB Ultra 160/M SCSI</v>
      </c>
      <c r="H100">
        <v>0</v>
      </c>
      <c r="I100" t="str">
        <f>""</f>
        <v/>
      </c>
      <c r="J100">
        <v>0</v>
      </c>
      <c r="K100">
        <v>0</v>
      </c>
      <c r="L100" t="str">
        <f>""</f>
        <v/>
      </c>
      <c r="M100">
        <v>0</v>
      </c>
      <c r="N100">
        <v>0</v>
      </c>
      <c r="O100" t="str">
        <f>""</f>
        <v/>
      </c>
      <c r="P100" t="str">
        <f>""</f>
        <v/>
      </c>
      <c r="Q100" t="str">
        <f>"80026"</f>
        <v>80026</v>
      </c>
      <c r="R100">
        <v>48.571429999999999</v>
      </c>
      <c r="S100">
        <v>0</v>
      </c>
      <c r="T100">
        <v>0</v>
      </c>
      <c r="U100">
        <v>0</v>
      </c>
      <c r="V100">
        <v>0</v>
      </c>
      <c r="W100" t="str">
        <f>""</f>
        <v/>
      </c>
      <c r="X100">
        <v>0</v>
      </c>
      <c r="Y100">
        <v>16.2</v>
      </c>
      <c r="Z100">
        <v>0</v>
      </c>
      <c r="AA100">
        <v>0</v>
      </c>
    </row>
    <row r="101" spans="1:27" x14ac:dyDescent="0.3">
      <c r="A101" t="s">
        <v>45</v>
      </c>
      <c r="F101" s="1" t="str">
        <f>"""Navdirect"",""CRONUS USA, Inc."",""27"",""1"",""80027"""</f>
        <v>"Navdirect","CRONUS USA, Inc.","27","1","80027"</v>
      </c>
      <c r="G101" t="str">
        <f>"36GB Ultra 160/M SCSI"</f>
        <v>36GB Ultra 160/M SCSI</v>
      </c>
      <c r="H101">
        <v>0</v>
      </c>
      <c r="I101" t="str">
        <f>""</f>
        <v/>
      </c>
      <c r="J101">
        <v>0</v>
      </c>
      <c r="K101">
        <v>0</v>
      </c>
      <c r="L101" t="str">
        <f>""</f>
        <v/>
      </c>
      <c r="M101">
        <v>0</v>
      </c>
      <c r="N101">
        <v>0</v>
      </c>
      <c r="O101" t="str">
        <f>""</f>
        <v/>
      </c>
      <c r="P101" t="str">
        <f>""</f>
        <v/>
      </c>
      <c r="Q101" t="str">
        <f>"80027"</f>
        <v>80027</v>
      </c>
      <c r="R101">
        <v>49.814129999999999</v>
      </c>
      <c r="S101">
        <v>0</v>
      </c>
      <c r="T101">
        <v>0</v>
      </c>
      <c r="U101">
        <v>0</v>
      </c>
      <c r="V101">
        <v>0</v>
      </c>
      <c r="W101" t="str">
        <f>""</f>
        <v/>
      </c>
      <c r="X101">
        <v>0</v>
      </c>
      <c r="Y101">
        <v>27</v>
      </c>
      <c r="Z101">
        <v>0</v>
      </c>
      <c r="AA101">
        <v>0</v>
      </c>
    </row>
    <row r="102" spans="1:27" x14ac:dyDescent="0.3">
      <c r="A102" t="s">
        <v>45</v>
      </c>
      <c r="F102" s="1" t="str">
        <f>"""Navdirect"",""CRONUS USA, Inc."",""27"",""1"",""80100"""</f>
        <v>"Navdirect","CRONUS USA, Inc.","27","1","80100"</v>
      </c>
      <c r="G102" t="str">
        <f>"Printing Paper"</f>
        <v>Printing Paper</v>
      </c>
      <c r="H102">
        <v>0</v>
      </c>
      <c r="I102" t="str">
        <f>""</f>
        <v/>
      </c>
      <c r="J102">
        <v>0</v>
      </c>
      <c r="K102">
        <v>0</v>
      </c>
      <c r="L102" t="str">
        <f>""</f>
        <v/>
      </c>
      <c r="M102">
        <v>12180</v>
      </c>
      <c r="N102">
        <v>6592.0000000000009</v>
      </c>
      <c r="O102" t="str">
        <f>""</f>
        <v/>
      </c>
      <c r="P102" t="str">
        <f>""</f>
        <v/>
      </c>
      <c r="Q102" t="str">
        <f>"80100"</f>
        <v>80100</v>
      </c>
      <c r="R102">
        <v>46.590910000000001</v>
      </c>
      <c r="S102">
        <v>902.4</v>
      </c>
      <c r="T102">
        <v>1300</v>
      </c>
      <c r="U102">
        <v>0</v>
      </c>
      <c r="V102">
        <v>6592.0000000000009</v>
      </c>
      <c r="W102" t="str">
        <f>"9999 99 99"</f>
        <v>9999 99 99</v>
      </c>
      <c r="X102">
        <v>0</v>
      </c>
      <c r="Y102">
        <v>4.7</v>
      </c>
      <c r="Z102">
        <v>0</v>
      </c>
      <c r="AA102">
        <v>0</v>
      </c>
    </row>
    <row r="103" spans="1:27" x14ac:dyDescent="0.3">
      <c r="A103" t="s">
        <v>45</v>
      </c>
      <c r="F103" s="1" t="str">
        <f>"""Navdirect"",""CRONUS USA, Inc."",""27"",""1"",""80101"""</f>
        <v>"Navdirect","CRONUS USA, Inc.","27","1","80101"</v>
      </c>
      <c r="G103" t="str">
        <f>"15"" 1501 FP Flat Panel"</f>
        <v>15" 1501 FP Flat Panel</v>
      </c>
      <c r="H103">
        <v>0</v>
      </c>
      <c r="I103" t="str">
        <f>""</f>
        <v/>
      </c>
      <c r="J103">
        <v>0</v>
      </c>
      <c r="K103">
        <v>0</v>
      </c>
      <c r="L103" t="str">
        <f>""</f>
        <v/>
      </c>
      <c r="M103">
        <v>0</v>
      </c>
      <c r="N103">
        <v>0</v>
      </c>
      <c r="O103" t="str">
        <f>""</f>
        <v/>
      </c>
      <c r="P103" t="str">
        <f>""</f>
        <v/>
      </c>
      <c r="Q103" t="str">
        <f>"80101"</f>
        <v>80101</v>
      </c>
      <c r="R103">
        <v>53.488369999999996</v>
      </c>
      <c r="S103">
        <v>0</v>
      </c>
      <c r="T103">
        <v>0</v>
      </c>
      <c r="U103">
        <v>0</v>
      </c>
      <c r="V103">
        <v>0</v>
      </c>
      <c r="W103" t="str">
        <f>""</f>
        <v/>
      </c>
      <c r="X103">
        <v>0</v>
      </c>
      <c r="Y103">
        <v>18</v>
      </c>
      <c r="Z103">
        <v>0</v>
      </c>
      <c r="AA103">
        <v>0</v>
      </c>
    </row>
    <row r="104" spans="1:27" x14ac:dyDescent="0.3">
      <c r="A104" t="s">
        <v>45</v>
      </c>
      <c r="F104" s="1" t="str">
        <f>"""Navdirect"",""CRONUS USA, Inc."",""27"",""1"",""80102"""</f>
        <v>"Navdirect","CRONUS USA, Inc.","27","1","80102"</v>
      </c>
      <c r="G104" t="str">
        <f>"17"" M780 Monitor"</f>
        <v>17" M780 Monitor</v>
      </c>
      <c r="H104">
        <v>0</v>
      </c>
      <c r="I104" t="str">
        <f>""</f>
        <v/>
      </c>
      <c r="J104">
        <v>0</v>
      </c>
      <c r="K104">
        <v>0</v>
      </c>
      <c r="L104" t="str">
        <f>""</f>
        <v/>
      </c>
      <c r="M104">
        <v>0</v>
      </c>
      <c r="N104">
        <v>0</v>
      </c>
      <c r="O104" t="str">
        <f>""</f>
        <v/>
      </c>
      <c r="P104" t="str">
        <f>""</f>
        <v/>
      </c>
      <c r="Q104" t="str">
        <f>"80102"</f>
        <v>80102</v>
      </c>
      <c r="R104">
        <v>49.152540000000002</v>
      </c>
      <c r="S104">
        <v>0</v>
      </c>
      <c r="T104">
        <v>0</v>
      </c>
      <c r="U104">
        <v>0</v>
      </c>
      <c r="V104">
        <v>0</v>
      </c>
      <c r="W104" t="str">
        <f>""</f>
        <v/>
      </c>
      <c r="X104">
        <v>0</v>
      </c>
      <c r="Y104">
        <v>27</v>
      </c>
      <c r="Z104">
        <v>0</v>
      </c>
      <c r="AA104">
        <v>0</v>
      </c>
    </row>
    <row r="105" spans="1:27" x14ac:dyDescent="0.3">
      <c r="A105" t="s">
        <v>45</v>
      </c>
      <c r="F105" s="1" t="str">
        <f>"""Navdirect"",""CRONUS USA, Inc."",""27"",""1"",""80102-T"""</f>
        <v>"Navdirect","CRONUS USA, Inc.","27","1","80102-T"</v>
      </c>
      <c r="G105" t="str">
        <f>"17"" M780 Monitor"</f>
        <v>17" M780 Monitor</v>
      </c>
      <c r="H105">
        <v>0</v>
      </c>
      <c r="I105" t="str">
        <f>""</f>
        <v/>
      </c>
      <c r="J105">
        <v>0</v>
      </c>
      <c r="K105">
        <v>0</v>
      </c>
      <c r="L105" t="str">
        <f>""</f>
        <v/>
      </c>
      <c r="M105">
        <v>15.7</v>
      </c>
      <c r="N105">
        <v>0</v>
      </c>
      <c r="O105" t="str">
        <f>""</f>
        <v/>
      </c>
      <c r="P105" t="str">
        <f>""</f>
        <v/>
      </c>
      <c r="Q105" t="str">
        <f>"80102-T"</f>
        <v>80102-T</v>
      </c>
      <c r="R105">
        <v>43.930639999999997</v>
      </c>
      <c r="S105">
        <v>0</v>
      </c>
      <c r="T105">
        <v>0</v>
      </c>
      <c r="U105">
        <v>0</v>
      </c>
      <c r="V105">
        <v>0</v>
      </c>
      <c r="W105" t="str">
        <f>"9403 90 90"</f>
        <v>9403 90 90</v>
      </c>
      <c r="X105">
        <v>0</v>
      </c>
      <c r="Y105">
        <v>9.6999999999999993</v>
      </c>
      <c r="Z105">
        <v>0.1</v>
      </c>
      <c r="AA105">
        <v>0</v>
      </c>
    </row>
    <row r="106" spans="1:27" x14ac:dyDescent="0.3">
      <c r="A106" t="s">
        <v>45</v>
      </c>
      <c r="F106" s="1" t="str">
        <f>"""Navdirect"",""CRONUS USA, Inc."",""27"",""1"",""80103"""</f>
        <v>"Navdirect","CRONUS USA, Inc.","27","1","80103"</v>
      </c>
      <c r="G106" t="str">
        <f>"19"" M009 Monitor"</f>
        <v>19" M009 Monitor</v>
      </c>
      <c r="H106">
        <v>0</v>
      </c>
      <c r="I106" t="str">
        <f>""</f>
        <v/>
      </c>
      <c r="J106">
        <v>0</v>
      </c>
      <c r="K106">
        <v>0</v>
      </c>
      <c r="L106" t="str">
        <f>""</f>
        <v/>
      </c>
      <c r="M106">
        <v>0</v>
      </c>
      <c r="N106">
        <v>0</v>
      </c>
      <c r="O106" t="str">
        <f>""</f>
        <v/>
      </c>
      <c r="P106" t="str">
        <f>""</f>
        <v/>
      </c>
      <c r="Q106" t="str">
        <f>"80103"</f>
        <v>80103</v>
      </c>
      <c r="R106">
        <v>49.453980000000001</v>
      </c>
      <c r="S106">
        <v>0</v>
      </c>
      <c r="T106">
        <v>0</v>
      </c>
      <c r="U106">
        <v>0</v>
      </c>
      <c r="V106">
        <v>0</v>
      </c>
      <c r="W106" t="str">
        <f>""</f>
        <v/>
      </c>
      <c r="X106">
        <v>0</v>
      </c>
      <c r="Y106">
        <v>32.4</v>
      </c>
      <c r="Z106">
        <v>0</v>
      </c>
      <c r="AA106">
        <v>0</v>
      </c>
    </row>
    <row r="107" spans="1:27" x14ac:dyDescent="0.3">
      <c r="A107" t="s">
        <v>45</v>
      </c>
      <c r="F107" s="1" t="str">
        <f>"""Navdirect"",""CRONUS USA, Inc."",""27"",""1"",""80103-T"""</f>
        <v>"Navdirect","CRONUS USA, Inc.","27","1","80103-T"</v>
      </c>
      <c r="G107" t="str">
        <f>"19"" M009 Monitor"</f>
        <v>19" M009 Monitor</v>
      </c>
      <c r="H107">
        <v>0</v>
      </c>
      <c r="I107" t="str">
        <f>""</f>
        <v/>
      </c>
      <c r="J107">
        <v>0</v>
      </c>
      <c r="K107">
        <v>0</v>
      </c>
      <c r="L107" t="str">
        <f>""</f>
        <v/>
      </c>
      <c r="M107">
        <v>22.3</v>
      </c>
      <c r="N107">
        <v>0</v>
      </c>
      <c r="O107" t="str">
        <f>""</f>
        <v/>
      </c>
      <c r="P107" t="str">
        <f>""</f>
        <v/>
      </c>
      <c r="Q107" t="str">
        <f>"80103-T"</f>
        <v>80103-T</v>
      </c>
      <c r="R107">
        <v>47.59207</v>
      </c>
      <c r="S107">
        <v>0</v>
      </c>
      <c r="T107">
        <v>0</v>
      </c>
      <c r="U107">
        <v>0</v>
      </c>
      <c r="V107">
        <v>0</v>
      </c>
      <c r="W107" t="str">
        <f>"9403 90 90"</f>
        <v>9403 90 90</v>
      </c>
      <c r="X107">
        <v>0</v>
      </c>
      <c r="Y107">
        <v>18.5</v>
      </c>
      <c r="Z107">
        <v>0.2</v>
      </c>
      <c r="AA107">
        <v>0</v>
      </c>
    </row>
    <row r="108" spans="1:27" x14ac:dyDescent="0.3">
      <c r="A108" t="s">
        <v>45</v>
      </c>
      <c r="F108" s="1" t="str">
        <f>"""Navdirect"",""CRONUS USA, Inc."",""27"",""1"",""80104"""</f>
        <v>"Navdirect","CRONUS USA, Inc.","27","1","80104"</v>
      </c>
      <c r="G108" t="str">
        <f>"21"" UltraScan P1110"</f>
        <v>21" UltraScan P1110</v>
      </c>
      <c r="H108">
        <v>0</v>
      </c>
      <c r="I108" t="str">
        <f>""</f>
        <v/>
      </c>
      <c r="J108">
        <v>0</v>
      </c>
      <c r="K108">
        <v>0</v>
      </c>
      <c r="L108" t="str">
        <f>""</f>
        <v/>
      </c>
      <c r="M108">
        <v>0</v>
      </c>
      <c r="N108">
        <v>0</v>
      </c>
      <c r="O108" t="str">
        <f>""</f>
        <v/>
      </c>
      <c r="P108" t="str">
        <f>""</f>
        <v/>
      </c>
      <c r="Q108" t="str">
        <f>"80104"</f>
        <v>80104</v>
      </c>
      <c r="R108">
        <v>51.482480000000002</v>
      </c>
      <c r="S108">
        <v>0</v>
      </c>
      <c r="T108">
        <v>0</v>
      </c>
      <c r="U108">
        <v>0</v>
      </c>
      <c r="V108">
        <v>0</v>
      </c>
      <c r="W108" t="str">
        <f>""</f>
        <v/>
      </c>
      <c r="X108">
        <v>0</v>
      </c>
      <c r="Y108">
        <v>36</v>
      </c>
      <c r="Z108">
        <v>0</v>
      </c>
      <c r="AA108">
        <v>0</v>
      </c>
    </row>
    <row r="109" spans="1:27" x14ac:dyDescent="0.3">
      <c r="A109" t="s">
        <v>45</v>
      </c>
      <c r="F109" s="1" t="str">
        <f>"""Navdirect"",""CRONUS USA, Inc."",""27"",""1"",""80105"""</f>
        <v>"Navdirect","CRONUS USA, Inc.","27","1","80105"</v>
      </c>
      <c r="G109" t="str">
        <f>"24"" Ultrascan"</f>
        <v>24" Ultrascan</v>
      </c>
      <c r="H109">
        <v>0</v>
      </c>
      <c r="I109" t="str">
        <f>""</f>
        <v/>
      </c>
      <c r="J109">
        <v>0</v>
      </c>
      <c r="K109">
        <v>0</v>
      </c>
      <c r="L109" t="str">
        <f>""</f>
        <v/>
      </c>
      <c r="M109">
        <v>0</v>
      </c>
      <c r="N109">
        <v>0</v>
      </c>
      <c r="O109" t="str">
        <f>""</f>
        <v/>
      </c>
      <c r="P109" t="str">
        <f>""</f>
        <v/>
      </c>
      <c r="Q109" t="str">
        <f>"80105"</f>
        <v>80105</v>
      </c>
      <c r="R109">
        <v>50.947869999999995</v>
      </c>
      <c r="S109">
        <v>0</v>
      </c>
      <c r="T109">
        <v>0</v>
      </c>
      <c r="U109">
        <v>0</v>
      </c>
      <c r="V109">
        <v>0</v>
      </c>
      <c r="W109" t="str">
        <f>""</f>
        <v/>
      </c>
      <c r="X109">
        <v>0</v>
      </c>
      <c r="Y109">
        <v>41.4</v>
      </c>
      <c r="Z109">
        <v>0</v>
      </c>
      <c r="AA109">
        <v>0</v>
      </c>
    </row>
    <row r="110" spans="1:27" x14ac:dyDescent="0.3">
      <c r="A110" t="s">
        <v>45</v>
      </c>
      <c r="F110" s="1" t="str">
        <f>"""Navdirect"",""CRONUS USA, Inc."",""27"",""1"",""80201"""</f>
        <v>"Navdirect","CRONUS USA, Inc.","27","1","80201"</v>
      </c>
      <c r="G110" t="str">
        <f>"GRAPHIC PROGRAM"</f>
        <v>GRAPHIC PROGRAM</v>
      </c>
      <c r="H110">
        <v>0</v>
      </c>
      <c r="I110" t="str">
        <f>""</f>
        <v/>
      </c>
      <c r="J110">
        <v>0</v>
      </c>
      <c r="K110">
        <v>0</v>
      </c>
      <c r="L110" t="str">
        <f>""</f>
        <v/>
      </c>
      <c r="M110">
        <v>0</v>
      </c>
      <c r="N110">
        <v>0</v>
      </c>
      <c r="O110" t="str">
        <f>""</f>
        <v/>
      </c>
      <c r="P110" t="str">
        <f>""</f>
        <v/>
      </c>
      <c r="Q110" t="str">
        <f>"80201"</f>
        <v>80201</v>
      </c>
      <c r="R110">
        <v>44.615380000000002</v>
      </c>
      <c r="S110">
        <v>0</v>
      </c>
      <c r="T110">
        <v>0</v>
      </c>
      <c r="U110">
        <v>0</v>
      </c>
      <c r="V110">
        <v>0</v>
      </c>
      <c r="W110" t="str">
        <f>""</f>
        <v/>
      </c>
      <c r="X110">
        <v>0</v>
      </c>
      <c r="Y110">
        <v>3.6</v>
      </c>
      <c r="Z110">
        <v>0</v>
      </c>
      <c r="AA110">
        <v>0</v>
      </c>
    </row>
    <row r="111" spans="1:27" x14ac:dyDescent="0.3">
      <c r="A111" t="s">
        <v>45</v>
      </c>
      <c r="F111" s="1" t="str">
        <f>"""Navdirect"",""CRONUS USA, Inc."",""27"",""1"",""80202"""</f>
        <v>"Navdirect","CRONUS USA, Inc.","27","1","80202"</v>
      </c>
      <c r="G111" t="str">
        <f>"Chip 32 MB"</f>
        <v>Chip 32 MB</v>
      </c>
      <c r="H111">
        <v>0</v>
      </c>
      <c r="I111" t="str">
        <f>""</f>
        <v/>
      </c>
      <c r="J111">
        <v>0</v>
      </c>
      <c r="K111">
        <v>0</v>
      </c>
      <c r="L111" t="str">
        <f>""</f>
        <v/>
      </c>
      <c r="M111">
        <v>0</v>
      </c>
      <c r="N111">
        <v>0</v>
      </c>
      <c r="O111" t="str">
        <f>""</f>
        <v/>
      </c>
      <c r="P111" t="str">
        <f>""</f>
        <v/>
      </c>
      <c r="Q111" t="str">
        <f>"80202"</f>
        <v>80202</v>
      </c>
      <c r="R111">
        <v>46.913579999999996</v>
      </c>
      <c r="S111">
        <v>0</v>
      </c>
      <c r="T111">
        <v>0</v>
      </c>
      <c r="U111">
        <v>0</v>
      </c>
      <c r="V111">
        <v>0</v>
      </c>
      <c r="W111" t="str">
        <f>""</f>
        <v/>
      </c>
      <c r="X111">
        <v>0</v>
      </c>
      <c r="Y111">
        <v>4.3</v>
      </c>
      <c r="Z111">
        <v>0</v>
      </c>
      <c r="AA111">
        <v>0</v>
      </c>
    </row>
    <row r="112" spans="1:27" x14ac:dyDescent="0.3">
      <c r="A112" t="s">
        <v>45</v>
      </c>
      <c r="F112" s="1" t="str">
        <f>"""Navdirect"",""CRONUS USA, Inc."",""27"",""1"",""80203"""</f>
        <v>"Navdirect","CRONUS USA, Inc.","27","1","80203"</v>
      </c>
      <c r="G112" t="str">
        <f>"Graphic Card 9400"</f>
        <v>Graphic Card 9400</v>
      </c>
      <c r="H112">
        <v>0</v>
      </c>
      <c r="I112" t="str">
        <f>""</f>
        <v/>
      </c>
      <c r="J112">
        <v>0</v>
      </c>
      <c r="K112">
        <v>0</v>
      </c>
      <c r="L112" t="str">
        <f>""</f>
        <v/>
      </c>
      <c r="M112">
        <v>0</v>
      </c>
      <c r="N112">
        <v>0</v>
      </c>
      <c r="O112" t="str">
        <f>""</f>
        <v/>
      </c>
      <c r="P112" t="str">
        <f>""</f>
        <v/>
      </c>
      <c r="Q112" t="str">
        <f>"80203"</f>
        <v>80203</v>
      </c>
      <c r="R112">
        <v>48.076920000000001</v>
      </c>
      <c r="S112">
        <v>0</v>
      </c>
      <c r="T112">
        <v>0</v>
      </c>
      <c r="U112">
        <v>0</v>
      </c>
      <c r="V112">
        <v>0</v>
      </c>
      <c r="W112" t="str">
        <f>""</f>
        <v/>
      </c>
      <c r="X112">
        <v>0</v>
      </c>
      <c r="Y112">
        <v>5.4</v>
      </c>
      <c r="Z112">
        <v>0</v>
      </c>
      <c r="AA112">
        <v>0</v>
      </c>
    </row>
    <row r="113" spans="1:27" x14ac:dyDescent="0.3">
      <c r="A113" t="s">
        <v>45</v>
      </c>
      <c r="F113" s="1" t="str">
        <f>"""Navdirect"",""CRONUS USA, Inc."",""27"",""1"",""80204"""</f>
        <v>"Navdirect","CRONUS USA, Inc.","27","1","80204"</v>
      </c>
      <c r="G113" t="str">
        <f>"Ultra 160/M SCSI Controller"</f>
        <v>Ultra 160/M SCSI Controller</v>
      </c>
      <c r="H113">
        <v>0</v>
      </c>
      <c r="I113" t="str">
        <f>""</f>
        <v/>
      </c>
      <c r="J113">
        <v>0</v>
      </c>
      <c r="K113">
        <v>0</v>
      </c>
      <c r="L113" t="str">
        <f>""</f>
        <v/>
      </c>
      <c r="M113">
        <v>0</v>
      </c>
      <c r="N113">
        <v>0</v>
      </c>
      <c r="O113" t="str">
        <f>""</f>
        <v/>
      </c>
      <c r="P113" t="str">
        <f>""</f>
        <v/>
      </c>
      <c r="Q113" t="str">
        <f>"80204"</f>
        <v>80204</v>
      </c>
      <c r="R113">
        <v>48.076920000000001</v>
      </c>
      <c r="S113">
        <v>0</v>
      </c>
      <c r="T113">
        <v>0</v>
      </c>
      <c r="U113">
        <v>0</v>
      </c>
      <c r="V113">
        <v>0</v>
      </c>
      <c r="W113" t="str">
        <f>""</f>
        <v/>
      </c>
      <c r="X113">
        <v>0</v>
      </c>
      <c r="Y113">
        <v>5.4</v>
      </c>
      <c r="Z113">
        <v>0</v>
      </c>
      <c r="AA113">
        <v>0</v>
      </c>
    </row>
    <row r="114" spans="1:27" x14ac:dyDescent="0.3">
      <c r="A114" t="s">
        <v>45</v>
      </c>
      <c r="F114" s="1" t="str">
        <f>"""Navdirect"",""CRONUS USA, Inc."",""27"",""1"",""80205"""</f>
        <v>"Navdirect","CRONUS USA, Inc.","27","1","80205"</v>
      </c>
      <c r="G114" t="str">
        <f>"10MBit Ethernet"</f>
        <v>10MBit Ethernet</v>
      </c>
      <c r="H114">
        <v>0</v>
      </c>
      <c r="I114" t="str">
        <f>""</f>
        <v/>
      </c>
      <c r="J114">
        <v>0</v>
      </c>
      <c r="K114">
        <v>0</v>
      </c>
      <c r="L114" t="str">
        <f>""</f>
        <v/>
      </c>
      <c r="M114">
        <v>0</v>
      </c>
      <c r="N114">
        <v>0</v>
      </c>
      <c r="O114" t="str">
        <f>""</f>
        <v/>
      </c>
      <c r="P114" t="str">
        <f>""</f>
        <v/>
      </c>
      <c r="Q114" t="str">
        <f>"80205"</f>
        <v>80205</v>
      </c>
      <c r="R114">
        <v>40.983609999999999</v>
      </c>
      <c r="S114">
        <v>0</v>
      </c>
      <c r="T114">
        <v>0</v>
      </c>
      <c r="U114">
        <v>0</v>
      </c>
      <c r="V114">
        <v>0</v>
      </c>
      <c r="W114" t="str">
        <f>""</f>
        <v/>
      </c>
      <c r="X114">
        <v>0</v>
      </c>
      <c r="Y114">
        <v>3.6</v>
      </c>
      <c r="Z114">
        <v>0</v>
      </c>
      <c r="AA114">
        <v>0</v>
      </c>
    </row>
    <row r="115" spans="1:27" x14ac:dyDescent="0.3">
      <c r="A115" t="s">
        <v>45</v>
      </c>
      <c r="F115" s="1" t="str">
        <f>"""Navdirect"",""CRONUS USA, Inc."",""27"",""1"",""80206"""</f>
        <v>"Navdirect","CRONUS USA, Inc.","27","1","80206"</v>
      </c>
      <c r="G115" t="str">
        <f>"Webcam"</f>
        <v>Webcam</v>
      </c>
      <c r="H115">
        <v>0</v>
      </c>
      <c r="I115" t="str">
        <f>""</f>
        <v/>
      </c>
      <c r="J115">
        <v>0</v>
      </c>
      <c r="K115">
        <v>0</v>
      </c>
      <c r="L115" t="str">
        <f>""</f>
        <v/>
      </c>
      <c r="M115">
        <v>0</v>
      </c>
      <c r="N115">
        <v>0</v>
      </c>
      <c r="O115" t="str">
        <f>""</f>
        <v/>
      </c>
      <c r="P115" t="str">
        <f>""</f>
        <v/>
      </c>
      <c r="Q115" t="str">
        <f>"80206"</f>
        <v>80206</v>
      </c>
      <c r="R115">
        <v>50</v>
      </c>
      <c r="S115">
        <v>0</v>
      </c>
      <c r="T115">
        <v>0</v>
      </c>
      <c r="U115">
        <v>0</v>
      </c>
      <c r="V115">
        <v>0</v>
      </c>
      <c r="W115" t="str">
        <f>""</f>
        <v/>
      </c>
      <c r="X115">
        <v>0</v>
      </c>
      <c r="Y115">
        <v>1.1000000000000001</v>
      </c>
      <c r="Z115">
        <v>0</v>
      </c>
      <c r="AA115">
        <v>0</v>
      </c>
    </row>
    <row r="116" spans="1:27" x14ac:dyDescent="0.3">
      <c r="A116" t="s">
        <v>45</v>
      </c>
      <c r="F116" s="1" t="str">
        <f>"""Navdirect"",""CRONUS USA, Inc."",""27"",""1"",""80207"""</f>
        <v>"Navdirect","CRONUS USA, Inc.","27","1","80207"</v>
      </c>
      <c r="G116" t="str">
        <f>"Basic Mouse"</f>
        <v>Basic Mouse</v>
      </c>
      <c r="H116">
        <v>0</v>
      </c>
      <c r="I116" t="str">
        <f>""</f>
        <v/>
      </c>
      <c r="J116">
        <v>0</v>
      </c>
      <c r="K116">
        <v>0</v>
      </c>
      <c r="L116" t="str">
        <f>""</f>
        <v/>
      </c>
      <c r="M116">
        <v>0</v>
      </c>
      <c r="N116">
        <v>0</v>
      </c>
      <c r="O116" t="str">
        <f>""</f>
        <v/>
      </c>
      <c r="P116" t="str">
        <f>""</f>
        <v/>
      </c>
      <c r="Q116" t="str">
        <f>"80207"</f>
        <v>80207</v>
      </c>
      <c r="R116">
        <v>60</v>
      </c>
      <c r="S116">
        <v>0</v>
      </c>
      <c r="T116">
        <v>0</v>
      </c>
      <c r="U116">
        <v>0</v>
      </c>
      <c r="V116">
        <v>0</v>
      </c>
      <c r="W116" t="str">
        <f>""</f>
        <v/>
      </c>
      <c r="X116">
        <v>0</v>
      </c>
      <c r="Y116">
        <v>1.8</v>
      </c>
      <c r="Z116">
        <v>0</v>
      </c>
      <c r="AA116">
        <v>0</v>
      </c>
    </row>
    <row r="117" spans="1:27" x14ac:dyDescent="0.3">
      <c r="A117" t="s">
        <v>45</v>
      </c>
      <c r="F117" s="1" t="str">
        <f>"""Navdirect"",""CRONUS USA, Inc."",""27"",""1"",""80208"""</f>
        <v>"Navdirect","CRONUS USA, Inc.","27","1","80208"</v>
      </c>
      <c r="G117" t="str">
        <f>"Advanced Mouse"</f>
        <v>Advanced Mouse</v>
      </c>
      <c r="H117">
        <v>0</v>
      </c>
      <c r="I117" t="str">
        <f>""</f>
        <v/>
      </c>
      <c r="J117">
        <v>0</v>
      </c>
      <c r="K117">
        <v>0</v>
      </c>
      <c r="L117" t="str">
        <f>""</f>
        <v/>
      </c>
      <c r="M117">
        <v>0</v>
      </c>
      <c r="N117">
        <v>0</v>
      </c>
      <c r="O117" t="str">
        <f>""</f>
        <v/>
      </c>
      <c r="P117" t="str">
        <f>""</f>
        <v/>
      </c>
      <c r="Q117" t="str">
        <f>"80208"</f>
        <v>80208</v>
      </c>
      <c r="R117">
        <v>50</v>
      </c>
      <c r="S117">
        <v>0</v>
      </c>
      <c r="T117">
        <v>0</v>
      </c>
      <c r="U117">
        <v>0</v>
      </c>
      <c r="V117">
        <v>0</v>
      </c>
      <c r="W117" t="str">
        <f>""</f>
        <v/>
      </c>
      <c r="X117">
        <v>0</v>
      </c>
      <c r="Y117">
        <v>1.6</v>
      </c>
      <c r="Z117">
        <v>0</v>
      </c>
      <c r="AA117">
        <v>0</v>
      </c>
    </row>
    <row r="118" spans="1:27" x14ac:dyDescent="0.3">
      <c r="A118" t="s">
        <v>45</v>
      </c>
      <c r="F118" s="1" t="str">
        <f>"""Navdirect"",""CRONUS USA, Inc."",""27"",""1"",""80208-T"""</f>
        <v>"Navdirect","CRONUS USA, Inc.","27","1","80208-T"</v>
      </c>
      <c r="G118" t="str">
        <f>"Microsoft Intellimouse"</f>
        <v>Microsoft Intellimouse</v>
      </c>
      <c r="H118">
        <v>0</v>
      </c>
      <c r="I118" t="str">
        <f>""</f>
        <v/>
      </c>
      <c r="J118">
        <v>0</v>
      </c>
      <c r="K118">
        <v>0</v>
      </c>
      <c r="L118" t="str">
        <f>""</f>
        <v/>
      </c>
      <c r="M118">
        <v>1.4999999999999999E-2</v>
      </c>
      <c r="N118">
        <v>0</v>
      </c>
      <c r="O118" t="str">
        <f>""</f>
        <v/>
      </c>
      <c r="P118" t="str">
        <f>""</f>
        <v/>
      </c>
      <c r="Q118" t="str">
        <f>"80208-T"</f>
        <v>80208-T</v>
      </c>
      <c r="R118">
        <v>31.11111</v>
      </c>
      <c r="S118">
        <v>0</v>
      </c>
      <c r="T118">
        <v>0</v>
      </c>
      <c r="U118">
        <v>0</v>
      </c>
      <c r="V118">
        <v>0</v>
      </c>
      <c r="W118" t="str">
        <f>"9403 90 90"</f>
        <v>9403 90 90</v>
      </c>
      <c r="X118">
        <v>0</v>
      </c>
      <c r="Y118">
        <v>3.1</v>
      </c>
      <c r="Z118">
        <v>1E-3</v>
      </c>
      <c r="AA118">
        <v>0</v>
      </c>
    </row>
    <row r="119" spans="1:27" x14ac:dyDescent="0.3">
      <c r="A119" t="s">
        <v>45</v>
      </c>
      <c r="F119" s="1" t="str">
        <f>"""Navdirect"",""CRONUS USA, Inc."",""27"",""1"",""80209"""</f>
        <v>"Navdirect","CRONUS USA, Inc.","27","1","80209"</v>
      </c>
      <c r="G119" t="str">
        <f>"20/48x IDE CD ROM"</f>
        <v>20/48x IDE CD ROM</v>
      </c>
      <c r="H119">
        <v>0</v>
      </c>
      <c r="I119" t="str">
        <f>""</f>
        <v/>
      </c>
      <c r="J119">
        <v>0</v>
      </c>
      <c r="K119">
        <v>0</v>
      </c>
      <c r="L119" t="str">
        <f>""</f>
        <v/>
      </c>
      <c r="M119">
        <v>0</v>
      </c>
      <c r="N119">
        <v>0</v>
      </c>
      <c r="O119" t="str">
        <f>""</f>
        <v/>
      </c>
      <c r="P119" t="str">
        <f>""</f>
        <v/>
      </c>
      <c r="Q119" t="str">
        <f>"80209"</f>
        <v>80209</v>
      </c>
      <c r="R119">
        <v>33.333329999999997</v>
      </c>
      <c r="S119">
        <v>0</v>
      </c>
      <c r="T119">
        <v>0</v>
      </c>
      <c r="U119">
        <v>0</v>
      </c>
      <c r="V119">
        <v>0</v>
      </c>
      <c r="W119" t="str">
        <f>""</f>
        <v/>
      </c>
      <c r="X119">
        <v>0</v>
      </c>
      <c r="Y119">
        <v>18</v>
      </c>
      <c r="Z119">
        <v>0</v>
      </c>
      <c r="AA119">
        <v>0</v>
      </c>
    </row>
    <row r="120" spans="1:27" x14ac:dyDescent="0.3">
      <c r="A120" t="s">
        <v>45</v>
      </c>
      <c r="F120" s="1" t="str">
        <f>"""Navdirect"",""CRONUS USA, Inc."",""27"",""1"",""80210"""</f>
        <v>"Navdirect","CRONUS USA, Inc.","27","1","80210"</v>
      </c>
      <c r="G120" t="str">
        <f>"8x/4x/32x IDE CD Read-Write"</f>
        <v>8x/4x/32x IDE CD Read-Write</v>
      </c>
      <c r="H120">
        <v>0</v>
      </c>
      <c r="I120" t="str">
        <f>""</f>
        <v/>
      </c>
      <c r="J120">
        <v>0</v>
      </c>
      <c r="K120">
        <v>0</v>
      </c>
      <c r="L120" t="str">
        <f>""</f>
        <v/>
      </c>
      <c r="M120">
        <v>0</v>
      </c>
      <c r="N120">
        <v>0</v>
      </c>
      <c r="O120" t="str">
        <f>""</f>
        <v/>
      </c>
      <c r="P120" t="str">
        <f>""</f>
        <v/>
      </c>
      <c r="Q120" t="str">
        <f>"80210"</f>
        <v>80210</v>
      </c>
      <c r="R120">
        <v>28.571430000000003</v>
      </c>
      <c r="S120">
        <v>0</v>
      </c>
      <c r="T120">
        <v>0</v>
      </c>
      <c r="U120">
        <v>0</v>
      </c>
      <c r="V120">
        <v>0</v>
      </c>
      <c r="W120" t="str">
        <f>""</f>
        <v/>
      </c>
      <c r="X120">
        <v>0</v>
      </c>
      <c r="Y120">
        <v>36</v>
      </c>
      <c r="Z120">
        <v>0</v>
      </c>
      <c r="AA120">
        <v>0</v>
      </c>
    </row>
    <row r="121" spans="1:27" x14ac:dyDescent="0.3">
      <c r="A121" t="s">
        <v>45</v>
      </c>
      <c r="F121" s="1" t="str">
        <f>"""Navdirect"",""CRONUS USA, Inc."",""27"",""1"",""80211"""</f>
        <v>"Navdirect","CRONUS USA, Inc.","27","1","80211"</v>
      </c>
      <c r="G121" t="str">
        <f>"Quietkey Keyboard"</f>
        <v>Quietkey Keyboard</v>
      </c>
      <c r="H121">
        <v>0</v>
      </c>
      <c r="I121" t="str">
        <f>""</f>
        <v/>
      </c>
      <c r="J121">
        <v>0</v>
      </c>
      <c r="K121">
        <v>0</v>
      </c>
      <c r="L121" t="str">
        <f>""</f>
        <v/>
      </c>
      <c r="M121">
        <v>0</v>
      </c>
      <c r="N121">
        <v>0</v>
      </c>
      <c r="O121" t="str">
        <f>""</f>
        <v/>
      </c>
      <c r="P121" t="str">
        <f>""</f>
        <v/>
      </c>
      <c r="Q121" t="str">
        <f>"80211"</f>
        <v>80211</v>
      </c>
      <c r="R121">
        <v>50</v>
      </c>
      <c r="S121">
        <v>0</v>
      </c>
      <c r="T121">
        <v>0</v>
      </c>
      <c r="U121">
        <v>0</v>
      </c>
      <c r="V121">
        <v>0</v>
      </c>
      <c r="W121" t="str">
        <f>""</f>
        <v/>
      </c>
      <c r="X121">
        <v>0</v>
      </c>
      <c r="Y121">
        <v>4.5</v>
      </c>
      <c r="Z121">
        <v>0</v>
      </c>
      <c r="AA121">
        <v>0</v>
      </c>
    </row>
    <row r="122" spans="1:27" x14ac:dyDescent="0.3">
      <c r="A122" t="s">
        <v>45</v>
      </c>
      <c r="F122" s="1" t="str">
        <f>"""Navdirect"",""CRONUS USA, Inc."",""27"",""1"",""80212"""</f>
        <v>"Navdirect","CRONUS USA, Inc.","27","1","80212"</v>
      </c>
      <c r="G122" t="str">
        <f>"Performance Keyboard"</f>
        <v>Performance Keyboard</v>
      </c>
      <c r="H122">
        <v>0</v>
      </c>
      <c r="I122" t="str">
        <f>""</f>
        <v/>
      </c>
      <c r="J122">
        <v>0</v>
      </c>
      <c r="K122">
        <v>0</v>
      </c>
      <c r="L122" t="str">
        <f>""</f>
        <v/>
      </c>
      <c r="M122">
        <v>0</v>
      </c>
      <c r="N122">
        <v>0</v>
      </c>
      <c r="O122" t="str">
        <f>""</f>
        <v/>
      </c>
      <c r="P122" t="str">
        <f>""</f>
        <v/>
      </c>
      <c r="Q122" t="str">
        <f>"80212"</f>
        <v>80212</v>
      </c>
      <c r="R122">
        <v>52.941179999999996</v>
      </c>
      <c r="S122">
        <v>0</v>
      </c>
      <c r="T122">
        <v>0</v>
      </c>
      <c r="U122">
        <v>0</v>
      </c>
      <c r="V122">
        <v>0</v>
      </c>
      <c r="W122" t="str">
        <f>""</f>
        <v/>
      </c>
      <c r="X122">
        <v>0</v>
      </c>
      <c r="Y122">
        <v>7.2</v>
      </c>
      <c r="Z122">
        <v>0</v>
      </c>
      <c r="AA122">
        <v>0</v>
      </c>
    </row>
    <row r="123" spans="1:27" x14ac:dyDescent="0.3">
      <c r="A123" t="s">
        <v>45</v>
      </c>
      <c r="F123" s="1" t="str">
        <f>"""Navdirect"",""CRONUS USA, Inc."",""27"",""1"",""80213"""</f>
        <v>"Navdirect","CRONUS USA, Inc.","27","1","80213"</v>
      </c>
      <c r="G123" t="str">
        <f>"Drive250"</f>
        <v>Drive250</v>
      </c>
      <c r="H123">
        <v>0</v>
      </c>
      <c r="I123" t="str">
        <f>""</f>
        <v/>
      </c>
      <c r="J123">
        <v>0</v>
      </c>
      <c r="K123">
        <v>0</v>
      </c>
      <c r="L123" t="str">
        <f>""</f>
        <v/>
      </c>
      <c r="M123">
        <v>0</v>
      </c>
      <c r="N123">
        <v>0</v>
      </c>
      <c r="O123" t="str">
        <f>""</f>
        <v/>
      </c>
      <c r="P123" t="str">
        <f>""</f>
        <v/>
      </c>
      <c r="Q123" t="str">
        <f>"80213"</f>
        <v>80213</v>
      </c>
      <c r="R123">
        <v>65.217389999999995</v>
      </c>
      <c r="S123">
        <v>0</v>
      </c>
      <c r="T123">
        <v>0</v>
      </c>
      <c r="U123">
        <v>0</v>
      </c>
      <c r="V123">
        <v>0</v>
      </c>
      <c r="W123" t="str">
        <f>""</f>
        <v/>
      </c>
      <c r="X123">
        <v>0</v>
      </c>
      <c r="Y123">
        <v>7.2</v>
      </c>
      <c r="Z123">
        <v>0</v>
      </c>
      <c r="AA123">
        <v>0</v>
      </c>
    </row>
    <row r="124" spans="1:27" x14ac:dyDescent="0.3">
      <c r="A124" t="s">
        <v>45</v>
      </c>
      <c r="F124" s="1" t="str">
        <f>"""Navdirect"",""CRONUS USA, Inc."",""27"",""1"",""80214"""</f>
        <v>"Navdirect","CRONUS USA, Inc.","27","1","80214"</v>
      </c>
      <c r="G124" t="str">
        <f>"250MB Disks/2pack"</f>
        <v>250MB Disks/2pack</v>
      </c>
      <c r="H124">
        <v>0</v>
      </c>
      <c r="I124" t="str">
        <f>""</f>
        <v/>
      </c>
      <c r="J124">
        <v>0</v>
      </c>
      <c r="K124">
        <v>0</v>
      </c>
      <c r="L124" t="str">
        <f>""</f>
        <v/>
      </c>
      <c r="M124">
        <v>0</v>
      </c>
      <c r="N124">
        <v>0</v>
      </c>
      <c r="O124" t="str">
        <f>""</f>
        <v/>
      </c>
      <c r="P124" t="str">
        <f>""</f>
        <v/>
      </c>
      <c r="Q124" t="str">
        <f>"80214"</f>
        <v>80214</v>
      </c>
      <c r="R124">
        <v>55</v>
      </c>
      <c r="S124">
        <v>0</v>
      </c>
      <c r="T124">
        <v>0</v>
      </c>
      <c r="U124">
        <v>0</v>
      </c>
      <c r="V124">
        <v>0</v>
      </c>
      <c r="W124" t="str">
        <f>""</f>
        <v/>
      </c>
      <c r="X124">
        <v>0</v>
      </c>
      <c r="Y124">
        <v>1.8</v>
      </c>
      <c r="Z124">
        <v>0</v>
      </c>
      <c r="AA124">
        <v>0</v>
      </c>
    </row>
    <row r="125" spans="1:27" x14ac:dyDescent="0.3">
      <c r="A125" t="s">
        <v>45</v>
      </c>
      <c r="F125" s="1" t="str">
        <f>"""Navdirect"",""CRONUS USA, Inc."",""27"",""1"",""80215"""</f>
        <v>"Navdirect","CRONUS USA, Inc.","27","1","80215"</v>
      </c>
      <c r="G125" t="str">
        <f>"250MB Disks/4pack"</f>
        <v>250MB Disks/4pack</v>
      </c>
      <c r="H125">
        <v>0</v>
      </c>
      <c r="I125" t="str">
        <f>""</f>
        <v/>
      </c>
      <c r="J125">
        <v>0</v>
      </c>
      <c r="K125">
        <v>0</v>
      </c>
      <c r="L125" t="str">
        <f>""</f>
        <v/>
      </c>
      <c r="M125">
        <v>0</v>
      </c>
      <c r="N125">
        <v>0</v>
      </c>
      <c r="O125" t="str">
        <f>""</f>
        <v/>
      </c>
      <c r="P125" t="str">
        <f>""</f>
        <v/>
      </c>
      <c r="Q125" t="str">
        <f>"80215"</f>
        <v>80215</v>
      </c>
      <c r="R125">
        <v>48.571429999999999</v>
      </c>
      <c r="S125">
        <v>0</v>
      </c>
      <c r="T125">
        <v>0</v>
      </c>
      <c r="U125">
        <v>0</v>
      </c>
      <c r="V125">
        <v>0</v>
      </c>
      <c r="W125" t="str">
        <f>""</f>
        <v/>
      </c>
      <c r="X125">
        <v>0</v>
      </c>
      <c r="Y125">
        <v>3.6</v>
      </c>
      <c r="Z125">
        <v>0</v>
      </c>
      <c r="AA125">
        <v>0</v>
      </c>
    </row>
    <row r="126" spans="1:27" x14ac:dyDescent="0.3">
      <c r="A126" t="s">
        <v>45</v>
      </c>
      <c r="F126" s="1" t="str">
        <f>"""Navdirect"",""CRONUS USA, Inc."",""27"",""1"",""80216"""</f>
        <v>"Navdirect","CRONUS USA, Inc.","27","1","80216"</v>
      </c>
      <c r="G126" t="str">
        <f>"Ethernet Cable"</f>
        <v>Ethernet Cable</v>
      </c>
      <c r="H126">
        <v>0</v>
      </c>
      <c r="I126" t="str">
        <f>""</f>
        <v/>
      </c>
      <c r="J126">
        <v>0</v>
      </c>
      <c r="K126">
        <v>0</v>
      </c>
      <c r="L126" t="str">
        <f>""</f>
        <v/>
      </c>
      <c r="M126">
        <v>0</v>
      </c>
      <c r="N126">
        <v>0</v>
      </c>
      <c r="O126" t="str">
        <f>""</f>
        <v/>
      </c>
      <c r="P126" t="str">
        <f>""</f>
        <v/>
      </c>
      <c r="Q126" t="str">
        <f>"80216"</f>
        <v>80216</v>
      </c>
      <c r="R126">
        <v>66.666669999999996</v>
      </c>
      <c r="S126">
        <v>0</v>
      </c>
      <c r="T126">
        <v>0</v>
      </c>
      <c r="U126">
        <v>0</v>
      </c>
      <c r="V126">
        <v>0</v>
      </c>
      <c r="W126" t="str">
        <f>""</f>
        <v/>
      </c>
      <c r="X126">
        <v>0</v>
      </c>
      <c r="Y126">
        <v>0.2</v>
      </c>
      <c r="Z126">
        <v>0</v>
      </c>
      <c r="AA126">
        <v>0</v>
      </c>
    </row>
    <row r="127" spans="1:27" x14ac:dyDescent="0.3">
      <c r="A127" t="s">
        <v>45</v>
      </c>
      <c r="F127" s="1" t="str">
        <f>"""Navdirect"",""CRONUS USA, Inc."",""27"",""1"",""80216-T"""</f>
        <v>"Navdirect","CRONUS USA, Inc.","27","1","80216-T"</v>
      </c>
      <c r="G127" t="str">
        <f>"Ethernet Cable"</f>
        <v>Ethernet Cable</v>
      </c>
      <c r="H127">
        <v>0</v>
      </c>
      <c r="I127" t="str">
        <f>"LOT"</f>
        <v>LOT</v>
      </c>
      <c r="J127">
        <v>0</v>
      </c>
      <c r="K127">
        <v>0</v>
      </c>
      <c r="L127" t="str">
        <f>""</f>
        <v/>
      </c>
      <c r="M127">
        <v>7.0000000000000001E-3</v>
      </c>
      <c r="N127">
        <v>0</v>
      </c>
      <c r="O127" t="str">
        <f>""</f>
        <v/>
      </c>
      <c r="P127" t="str">
        <f>""</f>
        <v/>
      </c>
      <c r="Q127" t="str">
        <f>"80216-T"</f>
        <v>80216-T</v>
      </c>
      <c r="R127">
        <v>46.153849999999998</v>
      </c>
      <c r="S127">
        <v>0</v>
      </c>
      <c r="T127">
        <v>0</v>
      </c>
      <c r="U127">
        <v>0</v>
      </c>
      <c r="V127">
        <v>0</v>
      </c>
      <c r="W127" t="str">
        <f>"9403 90 90"</f>
        <v>9403 90 90</v>
      </c>
      <c r="X127">
        <v>0</v>
      </c>
      <c r="Y127">
        <v>0.7</v>
      </c>
      <c r="Z127">
        <v>2.0000000000000001E-4</v>
      </c>
      <c r="AA127">
        <v>0</v>
      </c>
    </row>
    <row r="128" spans="1:27" x14ac:dyDescent="0.3">
      <c r="A128" t="s">
        <v>45</v>
      </c>
      <c r="F128" s="1" t="str">
        <f>"""Navdirect"",""CRONUS USA, Inc."",""27"",""1"",""80217"""</f>
        <v>"Navdirect","CRONUS USA, Inc.","27","1","80217"</v>
      </c>
      <c r="G128" t="str">
        <f>"Power Supply Cable"</f>
        <v>Power Supply Cable</v>
      </c>
      <c r="H128">
        <v>0</v>
      </c>
      <c r="I128" t="str">
        <f>""</f>
        <v/>
      </c>
      <c r="J128">
        <v>0</v>
      </c>
      <c r="K128">
        <v>0</v>
      </c>
      <c r="L128" t="str">
        <f>""</f>
        <v/>
      </c>
      <c r="M128">
        <v>0</v>
      </c>
      <c r="N128">
        <v>0</v>
      </c>
      <c r="O128" t="str">
        <f>""</f>
        <v/>
      </c>
      <c r="P128" t="str">
        <f>""</f>
        <v/>
      </c>
      <c r="Q128" t="str">
        <f>"80217"</f>
        <v>80217</v>
      </c>
      <c r="R128">
        <v>50</v>
      </c>
      <c r="S128">
        <v>0</v>
      </c>
      <c r="T128">
        <v>0</v>
      </c>
      <c r="U128">
        <v>0</v>
      </c>
      <c r="V128">
        <v>0</v>
      </c>
      <c r="W128" t="str">
        <f>""</f>
        <v/>
      </c>
      <c r="X128">
        <v>0</v>
      </c>
      <c r="Y128">
        <v>0.4</v>
      </c>
      <c r="Z128">
        <v>0</v>
      </c>
      <c r="AA128">
        <v>0</v>
      </c>
    </row>
    <row r="129" spans="1:27" x14ac:dyDescent="0.3">
      <c r="A129" t="s">
        <v>45</v>
      </c>
      <c r="F129" s="1" t="str">
        <f>"""Navdirect"",""CRONUS USA, Inc."",""27"",""1"",""80218"""</f>
        <v>"Navdirect","CRONUS USA, Inc.","27","1","80218"</v>
      </c>
      <c r="G129" t="str">
        <f>"Hard Disk Drive"</f>
        <v>Hard Disk Drive</v>
      </c>
      <c r="H129">
        <v>0</v>
      </c>
      <c r="I129" t="str">
        <f>""</f>
        <v/>
      </c>
      <c r="J129">
        <v>0</v>
      </c>
      <c r="K129">
        <v>0</v>
      </c>
      <c r="L129" t="str">
        <f>""</f>
        <v/>
      </c>
      <c r="M129">
        <v>0</v>
      </c>
      <c r="N129">
        <v>0</v>
      </c>
      <c r="O129" t="str">
        <f>""</f>
        <v/>
      </c>
      <c r="P129" t="str">
        <f>""</f>
        <v/>
      </c>
      <c r="Q129" t="str">
        <f>"80218"</f>
        <v>80218</v>
      </c>
      <c r="R129">
        <v>48.571429999999999</v>
      </c>
      <c r="S129">
        <v>0</v>
      </c>
      <c r="T129">
        <v>0</v>
      </c>
      <c r="U129">
        <v>0</v>
      </c>
      <c r="V129">
        <v>0</v>
      </c>
      <c r="W129" t="str">
        <f>""</f>
        <v/>
      </c>
      <c r="X129">
        <v>0</v>
      </c>
      <c r="Y129">
        <v>3.6</v>
      </c>
      <c r="Z129">
        <v>0</v>
      </c>
      <c r="AA129">
        <v>0</v>
      </c>
    </row>
    <row r="130" spans="1:27" x14ac:dyDescent="0.3">
      <c r="A130" t="s">
        <v>45</v>
      </c>
      <c r="F130" s="1" t="str">
        <f>"""Navdirect"",""CRONUS USA, Inc."",""27"",""1"",""80218-T"""</f>
        <v>"Navdirect","CRONUS USA, Inc.","27","1","80218-T"</v>
      </c>
      <c r="G130" t="str">
        <f>"Hard disk Drive"</f>
        <v>Hard disk Drive</v>
      </c>
      <c r="H130">
        <v>0</v>
      </c>
      <c r="I130" t="str">
        <f>"LOT"</f>
        <v>LOT</v>
      </c>
      <c r="J130">
        <v>0</v>
      </c>
      <c r="K130">
        <v>0</v>
      </c>
      <c r="L130" t="str">
        <f>""</f>
        <v/>
      </c>
      <c r="M130">
        <v>0.87</v>
      </c>
      <c r="N130">
        <v>0</v>
      </c>
      <c r="O130" t="str">
        <f>""</f>
        <v/>
      </c>
      <c r="P130" t="str">
        <f>""</f>
        <v/>
      </c>
      <c r="Q130" t="str">
        <f>"80218-T"</f>
        <v>80218-T</v>
      </c>
      <c r="R130">
        <v>18.413599999999999</v>
      </c>
      <c r="S130">
        <v>0</v>
      </c>
      <c r="T130">
        <v>0</v>
      </c>
      <c r="U130">
        <v>0</v>
      </c>
      <c r="V130">
        <v>0</v>
      </c>
      <c r="W130" t="str">
        <f>"9403 90 90"</f>
        <v>9403 90 90</v>
      </c>
      <c r="X130">
        <v>0</v>
      </c>
      <c r="Y130">
        <v>28.8</v>
      </c>
      <c r="Z130">
        <v>1.6999999999999999E-3</v>
      </c>
      <c r="AA130">
        <v>0</v>
      </c>
    </row>
    <row r="131" spans="1:27" x14ac:dyDescent="0.3">
      <c r="A131" t="s">
        <v>45</v>
      </c>
      <c r="F131" s="1" t="str">
        <f>"""Navdirect"",""CRONUS USA, Inc."",""27"",""1"",""80219"""</f>
        <v>"Navdirect","CRONUS USA, Inc.","27","1","80219"</v>
      </c>
      <c r="G131" t="str">
        <f>"Screw on Hard Drive Mounting"</f>
        <v>Screw on Hard Drive Mounting</v>
      </c>
      <c r="H131">
        <v>0</v>
      </c>
      <c r="I131" t="str">
        <f>""</f>
        <v/>
      </c>
      <c r="J131">
        <v>0</v>
      </c>
      <c r="K131">
        <v>0</v>
      </c>
      <c r="L131" t="str">
        <f>""</f>
        <v/>
      </c>
      <c r="M131">
        <v>0</v>
      </c>
      <c r="N131">
        <v>0</v>
      </c>
      <c r="O131" t="str">
        <f>""</f>
        <v/>
      </c>
      <c r="P131" t="str">
        <f>""</f>
        <v/>
      </c>
      <c r="Q131" t="str">
        <f>"80219"</f>
        <v>80219</v>
      </c>
      <c r="R131">
        <v>0</v>
      </c>
      <c r="S131">
        <v>0</v>
      </c>
      <c r="T131">
        <v>0</v>
      </c>
      <c r="U131">
        <v>0</v>
      </c>
      <c r="V131">
        <v>0</v>
      </c>
      <c r="W131" t="str">
        <f>""</f>
        <v/>
      </c>
      <c r="X131">
        <v>0</v>
      </c>
      <c r="Y131">
        <v>0</v>
      </c>
      <c r="Z131">
        <v>0</v>
      </c>
      <c r="AA131">
        <v>0</v>
      </c>
    </row>
    <row r="132" spans="1:27" x14ac:dyDescent="0.3">
      <c r="A132" t="s">
        <v>45</v>
      </c>
      <c r="F132" s="1" t="str">
        <f>"""Navdirect"",""CRONUS USA, Inc."",""27"",""1"",""80220"""</f>
        <v>"Navdirect","CRONUS USA, Inc.","27","1","80220"</v>
      </c>
      <c r="G132" t="str">
        <f>"Screw on Mount CD/Tape Drive"</f>
        <v>Screw on Mount CD/Tape Drive</v>
      </c>
      <c r="H132">
        <v>0</v>
      </c>
      <c r="I132" t="str">
        <f>""</f>
        <v/>
      </c>
      <c r="J132">
        <v>0</v>
      </c>
      <c r="K132">
        <v>0</v>
      </c>
      <c r="L132" t="str">
        <f>""</f>
        <v/>
      </c>
      <c r="M132">
        <v>0</v>
      </c>
      <c r="N132">
        <v>0</v>
      </c>
      <c r="O132" t="str">
        <f>""</f>
        <v/>
      </c>
      <c r="P132" t="str">
        <f>""</f>
        <v/>
      </c>
      <c r="Q132" t="str">
        <f>"80220"</f>
        <v>80220</v>
      </c>
      <c r="R132">
        <v>0</v>
      </c>
      <c r="S132">
        <v>0</v>
      </c>
      <c r="T132">
        <v>0</v>
      </c>
      <c r="U132">
        <v>0</v>
      </c>
      <c r="V132">
        <v>0</v>
      </c>
      <c r="W132" t="str">
        <f>""</f>
        <v/>
      </c>
      <c r="X132">
        <v>0</v>
      </c>
      <c r="Y132">
        <v>0</v>
      </c>
      <c r="Z132">
        <v>0</v>
      </c>
      <c r="AA132">
        <v>0</v>
      </c>
    </row>
    <row r="133" spans="1:27" x14ac:dyDescent="0.3">
      <c r="A133" t="s">
        <v>45</v>
      </c>
      <c r="F133" s="1" t="str">
        <f>"""Navdirect"",""CRONUS USA, Inc."",""27"",""1"",""8904-W"""</f>
        <v>"Navdirect","CRONUS USA, Inc.","27","1","8904-W"</v>
      </c>
      <c r="G133" t="str">
        <f>"Computer - Basic Package"</f>
        <v>Computer - Basic Package</v>
      </c>
      <c r="H133">
        <v>0</v>
      </c>
      <c r="I133" t="str">
        <f>""</f>
        <v/>
      </c>
      <c r="J133">
        <v>0</v>
      </c>
      <c r="K133">
        <v>0</v>
      </c>
      <c r="L133" t="str">
        <f>""</f>
        <v/>
      </c>
      <c r="M133">
        <v>0</v>
      </c>
      <c r="N133">
        <v>0</v>
      </c>
      <c r="O133" t="str">
        <f>""</f>
        <v/>
      </c>
      <c r="P133" t="str">
        <f>""</f>
        <v/>
      </c>
      <c r="Q133" t="str">
        <f>"8904-W"</f>
        <v>8904-W</v>
      </c>
      <c r="R133">
        <v>0</v>
      </c>
      <c r="S133">
        <v>0</v>
      </c>
      <c r="T133">
        <v>0</v>
      </c>
      <c r="U133">
        <v>0</v>
      </c>
      <c r="V133">
        <v>0</v>
      </c>
      <c r="W133" t="str">
        <f>""</f>
        <v/>
      </c>
      <c r="X133">
        <v>0</v>
      </c>
      <c r="Y133">
        <v>0</v>
      </c>
      <c r="Z133">
        <v>0</v>
      </c>
      <c r="AA133">
        <v>0</v>
      </c>
    </row>
    <row r="134" spans="1:27" x14ac:dyDescent="0.3">
      <c r="A134" t="s">
        <v>45</v>
      </c>
      <c r="F134" s="1" t="str">
        <f>"""Navdirect"",""CRONUS USA, Inc."",""27"",""1"",""8908-W"""</f>
        <v>"Navdirect","CRONUS USA, Inc.","27","1","8908-W"</v>
      </c>
      <c r="G134" t="str">
        <f>"Computer - Highline Package"</f>
        <v>Computer - Highline Package</v>
      </c>
      <c r="H134">
        <v>0</v>
      </c>
      <c r="I134" t="str">
        <f>""</f>
        <v/>
      </c>
      <c r="J134">
        <v>0</v>
      </c>
      <c r="K134">
        <v>0</v>
      </c>
      <c r="L134" t="str">
        <f>""</f>
        <v/>
      </c>
      <c r="M134">
        <v>0</v>
      </c>
      <c r="N134">
        <v>-6</v>
      </c>
      <c r="O134" t="str">
        <f>""</f>
        <v/>
      </c>
      <c r="P134" t="str">
        <f>""</f>
        <v/>
      </c>
      <c r="Q134" t="str">
        <f>"8908-W"</f>
        <v>8908-W</v>
      </c>
      <c r="R134">
        <v>0</v>
      </c>
      <c r="S134">
        <v>0</v>
      </c>
      <c r="T134">
        <v>0</v>
      </c>
      <c r="U134">
        <v>0</v>
      </c>
      <c r="V134">
        <v>-6</v>
      </c>
      <c r="W134" t="str">
        <f>""</f>
        <v/>
      </c>
      <c r="X134">
        <v>0</v>
      </c>
      <c r="Y134">
        <v>0</v>
      </c>
      <c r="Z134">
        <v>0</v>
      </c>
      <c r="AA134">
        <v>0</v>
      </c>
    </row>
    <row r="135" spans="1:27" x14ac:dyDescent="0.3">
      <c r="A135" t="s">
        <v>45</v>
      </c>
      <c r="F135" s="1" t="str">
        <f>"""Navdirect"",""CRONUS USA, Inc."",""27"",""1"",""8912-W"""</f>
        <v>"Navdirect","CRONUS USA, Inc.","27","1","8912-W"</v>
      </c>
      <c r="G135" t="str">
        <f>"Computer - Trendy Package"</f>
        <v>Computer - Trendy Package</v>
      </c>
      <c r="H135">
        <v>0</v>
      </c>
      <c r="I135" t="str">
        <f>""</f>
        <v/>
      </c>
      <c r="J135">
        <v>0</v>
      </c>
      <c r="K135">
        <v>0</v>
      </c>
      <c r="L135" t="str">
        <f>""</f>
        <v/>
      </c>
      <c r="M135">
        <v>0</v>
      </c>
      <c r="N135">
        <v>0</v>
      </c>
      <c r="O135" t="str">
        <f>""</f>
        <v/>
      </c>
      <c r="P135" t="str">
        <f>""</f>
        <v/>
      </c>
      <c r="Q135" t="str">
        <f>"8912-W"</f>
        <v>8912-W</v>
      </c>
      <c r="R135">
        <v>0</v>
      </c>
      <c r="S135">
        <v>0</v>
      </c>
      <c r="T135">
        <v>0</v>
      </c>
      <c r="U135">
        <v>0</v>
      </c>
      <c r="V135">
        <v>0</v>
      </c>
      <c r="W135" t="str">
        <f>""</f>
        <v/>
      </c>
      <c r="X135">
        <v>0</v>
      </c>
      <c r="Y135">
        <v>0</v>
      </c>
      <c r="Z135">
        <v>0</v>
      </c>
      <c r="AA135">
        <v>0</v>
      </c>
    </row>
    <row r="136" spans="1:27" x14ac:dyDescent="0.3">
      <c r="A136" t="s">
        <v>45</v>
      </c>
      <c r="F136" s="1" t="str">
        <f>"""Navdirect"",""CRONUS USA, Inc."",""27"",""1"",""8916-W"""</f>
        <v>"Navdirect","CRONUS USA, Inc.","27","1","8916-W"</v>
      </c>
      <c r="G136" t="str">
        <f>"Computer - TURBO Package"</f>
        <v>Computer - TURBO Package</v>
      </c>
      <c r="H136">
        <v>0</v>
      </c>
      <c r="I136" t="str">
        <f>""</f>
        <v/>
      </c>
      <c r="J136">
        <v>0</v>
      </c>
      <c r="K136">
        <v>0</v>
      </c>
      <c r="L136" t="str">
        <f>""</f>
        <v/>
      </c>
      <c r="M136">
        <v>0</v>
      </c>
      <c r="N136">
        <v>-3</v>
      </c>
      <c r="O136" t="str">
        <f>""</f>
        <v/>
      </c>
      <c r="P136" t="str">
        <f>""</f>
        <v/>
      </c>
      <c r="Q136" t="str">
        <f>"8916-W"</f>
        <v>8916-W</v>
      </c>
      <c r="R136">
        <v>0</v>
      </c>
      <c r="S136">
        <v>0</v>
      </c>
      <c r="T136">
        <v>0</v>
      </c>
      <c r="U136">
        <v>0</v>
      </c>
      <c r="V136">
        <v>-3</v>
      </c>
      <c r="W136" t="str">
        <f>""</f>
        <v/>
      </c>
      <c r="X136">
        <v>0</v>
      </c>
      <c r="Y136">
        <v>0</v>
      </c>
      <c r="Z136">
        <v>0</v>
      </c>
      <c r="AA136">
        <v>0</v>
      </c>
    </row>
    <row r="137" spans="1:27" x14ac:dyDescent="0.3">
      <c r="A137" t="s">
        <v>45</v>
      </c>
      <c r="F137" s="1" t="str">
        <f>"""Navdirect"",""CRONUS USA, Inc."",""27"",""1"",""8920-W"""</f>
        <v>"Navdirect","CRONUS USA, Inc.","27","1","8920-W"</v>
      </c>
      <c r="G137" t="str">
        <f>"Server - Teamwear Package"</f>
        <v>Server - Teamwear Package</v>
      </c>
      <c r="H137">
        <v>0</v>
      </c>
      <c r="I137" t="str">
        <f>""</f>
        <v/>
      </c>
      <c r="J137">
        <v>0</v>
      </c>
      <c r="K137">
        <v>0</v>
      </c>
      <c r="L137" t="str">
        <f>""</f>
        <v/>
      </c>
      <c r="M137">
        <v>0</v>
      </c>
      <c r="N137">
        <v>0</v>
      </c>
      <c r="O137" t="str">
        <f>""</f>
        <v/>
      </c>
      <c r="P137" t="str">
        <f>""</f>
        <v/>
      </c>
      <c r="Q137" t="str">
        <f>"8920-W"</f>
        <v>8920-W</v>
      </c>
      <c r="R137">
        <v>0</v>
      </c>
      <c r="S137">
        <v>0</v>
      </c>
      <c r="T137">
        <v>0</v>
      </c>
      <c r="U137">
        <v>0</v>
      </c>
      <c r="V137">
        <v>0</v>
      </c>
      <c r="W137" t="str">
        <f>""</f>
        <v/>
      </c>
      <c r="X137">
        <v>0</v>
      </c>
      <c r="Y137">
        <v>0</v>
      </c>
      <c r="Z137">
        <v>0</v>
      </c>
      <c r="AA137">
        <v>0</v>
      </c>
    </row>
    <row r="138" spans="1:27" x14ac:dyDescent="0.3">
      <c r="A138" t="s">
        <v>45</v>
      </c>
      <c r="F138" s="1" t="str">
        <f>"""Navdirect"",""CRONUS USA, Inc."",""27"",""1"",""8924-W"""</f>
        <v>"Navdirect","CRONUS USA, Inc.","27","1","8924-W"</v>
      </c>
      <c r="G138" t="str">
        <f>"Server - Enterprise Package"</f>
        <v>Server - Enterprise Package</v>
      </c>
      <c r="H138">
        <v>0</v>
      </c>
      <c r="I138" t="str">
        <f>""</f>
        <v/>
      </c>
      <c r="J138">
        <v>0</v>
      </c>
      <c r="K138">
        <v>0</v>
      </c>
      <c r="L138" t="str">
        <f>""</f>
        <v/>
      </c>
      <c r="M138">
        <v>0</v>
      </c>
      <c r="N138">
        <v>-3</v>
      </c>
      <c r="O138" t="str">
        <f>""</f>
        <v/>
      </c>
      <c r="P138" t="str">
        <f>""</f>
        <v/>
      </c>
      <c r="Q138" t="str">
        <f>"8924-W"</f>
        <v>8924-W</v>
      </c>
      <c r="R138">
        <v>0</v>
      </c>
      <c r="S138">
        <v>0</v>
      </c>
      <c r="T138">
        <v>0</v>
      </c>
      <c r="U138">
        <v>0</v>
      </c>
      <c r="V138">
        <v>-3</v>
      </c>
      <c r="W138" t="str">
        <f>""</f>
        <v/>
      </c>
      <c r="X138">
        <v>0</v>
      </c>
      <c r="Y138">
        <v>0</v>
      </c>
      <c r="Z138">
        <v>0</v>
      </c>
      <c r="AA138">
        <v>0</v>
      </c>
    </row>
    <row r="139" spans="1:27" x14ac:dyDescent="0.3">
      <c r="A139" t="s">
        <v>45</v>
      </c>
      <c r="F139" s="1" t="str">
        <f>"""Navdirect"",""CRONUS USA, Inc."",""27"",""1"",""C-100"""</f>
        <v>"Navdirect","CRONUS USA, Inc.","27","1","C-100"</v>
      </c>
      <c r="G139" t="str">
        <f>"Cabling for LS-100"</f>
        <v>Cabling for LS-100</v>
      </c>
      <c r="H139">
        <v>0</v>
      </c>
      <c r="I139" t="str">
        <f>""</f>
        <v/>
      </c>
      <c r="J139">
        <v>0</v>
      </c>
      <c r="K139">
        <v>0</v>
      </c>
      <c r="L139" t="str">
        <f>""</f>
        <v/>
      </c>
      <c r="M139">
        <v>0</v>
      </c>
      <c r="N139">
        <v>33</v>
      </c>
      <c r="O139" t="str">
        <f>""</f>
        <v/>
      </c>
      <c r="P139" t="str">
        <f>""</f>
        <v/>
      </c>
      <c r="Q139" t="str">
        <f>"C-100"</f>
        <v>C-100</v>
      </c>
      <c r="R139">
        <v>28.571430000000003</v>
      </c>
      <c r="S139">
        <v>0</v>
      </c>
      <c r="T139">
        <v>0</v>
      </c>
      <c r="U139">
        <v>0</v>
      </c>
      <c r="V139">
        <v>33</v>
      </c>
      <c r="W139" t="str">
        <f>""</f>
        <v/>
      </c>
      <c r="X139">
        <v>0</v>
      </c>
      <c r="Y139">
        <v>15</v>
      </c>
      <c r="Z139">
        <v>0</v>
      </c>
      <c r="AA139">
        <v>0</v>
      </c>
    </row>
    <row r="140" spans="1:27" x14ac:dyDescent="0.3">
      <c r="A140" t="s">
        <v>45</v>
      </c>
      <c r="F140" s="1" t="str">
        <f>"""Navdirect"",""CRONUS USA, Inc."",""27"",""1"",""FF-100"""</f>
        <v>"Navdirect","CRONUS USA, Inc.","27","1","FF-100"</v>
      </c>
      <c r="G140" t="str">
        <f>"Frequency filter for LS-100"</f>
        <v>Frequency filter for LS-100</v>
      </c>
      <c r="H140">
        <v>0</v>
      </c>
      <c r="I140" t="str">
        <f>""</f>
        <v/>
      </c>
      <c r="J140">
        <v>0</v>
      </c>
      <c r="K140">
        <v>0</v>
      </c>
      <c r="L140" t="str">
        <f>""</f>
        <v/>
      </c>
      <c r="M140">
        <v>0</v>
      </c>
      <c r="N140">
        <v>42</v>
      </c>
      <c r="O140" t="str">
        <f>""</f>
        <v/>
      </c>
      <c r="P140" t="str">
        <f>""</f>
        <v/>
      </c>
      <c r="Q140" t="str">
        <f>"FF-100"</f>
        <v>FF-100</v>
      </c>
      <c r="R140">
        <v>28.571430000000003</v>
      </c>
      <c r="S140">
        <v>0</v>
      </c>
      <c r="T140">
        <v>0</v>
      </c>
      <c r="U140">
        <v>0</v>
      </c>
      <c r="V140">
        <v>42</v>
      </c>
      <c r="W140" t="str">
        <f>""</f>
        <v/>
      </c>
      <c r="X140">
        <v>0</v>
      </c>
      <c r="Y140">
        <v>15</v>
      </c>
      <c r="Z140">
        <v>0</v>
      </c>
      <c r="AA140">
        <v>0</v>
      </c>
    </row>
    <row r="141" spans="1:27" x14ac:dyDescent="0.3">
      <c r="A141" t="s">
        <v>45</v>
      </c>
      <c r="F141" s="1" t="str">
        <f>"""Navdirect"",""CRONUS USA, Inc."",""27"",""1"",""HS-100"""</f>
        <v>"Navdirect","CRONUS USA, Inc.","27","1","HS-100"</v>
      </c>
      <c r="G141" t="str">
        <f>"Housing LS-100,Oakwood 120 lts"</f>
        <v>Housing LS-100,Oakwood 120 lts</v>
      </c>
      <c r="H141">
        <v>0</v>
      </c>
      <c r="I141" t="str">
        <f>""</f>
        <v/>
      </c>
      <c r="J141">
        <v>0</v>
      </c>
      <c r="K141">
        <v>0</v>
      </c>
      <c r="L141" t="str">
        <f>""</f>
        <v/>
      </c>
      <c r="M141">
        <v>0</v>
      </c>
      <c r="N141">
        <v>56</v>
      </c>
      <c r="O141" t="str">
        <f>""</f>
        <v/>
      </c>
      <c r="P141" t="str">
        <f>""</f>
        <v/>
      </c>
      <c r="Q141" t="str">
        <f>"HS-100"</f>
        <v>HS-100</v>
      </c>
      <c r="R141">
        <v>28.571430000000003</v>
      </c>
      <c r="S141">
        <v>0</v>
      </c>
      <c r="T141">
        <v>0</v>
      </c>
      <c r="U141">
        <v>0</v>
      </c>
      <c r="V141">
        <v>56</v>
      </c>
      <c r="W141" t="str">
        <f>""</f>
        <v/>
      </c>
      <c r="X141">
        <v>0</v>
      </c>
      <c r="Y141">
        <v>15</v>
      </c>
      <c r="Z141">
        <v>0</v>
      </c>
      <c r="AA141">
        <v>0</v>
      </c>
    </row>
    <row r="142" spans="1:27" x14ac:dyDescent="0.3">
      <c r="A142" t="s">
        <v>45</v>
      </c>
      <c r="F142" s="1" t="str">
        <f>"""Navdirect"",""CRONUS USA, Inc."",""27"",""1"",""LS-100"""</f>
        <v>"Navdirect","CRONUS USA, Inc.","27","1","LS-100"</v>
      </c>
      <c r="G142" t="str">
        <f>"Loudspeaker 100W OakwoodDeluxe"</f>
        <v>Loudspeaker 100W OakwoodDeluxe</v>
      </c>
      <c r="H142">
        <v>0</v>
      </c>
      <c r="I142" t="str">
        <f>""</f>
        <v/>
      </c>
      <c r="J142">
        <v>0</v>
      </c>
      <c r="K142">
        <v>0</v>
      </c>
      <c r="L142" t="str">
        <f>""</f>
        <v/>
      </c>
      <c r="M142">
        <v>0</v>
      </c>
      <c r="N142">
        <v>32</v>
      </c>
      <c r="O142" t="str">
        <f>""</f>
        <v/>
      </c>
      <c r="P142" t="str">
        <f>""</f>
        <v/>
      </c>
      <c r="Q142" t="str">
        <f>"LS-100"</f>
        <v>LS-100</v>
      </c>
      <c r="R142">
        <v>28.571430000000003</v>
      </c>
      <c r="S142">
        <v>0</v>
      </c>
      <c r="T142">
        <v>0</v>
      </c>
      <c r="U142">
        <v>0</v>
      </c>
      <c r="V142">
        <v>32</v>
      </c>
      <c r="W142" t="str">
        <f>""</f>
        <v/>
      </c>
      <c r="X142">
        <v>0</v>
      </c>
      <c r="Y142">
        <v>15</v>
      </c>
      <c r="Z142">
        <v>0</v>
      </c>
      <c r="AA142">
        <v>0</v>
      </c>
    </row>
    <row r="143" spans="1:27" x14ac:dyDescent="0.3">
      <c r="A143" t="s">
        <v>45</v>
      </c>
      <c r="F143" s="1" t="str">
        <f>"""Navdirect"",""CRONUS USA, Inc."",""27"",""1"",""LS-10PC"""</f>
        <v>"Navdirect","CRONUS USA, Inc.","27","1","LS-10PC"</v>
      </c>
      <c r="G143" t="str">
        <f>"Loudspeakers, White for PC"</f>
        <v>Loudspeakers, White for PC</v>
      </c>
      <c r="H143">
        <v>0</v>
      </c>
      <c r="I143" t="str">
        <f>""</f>
        <v/>
      </c>
      <c r="J143">
        <v>0</v>
      </c>
      <c r="K143">
        <v>0</v>
      </c>
      <c r="L143" t="str">
        <f>""</f>
        <v/>
      </c>
      <c r="M143">
        <v>0</v>
      </c>
      <c r="N143">
        <v>38</v>
      </c>
      <c r="O143" t="str">
        <f>""</f>
        <v/>
      </c>
      <c r="P143" t="str">
        <f>""</f>
        <v/>
      </c>
      <c r="Q143" t="str">
        <f>"LS-10PC"</f>
        <v>LS-10PC</v>
      </c>
      <c r="R143">
        <v>57.627120000000005</v>
      </c>
      <c r="S143">
        <v>0</v>
      </c>
      <c r="T143">
        <v>0</v>
      </c>
      <c r="U143">
        <v>38</v>
      </c>
      <c r="V143">
        <v>38</v>
      </c>
      <c r="W143" t="str">
        <f>""</f>
        <v/>
      </c>
      <c r="X143">
        <v>0</v>
      </c>
      <c r="Y143">
        <v>25</v>
      </c>
      <c r="Z143">
        <v>0</v>
      </c>
      <c r="AA143">
        <v>0</v>
      </c>
    </row>
    <row r="144" spans="1:27" x14ac:dyDescent="0.3">
      <c r="A144" t="s">
        <v>45</v>
      </c>
      <c r="F144" s="1" t="str">
        <f>"""Navdirect"",""CRONUS USA, Inc."",""27"",""1"",""LS-120"""</f>
        <v>"Navdirect","CRONUS USA, Inc.","27","1","LS-120"</v>
      </c>
      <c r="G144" t="str">
        <f>"Loudspeaker, Black, 120W"</f>
        <v>Loudspeaker, Black, 120W</v>
      </c>
      <c r="H144">
        <v>0</v>
      </c>
      <c r="I144" t="str">
        <f>""</f>
        <v/>
      </c>
      <c r="J144">
        <v>0</v>
      </c>
      <c r="K144">
        <v>0</v>
      </c>
      <c r="L144" t="str">
        <f>""</f>
        <v/>
      </c>
      <c r="M144">
        <v>0</v>
      </c>
      <c r="N144">
        <v>19</v>
      </c>
      <c r="O144" t="str">
        <f>""</f>
        <v/>
      </c>
      <c r="P144" t="str">
        <f>""</f>
        <v/>
      </c>
      <c r="Q144" t="str">
        <f>"LS-120"</f>
        <v>LS-120</v>
      </c>
      <c r="R144">
        <v>48.863639999999997</v>
      </c>
      <c r="S144">
        <v>0</v>
      </c>
      <c r="T144">
        <v>0</v>
      </c>
      <c r="U144">
        <v>12</v>
      </c>
      <c r="V144">
        <v>19</v>
      </c>
      <c r="W144" t="str">
        <f>""</f>
        <v/>
      </c>
      <c r="X144">
        <v>0</v>
      </c>
      <c r="Y144">
        <v>45</v>
      </c>
      <c r="Z144">
        <v>0</v>
      </c>
      <c r="AA144">
        <v>0</v>
      </c>
    </row>
    <row r="145" spans="1:27" x14ac:dyDescent="0.3">
      <c r="A145" t="s">
        <v>45</v>
      </c>
      <c r="F145" s="1" t="str">
        <f>"""Navdirect"",""CRONUS USA, Inc."",""27"",""1"",""LS-150"""</f>
        <v>"Navdirect","CRONUS USA, Inc.","27","1","LS-150"</v>
      </c>
      <c r="G145" t="str">
        <f>"Loudspeaker, Cherry, 150W"</f>
        <v>Loudspeaker, Cherry, 150W</v>
      </c>
      <c r="H145">
        <v>0</v>
      </c>
      <c r="I145" t="str">
        <f>""</f>
        <v/>
      </c>
      <c r="J145">
        <v>0</v>
      </c>
      <c r="K145">
        <v>0</v>
      </c>
      <c r="L145" t="str">
        <f>""</f>
        <v/>
      </c>
      <c r="M145">
        <v>0</v>
      </c>
      <c r="N145">
        <v>8</v>
      </c>
      <c r="O145" t="str">
        <f>""</f>
        <v/>
      </c>
      <c r="P145" t="str">
        <f>""</f>
        <v/>
      </c>
      <c r="Q145" t="str">
        <f>"LS-150"</f>
        <v>LS-150</v>
      </c>
      <c r="R145">
        <v>44.186050000000002</v>
      </c>
      <c r="S145">
        <v>0</v>
      </c>
      <c r="T145">
        <v>0</v>
      </c>
      <c r="U145">
        <v>0</v>
      </c>
      <c r="V145">
        <v>8</v>
      </c>
      <c r="W145" t="str">
        <f>""</f>
        <v/>
      </c>
      <c r="X145">
        <v>0</v>
      </c>
      <c r="Y145">
        <v>72</v>
      </c>
      <c r="Z145">
        <v>0</v>
      </c>
      <c r="AA145">
        <v>0</v>
      </c>
    </row>
    <row r="146" spans="1:27" x14ac:dyDescent="0.3">
      <c r="A146" t="s">
        <v>45</v>
      </c>
      <c r="F146" s="1" t="str">
        <f>"""Navdirect"",""CRONUS USA, Inc."",""27"",""1"",""LS-2"""</f>
        <v>"Navdirect","CRONUS USA, Inc.","27","1","LS-2"</v>
      </c>
      <c r="G146" t="str">
        <f>"Cables for Loudspeakers"</f>
        <v>Cables for Loudspeakers</v>
      </c>
      <c r="H146">
        <v>0</v>
      </c>
      <c r="I146" t="str">
        <f>""</f>
        <v/>
      </c>
      <c r="J146">
        <v>0</v>
      </c>
      <c r="K146">
        <v>0</v>
      </c>
      <c r="L146" t="str">
        <f>""</f>
        <v/>
      </c>
      <c r="M146">
        <v>0</v>
      </c>
      <c r="N146">
        <v>200</v>
      </c>
      <c r="O146" t="str">
        <f>""</f>
        <v/>
      </c>
      <c r="P146" t="str">
        <f>""</f>
        <v/>
      </c>
      <c r="Q146" t="str">
        <f>"LS-2"</f>
        <v>LS-2</v>
      </c>
      <c r="R146">
        <v>28.571430000000003</v>
      </c>
      <c r="S146">
        <v>0</v>
      </c>
      <c r="T146">
        <v>0</v>
      </c>
      <c r="U146">
        <v>0</v>
      </c>
      <c r="V146">
        <v>200</v>
      </c>
      <c r="W146" t="str">
        <f>""</f>
        <v/>
      </c>
      <c r="X146">
        <v>0</v>
      </c>
      <c r="Y146">
        <v>15</v>
      </c>
      <c r="Z146">
        <v>0</v>
      </c>
      <c r="AA146">
        <v>0</v>
      </c>
    </row>
    <row r="147" spans="1:27" x14ac:dyDescent="0.3">
      <c r="A147" t="s">
        <v>45</v>
      </c>
      <c r="F147" s="1" t="str">
        <f>"""Navdirect"",""CRONUS USA, Inc."",""27"",""1"",""LS-75"""</f>
        <v>"Navdirect","CRONUS USA, Inc.","27","1","LS-75"</v>
      </c>
      <c r="G147" t="str">
        <f>"Loudspeaker, Cherry, 75W"</f>
        <v>Loudspeaker, Cherry, 75W</v>
      </c>
      <c r="H147">
        <v>0</v>
      </c>
      <c r="I147" t="str">
        <f>""</f>
        <v/>
      </c>
      <c r="J147">
        <v>0</v>
      </c>
      <c r="K147">
        <v>0</v>
      </c>
      <c r="L147" t="str">
        <f>""</f>
        <v/>
      </c>
      <c r="M147">
        <v>0</v>
      </c>
      <c r="N147">
        <v>23</v>
      </c>
      <c r="O147" t="str">
        <f>""</f>
        <v/>
      </c>
      <c r="P147" t="str">
        <f>""</f>
        <v/>
      </c>
      <c r="Q147" t="str">
        <f>"LS-75"</f>
        <v>LS-75</v>
      </c>
      <c r="R147">
        <v>54.43038</v>
      </c>
      <c r="S147">
        <v>0</v>
      </c>
      <c r="T147">
        <v>0</v>
      </c>
      <c r="U147">
        <v>10</v>
      </c>
      <c r="V147">
        <v>23</v>
      </c>
      <c r="W147" t="str">
        <f>""</f>
        <v/>
      </c>
      <c r="X147">
        <v>0</v>
      </c>
      <c r="Y147">
        <v>36</v>
      </c>
      <c r="Z147">
        <v>0</v>
      </c>
      <c r="AA147">
        <v>0</v>
      </c>
    </row>
    <row r="148" spans="1:27" x14ac:dyDescent="0.3">
      <c r="A148" t="s">
        <v>45</v>
      </c>
      <c r="F148" s="1" t="str">
        <f>"""Navdirect"",""CRONUS USA, Inc."",""27"",""1"",""LS-81"""</f>
        <v>"Navdirect","CRONUS USA, Inc.","27","1","LS-81"</v>
      </c>
      <c r="G148" t="str">
        <f>"Loudspeaker, Walnut, 80W"</f>
        <v>Loudspeaker, Walnut, 80W</v>
      </c>
      <c r="H148">
        <v>0</v>
      </c>
      <c r="I148" t="str">
        <f>""</f>
        <v/>
      </c>
      <c r="J148">
        <v>0</v>
      </c>
      <c r="K148">
        <v>0</v>
      </c>
      <c r="L148" t="str">
        <f>""</f>
        <v/>
      </c>
      <c r="M148">
        <v>0</v>
      </c>
      <c r="N148">
        <v>0</v>
      </c>
      <c r="O148" t="str">
        <f>""</f>
        <v/>
      </c>
      <c r="P148" t="str">
        <f>""</f>
        <v/>
      </c>
      <c r="Q148" t="str">
        <f>"LS-81"</f>
        <v>LS-81</v>
      </c>
      <c r="R148">
        <v>54.43038</v>
      </c>
      <c r="S148">
        <v>0</v>
      </c>
      <c r="T148">
        <v>0</v>
      </c>
      <c r="U148">
        <v>0</v>
      </c>
      <c r="V148">
        <v>0</v>
      </c>
      <c r="W148" t="str">
        <f>""</f>
        <v/>
      </c>
      <c r="X148">
        <v>0</v>
      </c>
      <c r="Y148">
        <v>36</v>
      </c>
      <c r="Z148">
        <v>0</v>
      </c>
      <c r="AA148">
        <v>0</v>
      </c>
    </row>
    <row r="149" spans="1:27" x14ac:dyDescent="0.3">
      <c r="A149" t="s">
        <v>45</v>
      </c>
      <c r="F149" s="1" t="str">
        <f>"""Navdirect"",""CRONUS USA, Inc."",""27"",""1"",""LS-MAN-10"""</f>
        <v>"Navdirect","CRONUS USA, Inc.","27","1","LS-MAN-10"</v>
      </c>
      <c r="G149" t="str">
        <f>"Manual for Loudspeakers"</f>
        <v>Manual for Loudspeakers</v>
      </c>
      <c r="H149">
        <v>0</v>
      </c>
      <c r="I149" t="str">
        <f>""</f>
        <v/>
      </c>
      <c r="J149">
        <v>0</v>
      </c>
      <c r="K149">
        <v>0</v>
      </c>
      <c r="L149" t="str">
        <f>""</f>
        <v/>
      </c>
      <c r="M149">
        <v>0</v>
      </c>
      <c r="N149">
        <v>140</v>
      </c>
      <c r="O149" t="str">
        <f>""</f>
        <v/>
      </c>
      <c r="P149" t="str">
        <f>""</f>
        <v/>
      </c>
      <c r="Q149" t="str">
        <f>"LS-MAN-10"</f>
        <v>LS-MAN-10</v>
      </c>
      <c r="R149">
        <v>0</v>
      </c>
      <c r="S149">
        <v>0</v>
      </c>
      <c r="T149">
        <v>0</v>
      </c>
      <c r="U149">
        <v>4</v>
      </c>
      <c r="V149">
        <v>140</v>
      </c>
      <c r="W149" t="str">
        <f>""</f>
        <v/>
      </c>
      <c r="X149">
        <v>0</v>
      </c>
      <c r="Y149">
        <v>12</v>
      </c>
      <c r="Z149">
        <v>0</v>
      </c>
      <c r="AA149">
        <v>0</v>
      </c>
    </row>
    <row r="150" spans="1:27" x14ac:dyDescent="0.3">
      <c r="A150" t="s">
        <v>45</v>
      </c>
      <c r="F150" s="1" t="str">
        <f>"""Navdirect"",""CRONUS USA, Inc."",""27"",""1"",""LS-S15"""</f>
        <v>"Navdirect","CRONUS USA, Inc.","27","1","LS-S15"</v>
      </c>
      <c r="G150" t="str">
        <f>"Stand for Loudspeakers LS-150"</f>
        <v>Stand for Loudspeakers LS-150</v>
      </c>
      <c r="H150">
        <v>0</v>
      </c>
      <c r="I150" t="str">
        <f>""</f>
        <v/>
      </c>
      <c r="J150">
        <v>0</v>
      </c>
      <c r="K150">
        <v>0</v>
      </c>
      <c r="L150" t="str">
        <f>""</f>
        <v/>
      </c>
      <c r="M150">
        <v>0</v>
      </c>
      <c r="N150">
        <v>60</v>
      </c>
      <c r="O150" t="str">
        <f>""</f>
        <v/>
      </c>
      <c r="P150" t="str">
        <f>""</f>
        <v/>
      </c>
      <c r="Q150" t="str">
        <f>"LS-S15"</f>
        <v>LS-S15</v>
      </c>
      <c r="R150">
        <v>43.037970000000001</v>
      </c>
      <c r="S150">
        <v>0</v>
      </c>
      <c r="T150">
        <v>0</v>
      </c>
      <c r="U150">
        <v>0</v>
      </c>
      <c r="V150">
        <v>60</v>
      </c>
      <c r="W150" t="str">
        <f>""</f>
        <v/>
      </c>
      <c r="X150">
        <v>0</v>
      </c>
      <c r="Y150">
        <v>45</v>
      </c>
      <c r="Z150">
        <v>0</v>
      </c>
      <c r="AA150">
        <v>0</v>
      </c>
    </row>
    <row r="151" spans="1:27" x14ac:dyDescent="0.3">
      <c r="A151" t="s">
        <v>45</v>
      </c>
      <c r="F151" s="1" t="str">
        <f>"""Navdirect"",""CRONUS USA, Inc."",""27"",""1"",""LSU-15"""</f>
        <v>"Navdirect","CRONUS USA, Inc.","27","1","LSU-15"</v>
      </c>
      <c r="G151" t="str">
        <f>"Base speaker unit 15"" 100W"</f>
        <v>Base speaker unit 15" 100W</v>
      </c>
      <c r="H151">
        <v>0</v>
      </c>
      <c r="I151" t="str">
        <f>""</f>
        <v/>
      </c>
      <c r="J151">
        <v>0</v>
      </c>
      <c r="K151">
        <v>0</v>
      </c>
      <c r="L151" t="str">
        <f>""</f>
        <v/>
      </c>
      <c r="M151">
        <v>0</v>
      </c>
      <c r="N151">
        <v>28</v>
      </c>
      <c r="O151" t="str">
        <f>""</f>
        <v/>
      </c>
      <c r="P151" t="str">
        <f>""</f>
        <v/>
      </c>
      <c r="Q151" t="str">
        <f>"LSU-15"</f>
        <v>LSU-15</v>
      </c>
      <c r="R151">
        <v>28.571430000000003</v>
      </c>
      <c r="S151">
        <v>0</v>
      </c>
      <c r="T151">
        <v>0</v>
      </c>
      <c r="U151">
        <v>0</v>
      </c>
      <c r="V151">
        <v>28</v>
      </c>
      <c r="W151" t="str">
        <f>""</f>
        <v/>
      </c>
      <c r="X151">
        <v>0</v>
      </c>
      <c r="Y151">
        <v>15</v>
      </c>
      <c r="Z151">
        <v>0</v>
      </c>
      <c r="AA151">
        <v>0</v>
      </c>
    </row>
    <row r="152" spans="1:27" x14ac:dyDescent="0.3">
      <c r="A152" t="s">
        <v>45</v>
      </c>
      <c r="F152" s="1" t="str">
        <f>"""Navdirect"",""CRONUS USA, Inc."",""27"",""1"",""LSU-4"""</f>
        <v>"Navdirect","CRONUS USA, Inc.","27","1","LSU-4"</v>
      </c>
      <c r="G152" t="str">
        <f>"Tweeter speaker unit 4"" 100W"</f>
        <v>Tweeter speaker unit 4" 100W</v>
      </c>
      <c r="H152">
        <v>0</v>
      </c>
      <c r="I152" t="str">
        <f>""</f>
        <v/>
      </c>
      <c r="J152">
        <v>0</v>
      </c>
      <c r="K152">
        <v>0</v>
      </c>
      <c r="L152" t="str">
        <f>""</f>
        <v/>
      </c>
      <c r="M152">
        <v>0</v>
      </c>
      <c r="N152">
        <v>100</v>
      </c>
      <c r="O152" t="str">
        <f>""</f>
        <v/>
      </c>
      <c r="P152" t="str">
        <f>""</f>
        <v/>
      </c>
      <c r="Q152" t="str">
        <f>"LSU-4"</f>
        <v>LSU-4</v>
      </c>
      <c r="R152">
        <v>28.571430000000003</v>
      </c>
      <c r="S152">
        <v>0</v>
      </c>
      <c r="T152">
        <v>0</v>
      </c>
      <c r="U152">
        <v>0</v>
      </c>
      <c r="V152">
        <v>100</v>
      </c>
      <c r="W152" t="str">
        <f>""</f>
        <v/>
      </c>
      <c r="X152">
        <v>0</v>
      </c>
      <c r="Y152">
        <v>15</v>
      </c>
      <c r="Z152">
        <v>0</v>
      </c>
      <c r="AA152">
        <v>0</v>
      </c>
    </row>
    <row r="153" spans="1:27" x14ac:dyDescent="0.3">
      <c r="A153" t="s">
        <v>45</v>
      </c>
      <c r="F153" s="1" t="str">
        <f>"""Navdirect"",""CRONUS USA, Inc."",""27"",""1"",""LSU-8"""</f>
        <v>"Navdirect","CRONUS USA, Inc.","27","1","LSU-8"</v>
      </c>
      <c r="G153" t="str">
        <f>"Middletone speaker unit 8""100W"</f>
        <v>Middletone speaker unit 8"100W</v>
      </c>
      <c r="H153">
        <v>0</v>
      </c>
      <c r="I153" t="str">
        <f>""</f>
        <v/>
      </c>
      <c r="J153">
        <v>0</v>
      </c>
      <c r="K153">
        <v>0</v>
      </c>
      <c r="L153" t="str">
        <f>""</f>
        <v/>
      </c>
      <c r="M153">
        <v>0</v>
      </c>
      <c r="N153">
        <v>15</v>
      </c>
      <c r="O153" t="str">
        <f>""</f>
        <v/>
      </c>
      <c r="P153" t="str">
        <f>""</f>
        <v/>
      </c>
      <c r="Q153" t="str">
        <f>"LSU-8"</f>
        <v>LSU-8</v>
      </c>
      <c r="R153">
        <v>28.571430000000003</v>
      </c>
      <c r="S153">
        <v>0</v>
      </c>
      <c r="T153">
        <v>0</v>
      </c>
      <c r="U153">
        <v>0</v>
      </c>
      <c r="V153">
        <v>15</v>
      </c>
      <c r="W153" t="str">
        <f>""</f>
        <v/>
      </c>
      <c r="X153">
        <v>0</v>
      </c>
      <c r="Y153">
        <v>15</v>
      </c>
      <c r="Z153">
        <v>0</v>
      </c>
      <c r="AA153">
        <v>0</v>
      </c>
    </row>
    <row r="154" spans="1:27" x14ac:dyDescent="0.3">
      <c r="A154" t="s">
        <v>45</v>
      </c>
      <c r="F154" s="1" t="str">
        <f>"""Navdirect"",""CRONUS USA, Inc."",""27"",""1"",""SPK-100"""</f>
        <v>"Navdirect","CRONUS USA, Inc.","27","1","SPK-100"</v>
      </c>
      <c r="G154" t="str">
        <f>"Spike for LS-100"</f>
        <v>Spike for LS-100</v>
      </c>
      <c r="H154">
        <v>0</v>
      </c>
      <c r="I154" t="str">
        <f>""</f>
        <v/>
      </c>
      <c r="J154">
        <v>0</v>
      </c>
      <c r="K154">
        <v>0</v>
      </c>
      <c r="L154" t="str">
        <f>""</f>
        <v/>
      </c>
      <c r="M154">
        <v>0</v>
      </c>
      <c r="N154">
        <v>78</v>
      </c>
      <c r="O154" t="str">
        <f>""</f>
        <v/>
      </c>
      <c r="P154" t="str">
        <f>""</f>
        <v/>
      </c>
      <c r="Q154" t="str">
        <f>"SPK-100"</f>
        <v>SPK-100</v>
      </c>
      <c r="R154">
        <v>28.571430000000003</v>
      </c>
      <c r="S154">
        <v>0</v>
      </c>
      <c r="T154">
        <v>0</v>
      </c>
      <c r="U154">
        <v>0</v>
      </c>
      <c r="V154">
        <v>78</v>
      </c>
      <c r="W154" t="str">
        <f>""</f>
        <v/>
      </c>
      <c r="X154">
        <v>0</v>
      </c>
      <c r="Y154">
        <v>15</v>
      </c>
      <c r="Z154">
        <v>0</v>
      </c>
      <c r="AA1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C370-50F1-4849-A5DF-F40FB681D429}">
  <dimension ref="A1:AA11"/>
  <sheetViews>
    <sheetView workbookViewId="0"/>
  </sheetViews>
  <sheetFormatPr defaultRowHeight="14.4" x14ac:dyDescent="0.3"/>
  <sheetData>
    <row r="1" spans="1:27" x14ac:dyDescent="0.3">
      <c r="A1" s="2" t="s">
        <v>3192</v>
      </c>
      <c r="F1" s="2" t="s">
        <v>0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2" t="s">
        <v>2</v>
      </c>
      <c r="V1" s="2" t="s">
        <v>2</v>
      </c>
      <c r="W1" s="2" t="s">
        <v>2</v>
      </c>
      <c r="X1" s="2" t="s">
        <v>2</v>
      </c>
      <c r="Y1" s="2" t="s">
        <v>2</v>
      </c>
      <c r="Z1" s="2" t="s">
        <v>2</v>
      </c>
      <c r="AA1" s="2" t="s">
        <v>2</v>
      </c>
    </row>
    <row r="10" spans="1:27" x14ac:dyDescent="0.3">
      <c r="G10" s="2" t="s">
        <v>1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7</v>
      </c>
      <c r="M10" s="2" t="s">
        <v>8</v>
      </c>
      <c r="N10" s="2" t="s">
        <v>9</v>
      </c>
      <c r="O10" s="2" t="s">
        <v>10</v>
      </c>
      <c r="P10" s="2" t="s">
        <v>11</v>
      </c>
      <c r="Q10" s="2" t="s">
        <v>12</v>
      </c>
      <c r="R10" s="2" t="s">
        <v>13</v>
      </c>
      <c r="S10" s="2" t="s">
        <v>14</v>
      </c>
      <c r="T10" s="2" t="s">
        <v>15</v>
      </c>
      <c r="U10" s="2" t="s">
        <v>16</v>
      </c>
      <c r="V10" s="2" t="s">
        <v>17</v>
      </c>
      <c r="W10" s="2" t="s">
        <v>18</v>
      </c>
      <c r="X10" s="2" t="s">
        <v>19</v>
      </c>
      <c r="Y10" s="2" t="s">
        <v>20</v>
      </c>
      <c r="Z10" s="2" t="s">
        <v>21</v>
      </c>
      <c r="AA10" s="2" t="s">
        <v>22</v>
      </c>
    </row>
    <row r="11" spans="1:27" x14ac:dyDescent="0.3">
      <c r="F11" s="2" t="s">
        <v>23</v>
      </c>
      <c r="G11" s="2" t="s">
        <v>24</v>
      </c>
      <c r="H11" s="2" t="s">
        <v>25</v>
      </c>
      <c r="I11" s="2" t="s">
        <v>26</v>
      </c>
      <c r="J11" s="2" t="s">
        <v>27</v>
      </c>
      <c r="K11" s="2" t="s">
        <v>28</v>
      </c>
      <c r="L11" s="2" t="s">
        <v>29</v>
      </c>
      <c r="M11" s="2" t="s">
        <v>30</v>
      </c>
      <c r="N11" s="2" t="s">
        <v>31</v>
      </c>
      <c r="O11" s="2" t="s">
        <v>32</v>
      </c>
      <c r="P11" s="2" t="s">
        <v>33</v>
      </c>
      <c r="Q11" s="2" t="s">
        <v>34</v>
      </c>
      <c r="R11" s="2" t="s">
        <v>35</v>
      </c>
      <c r="S11" s="2" t="s">
        <v>36</v>
      </c>
      <c r="T11" s="2" t="s">
        <v>37</v>
      </c>
      <c r="U11" s="2" t="s">
        <v>38</v>
      </c>
      <c r="V11" s="2" t="s">
        <v>39</v>
      </c>
      <c r="W11" s="2" t="s">
        <v>40</v>
      </c>
      <c r="X11" s="2" t="s">
        <v>41</v>
      </c>
      <c r="Y11" s="2" t="s">
        <v>42</v>
      </c>
      <c r="Z11" s="2" t="s">
        <v>43</v>
      </c>
      <c r="AA11" s="2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8E36-E1DC-45D5-A23B-3A9E5FD042BA}">
  <dimension ref="A1:AA11"/>
  <sheetViews>
    <sheetView workbookViewId="0"/>
  </sheetViews>
  <sheetFormatPr defaultRowHeight="14.4" x14ac:dyDescent="0.3"/>
  <sheetData>
    <row r="1" spans="1:27" x14ac:dyDescent="0.3">
      <c r="A1" s="2" t="s">
        <v>3192</v>
      </c>
      <c r="F1" s="2" t="s">
        <v>0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2" t="s">
        <v>2</v>
      </c>
      <c r="V1" s="2" t="s">
        <v>2</v>
      </c>
      <c r="W1" s="2" t="s">
        <v>2</v>
      </c>
      <c r="X1" s="2" t="s">
        <v>2</v>
      </c>
      <c r="Y1" s="2" t="s">
        <v>2</v>
      </c>
      <c r="Z1" s="2" t="s">
        <v>2</v>
      </c>
      <c r="AA1" s="2" t="s">
        <v>2</v>
      </c>
    </row>
    <row r="10" spans="1:27" x14ac:dyDescent="0.3">
      <c r="G10" s="2" t="s">
        <v>1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7</v>
      </c>
      <c r="M10" s="2" t="s">
        <v>8</v>
      </c>
      <c r="N10" s="2" t="s">
        <v>9</v>
      </c>
      <c r="O10" s="2" t="s">
        <v>10</v>
      </c>
      <c r="P10" s="2" t="s">
        <v>11</v>
      </c>
      <c r="Q10" s="2" t="s">
        <v>12</v>
      </c>
      <c r="R10" s="2" t="s">
        <v>13</v>
      </c>
      <c r="S10" s="2" t="s">
        <v>14</v>
      </c>
      <c r="T10" s="2" t="s">
        <v>15</v>
      </c>
      <c r="U10" s="2" t="s">
        <v>16</v>
      </c>
      <c r="V10" s="2" t="s">
        <v>17</v>
      </c>
      <c r="W10" s="2" t="s">
        <v>18</v>
      </c>
      <c r="X10" s="2" t="s">
        <v>19</v>
      </c>
      <c r="Y10" s="2" t="s">
        <v>20</v>
      </c>
      <c r="Z10" s="2" t="s">
        <v>21</v>
      </c>
      <c r="AA10" s="2" t="s">
        <v>22</v>
      </c>
    </row>
    <row r="11" spans="1:27" x14ac:dyDescent="0.3">
      <c r="F11" s="2" t="s">
        <v>23</v>
      </c>
      <c r="G11" s="2" t="s">
        <v>24</v>
      </c>
      <c r="H11" s="2" t="s">
        <v>25</v>
      </c>
      <c r="I11" s="2" t="s">
        <v>26</v>
      </c>
      <c r="J11" s="2" t="s">
        <v>27</v>
      </c>
      <c r="K11" s="2" t="s">
        <v>28</v>
      </c>
      <c r="L11" s="2" t="s">
        <v>29</v>
      </c>
      <c r="M11" s="2" t="s">
        <v>30</v>
      </c>
      <c r="N11" s="2" t="s">
        <v>31</v>
      </c>
      <c r="O11" s="2" t="s">
        <v>32</v>
      </c>
      <c r="P11" s="2" t="s">
        <v>33</v>
      </c>
      <c r="Q11" s="2" t="s">
        <v>34</v>
      </c>
      <c r="R11" s="2" t="s">
        <v>35</v>
      </c>
      <c r="S11" s="2" t="s">
        <v>36</v>
      </c>
      <c r="T11" s="2" t="s">
        <v>37</v>
      </c>
      <c r="U11" s="2" t="s">
        <v>38</v>
      </c>
      <c r="V11" s="2" t="s">
        <v>39</v>
      </c>
      <c r="W11" s="2" t="s">
        <v>40</v>
      </c>
      <c r="X11" s="2" t="s">
        <v>41</v>
      </c>
      <c r="Y11" s="2" t="s">
        <v>42</v>
      </c>
      <c r="Z11" s="2" t="s">
        <v>43</v>
      </c>
      <c r="AA11" s="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D071-8765-4B94-B6F1-A27600317C2D}">
  <dimension ref="A1:AA154"/>
  <sheetViews>
    <sheetView workbookViewId="0"/>
  </sheetViews>
  <sheetFormatPr defaultRowHeight="14.4" x14ac:dyDescent="0.3"/>
  <sheetData>
    <row r="1" spans="1:27" x14ac:dyDescent="0.3">
      <c r="A1" s="2" t="s">
        <v>3194</v>
      </c>
      <c r="F1" s="2" t="s">
        <v>0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2" t="s">
        <v>2</v>
      </c>
      <c r="V1" s="2" t="s">
        <v>2</v>
      </c>
      <c r="W1" s="2" t="s">
        <v>2</v>
      </c>
      <c r="X1" s="2" t="s">
        <v>2</v>
      </c>
      <c r="Y1" s="2" t="s">
        <v>2</v>
      </c>
      <c r="Z1" s="2" t="s">
        <v>2</v>
      </c>
      <c r="AA1" s="2" t="s">
        <v>2</v>
      </c>
    </row>
    <row r="10" spans="1:27" x14ac:dyDescent="0.3">
      <c r="G10" s="2" t="s">
        <v>1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7</v>
      </c>
      <c r="M10" s="2" t="s">
        <v>8</v>
      </c>
      <c r="N10" s="2" t="s">
        <v>9</v>
      </c>
      <c r="O10" s="2" t="s">
        <v>10</v>
      </c>
      <c r="P10" s="2" t="s">
        <v>11</v>
      </c>
      <c r="Q10" s="2" t="s">
        <v>12</v>
      </c>
      <c r="R10" s="2" t="s">
        <v>13</v>
      </c>
      <c r="S10" s="2" t="s">
        <v>14</v>
      </c>
      <c r="T10" s="2" t="s">
        <v>15</v>
      </c>
      <c r="U10" s="2" t="s">
        <v>16</v>
      </c>
      <c r="V10" s="2" t="s">
        <v>17</v>
      </c>
      <c r="W10" s="2" t="s">
        <v>18</v>
      </c>
      <c r="X10" s="2" t="s">
        <v>19</v>
      </c>
      <c r="Y10" s="2" t="s">
        <v>20</v>
      </c>
      <c r="Z10" s="2" t="s">
        <v>21</v>
      </c>
      <c r="AA10" s="2" t="s">
        <v>22</v>
      </c>
    </row>
    <row r="11" spans="1:27" x14ac:dyDescent="0.3">
      <c r="F11" s="2" t="s">
        <v>23</v>
      </c>
      <c r="G11" s="2" t="s">
        <v>24</v>
      </c>
      <c r="H11" s="2" t="s">
        <v>25</v>
      </c>
      <c r="I11" s="2" t="s">
        <v>26</v>
      </c>
      <c r="J11" s="2" t="s">
        <v>27</v>
      </c>
      <c r="K11" s="2" t="s">
        <v>28</v>
      </c>
      <c r="L11" s="2" t="s">
        <v>29</v>
      </c>
      <c r="M11" s="2" t="s">
        <v>30</v>
      </c>
      <c r="N11" s="2" t="s">
        <v>31</v>
      </c>
      <c r="O11" s="2" t="s">
        <v>32</v>
      </c>
      <c r="P11" s="2" t="s">
        <v>33</v>
      </c>
      <c r="Q11" s="2" t="s">
        <v>34</v>
      </c>
      <c r="R11" s="2" t="s">
        <v>35</v>
      </c>
      <c r="S11" s="2" t="s">
        <v>36</v>
      </c>
      <c r="T11" s="2" t="s">
        <v>37</v>
      </c>
      <c r="U11" s="2" t="s">
        <v>38</v>
      </c>
      <c r="V11" s="2" t="s">
        <v>39</v>
      </c>
      <c r="W11" s="2" t="s">
        <v>40</v>
      </c>
      <c r="X11" s="2" t="s">
        <v>41</v>
      </c>
      <c r="Y11" s="2" t="s">
        <v>42</v>
      </c>
      <c r="Z11" s="2" t="s">
        <v>43</v>
      </c>
      <c r="AA11" s="2" t="s">
        <v>44</v>
      </c>
    </row>
    <row r="12" spans="1:27" x14ac:dyDescent="0.3">
      <c r="A12" s="2" t="s">
        <v>45</v>
      </c>
      <c r="F12" s="2" t="s">
        <v>46</v>
      </c>
      <c r="G12" s="2" t="s">
        <v>189</v>
      </c>
      <c r="H12" s="2" t="s">
        <v>332</v>
      </c>
      <c r="I12" s="2" t="s">
        <v>475</v>
      </c>
      <c r="J12" s="2" t="s">
        <v>618</v>
      </c>
      <c r="K12" s="2" t="s">
        <v>761</v>
      </c>
      <c r="L12" s="2" t="s">
        <v>904</v>
      </c>
      <c r="M12" s="2" t="s">
        <v>1047</v>
      </c>
      <c r="N12" s="2" t="s">
        <v>1190</v>
      </c>
      <c r="O12" s="2" t="s">
        <v>1333</v>
      </c>
      <c r="P12" s="2" t="s">
        <v>1476</v>
      </c>
      <c r="Q12" s="2" t="s">
        <v>1619</v>
      </c>
      <c r="R12" s="2" t="s">
        <v>1762</v>
      </c>
      <c r="S12" s="2" t="s">
        <v>1905</v>
      </c>
      <c r="T12" s="2" t="s">
        <v>2048</v>
      </c>
      <c r="U12" s="2" t="s">
        <v>2191</v>
      </c>
      <c r="V12" s="2" t="s">
        <v>2334</v>
      </c>
      <c r="W12" s="2" t="s">
        <v>2477</v>
      </c>
      <c r="X12" s="2" t="s">
        <v>2620</v>
      </c>
      <c r="Y12" s="2" t="s">
        <v>2763</v>
      </c>
      <c r="Z12" s="2" t="s">
        <v>2906</v>
      </c>
      <c r="AA12" s="2" t="s">
        <v>3049</v>
      </c>
    </row>
    <row r="13" spans="1:27" x14ac:dyDescent="0.3">
      <c r="A13" s="2" t="s">
        <v>45</v>
      </c>
      <c r="F13" s="2" t="s">
        <v>47</v>
      </c>
      <c r="G13" s="2" t="s">
        <v>190</v>
      </c>
      <c r="H13" s="2" t="s">
        <v>333</v>
      </c>
      <c r="I13" s="2" t="s">
        <v>476</v>
      </c>
      <c r="J13" s="2" t="s">
        <v>619</v>
      </c>
      <c r="K13" s="2" t="s">
        <v>762</v>
      </c>
      <c r="L13" s="2" t="s">
        <v>905</v>
      </c>
      <c r="M13" s="2" t="s">
        <v>1048</v>
      </c>
      <c r="N13" s="2" t="s">
        <v>1191</v>
      </c>
      <c r="O13" s="2" t="s">
        <v>1334</v>
      </c>
      <c r="P13" s="2" t="s">
        <v>1477</v>
      </c>
      <c r="Q13" s="2" t="s">
        <v>1620</v>
      </c>
      <c r="R13" s="2" t="s">
        <v>1763</v>
      </c>
      <c r="S13" s="2" t="s">
        <v>1906</v>
      </c>
      <c r="T13" s="2" t="s">
        <v>2049</v>
      </c>
      <c r="U13" s="2" t="s">
        <v>2192</v>
      </c>
      <c r="V13" s="2" t="s">
        <v>2335</v>
      </c>
      <c r="W13" s="2" t="s">
        <v>2478</v>
      </c>
      <c r="X13" s="2" t="s">
        <v>2621</v>
      </c>
      <c r="Y13" s="2" t="s">
        <v>2764</v>
      </c>
      <c r="Z13" s="2" t="s">
        <v>2907</v>
      </c>
      <c r="AA13" s="2" t="s">
        <v>3050</v>
      </c>
    </row>
    <row r="14" spans="1:27" x14ac:dyDescent="0.3">
      <c r="A14" s="2" t="s">
        <v>45</v>
      </c>
      <c r="F14" s="2" t="s">
        <v>48</v>
      </c>
      <c r="G14" s="2" t="s">
        <v>191</v>
      </c>
      <c r="H14" s="2" t="s">
        <v>334</v>
      </c>
      <c r="I14" s="2" t="s">
        <v>477</v>
      </c>
      <c r="J14" s="2" t="s">
        <v>620</v>
      </c>
      <c r="K14" s="2" t="s">
        <v>763</v>
      </c>
      <c r="L14" s="2" t="s">
        <v>906</v>
      </c>
      <c r="M14" s="2" t="s">
        <v>1049</v>
      </c>
      <c r="N14" s="2" t="s">
        <v>1192</v>
      </c>
      <c r="O14" s="2" t="s">
        <v>1335</v>
      </c>
      <c r="P14" s="2" t="s">
        <v>1478</v>
      </c>
      <c r="Q14" s="2" t="s">
        <v>1621</v>
      </c>
      <c r="R14" s="2" t="s">
        <v>1764</v>
      </c>
      <c r="S14" s="2" t="s">
        <v>1907</v>
      </c>
      <c r="T14" s="2" t="s">
        <v>2050</v>
      </c>
      <c r="U14" s="2" t="s">
        <v>2193</v>
      </c>
      <c r="V14" s="2" t="s">
        <v>2336</v>
      </c>
      <c r="W14" s="2" t="s">
        <v>2479</v>
      </c>
      <c r="X14" s="2" t="s">
        <v>2622</v>
      </c>
      <c r="Y14" s="2" t="s">
        <v>2765</v>
      </c>
      <c r="Z14" s="2" t="s">
        <v>2908</v>
      </c>
      <c r="AA14" s="2" t="s">
        <v>3051</v>
      </c>
    </row>
    <row r="15" spans="1:27" x14ac:dyDescent="0.3">
      <c r="A15" s="2" t="s">
        <v>45</v>
      </c>
      <c r="F15" s="2" t="s">
        <v>49</v>
      </c>
      <c r="G15" s="2" t="s">
        <v>192</v>
      </c>
      <c r="H15" s="2" t="s">
        <v>335</v>
      </c>
      <c r="I15" s="2" t="s">
        <v>478</v>
      </c>
      <c r="J15" s="2" t="s">
        <v>621</v>
      </c>
      <c r="K15" s="2" t="s">
        <v>764</v>
      </c>
      <c r="L15" s="2" t="s">
        <v>907</v>
      </c>
      <c r="M15" s="2" t="s">
        <v>1050</v>
      </c>
      <c r="N15" s="2" t="s">
        <v>1193</v>
      </c>
      <c r="O15" s="2" t="s">
        <v>1336</v>
      </c>
      <c r="P15" s="2" t="s">
        <v>1479</v>
      </c>
      <c r="Q15" s="2" t="s">
        <v>1622</v>
      </c>
      <c r="R15" s="2" t="s">
        <v>1765</v>
      </c>
      <c r="S15" s="2" t="s">
        <v>1908</v>
      </c>
      <c r="T15" s="2" t="s">
        <v>2051</v>
      </c>
      <c r="U15" s="2" t="s">
        <v>2194</v>
      </c>
      <c r="V15" s="2" t="s">
        <v>2337</v>
      </c>
      <c r="W15" s="2" t="s">
        <v>2480</v>
      </c>
      <c r="X15" s="2" t="s">
        <v>2623</v>
      </c>
      <c r="Y15" s="2" t="s">
        <v>2766</v>
      </c>
      <c r="Z15" s="2" t="s">
        <v>2909</v>
      </c>
      <c r="AA15" s="2" t="s">
        <v>3052</v>
      </c>
    </row>
    <row r="16" spans="1:27" x14ac:dyDescent="0.3">
      <c r="A16" s="2" t="s">
        <v>45</v>
      </c>
      <c r="F16" s="2" t="s">
        <v>50</v>
      </c>
      <c r="G16" s="2" t="s">
        <v>193</v>
      </c>
      <c r="H16" s="2" t="s">
        <v>336</v>
      </c>
      <c r="I16" s="2" t="s">
        <v>479</v>
      </c>
      <c r="J16" s="2" t="s">
        <v>622</v>
      </c>
      <c r="K16" s="2" t="s">
        <v>765</v>
      </c>
      <c r="L16" s="2" t="s">
        <v>908</v>
      </c>
      <c r="M16" s="2" t="s">
        <v>1051</v>
      </c>
      <c r="N16" s="2" t="s">
        <v>1194</v>
      </c>
      <c r="O16" s="2" t="s">
        <v>1337</v>
      </c>
      <c r="P16" s="2" t="s">
        <v>1480</v>
      </c>
      <c r="Q16" s="2" t="s">
        <v>1623</v>
      </c>
      <c r="R16" s="2" t="s">
        <v>1766</v>
      </c>
      <c r="S16" s="2" t="s">
        <v>1909</v>
      </c>
      <c r="T16" s="2" t="s">
        <v>2052</v>
      </c>
      <c r="U16" s="2" t="s">
        <v>2195</v>
      </c>
      <c r="V16" s="2" t="s">
        <v>2338</v>
      </c>
      <c r="W16" s="2" t="s">
        <v>2481</v>
      </c>
      <c r="X16" s="2" t="s">
        <v>2624</v>
      </c>
      <c r="Y16" s="2" t="s">
        <v>2767</v>
      </c>
      <c r="Z16" s="2" t="s">
        <v>2910</v>
      </c>
      <c r="AA16" s="2" t="s">
        <v>3053</v>
      </c>
    </row>
    <row r="17" spans="1:27" x14ac:dyDescent="0.3">
      <c r="A17" s="2" t="s">
        <v>45</v>
      </c>
      <c r="F17" s="2" t="s">
        <v>51</v>
      </c>
      <c r="G17" s="2" t="s">
        <v>194</v>
      </c>
      <c r="H17" s="2" t="s">
        <v>337</v>
      </c>
      <c r="I17" s="2" t="s">
        <v>480</v>
      </c>
      <c r="J17" s="2" t="s">
        <v>623</v>
      </c>
      <c r="K17" s="2" t="s">
        <v>766</v>
      </c>
      <c r="L17" s="2" t="s">
        <v>909</v>
      </c>
      <c r="M17" s="2" t="s">
        <v>1052</v>
      </c>
      <c r="N17" s="2" t="s">
        <v>1195</v>
      </c>
      <c r="O17" s="2" t="s">
        <v>1338</v>
      </c>
      <c r="P17" s="2" t="s">
        <v>1481</v>
      </c>
      <c r="Q17" s="2" t="s">
        <v>1624</v>
      </c>
      <c r="R17" s="2" t="s">
        <v>1767</v>
      </c>
      <c r="S17" s="2" t="s">
        <v>1910</v>
      </c>
      <c r="T17" s="2" t="s">
        <v>2053</v>
      </c>
      <c r="U17" s="2" t="s">
        <v>2196</v>
      </c>
      <c r="V17" s="2" t="s">
        <v>2339</v>
      </c>
      <c r="W17" s="2" t="s">
        <v>2482</v>
      </c>
      <c r="X17" s="2" t="s">
        <v>2625</v>
      </c>
      <c r="Y17" s="2" t="s">
        <v>2768</v>
      </c>
      <c r="Z17" s="2" t="s">
        <v>2911</v>
      </c>
      <c r="AA17" s="2" t="s">
        <v>3054</v>
      </c>
    </row>
    <row r="18" spans="1:27" x14ac:dyDescent="0.3">
      <c r="A18" s="2" t="s">
        <v>45</v>
      </c>
      <c r="F18" s="2" t="s">
        <v>52</v>
      </c>
      <c r="G18" s="2" t="s">
        <v>195</v>
      </c>
      <c r="H18" s="2" t="s">
        <v>338</v>
      </c>
      <c r="I18" s="2" t="s">
        <v>481</v>
      </c>
      <c r="J18" s="2" t="s">
        <v>624</v>
      </c>
      <c r="K18" s="2" t="s">
        <v>767</v>
      </c>
      <c r="L18" s="2" t="s">
        <v>910</v>
      </c>
      <c r="M18" s="2" t="s">
        <v>1053</v>
      </c>
      <c r="N18" s="2" t="s">
        <v>1196</v>
      </c>
      <c r="O18" s="2" t="s">
        <v>1339</v>
      </c>
      <c r="P18" s="2" t="s">
        <v>1482</v>
      </c>
      <c r="Q18" s="2" t="s">
        <v>1625</v>
      </c>
      <c r="R18" s="2" t="s">
        <v>1768</v>
      </c>
      <c r="S18" s="2" t="s">
        <v>1911</v>
      </c>
      <c r="T18" s="2" t="s">
        <v>2054</v>
      </c>
      <c r="U18" s="2" t="s">
        <v>2197</v>
      </c>
      <c r="V18" s="2" t="s">
        <v>2340</v>
      </c>
      <c r="W18" s="2" t="s">
        <v>2483</v>
      </c>
      <c r="X18" s="2" t="s">
        <v>2626</v>
      </c>
      <c r="Y18" s="2" t="s">
        <v>2769</v>
      </c>
      <c r="Z18" s="2" t="s">
        <v>2912</v>
      </c>
      <c r="AA18" s="2" t="s">
        <v>3055</v>
      </c>
    </row>
    <row r="19" spans="1:27" x14ac:dyDescent="0.3">
      <c r="A19" s="2" t="s">
        <v>45</v>
      </c>
      <c r="F19" s="2" t="s">
        <v>53</v>
      </c>
      <c r="G19" s="2" t="s">
        <v>196</v>
      </c>
      <c r="H19" s="2" t="s">
        <v>339</v>
      </c>
      <c r="I19" s="2" t="s">
        <v>482</v>
      </c>
      <c r="J19" s="2" t="s">
        <v>625</v>
      </c>
      <c r="K19" s="2" t="s">
        <v>768</v>
      </c>
      <c r="L19" s="2" t="s">
        <v>911</v>
      </c>
      <c r="M19" s="2" t="s">
        <v>1054</v>
      </c>
      <c r="N19" s="2" t="s">
        <v>1197</v>
      </c>
      <c r="O19" s="2" t="s">
        <v>1340</v>
      </c>
      <c r="P19" s="2" t="s">
        <v>1483</v>
      </c>
      <c r="Q19" s="2" t="s">
        <v>1626</v>
      </c>
      <c r="R19" s="2" t="s">
        <v>1769</v>
      </c>
      <c r="S19" s="2" t="s">
        <v>1912</v>
      </c>
      <c r="T19" s="2" t="s">
        <v>2055</v>
      </c>
      <c r="U19" s="2" t="s">
        <v>2198</v>
      </c>
      <c r="V19" s="2" t="s">
        <v>2341</v>
      </c>
      <c r="W19" s="2" t="s">
        <v>2484</v>
      </c>
      <c r="X19" s="2" t="s">
        <v>2627</v>
      </c>
      <c r="Y19" s="2" t="s">
        <v>2770</v>
      </c>
      <c r="Z19" s="2" t="s">
        <v>2913</v>
      </c>
      <c r="AA19" s="2" t="s">
        <v>3056</v>
      </c>
    </row>
    <row r="20" spans="1:27" x14ac:dyDescent="0.3">
      <c r="A20" s="2" t="s">
        <v>45</v>
      </c>
      <c r="F20" s="2" t="s">
        <v>54</v>
      </c>
      <c r="G20" s="2" t="s">
        <v>197</v>
      </c>
      <c r="H20" s="2" t="s">
        <v>340</v>
      </c>
      <c r="I20" s="2" t="s">
        <v>483</v>
      </c>
      <c r="J20" s="2" t="s">
        <v>626</v>
      </c>
      <c r="K20" s="2" t="s">
        <v>769</v>
      </c>
      <c r="L20" s="2" t="s">
        <v>912</v>
      </c>
      <c r="M20" s="2" t="s">
        <v>1055</v>
      </c>
      <c r="N20" s="2" t="s">
        <v>1198</v>
      </c>
      <c r="O20" s="2" t="s">
        <v>1341</v>
      </c>
      <c r="P20" s="2" t="s">
        <v>1484</v>
      </c>
      <c r="Q20" s="2" t="s">
        <v>1627</v>
      </c>
      <c r="R20" s="2" t="s">
        <v>1770</v>
      </c>
      <c r="S20" s="2" t="s">
        <v>1913</v>
      </c>
      <c r="T20" s="2" t="s">
        <v>2056</v>
      </c>
      <c r="U20" s="2" t="s">
        <v>2199</v>
      </c>
      <c r="V20" s="2" t="s">
        <v>2342</v>
      </c>
      <c r="W20" s="2" t="s">
        <v>2485</v>
      </c>
      <c r="X20" s="2" t="s">
        <v>2628</v>
      </c>
      <c r="Y20" s="2" t="s">
        <v>2771</v>
      </c>
      <c r="Z20" s="2" t="s">
        <v>2914</v>
      </c>
      <c r="AA20" s="2" t="s">
        <v>3057</v>
      </c>
    </row>
    <row r="21" spans="1:27" x14ac:dyDescent="0.3">
      <c r="A21" s="2" t="s">
        <v>45</v>
      </c>
      <c r="F21" s="2" t="s">
        <v>55</v>
      </c>
      <c r="G21" s="2" t="s">
        <v>198</v>
      </c>
      <c r="H21" s="2" t="s">
        <v>341</v>
      </c>
      <c r="I21" s="2" t="s">
        <v>484</v>
      </c>
      <c r="J21" s="2" t="s">
        <v>627</v>
      </c>
      <c r="K21" s="2" t="s">
        <v>770</v>
      </c>
      <c r="L21" s="2" t="s">
        <v>913</v>
      </c>
      <c r="M21" s="2" t="s">
        <v>1056</v>
      </c>
      <c r="N21" s="2" t="s">
        <v>1199</v>
      </c>
      <c r="O21" s="2" t="s">
        <v>1342</v>
      </c>
      <c r="P21" s="2" t="s">
        <v>1485</v>
      </c>
      <c r="Q21" s="2" t="s">
        <v>1628</v>
      </c>
      <c r="R21" s="2" t="s">
        <v>1771</v>
      </c>
      <c r="S21" s="2" t="s">
        <v>1914</v>
      </c>
      <c r="T21" s="2" t="s">
        <v>2057</v>
      </c>
      <c r="U21" s="2" t="s">
        <v>2200</v>
      </c>
      <c r="V21" s="2" t="s">
        <v>2343</v>
      </c>
      <c r="W21" s="2" t="s">
        <v>2486</v>
      </c>
      <c r="X21" s="2" t="s">
        <v>2629</v>
      </c>
      <c r="Y21" s="2" t="s">
        <v>2772</v>
      </c>
      <c r="Z21" s="2" t="s">
        <v>2915</v>
      </c>
      <c r="AA21" s="2" t="s">
        <v>3058</v>
      </c>
    </row>
    <row r="22" spans="1:27" x14ac:dyDescent="0.3">
      <c r="A22" s="2" t="s">
        <v>45</v>
      </c>
      <c r="F22" s="2" t="s">
        <v>56</v>
      </c>
      <c r="G22" s="2" t="s">
        <v>199</v>
      </c>
      <c r="H22" s="2" t="s">
        <v>342</v>
      </c>
      <c r="I22" s="2" t="s">
        <v>485</v>
      </c>
      <c r="J22" s="2" t="s">
        <v>628</v>
      </c>
      <c r="K22" s="2" t="s">
        <v>771</v>
      </c>
      <c r="L22" s="2" t="s">
        <v>914</v>
      </c>
      <c r="M22" s="2" t="s">
        <v>1057</v>
      </c>
      <c r="N22" s="2" t="s">
        <v>1200</v>
      </c>
      <c r="O22" s="2" t="s">
        <v>1343</v>
      </c>
      <c r="P22" s="2" t="s">
        <v>1486</v>
      </c>
      <c r="Q22" s="2" t="s">
        <v>1629</v>
      </c>
      <c r="R22" s="2" t="s">
        <v>1772</v>
      </c>
      <c r="S22" s="2" t="s">
        <v>1915</v>
      </c>
      <c r="T22" s="2" t="s">
        <v>2058</v>
      </c>
      <c r="U22" s="2" t="s">
        <v>2201</v>
      </c>
      <c r="V22" s="2" t="s">
        <v>2344</v>
      </c>
      <c r="W22" s="2" t="s">
        <v>2487</v>
      </c>
      <c r="X22" s="2" t="s">
        <v>2630</v>
      </c>
      <c r="Y22" s="2" t="s">
        <v>2773</v>
      </c>
      <c r="Z22" s="2" t="s">
        <v>2916</v>
      </c>
      <c r="AA22" s="2" t="s">
        <v>3059</v>
      </c>
    </row>
    <row r="23" spans="1:27" x14ac:dyDescent="0.3">
      <c r="A23" s="2" t="s">
        <v>45</v>
      </c>
      <c r="F23" s="2" t="s">
        <v>57</v>
      </c>
      <c r="G23" s="2" t="s">
        <v>200</v>
      </c>
      <c r="H23" s="2" t="s">
        <v>343</v>
      </c>
      <c r="I23" s="2" t="s">
        <v>486</v>
      </c>
      <c r="J23" s="2" t="s">
        <v>629</v>
      </c>
      <c r="K23" s="2" t="s">
        <v>772</v>
      </c>
      <c r="L23" s="2" t="s">
        <v>915</v>
      </c>
      <c r="M23" s="2" t="s">
        <v>1058</v>
      </c>
      <c r="N23" s="2" t="s">
        <v>1201</v>
      </c>
      <c r="O23" s="2" t="s">
        <v>1344</v>
      </c>
      <c r="P23" s="2" t="s">
        <v>1487</v>
      </c>
      <c r="Q23" s="2" t="s">
        <v>1630</v>
      </c>
      <c r="R23" s="2" t="s">
        <v>1773</v>
      </c>
      <c r="S23" s="2" t="s">
        <v>1916</v>
      </c>
      <c r="T23" s="2" t="s">
        <v>2059</v>
      </c>
      <c r="U23" s="2" t="s">
        <v>2202</v>
      </c>
      <c r="V23" s="2" t="s">
        <v>2345</v>
      </c>
      <c r="W23" s="2" t="s">
        <v>2488</v>
      </c>
      <c r="X23" s="2" t="s">
        <v>2631</v>
      </c>
      <c r="Y23" s="2" t="s">
        <v>2774</v>
      </c>
      <c r="Z23" s="2" t="s">
        <v>2917</v>
      </c>
      <c r="AA23" s="2" t="s">
        <v>3060</v>
      </c>
    </row>
    <row r="24" spans="1:27" x14ac:dyDescent="0.3">
      <c r="A24" s="2" t="s">
        <v>45</v>
      </c>
      <c r="F24" s="2" t="s">
        <v>58</v>
      </c>
      <c r="G24" s="2" t="s">
        <v>201</v>
      </c>
      <c r="H24" s="2" t="s">
        <v>344</v>
      </c>
      <c r="I24" s="2" t="s">
        <v>487</v>
      </c>
      <c r="J24" s="2" t="s">
        <v>630</v>
      </c>
      <c r="K24" s="2" t="s">
        <v>773</v>
      </c>
      <c r="L24" s="2" t="s">
        <v>916</v>
      </c>
      <c r="M24" s="2" t="s">
        <v>1059</v>
      </c>
      <c r="N24" s="2" t="s">
        <v>1202</v>
      </c>
      <c r="O24" s="2" t="s">
        <v>1345</v>
      </c>
      <c r="P24" s="2" t="s">
        <v>1488</v>
      </c>
      <c r="Q24" s="2" t="s">
        <v>1631</v>
      </c>
      <c r="R24" s="2" t="s">
        <v>1774</v>
      </c>
      <c r="S24" s="2" t="s">
        <v>1917</v>
      </c>
      <c r="T24" s="2" t="s">
        <v>2060</v>
      </c>
      <c r="U24" s="2" t="s">
        <v>2203</v>
      </c>
      <c r="V24" s="2" t="s">
        <v>2346</v>
      </c>
      <c r="W24" s="2" t="s">
        <v>2489</v>
      </c>
      <c r="X24" s="2" t="s">
        <v>2632</v>
      </c>
      <c r="Y24" s="2" t="s">
        <v>2775</v>
      </c>
      <c r="Z24" s="2" t="s">
        <v>2918</v>
      </c>
      <c r="AA24" s="2" t="s">
        <v>3061</v>
      </c>
    </row>
    <row r="25" spans="1:27" x14ac:dyDescent="0.3">
      <c r="A25" s="2" t="s">
        <v>45</v>
      </c>
      <c r="F25" s="2" t="s">
        <v>59</v>
      </c>
      <c r="G25" s="2" t="s">
        <v>202</v>
      </c>
      <c r="H25" s="2" t="s">
        <v>345</v>
      </c>
      <c r="I25" s="2" t="s">
        <v>488</v>
      </c>
      <c r="J25" s="2" t="s">
        <v>631</v>
      </c>
      <c r="K25" s="2" t="s">
        <v>774</v>
      </c>
      <c r="L25" s="2" t="s">
        <v>917</v>
      </c>
      <c r="M25" s="2" t="s">
        <v>1060</v>
      </c>
      <c r="N25" s="2" t="s">
        <v>1203</v>
      </c>
      <c r="O25" s="2" t="s">
        <v>1346</v>
      </c>
      <c r="P25" s="2" t="s">
        <v>1489</v>
      </c>
      <c r="Q25" s="2" t="s">
        <v>1632</v>
      </c>
      <c r="R25" s="2" t="s">
        <v>1775</v>
      </c>
      <c r="S25" s="2" t="s">
        <v>1918</v>
      </c>
      <c r="T25" s="2" t="s">
        <v>2061</v>
      </c>
      <c r="U25" s="2" t="s">
        <v>2204</v>
      </c>
      <c r="V25" s="2" t="s">
        <v>2347</v>
      </c>
      <c r="W25" s="2" t="s">
        <v>2490</v>
      </c>
      <c r="X25" s="2" t="s">
        <v>2633</v>
      </c>
      <c r="Y25" s="2" t="s">
        <v>2776</v>
      </c>
      <c r="Z25" s="2" t="s">
        <v>2919</v>
      </c>
      <c r="AA25" s="2" t="s">
        <v>3062</v>
      </c>
    </row>
    <row r="26" spans="1:27" x14ac:dyDescent="0.3">
      <c r="A26" s="2" t="s">
        <v>45</v>
      </c>
      <c r="F26" s="2" t="s">
        <v>60</v>
      </c>
      <c r="G26" s="2" t="s">
        <v>203</v>
      </c>
      <c r="H26" s="2" t="s">
        <v>346</v>
      </c>
      <c r="I26" s="2" t="s">
        <v>489</v>
      </c>
      <c r="J26" s="2" t="s">
        <v>632</v>
      </c>
      <c r="K26" s="2" t="s">
        <v>775</v>
      </c>
      <c r="L26" s="2" t="s">
        <v>918</v>
      </c>
      <c r="M26" s="2" t="s">
        <v>1061</v>
      </c>
      <c r="N26" s="2" t="s">
        <v>1204</v>
      </c>
      <c r="O26" s="2" t="s">
        <v>1347</v>
      </c>
      <c r="P26" s="2" t="s">
        <v>1490</v>
      </c>
      <c r="Q26" s="2" t="s">
        <v>1633</v>
      </c>
      <c r="R26" s="2" t="s">
        <v>1776</v>
      </c>
      <c r="S26" s="2" t="s">
        <v>1919</v>
      </c>
      <c r="T26" s="2" t="s">
        <v>2062</v>
      </c>
      <c r="U26" s="2" t="s">
        <v>2205</v>
      </c>
      <c r="V26" s="2" t="s">
        <v>2348</v>
      </c>
      <c r="W26" s="2" t="s">
        <v>2491</v>
      </c>
      <c r="X26" s="2" t="s">
        <v>2634</v>
      </c>
      <c r="Y26" s="2" t="s">
        <v>2777</v>
      </c>
      <c r="Z26" s="2" t="s">
        <v>2920</v>
      </c>
      <c r="AA26" s="2" t="s">
        <v>3063</v>
      </c>
    </row>
    <row r="27" spans="1:27" x14ac:dyDescent="0.3">
      <c r="A27" s="2" t="s">
        <v>45</v>
      </c>
      <c r="F27" s="2" t="s">
        <v>61</v>
      </c>
      <c r="G27" s="2" t="s">
        <v>204</v>
      </c>
      <c r="H27" s="2" t="s">
        <v>347</v>
      </c>
      <c r="I27" s="2" t="s">
        <v>490</v>
      </c>
      <c r="J27" s="2" t="s">
        <v>633</v>
      </c>
      <c r="K27" s="2" t="s">
        <v>776</v>
      </c>
      <c r="L27" s="2" t="s">
        <v>919</v>
      </c>
      <c r="M27" s="2" t="s">
        <v>1062</v>
      </c>
      <c r="N27" s="2" t="s">
        <v>1205</v>
      </c>
      <c r="O27" s="2" t="s">
        <v>1348</v>
      </c>
      <c r="P27" s="2" t="s">
        <v>1491</v>
      </c>
      <c r="Q27" s="2" t="s">
        <v>1634</v>
      </c>
      <c r="R27" s="2" t="s">
        <v>1777</v>
      </c>
      <c r="S27" s="2" t="s">
        <v>1920</v>
      </c>
      <c r="T27" s="2" t="s">
        <v>2063</v>
      </c>
      <c r="U27" s="2" t="s">
        <v>2206</v>
      </c>
      <c r="V27" s="2" t="s">
        <v>2349</v>
      </c>
      <c r="W27" s="2" t="s">
        <v>2492</v>
      </c>
      <c r="X27" s="2" t="s">
        <v>2635</v>
      </c>
      <c r="Y27" s="2" t="s">
        <v>2778</v>
      </c>
      <c r="Z27" s="2" t="s">
        <v>2921</v>
      </c>
      <c r="AA27" s="2" t="s">
        <v>3064</v>
      </c>
    </row>
    <row r="28" spans="1:27" x14ac:dyDescent="0.3">
      <c r="A28" s="2" t="s">
        <v>45</v>
      </c>
      <c r="F28" s="2" t="s">
        <v>62</v>
      </c>
      <c r="G28" s="2" t="s">
        <v>205</v>
      </c>
      <c r="H28" s="2" t="s">
        <v>348</v>
      </c>
      <c r="I28" s="2" t="s">
        <v>491</v>
      </c>
      <c r="J28" s="2" t="s">
        <v>634</v>
      </c>
      <c r="K28" s="2" t="s">
        <v>777</v>
      </c>
      <c r="L28" s="2" t="s">
        <v>920</v>
      </c>
      <c r="M28" s="2" t="s">
        <v>1063</v>
      </c>
      <c r="N28" s="2" t="s">
        <v>1206</v>
      </c>
      <c r="O28" s="2" t="s">
        <v>1349</v>
      </c>
      <c r="P28" s="2" t="s">
        <v>1492</v>
      </c>
      <c r="Q28" s="2" t="s">
        <v>1635</v>
      </c>
      <c r="R28" s="2" t="s">
        <v>1778</v>
      </c>
      <c r="S28" s="2" t="s">
        <v>1921</v>
      </c>
      <c r="T28" s="2" t="s">
        <v>2064</v>
      </c>
      <c r="U28" s="2" t="s">
        <v>2207</v>
      </c>
      <c r="V28" s="2" t="s">
        <v>2350</v>
      </c>
      <c r="W28" s="2" t="s">
        <v>2493</v>
      </c>
      <c r="X28" s="2" t="s">
        <v>2636</v>
      </c>
      <c r="Y28" s="2" t="s">
        <v>2779</v>
      </c>
      <c r="Z28" s="2" t="s">
        <v>2922</v>
      </c>
      <c r="AA28" s="2" t="s">
        <v>3065</v>
      </c>
    </row>
    <row r="29" spans="1:27" x14ac:dyDescent="0.3">
      <c r="A29" s="2" t="s">
        <v>45</v>
      </c>
      <c r="F29" s="2" t="s">
        <v>63</v>
      </c>
      <c r="G29" s="2" t="s">
        <v>206</v>
      </c>
      <c r="H29" s="2" t="s">
        <v>349</v>
      </c>
      <c r="I29" s="2" t="s">
        <v>492</v>
      </c>
      <c r="J29" s="2" t="s">
        <v>635</v>
      </c>
      <c r="K29" s="2" t="s">
        <v>778</v>
      </c>
      <c r="L29" s="2" t="s">
        <v>921</v>
      </c>
      <c r="M29" s="2" t="s">
        <v>1064</v>
      </c>
      <c r="N29" s="2" t="s">
        <v>1207</v>
      </c>
      <c r="O29" s="2" t="s">
        <v>1350</v>
      </c>
      <c r="P29" s="2" t="s">
        <v>1493</v>
      </c>
      <c r="Q29" s="2" t="s">
        <v>1636</v>
      </c>
      <c r="R29" s="2" t="s">
        <v>1779</v>
      </c>
      <c r="S29" s="2" t="s">
        <v>1922</v>
      </c>
      <c r="T29" s="2" t="s">
        <v>2065</v>
      </c>
      <c r="U29" s="2" t="s">
        <v>2208</v>
      </c>
      <c r="V29" s="2" t="s">
        <v>2351</v>
      </c>
      <c r="W29" s="2" t="s">
        <v>2494</v>
      </c>
      <c r="X29" s="2" t="s">
        <v>2637</v>
      </c>
      <c r="Y29" s="2" t="s">
        <v>2780</v>
      </c>
      <c r="Z29" s="2" t="s">
        <v>2923</v>
      </c>
      <c r="AA29" s="2" t="s">
        <v>3066</v>
      </c>
    </row>
    <row r="30" spans="1:27" x14ac:dyDescent="0.3">
      <c r="A30" s="2" t="s">
        <v>45</v>
      </c>
      <c r="F30" s="2" t="s">
        <v>64</v>
      </c>
      <c r="G30" s="2" t="s">
        <v>207</v>
      </c>
      <c r="H30" s="2" t="s">
        <v>350</v>
      </c>
      <c r="I30" s="2" t="s">
        <v>493</v>
      </c>
      <c r="J30" s="2" t="s">
        <v>636</v>
      </c>
      <c r="K30" s="2" t="s">
        <v>779</v>
      </c>
      <c r="L30" s="2" t="s">
        <v>922</v>
      </c>
      <c r="M30" s="2" t="s">
        <v>1065</v>
      </c>
      <c r="N30" s="2" t="s">
        <v>1208</v>
      </c>
      <c r="O30" s="2" t="s">
        <v>1351</v>
      </c>
      <c r="P30" s="2" t="s">
        <v>1494</v>
      </c>
      <c r="Q30" s="2" t="s">
        <v>1637</v>
      </c>
      <c r="R30" s="2" t="s">
        <v>1780</v>
      </c>
      <c r="S30" s="2" t="s">
        <v>1923</v>
      </c>
      <c r="T30" s="2" t="s">
        <v>2066</v>
      </c>
      <c r="U30" s="2" t="s">
        <v>2209</v>
      </c>
      <c r="V30" s="2" t="s">
        <v>2352</v>
      </c>
      <c r="W30" s="2" t="s">
        <v>2495</v>
      </c>
      <c r="X30" s="2" t="s">
        <v>2638</v>
      </c>
      <c r="Y30" s="2" t="s">
        <v>2781</v>
      </c>
      <c r="Z30" s="2" t="s">
        <v>2924</v>
      </c>
      <c r="AA30" s="2" t="s">
        <v>3067</v>
      </c>
    </row>
    <row r="31" spans="1:27" x14ac:dyDescent="0.3">
      <c r="A31" s="2" t="s">
        <v>45</v>
      </c>
      <c r="F31" s="2" t="s">
        <v>65</v>
      </c>
      <c r="G31" s="2" t="s">
        <v>208</v>
      </c>
      <c r="H31" s="2" t="s">
        <v>351</v>
      </c>
      <c r="I31" s="2" t="s">
        <v>494</v>
      </c>
      <c r="J31" s="2" t="s">
        <v>637</v>
      </c>
      <c r="K31" s="2" t="s">
        <v>780</v>
      </c>
      <c r="L31" s="2" t="s">
        <v>923</v>
      </c>
      <c r="M31" s="2" t="s">
        <v>1066</v>
      </c>
      <c r="N31" s="2" t="s">
        <v>1209</v>
      </c>
      <c r="O31" s="2" t="s">
        <v>1352</v>
      </c>
      <c r="P31" s="2" t="s">
        <v>1495</v>
      </c>
      <c r="Q31" s="2" t="s">
        <v>1638</v>
      </c>
      <c r="R31" s="2" t="s">
        <v>1781</v>
      </c>
      <c r="S31" s="2" t="s">
        <v>1924</v>
      </c>
      <c r="T31" s="2" t="s">
        <v>2067</v>
      </c>
      <c r="U31" s="2" t="s">
        <v>2210</v>
      </c>
      <c r="V31" s="2" t="s">
        <v>2353</v>
      </c>
      <c r="W31" s="2" t="s">
        <v>2496</v>
      </c>
      <c r="X31" s="2" t="s">
        <v>2639</v>
      </c>
      <c r="Y31" s="2" t="s">
        <v>2782</v>
      </c>
      <c r="Z31" s="2" t="s">
        <v>2925</v>
      </c>
      <c r="AA31" s="2" t="s">
        <v>3068</v>
      </c>
    </row>
    <row r="32" spans="1:27" x14ac:dyDescent="0.3">
      <c r="A32" s="2" t="s">
        <v>45</v>
      </c>
      <c r="F32" s="2" t="s">
        <v>66</v>
      </c>
      <c r="G32" s="2" t="s">
        <v>209</v>
      </c>
      <c r="H32" s="2" t="s">
        <v>352</v>
      </c>
      <c r="I32" s="2" t="s">
        <v>495</v>
      </c>
      <c r="J32" s="2" t="s">
        <v>638</v>
      </c>
      <c r="K32" s="2" t="s">
        <v>781</v>
      </c>
      <c r="L32" s="2" t="s">
        <v>924</v>
      </c>
      <c r="M32" s="2" t="s">
        <v>1067</v>
      </c>
      <c r="N32" s="2" t="s">
        <v>1210</v>
      </c>
      <c r="O32" s="2" t="s">
        <v>1353</v>
      </c>
      <c r="P32" s="2" t="s">
        <v>1496</v>
      </c>
      <c r="Q32" s="2" t="s">
        <v>1639</v>
      </c>
      <c r="R32" s="2" t="s">
        <v>1782</v>
      </c>
      <c r="S32" s="2" t="s">
        <v>1925</v>
      </c>
      <c r="T32" s="2" t="s">
        <v>2068</v>
      </c>
      <c r="U32" s="2" t="s">
        <v>2211</v>
      </c>
      <c r="V32" s="2" t="s">
        <v>2354</v>
      </c>
      <c r="W32" s="2" t="s">
        <v>2497</v>
      </c>
      <c r="X32" s="2" t="s">
        <v>2640</v>
      </c>
      <c r="Y32" s="2" t="s">
        <v>2783</v>
      </c>
      <c r="Z32" s="2" t="s">
        <v>2926</v>
      </c>
      <c r="AA32" s="2" t="s">
        <v>3069</v>
      </c>
    </row>
    <row r="33" spans="1:27" x14ac:dyDescent="0.3">
      <c r="A33" s="2" t="s">
        <v>45</v>
      </c>
      <c r="F33" s="2" t="s">
        <v>67</v>
      </c>
      <c r="G33" s="2" t="s">
        <v>210</v>
      </c>
      <c r="H33" s="2" t="s">
        <v>353</v>
      </c>
      <c r="I33" s="2" t="s">
        <v>496</v>
      </c>
      <c r="J33" s="2" t="s">
        <v>639</v>
      </c>
      <c r="K33" s="2" t="s">
        <v>782</v>
      </c>
      <c r="L33" s="2" t="s">
        <v>925</v>
      </c>
      <c r="M33" s="2" t="s">
        <v>1068</v>
      </c>
      <c r="N33" s="2" t="s">
        <v>1211</v>
      </c>
      <c r="O33" s="2" t="s">
        <v>1354</v>
      </c>
      <c r="P33" s="2" t="s">
        <v>1497</v>
      </c>
      <c r="Q33" s="2" t="s">
        <v>1640</v>
      </c>
      <c r="R33" s="2" t="s">
        <v>1783</v>
      </c>
      <c r="S33" s="2" t="s">
        <v>1926</v>
      </c>
      <c r="T33" s="2" t="s">
        <v>2069</v>
      </c>
      <c r="U33" s="2" t="s">
        <v>2212</v>
      </c>
      <c r="V33" s="2" t="s">
        <v>2355</v>
      </c>
      <c r="W33" s="2" t="s">
        <v>2498</v>
      </c>
      <c r="X33" s="2" t="s">
        <v>2641</v>
      </c>
      <c r="Y33" s="2" t="s">
        <v>2784</v>
      </c>
      <c r="Z33" s="2" t="s">
        <v>2927</v>
      </c>
      <c r="AA33" s="2" t="s">
        <v>3070</v>
      </c>
    </row>
    <row r="34" spans="1:27" x14ac:dyDescent="0.3">
      <c r="A34" s="2" t="s">
        <v>45</v>
      </c>
      <c r="F34" s="2" t="s">
        <v>68</v>
      </c>
      <c r="G34" s="2" t="s">
        <v>211</v>
      </c>
      <c r="H34" s="2" t="s">
        <v>354</v>
      </c>
      <c r="I34" s="2" t="s">
        <v>497</v>
      </c>
      <c r="J34" s="2" t="s">
        <v>640</v>
      </c>
      <c r="K34" s="2" t="s">
        <v>783</v>
      </c>
      <c r="L34" s="2" t="s">
        <v>926</v>
      </c>
      <c r="M34" s="2" t="s">
        <v>1069</v>
      </c>
      <c r="N34" s="2" t="s">
        <v>1212</v>
      </c>
      <c r="O34" s="2" t="s">
        <v>1355</v>
      </c>
      <c r="P34" s="2" t="s">
        <v>1498</v>
      </c>
      <c r="Q34" s="2" t="s">
        <v>1641</v>
      </c>
      <c r="R34" s="2" t="s">
        <v>1784</v>
      </c>
      <c r="S34" s="2" t="s">
        <v>1927</v>
      </c>
      <c r="T34" s="2" t="s">
        <v>2070</v>
      </c>
      <c r="U34" s="2" t="s">
        <v>2213</v>
      </c>
      <c r="V34" s="2" t="s">
        <v>2356</v>
      </c>
      <c r="W34" s="2" t="s">
        <v>2499</v>
      </c>
      <c r="X34" s="2" t="s">
        <v>2642</v>
      </c>
      <c r="Y34" s="2" t="s">
        <v>2785</v>
      </c>
      <c r="Z34" s="2" t="s">
        <v>2928</v>
      </c>
      <c r="AA34" s="2" t="s">
        <v>3071</v>
      </c>
    </row>
    <row r="35" spans="1:27" x14ac:dyDescent="0.3">
      <c r="A35" s="2" t="s">
        <v>45</v>
      </c>
      <c r="F35" s="2" t="s">
        <v>69</v>
      </c>
      <c r="G35" s="2" t="s">
        <v>212</v>
      </c>
      <c r="H35" s="2" t="s">
        <v>355</v>
      </c>
      <c r="I35" s="2" t="s">
        <v>498</v>
      </c>
      <c r="J35" s="2" t="s">
        <v>641</v>
      </c>
      <c r="K35" s="2" t="s">
        <v>784</v>
      </c>
      <c r="L35" s="2" t="s">
        <v>927</v>
      </c>
      <c r="M35" s="2" t="s">
        <v>1070</v>
      </c>
      <c r="N35" s="2" t="s">
        <v>1213</v>
      </c>
      <c r="O35" s="2" t="s">
        <v>1356</v>
      </c>
      <c r="P35" s="2" t="s">
        <v>1499</v>
      </c>
      <c r="Q35" s="2" t="s">
        <v>1642</v>
      </c>
      <c r="R35" s="2" t="s">
        <v>1785</v>
      </c>
      <c r="S35" s="2" t="s">
        <v>1928</v>
      </c>
      <c r="T35" s="2" t="s">
        <v>2071</v>
      </c>
      <c r="U35" s="2" t="s">
        <v>2214</v>
      </c>
      <c r="V35" s="2" t="s">
        <v>2357</v>
      </c>
      <c r="W35" s="2" t="s">
        <v>2500</v>
      </c>
      <c r="X35" s="2" t="s">
        <v>2643</v>
      </c>
      <c r="Y35" s="2" t="s">
        <v>2786</v>
      </c>
      <c r="Z35" s="2" t="s">
        <v>2929</v>
      </c>
      <c r="AA35" s="2" t="s">
        <v>3072</v>
      </c>
    </row>
    <row r="36" spans="1:27" x14ac:dyDescent="0.3">
      <c r="A36" s="2" t="s">
        <v>45</v>
      </c>
      <c r="F36" s="2" t="s">
        <v>70</v>
      </c>
      <c r="G36" s="2" t="s">
        <v>213</v>
      </c>
      <c r="H36" s="2" t="s">
        <v>356</v>
      </c>
      <c r="I36" s="2" t="s">
        <v>499</v>
      </c>
      <c r="J36" s="2" t="s">
        <v>642</v>
      </c>
      <c r="K36" s="2" t="s">
        <v>785</v>
      </c>
      <c r="L36" s="2" t="s">
        <v>928</v>
      </c>
      <c r="M36" s="2" t="s">
        <v>1071</v>
      </c>
      <c r="N36" s="2" t="s">
        <v>1214</v>
      </c>
      <c r="O36" s="2" t="s">
        <v>1357</v>
      </c>
      <c r="P36" s="2" t="s">
        <v>1500</v>
      </c>
      <c r="Q36" s="2" t="s">
        <v>1643</v>
      </c>
      <c r="R36" s="2" t="s">
        <v>1786</v>
      </c>
      <c r="S36" s="2" t="s">
        <v>1929</v>
      </c>
      <c r="T36" s="2" t="s">
        <v>2072</v>
      </c>
      <c r="U36" s="2" t="s">
        <v>2215</v>
      </c>
      <c r="V36" s="2" t="s">
        <v>2358</v>
      </c>
      <c r="W36" s="2" t="s">
        <v>2501</v>
      </c>
      <c r="X36" s="2" t="s">
        <v>2644</v>
      </c>
      <c r="Y36" s="2" t="s">
        <v>2787</v>
      </c>
      <c r="Z36" s="2" t="s">
        <v>2930</v>
      </c>
      <c r="AA36" s="2" t="s">
        <v>3073</v>
      </c>
    </row>
    <row r="37" spans="1:27" x14ac:dyDescent="0.3">
      <c r="A37" s="2" t="s">
        <v>45</v>
      </c>
      <c r="F37" s="2" t="s">
        <v>71</v>
      </c>
      <c r="G37" s="2" t="s">
        <v>214</v>
      </c>
      <c r="H37" s="2" t="s">
        <v>357</v>
      </c>
      <c r="I37" s="2" t="s">
        <v>500</v>
      </c>
      <c r="J37" s="2" t="s">
        <v>643</v>
      </c>
      <c r="K37" s="2" t="s">
        <v>786</v>
      </c>
      <c r="L37" s="2" t="s">
        <v>929</v>
      </c>
      <c r="M37" s="2" t="s">
        <v>1072</v>
      </c>
      <c r="N37" s="2" t="s">
        <v>1215</v>
      </c>
      <c r="O37" s="2" t="s">
        <v>1358</v>
      </c>
      <c r="P37" s="2" t="s">
        <v>1501</v>
      </c>
      <c r="Q37" s="2" t="s">
        <v>1644</v>
      </c>
      <c r="R37" s="2" t="s">
        <v>1787</v>
      </c>
      <c r="S37" s="2" t="s">
        <v>1930</v>
      </c>
      <c r="T37" s="2" t="s">
        <v>2073</v>
      </c>
      <c r="U37" s="2" t="s">
        <v>2216</v>
      </c>
      <c r="V37" s="2" t="s">
        <v>2359</v>
      </c>
      <c r="W37" s="2" t="s">
        <v>2502</v>
      </c>
      <c r="X37" s="2" t="s">
        <v>2645</v>
      </c>
      <c r="Y37" s="2" t="s">
        <v>2788</v>
      </c>
      <c r="Z37" s="2" t="s">
        <v>2931</v>
      </c>
      <c r="AA37" s="2" t="s">
        <v>3074</v>
      </c>
    </row>
    <row r="38" spans="1:27" x14ac:dyDescent="0.3">
      <c r="A38" s="2" t="s">
        <v>45</v>
      </c>
      <c r="F38" s="2" t="s">
        <v>72</v>
      </c>
      <c r="G38" s="2" t="s">
        <v>215</v>
      </c>
      <c r="H38" s="2" t="s">
        <v>358</v>
      </c>
      <c r="I38" s="2" t="s">
        <v>501</v>
      </c>
      <c r="J38" s="2" t="s">
        <v>644</v>
      </c>
      <c r="K38" s="2" t="s">
        <v>787</v>
      </c>
      <c r="L38" s="2" t="s">
        <v>930</v>
      </c>
      <c r="M38" s="2" t="s">
        <v>1073</v>
      </c>
      <c r="N38" s="2" t="s">
        <v>1216</v>
      </c>
      <c r="O38" s="2" t="s">
        <v>1359</v>
      </c>
      <c r="P38" s="2" t="s">
        <v>1502</v>
      </c>
      <c r="Q38" s="2" t="s">
        <v>1645</v>
      </c>
      <c r="R38" s="2" t="s">
        <v>1788</v>
      </c>
      <c r="S38" s="2" t="s">
        <v>1931</v>
      </c>
      <c r="T38" s="2" t="s">
        <v>2074</v>
      </c>
      <c r="U38" s="2" t="s">
        <v>2217</v>
      </c>
      <c r="V38" s="2" t="s">
        <v>2360</v>
      </c>
      <c r="W38" s="2" t="s">
        <v>2503</v>
      </c>
      <c r="X38" s="2" t="s">
        <v>2646</v>
      </c>
      <c r="Y38" s="2" t="s">
        <v>2789</v>
      </c>
      <c r="Z38" s="2" t="s">
        <v>2932</v>
      </c>
      <c r="AA38" s="2" t="s">
        <v>3075</v>
      </c>
    </row>
    <row r="39" spans="1:27" x14ac:dyDescent="0.3">
      <c r="A39" s="2" t="s">
        <v>45</v>
      </c>
      <c r="F39" s="2" t="s">
        <v>73</v>
      </c>
      <c r="G39" s="2" t="s">
        <v>216</v>
      </c>
      <c r="H39" s="2" t="s">
        <v>359</v>
      </c>
      <c r="I39" s="2" t="s">
        <v>502</v>
      </c>
      <c r="J39" s="2" t="s">
        <v>645</v>
      </c>
      <c r="K39" s="2" t="s">
        <v>788</v>
      </c>
      <c r="L39" s="2" t="s">
        <v>931</v>
      </c>
      <c r="M39" s="2" t="s">
        <v>1074</v>
      </c>
      <c r="N39" s="2" t="s">
        <v>1217</v>
      </c>
      <c r="O39" s="2" t="s">
        <v>1360</v>
      </c>
      <c r="P39" s="2" t="s">
        <v>1503</v>
      </c>
      <c r="Q39" s="2" t="s">
        <v>1646</v>
      </c>
      <c r="R39" s="2" t="s">
        <v>1789</v>
      </c>
      <c r="S39" s="2" t="s">
        <v>1932</v>
      </c>
      <c r="T39" s="2" t="s">
        <v>2075</v>
      </c>
      <c r="U39" s="2" t="s">
        <v>2218</v>
      </c>
      <c r="V39" s="2" t="s">
        <v>2361</v>
      </c>
      <c r="W39" s="2" t="s">
        <v>2504</v>
      </c>
      <c r="X39" s="2" t="s">
        <v>2647</v>
      </c>
      <c r="Y39" s="2" t="s">
        <v>2790</v>
      </c>
      <c r="Z39" s="2" t="s">
        <v>2933</v>
      </c>
      <c r="AA39" s="2" t="s">
        <v>3076</v>
      </c>
    </row>
    <row r="40" spans="1:27" x14ac:dyDescent="0.3">
      <c r="A40" s="2" t="s">
        <v>45</v>
      </c>
      <c r="F40" s="2" t="s">
        <v>74</v>
      </c>
      <c r="G40" s="2" t="s">
        <v>217</v>
      </c>
      <c r="H40" s="2" t="s">
        <v>360</v>
      </c>
      <c r="I40" s="2" t="s">
        <v>503</v>
      </c>
      <c r="J40" s="2" t="s">
        <v>646</v>
      </c>
      <c r="K40" s="2" t="s">
        <v>789</v>
      </c>
      <c r="L40" s="2" t="s">
        <v>932</v>
      </c>
      <c r="M40" s="2" t="s">
        <v>1075</v>
      </c>
      <c r="N40" s="2" t="s">
        <v>1218</v>
      </c>
      <c r="O40" s="2" t="s">
        <v>1361</v>
      </c>
      <c r="P40" s="2" t="s">
        <v>1504</v>
      </c>
      <c r="Q40" s="2" t="s">
        <v>1647</v>
      </c>
      <c r="R40" s="2" t="s">
        <v>1790</v>
      </c>
      <c r="S40" s="2" t="s">
        <v>1933</v>
      </c>
      <c r="T40" s="2" t="s">
        <v>2076</v>
      </c>
      <c r="U40" s="2" t="s">
        <v>2219</v>
      </c>
      <c r="V40" s="2" t="s">
        <v>2362</v>
      </c>
      <c r="W40" s="2" t="s">
        <v>2505</v>
      </c>
      <c r="X40" s="2" t="s">
        <v>2648</v>
      </c>
      <c r="Y40" s="2" t="s">
        <v>2791</v>
      </c>
      <c r="Z40" s="2" t="s">
        <v>2934</v>
      </c>
      <c r="AA40" s="2" t="s">
        <v>3077</v>
      </c>
    </row>
    <row r="41" spans="1:27" x14ac:dyDescent="0.3">
      <c r="A41" s="2" t="s">
        <v>45</v>
      </c>
      <c r="F41" s="2" t="s">
        <v>75</v>
      </c>
      <c r="G41" s="2" t="s">
        <v>218</v>
      </c>
      <c r="H41" s="2" t="s">
        <v>361</v>
      </c>
      <c r="I41" s="2" t="s">
        <v>504</v>
      </c>
      <c r="J41" s="2" t="s">
        <v>647</v>
      </c>
      <c r="K41" s="2" t="s">
        <v>790</v>
      </c>
      <c r="L41" s="2" t="s">
        <v>933</v>
      </c>
      <c r="M41" s="2" t="s">
        <v>1076</v>
      </c>
      <c r="N41" s="2" t="s">
        <v>1219</v>
      </c>
      <c r="O41" s="2" t="s">
        <v>1362</v>
      </c>
      <c r="P41" s="2" t="s">
        <v>1505</v>
      </c>
      <c r="Q41" s="2" t="s">
        <v>1648</v>
      </c>
      <c r="R41" s="2" t="s">
        <v>1791</v>
      </c>
      <c r="S41" s="2" t="s">
        <v>1934</v>
      </c>
      <c r="T41" s="2" t="s">
        <v>2077</v>
      </c>
      <c r="U41" s="2" t="s">
        <v>2220</v>
      </c>
      <c r="V41" s="2" t="s">
        <v>2363</v>
      </c>
      <c r="W41" s="2" t="s">
        <v>2506</v>
      </c>
      <c r="X41" s="2" t="s">
        <v>2649</v>
      </c>
      <c r="Y41" s="2" t="s">
        <v>2792</v>
      </c>
      <c r="Z41" s="2" t="s">
        <v>2935</v>
      </c>
      <c r="AA41" s="2" t="s">
        <v>3078</v>
      </c>
    </row>
    <row r="42" spans="1:27" x14ac:dyDescent="0.3">
      <c r="A42" s="2" t="s">
        <v>45</v>
      </c>
      <c r="F42" s="2" t="s">
        <v>76</v>
      </c>
      <c r="G42" s="2" t="s">
        <v>219</v>
      </c>
      <c r="H42" s="2" t="s">
        <v>362</v>
      </c>
      <c r="I42" s="2" t="s">
        <v>505</v>
      </c>
      <c r="J42" s="2" t="s">
        <v>648</v>
      </c>
      <c r="K42" s="2" t="s">
        <v>791</v>
      </c>
      <c r="L42" s="2" t="s">
        <v>934</v>
      </c>
      <c r="M42" s="2" t="s">
        <v>1077</v>
      </c>
      <c r="N42" s="2" t="s">
        <v>1220</v>
      </c>
      <c r="O42" s="2" t="s">
        <v>1363</v>
      </c>
      <c r="P42" s="2" t="s">
        <v>1506</v>
      </c>
      <c r="Q42" s="2" t="s">
        <v>1649</v>
      </c>
      <c r="R42" s="2" t="s">
        <v>1792</v>
      </c>
      <c r="S42" s="2" t="s">
        <v>1935</v>
      </c>
      <c r="T42" s="2" t="s">
        <v>2078</v>
      </c>
      <c r="U42" s="2" t="s">
        <v>2221</v>
      </c>
      <c r="V42" s="2" t="s">
        <v>2364</v>
      </c>
      <c r="W42" s="2" t="s">
        <v>2507</v>
      </c>
      <c r="X42" s="2" t="s">
        <v>2650</v>
      </c>
      <c r="Y42" s="2" t="s">
        <v>2793</v>
      </c>
      <c r="Z42" s="2" t="s">
        <v>2936</v>
      </c>
      <c r="AA42" s="2" t="s">
        <v>3079</v>
      </c>
    </row>
    <row r="43" spans="1:27" x14ac:dyDescent="0.3">
      <c r="A43" s="2" t="s">
        <v>45</v>
      </c>
      <c r="F43" s="2" t="s">
        <v>77</v>
      </c>
      <c r="G43" s="2" t="s">
        <v>220</v>
      </c>
      <c r="H43" s="2" t="s">
        <v>363</v>
      </c>
      <c r="I43" s="2" t="s">
        <v>506</v>
      </c>
      <c r="J43" s="2" t="s">
        <v>649</v>
      </c>
      <c r="K43" s="2" t="s">
        <v>792</v>
      </c>
      <c r="L43" s="2" t="s">
        <v>935</v>
      </c>
      <c r="M43" s="2" t="s">
        <v>1078</v>
      </c>
      <c r="N43" s="2" t="s">
        <v>1221</v>
      </c>
      <c r="O43" s="2" t="s">
        <v>1364</v>
      </c>
      <c r="P43" s="2" t="s">
        <v>1507</v>
      </c>
      <c r="Q43" s="2" t="s">
        <v>1650</v>
      </c>
      <c r="R43" s="2" t="s">
        <v>1793</v>
      </c>
      <c r="S43" s="2" t="s">
        <v>1936</v>
      </c>
      <c r="T43" s="2" t="s">
        <v>2079</v>
      </c>
      <c r="U43" s="2" t="s">
        <v>2222</v>
      </c>
      <c r="V43" s="2" t="s">
        <v>2365</v>
      </c>
      <c r="W43" s="2" t="s">
        <v>2508</v>
      </c>
      <c r="X43" s="2" t="s">
        <v>2651</v>
      </c>
      <c r="Y43" s="2" t="s">
        <v>2794</v>
      </c>
      <c r="Z43" s="2" t="s">
        <v>2937</v>
      </c>
      <c r="AA43" s="2" t="s">
        <v>3080</v>
      </c>
    </row>
    <row r="44" spans="1:27" x14ac:dyDescent="0.3">
      <c r="A44" s="2" t="s">
        <v>45</v>
      </c>
      <c r="F44" s="2" t="s">
        <v>78</v>
      </c>
      <c r="G44" s="2" t="s">
        <v>221</v>
      </c>
      <c r="H44" s="2" t="s">
        <v>364</v>
      </c>
      <c r="I44" s="2" t="s">
        <v>507</v>
      </c>
      <c r="J44" s="2" t="s">
        <v>650</v>
      </c>
      <c r="K44" s="2" t="s">
        <v>793</v>
      </c>
      <c r="L44" s="2" t="s">
        <v>936</v>
      </c>
      <c r="M44" s="2" t="s">
        <v>1079</v>
      </c>
      <c r="N44" s="2" t="s">
        <v>1222</v>
      </c>
      <c r="O44" s="2" t="s">
        <v>1365</v>
      </c>
      <c r="P44" s="2" t="s">
        <v>1508</v>
      </c>
      <c r="Q44" s="2" t="s">
        <v>1651</v>
      </c>
      <c r="R44" s="2" t="s">
        <v>1794</v>
      </c>
      <c r="S44" s="2" t="s">
        <v>1937</v>
      </c>
      <c r="T44" s="2" t="s">
        <v>2080</v>
      </c>
      <c r="U44" s="2" t="s">
        <v>2223</v>
      </c>
      <c r="V44" s="2" t="s">
        <v>2366</v>
      </c>
      <c r="W44" s="2" t="s">
        <v>2509</v>
      </c>
      <c r="X44" s="2" t="s">
        <v>2652</v>
      </c>
      <c r="Y44" s="2" t="s">
        <v>2795</v>
      </c>
      <c r="Z44" s="2" t="s">
        <v>2938</v>
      </c>
      <c r="AA44" s="2" t="s">
        <v>3081</v>
      </c>
    </row>
    <row r="45" spans="1:27" x14ac:dyDescent="0.3">
      <c r="A45" s="2" t="s">
        <v>45</v>
      </c>
      <c r="F45" s="2" t="s">
        <v>79</v>
      </c>
      <c r="G45" s="2" t="s">
        <v>222</v>
      </c>
      <c r="H45" s="2" t="s">
        <v>365</v>
      </c>
      <c r="I45" s="2" t="s">
        <v>508</v>
      </c>
      <c r="J45" s="2" t="s">
        <v>651</v>
      </c>
      <c r="K45" s="2" t="s">
        <v>794</v>
      </c>
      <c r="L45" s="2" t="s">
        <v>937</v>
      </c>
      <c r="M45" s="2" t="s">
        <v>1080</v>
      </c>
      <c r="N45" s="2" t="s">
        <v>1223</v>
      </c>
      <c r="O45" s="2" t="s">
        <v>1366</v>
      </c>
      <c r="P45" s="2" t="s">
        <v>1509</v>
      </c>
      <c r="Q45" s="2" t="s">
        <v>1652</v>
      </c>
      <c r="R45" s="2" t="s">
        <v>1795</v>
      </c>
      <c r="S45" s="2" t="s">
        <v>1938</v>
      </c>
      <c r="T45" s="2" t="s">
        <v>2081</v>
      </c>
      <c r="U45" s="2" t="s">
        <v>2224</v>
      </c>
      <c r="V45" s="2" t="s">
        <v>2367</v>
      </c>
      <c r="W45" s="2" t="s">
        <v>2510</v>
      </c>
      <c r="X45" s="2" t="s">
        <v>2653</v>
      </c>
      <c r="Y45" s="2" t="s">
        <v>2796</v>
      </c>
      <c r="Z45" s="2" t="s">
        <v>2939</v>
      </c>
      <c r="AA45" s="2" t="s">
        <v>3082</v>
      </c>
    </row>
    <row r="46" spans="1:27" x14ac:dyDescent="0.3">
      <c r="A46" s="2" t="s">
        <v>45</v>
      </c>
      <c r="F46" s="2" t="s">
        <v>80</v>
      </c>
      <c r="G46" s="2" t="s">
        <v>223</v>
      </c>
      <c r="H46" s="2" t="s">
        <v>366</v>
      </c>
      <c r="I46" s="2" t="s">
        <v>509</v>
      </c>
      <c r="J46" s="2" t="s">
        <v>652</v>
      </c>
      <c r="K46" s="2" t="s">
        <v>795</v>
      </c>
      <c r="L46" s="2" t="s">
        <v>938</v>
      </c>
      <c r="M46" s="2" t="s">
        <v>1081</v>
      </c>
      <c r="N46" s="2" t="s">
        <v>1224</v>
      </c>
      <c r="O46" s="2" t="s">
        <v>1367</v>
      </c>
      <c r="P46" s="2" t="s">
        <v>1510</v>
      </c>
      <c r="Q46" s="2" t="s">
        <v>1653</v>
      </c>
      <c r="R46" s="2" t="s">
        <v>1796</v>
      </c>
      <c r="S46" s="2" t="s">
        <v>1939</v>
      </c>
      <c r="T46" s="2" t="s">
        <v>2082</v>
      </c>
      <c r="U46" s="2" t="s">
        <v>2225</v>
      </c>
      <c r="V46" s="2" t="s">
        <v>2368</v>
      </c>
      <c r="W46" s="2" t="s">
        <v>2511</v>
      </c>
      <c r="X46" s="2" t="s">
        <v>2654</v>
      </c>
      <c r="Y46" s="2" t="s">
        <v>2797</v>
      </c>
      <c r="Z46" s="2" t="s">
        <v>2940</v>
      </c>
      <c r="AA46" s="2" t="s">
        <v>3083</v>
      </c>
    </row>
    <row r="47" spans="1:27" x14ac:dyDescent="0.3">
      <c r="A47" s="2" t="s">
        <v>45</v>
      </c>
      <c r="F47" s="2" t="s">
        <v>81</v>
      </c>
      <c r="G47" s="2" t="s">
        <v>224</v>
      </c>
      <c r="H47" s="2" t="s">
        <v>367</v>
      </c>
      <c r="I47" s="2" t="s">
        <v>510</v>
      </c>
      <c r="J47" s="2" t="s">
        <v>653</v>
      </c>
      <c r="K47" s="2" t="s">
        <v>796</v>
      </c>
      <c r="L47" s="2" t="s">
        <v>939</v>
      </c>
      <c r="M47" s="2" t="s">
        <v>1082</v>
      </c>
      <c r="N47" s="2" t="s">
        <v>1225</v>
      </c>
      <c r="O47" s="2" t="s">
        <v>1368</v>
      </c>
      <c r="P47" s="2" t="s">
        <v>1511</v>
      </c>
      <c r="Q47" s="2" t="s">
        <v>1654</v>
      </c>
      <c r="R47" s="2" t="s">
        <v>1797</v>
      </c>
      <c r="S47" s="2" t="s">
        <v>1940</v>
      </c>
      <c r="T47" s="2" t="s">
        <v>2083</v>
      </c>
      <c r="U47" s="2" t="s">
        <v>2226</v>
      </c>
      <c r="V47" s="2" t="s">
        <v>2369</v>
      </c>
      <c r="W47" s="2" t="s">
        <v>2512</v>
      </c>
      <c r="X47" s="2" t="s">
        <v>2655</v>
      </c>
      <c r="Y47" s="2" t="s">
        <v>2798</v>
      </c>
      <c r="Z47" s="2" t="s">
        <v>2941</v>
      </c>
      <c r="AA47" s="2" t="s">
        <v>3084</v>
      </c>
    </row>
    <row r="48" spans="1:27" x14ac:dyDescent="0.3">
      <c r="A48" s="2" t="s">
        <v>45</v>
      </c>
      <c r="F48" s="2" t="s">
        <v>82</v>
      </c>
      <c r="G48" s="2" t="s">
        <v>225</v>
      </c>
      <c r="H48" s="2" t="s">
        <v>368</v>
      </c>
      <c r="I48" s="2" t="s">
        <v>511</v>
      </c>
      <c r="J48" s="2" t="s">
        <v>654</v>
      </c>
      <c r="K48" s="2" t="s">
        <v>797</v>
      </c>
      <c r="L48" s="2" t="s">
        <v>940</v>
      </c>
      <c r="M48" s="2" t="s">
        <v>1083</v>
      </c>
      <c r="N48" s="2" t="s">
        <v>1226</v>
      </c>
      <c r="O48" s="2" t="s">
        <v>1369</v>
      </c>
      <c r="P48" s="2" t="s">
        <v>1512</v>
      </c>
      <c r="Q48" s="2" t="s">
        <v>1655</v>
      </c>
      <c r="R48" s="2" t="s">
        <v>1798</v>
      </c>
      <c r="S48" s="2" t="s">
        <v>1941</v>
      </c>
      <c r="T48" s="2" t="s">
        <v>2084</v>
      </c>
      <c r="U48" s="2" t="s">
        <v>2227</v>
      </c>
      <c r="V48" s="2" t="s">
        <v>2370</v>
      </c>
      <c r="W48" s="2" t="s">
        <v>2513</v>
      </c>
      <c r="X48" s="2" t="s">
        <v>2656</v>
      </c>
      <c r="Y48" s="2" t="s">
        <v>2799</v>
      </c>
      <c r="Z48" s="2" t="s">
        <v>2942</v>
      </c>
      <c r="AA48" s="2" t="s">
        <v>3085</v>
      </c>
    </row>
    <row r="49" spans="1:27" x14ac:dyDescent="0.3">
      <c r="A49" s="2" t="s">
        <v>45</v>
      </c>
      <c r="F49" s="2" t="s">
        <v>83</v>
      </c>
      <c r="G49" s="2" t="s">
        <v>226</v>
      </c>
      <c r="H49" s="2" t="s">
        <v>369</v>
      </c>
      <c r="I49" s="2" t="s">
        <v>512</v>
      </c>
      <c r="J49" s="2" t="s">
        <v>655</v>
      </c>
      <c r="K49" s="2" t="s">
        <v>798</v>
      </c>
      <c r="L49" s="2" t="s">
        <v>941</v>
      </c>
      <c r="M49" s="2" t="s">
        <v>1084</v>
      </c>
      <c r="N49" s="2" t="s">
        <v>1227</v>
      </c>
      <c r="O49" s="2" t="s">
        <v>1370</v>
      </c>
      <c r="P49" s="2" t="s">
        <v>1513</v>
      </c>
      <c r="Q49" s="2" t="s">
        <v>1656</v>
      </c>
      <c r="R49" s="2" t="s">
        <v>1799</v>
      </c>
      <c r="S49" s="2" t="s">
        <v>1942</v>
      </c>
      <c r="T49" s="2" t="s">
        <v>2085</v>
      </c>
      <c r="U49" s="2" t="s">
        <v>2228</v>
      </c>
      <c r="V49" s="2" t="s">
        <v>2371</v>
      </c>
      <c r="W49" s="2" t="s">
        <v>2514</v>
      </c>
      <c r="X49" s="2" t="s">
        <v>2657</v>
      </c>
      <c r="Y49" s="2" t="s">
        <v>2800</v>
      </c>
      <c r="Z49" s="2" t="s">
        <v>2943</v>
      </c>
      <c r="AA49" s="2" t="s">
        <v>3086</v>
      </c>
    </row>
    <row r="50" spans="1:27" x14ac:dyDescent="0.3">
      <c r="A50" s="2" t="s">
        <v>45</v>
      </c>
      <c r="F50" s="2" t="s">
        <v>84</v>
      </c>
      <c r="G50" s="2" t="s">
        <v>227</v>
      </c>
      <c r="H50" s="2" t="s">
        <v>370</v>
      </c>
      <c r="I50" s="2" t="s">
        <v>513</v>
      </c>
      <c r="J50" s="2" t="s">
        <v>656</v>
      </c>
      <c r="K50" s="2" t="s">
        <v>799</v>
      </c>
      <c r="L50" s="2" t="s">
        <v>942</v>
      </c>
      <c r="M50" s="2" t="s">
        <v>1085</v>
      </c>
      <c r="N50" s="2" t="s">
        <v>1228</v>
      </c>
      <c r="O50" s="2" t="s">
        <v>1371</v>
      </c>
      <c r="P50" s="2" t="s">
        <v>1514</v>
      </c>
      <c r="Q50" s="2" t="s">
        <v>1657</v>
      </c>
      <c r="R50" s="2" t="s">
        <v>1800</v>
      </c>
      <c r="S50" s="2" t="s">
        <v>1943</v>
      </c>
      <c r="T50" s="2" t="s">
        <v>2086</v>
      </c>
      <c r="U50" s="2" t="s">
        <v>2229</v>
      </c>
      <c r="V50" s="2" t="s">
        <v>2372</v>
      </c>
      <c r="W50" s="2" t="s">
        <v>2515</v>
      </c>
      <c r="X50" s="2" t="s">
        <v>2658</v>
      </c>
      <c r="Y50" s="2" t="s">
        <v>2801</v>
      </c>
      <c r="Z50" s="2" t="s">
        <v>2944</v>
      </c>
      <c r="AA50" s="2" t="s">
        <v>3087</v>
      </c>
    </row>
    <row r="51" spans="1:27" x14ac:dyDescent="0.3">
      <c r="A51" s="2" t="s">
        <v>45</v>
      </c>
      <c r="F51" s="2" t="s">
        <v>85</v>
      </c>
      <c r="G51" s="2" t="s">
        <v>228</v>
      </c>
      <c r="H51" s="2" t="s">
        <v>371</v>
      </c>
      <c r="I51" s="2" t="s">
        <v>514</v>
      </c>
      <c r="J51" s="2" t="s">
        <v>657</v>
      </c>
      <c r="K51" s="2" t="s">
        <v>800</v>
      </c>
      <c r="L51" s="2" t="s">
        <v>943</v>
      </c>
      <c r="M51" s="2" t="s">
        <v>1086</v>
      </c>
      <c r="N51" s="2" t="s">
        <v>1229</v>
      </c>
      <c r="O51" s="2" t="s">
        <v>1372</v>
      </c>
      <c r="P51" s="2" t="s">
        <v>1515</v>
      </c>
      <c r="Q51" s="2" t="s">
        <v>1658</v>
      </c>
      <c r="R51" s="2" t="s">
        <v>1801</v>
      </c>
      <c r="S51" s="2" t="s">
        <v>1944</v>
      </c>
      <c r="T51" s="2" t="s">
        <v>2087</v>
      </c>
      <c r="U51" s="2" t="s">
        <v>2230</v>
      </c>
      <c r="V51" s="2" t="s">
        <v>2373</v>
      </c>
      <c r="W51" s="2" t="s">
        <v>2516</v>
      </c>
      <c r="X51" s="2" t="s">
        <v>2659</v>
      </c>
      <c r="Y51" s="2" t="s">
        <v>2802</v>
      </c>
      <c r="Z51" s="2" t="s">
        <v>2945</v>
      </c>
      <c r="AA51" s="2" t="s">
        <v>3088</v>
      </c>
    </row>
    <row r="52" spans="1:27" x14ac:dyDescent="0.3">
      <c r="A52" s="2" t="s">
        <v>45</v>
      </c>
      <c r="F52" s="2" t="s">
        <v>86</v>
      </c>
      <c r="G52" s="2" t="s">
        <v>229</v>
      </c>
      <c r="H52" s="2" t="s">
        <v>372</v>
      </c>
      <c r="I52" s="2" t="s">
        <v>515</v>
      </c>
      <c r="J52" s="2" t="s">
        <v>658</v>
      </c>
      <c r="K52" s="2" t="s">
        <v>801</v>
      </c>
      <c r="L52" s="2" t="s">
        <v>944</v>
      </c>
      <c r="M52" s="2" t="s">
        <v>1087</v>
      </c>
      <c r="N52" s="2" t="s">
        <v>1230</v>
      </c>
      <c r="O52" s="2" t="s">
        <v>1373</v>
      </c>
      <c r="P52" s="2" t="s">
        <v>1516</v>
      </c>
      <c r="Q52" s="2" t="s">
        <v>1659</v>
      </c>
      <c r="R52" s="2" t="s">
        <v>1802</v>
      </c>
      <c r="S52" s="2" t="s">
        <v>1945</v>
      </c>
      <c r="T52" s="2" t="s">
        <v>2088</v>
      </c>
      <c r="U52" s="2" t="s">
        <v>2231</v>
      </c>
      <c r="V52" s="2" t="s">
        <v>2374</v>
      </c>
      <c r="W52" s="2" t="s">
        <v>2517</v>
      </c>
      <c r="X52" s="2" t="s">
        <v>2660</v>
      </c>
      <c r="Y52" s="2" t="s">
        <v>2803</v>
      </c>
      <c r="Z52" s="2" t="s">
        <v>2946</v>
      </c>
      <c r="AA52" s="2" t="s">
        <v>3089</v>
      </c>
    </row>
    <row r="53" spans="1:27" x14ac:dyDescent="0.3">
      <c r="A53" s="2" t="s">
        <v>45</v>
      </c>
      <c r="F53" s="2" t="s">
        <v>87</v>
      </c>
      <c r="G53" s="2" t="s">
        <v>230</v>
      </c>
      <c r="H53" s="2" t="s">
        <v>373</v>
      </c>
      <c r="I53" s="2" t="s">
        <v>516</v>
      </c>
      <c r="J53" s="2" t="s">
        <v>659</v>
      </c>
      <c r="K53" s="2" t="s">
        <v>802</v>
      </c>
      <c r="L53" s="2" t="s">
        <v>945</v>
      </c>
      <c r="M53" s="2" t="s">
        <v>1088</v>
      </c>
      <c r="N53" s="2" t="s">
        <v>1231</v>
      </c>
      <c r="O53" s="2" t="s">
        <v>1374</v>
      </c>
      <c r="P53" s="2" t="s">
        <v>1517</v>
      </c>
      <c r="Q53" s="2" t="s">
        <v>1660</v>
      </c>
      <c r="R53" s="2" t="s">
        <v>1803</v>
      </c>
      <c r="S53" s="2" t="s">
        <v>1946</v>
      </c>
      <c r="T53" s="2" t="s">
        <v>2089</v>
      </c>
      <c r="U53" s="2" t="s">
        <v>2232</v>
      </c>
      <c r="V53" s="2" t="s">
        <v>2375</v>
      </c>
      <c r="W53" s="2" t="s">
        <v>2518</v>
      </c>
      <c r="X53" s="2" t="s">
        <v>2661</v>
      </c>
      <c r="Y53" s="2" t="s">
        <v>2804</v>
      </c>
      <c r="Z53" s="2" t="s">
        <v>2947</v>
      </c>
      <c r="AA53" s="2" t="s">
        <v>3090</v>
      </c>
    </row>
    <row r="54" spans="1:27" x14ac:dyDescent="0.3">
      <c r="A54" s="2" t="s">
        <v>45</v>
      </c>
      <c r="F54" s="2" t="s">
        <v>88</v>
      </c>
      <c r="G54" s="2" t="s">
        <v>231</v>
      </c>
      <c r="H54" s="2" t="s">
        <v>374</v>
      </c>
      <c r="I54" s="2" t="s">
        <v>517</v>
      </c>
      <c r="J54" s="2" t="s">
        <v>660</v>
      </c>
      <c r="K54" s="2" t="s">
        <v>803</v>
      </c>
      <c r="L54" s="2" t="s">
        <v>946</v>
      </c>
      <c r="M54" s="2" t="s">
        <v>1089</v>
      </c>
      <c r="N54" s="2" t="s">
        <v>1232</v>
      </c>
      <c r="O54" s="2" t="s">
        <v>1375</v>
      </c>
      <c r="P54" s="2" t="s">
        <v>1518</v>
      </c>
      <c r="Q54" s="2" t="s">
        <v>1661</v>
      </c>
      <c r="R54" s="2" t="s">
        <v>1804</v>
      </c>
      <c r="S54" s="2" t="s">
        <v>1947</v>
      </c>
      <c r="T54" s="2" t="s">
        <v>2090</v>
      </c>
      <c r="U54" s="2" t="s">
        <v>2233</v>
      </c>
      <c r="V54" s="2" t="s">
        <v>2376</v>
      </c>
      <c r="W54" s="2" t="s">
        <v>2519</v>
      </c>
      <c r="X54" s="2" t="s">
        <v>2662</v>
      </c>
      <c r="Y54" s="2" t="s">
        <v>2805</v>
      </c>
      <c r="Z54" s="2" t="s">
        <v>2948</v>
      </c>
      <c r="AA54" s="2" t="s">
        <v>3091</v>
      </c>
    </row>
    <row r="55" spans="1:27" x14ac:dyDescent="0.3">
      <c r="A55" s="2" t="s">
        <v>45</v>
      </c>
      <c r="F55" s="2" t="s">
        <v>89</v>
      </c>
      <c r="G55" s="2" t="s">
        <v>232</v>
      </c>
      <c r="H55" s="2" t="s">
        <v>375</v>
      </c>
      <c r="I55" s="2" t="s">
        <v>518</v>
      </c>
      <c r="J55" s="2" t="s">
        <v>661</v>
      </c>
      <c r="K55" s="2" t="s">
        <v>804</v>
      </c>
      <c r="L55" s="2" t="s">
        <v>947</v>
      </c>
      <c r="M55" s="2" t="s">
        <v>1090</v>
      </c>
      <c r="N55" s="2" t="s">
        <v>1233</v>
      </c>
      <c r="O55" s="2" t="s">
        <v>1376</v>
      </c>
      <c r="P55" s="2" t="s">
        <v>1519</v>
      </c>
      <c r="Q55" s="2" t="s">
        <v>1662</v>
      </c>
      <c r="R55" s="2" t="s">
        <v>1805</v>
      </c>
      <c r="S55" s="2" t="s">
        <v>1948</v>
      </c>
      <c r="T55" s="2" t="s">
        <v>2091</v>
      </c>
      <c r="U55" s="2" t="s">
        <v>2234</v>
      </c>
      <c r="V55" s="2" t="s">
        <v>2377</v>
      </c>
      <c r="W55" s="2" t="s">
        <v>2520</v>
      </c>
      <c r="X55" s="2" t="s">
        <v>2663</v>
      </c>
      <c r="Y55" s="2" t="s">
        <v>2806</v>
      </c>
      <c r="Z55" s="2" t="s">
        <v>2949</v>
      </c>
      <c r="AA55" s="2" t="s">
        <v>3092</v>
      </c>
    </row>
    <row r="56" spans="1:27" x14ac:dyDescent="0.3">
      <c r="A56" s="2" t="s">
        <v>45</v>
      </c>
      <c r="F56" s="2" t="s">
        <v>90</v>
      </c>
      <c r="G56" s="2" t="s">
        <v>233</v>
      </c>
      <c r="H56" s="2" t="s">
        <v>376</v>
      </c>
      <c r="I56" s="2" t="s">
        <v>519</v>
      </c>
      <c r="J56" s="2" t="s">
        <v>662</v>
      </c>
      <c r="K56" s="2" t="s">
        <v>805</v>
      </c>
      <c r="L56" s="2" t="s">
        <v>948</v>
      </c>
      <c r="M56" s="2" t="s">
        <v>1091</v>
      </c>
      <c r="N56" s="2" t="s">
        <v>1234</v>
      </c>
      <c r="O56" s="2" t="s">
        <v>1377</v>
      </c>
      <c r="P56" s="2" t="s">
        <v>1520</v>
      </c>
      <c r="Q56" s="2" t="s">
        <v>1663</v>
      </c>
      <c r="R56" s="2" t="s">
        <v>1806</v>
      </c>
      <c r="S56" s="2" t="s">
        <v>1949</v>
      </c>
      <c r="T56" s="2" t="s">
        <v>2092</v>
      </c>
      <c r="U56" s="2" t="s">
        <v>2235</v>
      </c>
      <c r="V56" s="2" t="s">
        <v>2378</v>
      </c>
      <c r="W56" s="2" t="s">
        <v>2521</v>
      </c>
      <c r="X56" s="2" t="s">
        <v>2664</v>
      </c>
      <c r="Y56" s="2" t="s">
        <v>2807</v>
      </c>
      <c r="Z56" s="2" t="s">
        <v>2950</v>
      </c>
      <c r="AA56" s="2" t="s">
        <v>3093</v>
      </c>
    </row>
    <row r="57" spans="1:27" x14ac:dyDescent="0.3">
      <c r="A57" s="2" t="s">
        <v>45</v>
      </c>
      <c r="F57" s="2" t="s">
        <v>91</v>
      </c>
      <c r="G57" s="2" t="s">
        <v>234</v>
      </c>
      <c r="H57" s="2" t="s">
        <v>377</v>
      </c>
      <c r="I57" s="2" t="s">
        <v>520</v>
      </c>
      <c r="J57" s="2" t="s">
        <v>663</v>
      </c>
      <c r="K57" s="2" t="s">
        <v>806</v>
      </c>
      <c r="L57" s="2" t="s">
        <v>949</v>
      </c>
      <c r="M57" s="2" t="s">
        <v>1092</v>
      </c>
      <c r="N57" s="2" t="s">
        <v>1235</v>
      </c>
      <c r="O57" s="2" t="s">
        <v>1378</v>
      </c>
      <c r="P57" s="2" t="s">
        <v>1521</v>
      </c>
      <c r="Q57" s="2" t="s">
        <v>1664</v>
      </c>
      <c r="R57" s="2" t="s">
        <v>1807</v>
      </c>
      <c r="S57" s="2" t="s">
        <v>1950</v>
      </c>
      <c r="T57" s="2" t="s">
        <v>2093</v>
      </c>
      <c r="U57" s="2" t="s">
        <v>2236</v>
      </c>
      <c r="V57" s="2" t="s">
        <v>2379</v>
      </c>
      <c r="W57" s="2" t="s">
        <v>2522</v>
      </c>
      <c r="X57" s="2" t="s">
        <v>2665</v>
      </c>
      <c r="Y57" s="2" t="s">
        <v>2808</v>
      </c>
      <c r="Z57" s="2" t="s">
        <v>2951</v>
      </c>
      <c r="AA57" s="2" t="s">
        <v>3094</v>
      </c>
    </row>
    <row r="58" spans="1:27" x14ac:dyDescent="0.3">
      <c r="A58" s="2" t="s">
        <v>45</v>
      </c>
      <c r="F58" s="2" t="s">
        <v>92</v>
      </c>
      <c r="G58" s="2" t="s">
        <v>235</v>
      </c>
      <c r="H58" s="2" t="s">
        <v>378</v>
      </c>
      <c r="I58" s="2" t="s">
        <v>521</v>
      </c>
      <c r="J58" s="2" t="s">
        <v>664</v>
      </c>
      <c r="K58" s="2" t="s">
        <v>807</v>
      </c>
      <c r="L58" s="2" t="s">
        <v>950</v>
      </c>
      <c r="M58" s="2" t="s">
        <v>1093</v>
      </c>
      <c r="N58" s="2" t="s">
        <v>1236</v>
      </c>
      <c r="O58" s="2" t="s">
        <v>1379</v>
      </c>
      <c r="P58" s="2" t="s">
        <v>1522</v>
      </c>
      <c r="Q58" s="2" t="s">
        <v>1665</v>
      </c>
      <c r="R58" s="2" t="s">
        <v>1808</v>
      </c>
      <c r="S58" s="2" t="s">
        <v>1951</v>
      </c>
      <c r="T58" s="2" t="s">
        <v>2094</v>
      </c>
      <c r="U58" s="2" t="s">
        <v>2237</v>
      </c>
      <c r="V58" s="2" t="s">
        <v>2380</v>
      </c>
      <c r="W58" s="2" t="s">
        <v>2523</v>
      </c>
      <c r="X58" s="2" t="s">
        <v>2666</v>
      </c>
      <c r="Y58" s="2" t="s">
        <v>2809</v>
      </c>
      <c r="Z58" s="2" t="s">
        <v>2952</v>
      </c>
      <c r="AA58" s="2" t="s">
        <v>3095</v>
      </c>
    </row>
    <row r="59" spans="1:27" x14ac:dyDescent="0.3">
      <c r="A59" s="2" t="s">
        <v>45</v>
      </c>
      <c r="F59" s="2" t="s">
        <v>93</v>
      </c>
      <c r="G59" s="2" t="s">
        <v>236</v>
      </c>
      <c r="H59" s="2" t="s">
        <v>379</v>
      </c>
      <c r="I59" s="2" t="s">
        <v>522</v>
      </c>
      <c r="J59" s="2" t="s">
        <v>665</v>
      </c>
      <c r="K59" s="2" t="s">
        <v>808</v>
      </c>
      <c r="L59" s="2" t="s">
        <v>951</v>
      </c>
      <c r="M59" s="2" t="s">
        <v>1094</v>
      </c>
      <c r="N59" s="2" t="s">
        <v>1237</v>
      </c>
      <c r="O59" s="2" t="s">
        <v>1380</v>
      </c>
      <c r="P59" s="2" t="s">
        <v>1523</v>
      </c>
      <c r="Q59" s="2" t="s">
        <v>1666</v>
      </c>
      <c r="R59" s="2" t="s">
        <v>1809</v>
      </c>
      <c r="S59" s="2" t="s">
        <v>1952</v>
      </c>
      <c r="T59" s="2" t="s">
        <v>2095</v>
      </c>
      <c r="U59" s="2" t="s">
        <v>2238</v>
      </c>
      <c r="V59" s="2" t="s">
        <v>2381</v>
      </c>
      <c r="W59" s="2" t="s">
        <v>2524</v>
      </c>
      <c r="X59" s="2" t="s">
        <v>2667</v>
      </c>
      <c r="Y59" s="2" t="s">
        <v>2810</v>
      </c>
      <c r="Z59" s="2" t="s">
        <v>2953</v>
      </c>
      <c r="AA59" s="2" t="s">
        <v>3096</v>
      </c>
    </row>
    <row r="60" spans="1:27" x14ac:dyDescent="0.3">
      <c r="A60" s="2" t="s">
        <v>45</v>
      </c>
      <c r="F60" s="2" t="s">
        <v>94</v>
      </c>
      <c r="G60" s="2" t="s">
        <v>237</v>
      </c>
      <c r="H60" s="2" t="s">
        <v>380</v>
      </c>
      <c r="I60" s="2" t="s">
        <v>523</v>
      </c>
      <c r="J60" s="2" t="s">
        <v>666</v>
      </c>
      <c r="K60" s="2" t="s">
        <v>809</v>
      </c>
      <c r="L60" s="2" t="s">
        <v>952</v>
      </c>
      <c r="M60" s="2" t="s">
        <v>1095</v>
      </c>
      <c r="N60" s="2" t="s">
        <v>1238</v>
      </c>
      <c r="O60" s="2" t="s">
        <v>1381</v>
      </c>
      <c r="P60" s="2" t="s">
        <v>1524</v>
      </c>
      <c r="Q60" s="2" t="s">
        <v>1667</v>
      </c>
      <c r="R60" s="2" t="s">
        <v>1810</v>
      </c>
      <c r="S60" s="2" t="s">
        <v>1953</v>
      </c>
      <c r="T60" s="2" t="s">
        <v>2096</v>
      </c>
      <c r="U60" s="2" t="s">
        <v>2239</v>
      </c>
      <c r="V60" s="2" t="s">
        <v>2382</v>
      </c>
      <c r="W60" s="2" t="s">
        <v>2525</v>
      </c>
      <c r="X60" s="2" t="s">
        <v>2668</v>
      </c>
      <c r="Y60" s="2" t="s">
        <v>2811</v>
      </c>
      <c r="Z60" s="2" t="s">
        <v>2954</v>
      </c>
      <c r="AA60" s="2" t="s">
        <v>3097</v>
      </c>
    </row>
    <row r="61" spans="1:27" x14ac:dyDescent="0.3">
      <c r="A61" s="2" t="s">
        <v>45</v>
      </c>
      <c r="F61" s="2" t="s">
        <v>95</v>
      </c>
      <c r="G61" s="2" t="s">
        <v>238</v>
      </c>
      <c r="H61" s="2" t="s">
        <v>381</v>
      </c>
      <c r="I61" s="2" t="s">
        <v>524</v>
      </c>
      <c r="J61" s="2" t="s">
        <v>667</v>
      </c>
      <c r="K61" s="2" t="s">
        <v>810</v>
      </c>
      <c r="L61" s="2" t="s">
        <v>953</v>
      </c>
      <c r="M61" s="2" t="s">
        <v>1096</v>
      </c>
      <c r="N61" s="2" t="s">
        <v>1239</v>
      </c>
      <c r="O61" s="2" t="s">
        <v>1382</v>
      </c>
      <c r="P61" s="2" t="s">
        <v>1525</v>
      </c>
      <c r="Q61" s="2" t="s">
        <v>1668</v>
      </c>
      <c r="R61" s="2" t="s">
        <v>1811</v>
      </c>
      <c r="S61" s="2" t="s">
        <v>1954</v>
      </c>
      <c r="T61" s="2" t="s">
        <v>2097</v>
      </c>
      <c r="U61" s="2" t="s">
        <v>2240</v>
      </c>
      <c r="V61" s="2" t="s">
        <v>2383</v>
      </c>
      <c r="W61" s="2" t="s">
        <v>2526</v>
      </c>
      <c r="X61" s="2" t="s">
        <v>2669</v>
      </c>
      <c r="Y61" s="2" t="s">
        <v>2812</v>
      </c>
      <c r="Z61" s="2" t="s">
        <v>2955</v>
      </c>
      <c r="AA61" s="2" t="s">
        <v>3098</v>
      </c>
    </row>
    <row r="62" spans="1:27" x14ac:dyDescent="0.3">
      <c r="A62" s="2" t="s">
        <v>45</v>
      </c>
      <c r="F62" s="2" t="s">
        <v>96</v>
      </c>
      <c r="G62" s="2" t="s">
        <v>239</v>
      </c>
      <c r="H62" s="2" t="s">
        <v>382</v>
      </c>
      <c r="I62" s="2" t="s">
        <v>525</v>
      </c>
      <c r="J62" s="2" t="s">
        <v>668</v>
      </c>
      <c r="K62" s="2" t="s">
        <v>811</v>
      </c>
      <c r="L62" s="2" t="s">
        <v>954</v>
      </c>
      <c r="M62" s="2" t="s">
        <v>1097</v>
      </c>
      <c r="N62" s="2" t="s">
        <v>1240</v>
      </c>
      <c r="O62" s="2" t="s">
        <v>1383</v>
      </c>
      <c r="P62" s="2" t="s">
        <v>1526</v>
      </c>
      <c r="Q62" s="2" t="s">
        <v>1669</v>
      </c>
      <c r="R62" s="2" t="s">
        <v>1812</v>
      </c>
      <c r="S62" s="2" t="s">
        <v>1955</v>
      </c>
      <c r="T62" s="2" t="s">
        <v>2098</v>
      </c>
      <c r="U62" s="2" t="s">
        <v>2241</v>
      </c>
      <c r="V62" s="2" t="s">
        <v>2384</v>
      </c>
      <c r="W62" s="2" t="s">
        <v>2527</v>
      </c>
      <c r="X62" s="2" t="s">
        <v>2670</v>
      </c>
      <c r="Y62" s="2" t="s">
        <v>2813</v>
      </c>
      <c r="Z62" s="2" t="s">
        <v>2956</v>
      </c>
      <c r="AA62" s="2" t="s">
        <v>3099</v>
      </c>
    </row>
    <row r="63" spans="1:27" x14ac:dyDescent="0.3">
      <c r="A63" s="2" t="s">
        <v>45</v>
      </c>
      <c r="F63" s="2" t="s">
        <v>97</v>
      </c>
      <c r="G63" s="2" t="s">
        <v>240</v>
      </c>
      <c r="H63" s="2" t="s">
        <v>383</v>
      </c>
      <c r="I63" s="2" t="s">
        <v>526</v>
      </c>
      <c r="J63" s="2" t="s">
        <v>669</v>
      </c>
      <c r="K63" s="2" t="s">
        <v>812</v>
      </c>
      <c r="L63" s="2" t="s">
        <v>955</v>
      </c>
      <c r="M63" s="2" t="s">
        <v>1098</v>
      </c>
      <c r="N63" s="2" t="s">
        <v>1241</v>
      </c>
      <c r="O63" s="2" t="s">
        <v>1384</v>
      </c>
      <c r="P63" s="2" t="s">
        <v>1527</v>
      </c>
      <c r="Q63" s="2" t="s">
        <v>1670</v>
      </c>
      <c r="R63" s="2" t="s">
        <v>1813</v>
      </c>
      <c r="S63" s="2" t="s">
        <v>1956</v>
      </c>
      <c r="T63" s="2" t="s">
        <v>2099</v>
      </c>
      <c r="U63" s="2" t="s">
        <v>2242</v>
      </c>
      <c r="V63" s="2" t="s">
        <v>2385</v>
      </c>
      <c r="W63" s="2" t="s">
        <v>2528</v>
      </c>
      <c r="X63" s="2" t="s">
        <v>2671</v>
      </c>
      <c r="Y63" s="2" t="s">
        <v>2814</v>
      </c>
      <c r="Z63" s="2" t="s">
        <v>2957</v>
      </c>
      <c r="AA63" s="2" t="s">
        <v>3100</v>
      </c>
    </row>
    <row r="64" spans="1:27" x14ac:dyDescent="0.3">
      <c r="A64" s="2" t="s">
        <v>45</v>
      </c>
      <c r="F64" s="2" t="s">
        <v>98</v>
      </c>
      <c r="G64" s="2" t="s">
        <v>241</v>
      </c>
      <c r="H64" s="2" t="s">
        <v>384</v>
      </c>
      <c r="I64" s="2" t="s">
        <v>527</v>
      </c>
      <c r="J64" s="2" t="s">
        <v>670</v>
      </c>
      <c r="K64" s="2" t="s">
        <v>813</v>
      </c>
      <c r="L64" s="2" t="s">
        <v>956</v>
      </c>
      <c r="M64" s="2" t="s">
        <v>1099</v>
      </c>
      <c r="N64" s="2" t="s">
        <v>1242</v>
      </c>
      <c r="O64" s="2" t="s">
        <v>1385</v>
      </c>
      <c r="P64" s="2" t="s">
        <v>1528</v>
      </c>
      <c r="Q64" s="2" t="s">
        <v>1671</v>
      </c>
      <c r="R64" s="2" t="s">
        <v>1814</v>
      </c>
      <c r="S64" s="2" t="s">
        <v>1957</v>
      </c>
      <c r="T64" s="2" t="s">
        <v>2100</v>
      </c>
      <c r="U64" s="2" t="s">
        <v>2243</v>
      </c>
      <c r="V64" s="2" t="s">
        <v>2386</v>
      </c>
      <c r="W64" s="2" t="s">
        <v>2529</v>
      </c>
      <c r="X64" s="2" t="s">
        <v>2672</v>
      </c>
      <c r="Y64" s="2" t="s">
        <v>2815</v>
      </c>
      <c r="Z64" s="2" t="s">
        <v>2958</v>
      </c>
      <c r="AA64" s="2" t="s">
        <v>3101</v>
      </c>
    </row>
    <row r="65" spans="1:27" x14ac:dyDescent="0.3">
      <c r="A65" s="2" t="s">
        <v>45</v>
      </c>
      <c r="F65" s="2" t="s">
        <v>99</v>
      </c>
      <c r="G65" s="2" t="s">
        <v>242</v>
      </c>
      <c r="H65" s="2" t="s">
        <v>385</v>
      </c>
      <c r="I65" s="2" t="s">
        <v>528</v>
      </c>
      <c r="J65" s="2" t="s">
        <v>671</v>
      </c>
      <c r="K65" s="2" t="s">
        <v>814</v>
      </c>
      <c r="L65" s="2" t="s">
        <v>957</v>
      </c>
      <c r="M65" s="2" t="s">
        <v>1100</v>
      </c>
      <c r="N65" s="2" t="s">
        <v>1243</v>
      </c>
      <c r="O65" s="2" t="s">
        <v>1386</v>
      </c>
      <c r="P65" s="2" t="s">
        <v>1529</v>
      </c>
      <c r="Q65" s="2" t="s">
        <v>1672</v>
      </c>
      <c r="R65" s="2" t="s">
        <v>1815</v>
      </c>
      <c r="S65" s="2" t="s">
        <v>1958</v>
      </c>
      <c r="T65" s="2" t="s">
        <v>2101</v>
      </c>
      <c r="U65" s="2" t="s">
        <v>2244</v>
      </c>
      <c r="V65" s="2" t="s">
        <v>2387</v>
      </c>
      <c r="W65" s="2" t="s">
        <v>2530</v>
      </c>
      <c r="X65" s="2" t="s">
        <v>2673</v>
      </c>
      <c r="Y65" s="2" t="s">
        <v>2816</v>
      </c>
      <c r="Z65" s="2" t="s">
        <v>2959</v>
      </c>
      <c r="AA65" s="2" t="s">
        <v>3102</v>
      </c>
    </row>
    <row r="66" spans="1:27" x14ac:dyDescent="0.3">
      <c r="A66" s="2" t="s">
        <v>45</v>
      </c>
      <c r="F66" s="2" t="s">
        <v>100</v>
      </c>
      <c r="G66" s="2" t="s">
        <v>243</v>
      </c>
      <c r="H66" s="2" t="s">
        <v>386</v>
      </c>
      <c r="I66" s="2" t="s">
        <v>529</v>
      </c>
      <c r="J66" s="2" t="s">
        <v>672</v>
      </c>
      <c r="K66" s="2" t="s">
        <v>815</v>
      </c>
      <c r="L66" s="2" t="s">
        <v>958</v>
      </c>
      <c r="M66" s="2" t="s">
        <v>1101</v>
      </c>
      <c r="N66" s="2" t="s">
        <v>1244</v>
      </c>
      <c r="O66" s="2" t="s">
        <v>1387</v>
      </c>
      <c r="P66" s="2" t="s">
        <v>1530</v>
      </c>
      <c r="Q66" s="2" t="s">
        <v>1673</v>
      </c>
      <c r="R66" s="2" t="s">
        <v>1816</v>
      </c>
      <c r="S66" s="2" t="s">
        <v>1959</v>
      </c>
      <c r="T66" s="2" t="s">
        <v>2102</v>
      </c>
      <c r="U66" s="2" t="s">
        <v>2245</v>
      </c>
      <c r="V66" s="2" t="s">
        <v>2388</v>
      </c>
      <c r="W66" s="2" t="s">
        <v>2531</v>
      </c>
      <c r="X66" s="2" t="s">
        <v>2674</v>
      </c>
      <c r="Y66" s="2" t="s">
        <v>2817</v>
      </c>
      <c r="Z66" s="2" t="s">
        <v>2960</v>
      </c>
      <c r="AA66" s="2" t="s">
        <v>3103</v>
      </c>
    </row>
    <row r="67" spans="1:27" x14ac:dyDescent="0.3">
      <c r="A67" s="2" t="s">
        <v>45</v>
      </c>
      <c r="F67" s="2" t="s">
        <v>101</v>
      </c>
      <c r="G67" s="2" t="s">
        <v>244</v>
      </c>
      <c r="H67" s="2" t="s">
        <v>387</v>
      </c>
      <c r="I67" s="2" t="s">
        <v>530</v>
      </c>
      <c r="J67" s="2" t="s">
        <v>673</v>
      </c>
      <c r="K67" s="2" t="s">
        <v>816</v>
      </c>
      <c r="L67" s="2" t="s">
        <v>959</v>
      </c>
      <c r="M67" s="2" t="s">
        <v>1102</v>
      </c>
      <c r="N67" s="2" t="s">
        <v>1245</v>
      </c>
      <c r="O67" s="2" t="s">
        <v>1388</v>
      </c>
      <c r="P67" s="2" t="s">
        <v>1531</v>
      </c>
      <c r="Q67" s="2" t="s">
        <v>1674</v>
      </c>
      <c r="R67" s="2" t="s">
        <v>1817</v>
      </c>
      <c r="S67" s="2" t="s">
        <v>1960</v>
      </c>
      <c r="T67" s="2" t="s">
        <v>2103</v>
      </c>
      <c r="U67" s="2" t="s">
        <v>2246</v>
      </c>
      <c r="V67" s="2" t="s">
        <v>2389</v>
      </c>
      <c r="W67" s="2" t="s">
        <v>2532</v>
      </c>
      <c r="X67" s="2" t="s">
        <v>2675</v>
      </c>
      <c r="Y67" s="2" t="s">
        <v>2818</v>
      </c>
      <c r="Z67" s="2" t="s">
        <v>2961</v>
      </c>
      <c r="AA67" s="2" t="s">
        <v>3104</v>
      </c>
    </row>
    <row r="68" spans="1:27" x14ac:dyDescent="0.3">
      <c r="A68" s="2" t="s">
        <v>45</v>
      </c>
      <c r="F68" s="2" t="s">
        <v>102</v>
      </c>
      <c r="G68" s="2" t="s">
        <v>245</v>
      </c>
      <c r="H68" s="2" t="s">
        <v>388</v>
      </c>
      <c r="I68" s="2" t="s">
        <v>531</v>
      </c>
      <c r="J68" s="2" t="s">
        <v>674</v>
      </c>
      <c r="K68" s="2" t="s">
        <v>817</v>
      </c>
      <c r="L68" s="2" t="s">
        <v>960</v>
      </c>
      <c r="M68" s="2" t="s">
        <v>1103</v>
      </c>
      <c r="N68" s="2" t="s">
        <v>1246</v>
      </c>
      <c r="O68" s="2" t="s">
        <v>1389</v>
      </c>
      <c r="P68" s="2" t="s">
        <v>1532</v>
      </c>
      <c r="Q68" s="2" t="s">
        <v>1675</v>
      </c>
      <c r="R68" s="2" t="s">
        <v>1818</v>
      </c>
      <c r="S68" s="2" t="s">
        <v>1961</v>
      </c>
      <c r="T68" s="2" t="s">
        <v>2104</v>
      </c>
      <c r="U68" s="2" t="s">
        <v>2247</v>
      </c>
      <c r="V68" s="2" t="s">
        <v>2390</v>
      </c>
      <c r="W68" s="2" t="s">
        <v>2533</v>
      </c>
      <c r="X68" s="2" t="s">
        <v>2676</v>
      </c>
      <c r="Y68" s="2" t="s">
        <v>2819</v>
      </c>
      <c r="Z68" s="2" t="s">
        <v>2962</v>
      </c>
      <c r="AA68" s="2" t="s">
        <v>3105</v>
      </c>
    </row>
    <row r="69" spans="1:27" x14ac:dyDescent="0.3">
      <c r="A69" s="2" t="s">
        <v>45</v>
      </c>
      <c r="F69" s="2" t="s">
        <v>103</v>
      </c>
      <c r="G69" s="2" t="s">
        <v>246</v>
      </c>
      <c r="H69" s="2" t="s">
        <v>389</v>
      </c>
      <c r="I69" s="2" t="s">
        <v>532</v>
      </c>
      <c r="J69" s="2" t="s">
        <v>675</v>
      </c>
      <c r="K69" s="2" t="s">
        <v>818</v>
      </c>
      <c r="L69" s="2" t="s">
        <v>961</v>
      </c>
      <c r="M69" s="2" t="s">
        <v>1104</v>
      </c>
      <c r="N69" s="2" t="s">
        <v>1247</v>
      </c>
      <c r="O69" s="2" t="s">
        <v>1390</v>
      </c>
      <c r="P69" s="2" t="s">
        <v>1533</v>
      </c>
      <c r="Q69" s="2" t="s">
        <v>1676</v>
      </c>
      <c r="R69" s="2" t="s">
        <v>1819</v>
      </c>
      <c r="S69" s="2" t="s">
        <v>1962</v>
      </c>
      <c r="T69" s="2" t="s">
        <v>2105</v>
      </c>
      <c r="U69" s="2" t="s">
        <v>2248</v>
      </c>
      <c r="V69" s="2" t="s">
        <v>2391</v>
      </c>
      <c r="W69" s="2" t="s">
        <v>2534</v>
      </c>
      <c r="X69" s="2" t="s">
        <v>2677</v>
      </c>
      <c r="Y69" s="2" t="s">
        <v>2820</v>
      </c>
      <c r="Z69" s="2" t="s">
        <v>2963</v>
      </c>
      <c r="AA69" s="2" t="s">
        <v>3106</v>
      </c>
    </row>
    <row r="70" spans="1:27" x14ac:dyDescent="0.3">
      <c r="A70" s="2" t="s">
        <v>45</v>
      </c>
      <c r="F70" s="2" t="s">
        <v>104</v>
      </c>
      <c r="G70" s="2" t="s">
        <v>247</v>
      </c>
      <c r="H70" s="2" t="s">
        <v>390</v>
      </c>
      <c r="I70" s="2" t="s">
        <v>533</v>
      </c>
      <c r="J70" s="2" t="s">
        <v>676</v>
      </c>
      <c r="K70" s="2" t="s">
        <v>819</v>
      </c>
      <c r="L70" s="2" t="s">
        <v>962</v>
      </c>
      <c r="M70" s="2" t="s">
        <v>1105</v>
      </c>
      <c r="N70" s="2" t="s">
        <v>1248</v>
      </c>
      <c r="O70" s="2" t="s">
        <v>1391</v>
      </c>
      <c r="P70" s="2" t="s">
        <v>1534</v>
      </c>
      <c r="Q70" s="2" t="s">
        <v>1677</v>
      </c>
      <c r="R70" s="2" t="s">
        <v>1820</v>
      </c>
      <c r="S70" s="2" t="s">
        <v>1963</v>
      </c>
      <c r="T70" s="2" t="s">
        <v>2106</v>
      </c>
      <c r="U70" s="2" t="s">
        <v>2249</v>
      </c>
      <c r="V70" s="2" t="s">
        <v>2392</v>
      </c>
      <c r="W70" s="2" t="s">
        <v>2535</v>
      </c>
      <c r="X70" s="2" t="s">
        <v>2678</v>
      </c>
      <c r="Y70" s="2" t="s">
        <v>2821</v>
      </c>
      <c r="Z70" s="2" t="s">
        <v>2964</v>
      </c>
      <c r="AA70" s="2" t="s">
        <v>3107</v>
      </c>
    </row>
    <row r="71" spans="1:27" x14ac:dyDescent="0.3">
      <c r="A71" s="2" t="s">
        <v>45</v>
      </c>
      <c r="F71" s="2" t="s">
        <v>105</v>
      </c>
      <c r="G71" s="2" t="s">
        <v>248</v>
      </c>
      <c r="H71" s="2" t="s">
        <v>391</v>
      </c>
      <c r="I71" s="2" t="s">
        <v>534</v>
      </c>
      <c r="J71" s="2" t="s">
        <v>677</v>
      </c>
      <c r="K71" s="2" t="s">
        <v>820</v>
      </c>
      <c r="L71" s="2" t="s">
        <v>963</v>
      </c>
      <c r="M71" s="2" t="s">
        <v>1106</v>
      </c>
      <c r="N71" s="2" t="s">
        <v>1249</v>
      </c>
      <c r="O71" s="2" t="s">
        <v>1392</v>
      </c>
      <c r="P71" s="2" t="s">
        <v>1535</v>
      </c>
      <c r="Q71" s="2" t="s">
        <v>1678</v>
      </c>
      <c r="R71" s="2" t="s">
        <v>1821</v>
      </c>
      <c r="S71" s="2" t="s">
        <v>1964</v>
      </c>
      <c r="T71" s="2" t="s">
        <v>2107</v>
      </c>
      <c r="U71" s="2" t="s">
        <v>2250</v>
      </c>
      <c r="V71" s="2" t="s">
        <v>2393</v>
      </c>
      <c r="W71" s="2" t="s">
        <v>2536</v>
      </c>
      <c r="X71" s="2" t="s">
        <v>2679</v>
      </c>
      <c r="Y71" s="2" t="s">
        <v>2822</v>
      </c>
      <c r="Z71" s="2" t="s">
        <v>2965</v>
      </c>
      <c r="AA71" s="2" t="s">
        <v>3108</v>
      </c>
    </row>
    <row r="72" spans="1:27" x14ac:dyDescent="0.3">
      <c r="A72" s="2" t="s">
        <v>45</v>
      </c>
      <c r="F72" s="2" t="s">
        <v>106</v>
      </c>
      <c r="G72" s="2" t="s">
        <v>249</v>
      </c>
      <c r="H72" s="2" t="s">
        <v>392</v>
      </c>
      <c r="I72" s="2" t="s">
        <v>535</v>
      </c>
      <c r="J72" s="2" t="s">
        <v>678</v>
      </c>
      <c r="K72" s="2" t="s">
        <v>821</v>
      </c>
      <c r="L72" s="2" t="s">
        <v>964</v>
      </c>
      <c r="M72" s="2" t="s">
        <v>1107</v>
      </c>
      <c r="N72" s="2" t="s">
        <v>1250</v>
      </c>
      <c r="O72" s="2" t="s">
        <v>1393</v>
      </c>
      <c r="P72" s="2" t="s">
        <v>1536</v>
      </c>
      <c r="Q72" s="2" t="s">
        <v>1679</v>
      </c>
      <c r="R72" s="2" t="s">
        <v>1822</v>
      </c>
      <c r="S72" s="2" t="s">
        <v>1965</v>
      </c>
      <c r="T72" s="2" t="s">
        <v>2108</v>
      </c>
      <c r="U72" s="2" t="s">
        <v>2251</v>
      </c>
      <c r="V72" s="2" t="s">
        <v>2394</v>
      </c>
      <c r="W72" s="2" t="s">
        <v>2537</v>
      </c>
      <c r="X72" s="2" t="s">
        <v>2680</v>
      </c>
      <c r="Y72" s="2" t="s">
        <v>2823</v>
      </c>
      <c r="Z72" s="2" t="s">
        <v>2966</v>
      </c>
      <c r="AA72" s="2" t="s">
        <v>3109</v>
      </c>
    </row>
    <row r="73" spans="1:27" x14ac:dyDescent="0.3">
      <c r="A73" s="2" t="s">
        <v>45</v>
      </c>
      <c r="F73" s="2" t="s">
        <v>107</v>
      </c>
      <c r="G73" s="2" t="s">
        <v>250</v>
      </c>
      <c r="H73" s="2" t="s">
        <v>393</v>
      </c>
      <c r="I73" s="2" t="s">
        <v>536</v>
      </c>
      <c r="J73" s="2" t="s">
        <v>679</v>
      </c>
      <c r="K73" s="2" t="s">
        <v>822</v>
      </c>
      <c r="L73" s="2" t="s">
        <v>965</v>
      </c>
      <c r="M73" s="2" t="s">
        <v>1108</v>
      </c>
      <c r="N73" s="2" t="s">
        <v>1251</v>
      </c>
      <c r="O73" s="2" t="s">
        <v>1394</v>
      </c>
      <c r="P73" s="2" t="s">
        <v>1537</v>
      </c>
      <c r="Q73" s="2" t="s">
        <v>1680</v>
      </c>
      <c r="R73" s="2" t="s">
        <v>1823</v>
      </c>
      <c r="S73" s="2" t="s">
        <v>1966</v>
      </c>
      <c r="T73" s="2" t="s">
        <v>2109</v>
      </c>
      <c r="U73" s="2" t="s">
        <v>2252</v>
      </c>
      <c r="V73" s="2" t="s">
        <v>2395</v>
      </c>
      <c r="W73" s="2" t="s">
        <v>2538</v>
      </c>
      <c r="X73" s="2" t="s">
        <v>2681</v>
      </c>
      <c r="Y73" s="2" t="s">
        <v>2824</v>
      </c>
      <c r="Z73" s="2" t="s">
        <v>2967</v>
      </c>
      <c r="AA73" s="2" t="s">
        <v>3110</v>
      </c>
    </row>
    <row r="74" spans="1:27" x14ac:dyDescent="0.3">
      <c r="A74" s="2" t="s">
        <v>45</v>
      </c>
      <c r="F74" s="2" t="s">
        <v>108</v>
      </c>
      <c r="G74" s="2" t="s">
        <v>251</v>
      </c>
      <c r="H74" s="2" t="s">
        <v>394</v>
      </c>
      <c r="I74" s="2" t="s">
        <v>537</v>
      </c>
      <c r="J74" s="2" t="s">
        <v>680</v>
      </c>
      <c r="K74" s="2" t="s">
        <v>823</v>
      </c>
      <c r="L74" s="2" t="s">
        <v>966</v>
      </c>
      <c r="M74" s="2" t="s">
        <v>1109</v>
      </c>
      <c r="N74" s="2" t="s">
        <v>1252</v>
      </c>
      <c r="O74" s="2" t="s">
        <v>1395</v>
      </c>
      <c r="P74" s="2" t="s">
        <v>1538</v>
      </c>
      <c r="Q74" s="2" t="s">
        <v>1681</v>
      </c>
      <c r="R74" s="2" t="s">
        <v>1824</v>
      </c>
      <c r="S74" s="2" t="s">
        <v>1967</v>
      </c>
      <c r="T74" s="2" t="s">
        <v>2110</v>
      </c>
      <c r="U74" s="2" t="s">
        <v>2253</v>
      </c>
      <c r="V74" s="2" t="s">
        <v>2396</v>
      </c>
      <c r="W74" s="2" t="s">
        <v>2539</v>
      </c>
      <c r="X74" s="2" t="s">
        <v>2682</v>
      </c>
      <c r="Y74" s="2" t="s">
        <v>2825</v>
      </c>
      <c r="Z74" s="2" t="s">
        <v>2968</v>
      </c>
      <c r="AA74" s="2" t="s">
        <v>3111</v>
      </c>
    </row>
    <row r="75" spans="1:27" x14ac:dyDescent="0.3">
      <c r="A75" s="2" t="s">
        <v>45</v>
      </c>
      <c r="F75" s="2" t="s">
        <v>109</v>
      </c>
      <c r="G75" s="2" t="s">
        <v>252</v>
      </c>
      <c r="H75" s="2" t="s">
        <v>395</v>
      </c>
      <c r="I75" s="2" t="s">
        <v>538</v>
      </c>
      <c r="J75" s="2" t="s">
        <v>681</v>
      </c>
      <c r="K75" s="2" t="s">
        <v>824</v>
      </c>
      <c r="L75" s="2" t="s">
        <v>967</v>
      </c>
      <c r="M75" s="2" t="s">
        <v>1110</v>
      </c>
      <c r="N75" s="2" t="s">
        <v>1253</v>
      </c>
      <c r="O75" s="2" t="s">
        <v>1396</v>
      </c>
      <c r="P75" s="2" t="s">
        <v>1539</v>
      </c>
      <c r="Q75" s="2" t="s">
        <v>1682</v>
      </c>
      <c r="R75" s="2" t="s">
        <v>1825</v>
      </c>
      <c r="S75" s="2" t="s">
        <v>1968</v>
      </c>
      <c r="T75" s="2" t="s">
        <v>2111</v>
      </c>
      <c r="U75" s="2" t="s">
        <v>2254</v>
      </c>
      <c r="V75" s="2" t="s">
        <v>2397</v>
      </c>
      <c r="W75" s="2" t="s">
        <v>2540</v>
      </c>
      <c r="X75" s="2" t="s">
        <v>2683</v>
      </c>
      <c r="Y75" s="2" t="s">
        <v>2826</v>
      </c>
      <c r="Z75" s="2" t="s">
        <v>2969</v>
      </c>
      <c r="AA75" s="2" t="s">
        <v>3112</v>
      </c>
    </row>
    <row r="76" spans="1:27" x14ac:dyDescent="0.3">
      <c r="A76" s="2" t="s">
        <v>45</v>
      </c>
      <c r="F76" s="2" t="s">
        <v>110</v>
      </c>
      <c r="G76" s="2" t="s">
        <v>253</v>
      </c>
      <c r="H76" s="2" t="s">
        <v>396</v>
      </c>
      <c r="I76" s="2" t="s">
        <v>539</v>
      </c>
      <c r="J76" s="2" t="s">
        <v>682</v>
      </c>
      <c r="K76" s="2" t="s">
        <v>825</v>
      </c>
      <c r="L76" s="2" t="s">
        <v>968</v>
      </c>
      <c r="M76" s="2" t="s">
        <v>1111</v>
      </c>
      <c r="N76" s="2" t="s">
        <v>1254</v>
      </c>
      <c r="O76" s="2" t="s">
        <v>1397</v>
      </c>
      <c r="P76" s="2" t="s">
        <v>1540</v>
      </c>
      <c r="Q76" s="2" t="s">
        <v>1683</v>
      </c>
      <c r="R76" s="2" t="s">
        <v>1826</v>
      </c>
      <c r="S76" s="2" t="s">
        <v>1969</v>
      </c>
      <c r="T76" s="2" t="s">
        <v>2112</v>
      </c>
      <c r="U76" s="2" t="s">
        <v>2255</v>
      </c>
      <c r="V76" s="2" t="s">
        <v>2398</v>
      </c>
      <c r="W76" s="2" t="s">
        <v>2541</v>
      </c>
      <c r="X76" s="2" t="s">
        <v>2684</v>
      </c>
      <c r="Y76" s="2" t="s">
        <v>2827</v>
      </c>
      <c r="Z76" s="2" t="s">
        <v>2970</v>
      </c>
      <c r="AA76" s="2" t="s">
        <v>3113</v>
      </c>
    </row>
    <row r="77" spans="1:27" x14ac:dyDescent="0.3">
      <c r="A77" s="2" t="s">
        <v>45</v>
      </c>
      <c r="F77" s="2" t="s">
        <v>111</v>
      </c>
      <c r="G77" s="2" t="s">
        <v>254</v>
      </c>
      <c r="H77" s="2" t="s">
        <v>397</v>
      </c>
      <c r="I77" s="2" t="s">
        <v>540</v>
      </c>
      <c r="J77" s="2" t="s">
        <v>683</v>
      </c>
      <c r="K77" s="2" t="s">
        <v>826</v>
      </c>
      <c r="L77" s="2" t="s">
        <v>969</v>
      </c>
      <c r="M77" s="2" t="s">
        <v>1112</v>
      </c>
      <c r="N77" s="2" t="s">
        <v>1255</v>
      </c>
      <c r="O77" s="2" t="s">
        <v>1398</v>
      </c>
      <c r="P77" s="2" t="s">
        <v>1541</v>
      </c>
      <c r="Q77" s="2" t="s">
        <v>1684</v>
      </c>
      <c r="R77" s="2" t="s">
        <v>1827</v>
      </c>
      <c r="S77" s="2" t="s">
        <v>1970</v>
      </c>
      <c r="T77" s="2" t="s">
        <v>2113</v>
      </c>
      <c r="U77" s="2" t="s">
        <v>2256</v>
      </c>
      <c r="V77" s="2" t="s">
        <v>2399</v>
      </c>
      <c r="W77" s="2" t="s">
        <v>2542</v>
      </c>
      <c r="X77" s="2" t="s">
        <v>2685</v>
      </c>
      <c r="Y77" s="2" t="s">
        <v>2828</v>
      </c>
      <c r="Z77" s="2" t="s">
        <v>2971</v>
      </c>
      <c r="AA77" s="2" t="s">
        <v>3114</v>
      </c>
    </row>
    <row r="78" spans="1:27" x14ac:dyDescent="0.3">
      <c r="A78" s="2" t="s">
        <v>45</v>
      </c>
      <c r="F78" s="2" t="s">
        <v>112</v>
      </c>
      <c r="G78" s="2" t="s">
        <v>255</v>
      </c>
      <c r="H78" s="2" t="s">
        <v>398</v>
      </c>
      <c r="I78" s="2" t="s">
        <v>541</v>
      </c>
      <c r="J78" s="2" t="s">
        <v>684</v>
      </c>
      <c r="K78" s="2" t="s">
        <v>827</v>
      </c>
      <c r="L78" s="2" t="s">
        <v>970</v>
      </c>
      <c r="M78" s="2" t="s">
        <v>1113</v>
      </c>
      <c r="N78" s="2" t="s">
        <v>1256</v>
      </c>
      <c r="O78" s="2" t="s">
        <v>1399</v>
      </c>
      <c r="P78" s="2" t="s">
        <v>1542</v>
      </c>
      <c r="Q78" s="2" t="s">
        <v>1685</v>
      </c>
      <c r="R78" s="2" t="s">
        <v>1828</v>
      </c>
      <c r="S78" s="2" t="s">
        <v>1971</v>
      </c>
      <c r="T78" s="2" t="s">
        <v>2114</v>
      </c>
      <c r="U78" s="2" t="s">
        <v>2257</v>
      </c>
      <c r="V78" s="2" t="s">
        <v>2400</v>
      </c>
      <c r="W78" s="2" t="s">
        <v>2543</v>
      </c>
      <c r="X78" s="2" t="s">
        <v>2686</v>
      </c>
      <c r="Y78" s="2" t="s">
        <v>2829</v>
      </c>
      <c r="Z78" s="2" t="s">
        <v>2972</v>
      </c>
      <c r="AA78" s="2" t="s">
        <v>3115</v>
      </c>
    </row>
    <row r="79" spans="1:27" x14ac:dyDescent="0.3">
      <c r="A79" s="2" t="s">
        <v>45</v>
      </c>
      <c r="F79" s="2" t="s">
        <v>113</v>
      </c>
      <c r="G79" s="2" t="s">
        <v>256</v>
      </c>
      <c r="H79" s="2" t="s">
        <v>399</v>
      </c>
      <c r="I79" s="2" t="s">
        <v>542</v>
      </c>
      <c r="J79" s="2" t="s">
        <v>685</v>
      </c>
      <c r="K79" s="2" t="s">
        <v>828</v>
      </c>
      <c r="L79" s="2" t="s">
        <v>971</v>
      </c>
      <c r="M79" s="2" t="s">
        <v>1114</v>
      </c>
      <c r="N79" s="2" t="s">
        <v>1257</v>
      </c>
      <c r="O79" s="2" t="s">
        <v>1400</v>
      </c>
      <c r="P79" s="2" t="s">
        <v>1543</v>
      </c>
      <c r="Q79" s="2" t="s">
        <v>1686</v>
      </c>
      <c r="R79" s="2" t="s">
        <v>1829</v>
      </c>
      <c r="S79" s="2" t="s">
        <v>1972</v>
      </c>
      <c r="T79" s="2" t="s">
        <v>2115</v>
      </c>
      <c r="U79" s="2" t="s">
        <v>2258</v>
      </c>
      <c r="V79" s="2" t="s">
        <v>2401</v>
      </c>
      <c r="W79" s="2" t="s">
        <v>2544</v>
      </c>
      <c r="X79" s="2" t="s">
        <v>2687</v>
      </c>
      <c r="Y79" s="2" t="s">
        <v>2830</v>
      </c>
      <c r="Z79" s="2" t="s">
        <v>2973</v>
      </c>
      <c r="AA79" s="2" t="s">
        <v>3116</v>
      </c>
    </row>
    <row r="80" spans="1:27" x14ac:dyDescent="0.3">
      <c r="A80" s="2" t="s">
        <v>45</v>
      </c>
      <c r="F80" s="2" t="s">
        <v>114</v>
      </c>
      <c r="G80" s="2" t="s">
        <v>257</v>
      </c>
      <c r="H80" s="2" t="s">
        <v>400</v>
      </c>
      <c r="I80" s="2" t="s">
        <v>543</v>
      </c>
      <c r="J80" s="2" t="s">
        <v>686</v>
      </c>
      <c r="K80" s="2" t="s">
        <v>829</v>
      </c>
      <c r="L80" s="2" t="s">
        <v>972</v>
      </c>
      <c r="M80" s="2" t="s">
        <v>1115</v>
      </c>
      <c r="N80" s="2" t="s">
        <v>1258</v>
      </c>
      <c r="O80" s="2" t="s">
        <v>1401</v>
      </c>
      <c r="P80" s="2" t="s">
        <v>1544</v>
      </c>
      <c r="Q80" s="2" t="s">
        <v>1687</v>
      </c>
      <c r="R80" s="2" t="s">
        <v>1830</v>
      </c>
      <c r="S80" s="2" t="s">
        <v>1973</v>
      </c>
      <c r="T80" s="2" t="s">
        <v>2116</v>
      </c>
      <c r="U80" s="2" t="s">
        <v>2259</v>
      </c>
      <c r="V80" s="2" t="s">
        <v>2402</v>
      </c>
      <c r="W80" s="2" t="s">
        <v>2545</v>
      </c>
      <c r="X80" s="2" t="s">
        <v>2688</v>
      </c>
      <c r="Y80" s="2" t="s">
        <v>2831</v>
      </c>
      <c r="Z80" s="2" t="s">
        <v>2974</v>
      </c>
      <c r="AA80" s="2" t="s">
        <v>3117</v>
      </c>
    </row>
    <row r="81" spans="1:27" x14ac:dyDescent="0.3">
      <c r="A81" s="2" t="s">
        <v>45</v>
      </c>
      <c r="F81" s="2" t="s">
        <v>115</v>
      </c>
      <c r="G81" s="2" t="s">
        <v>258</v>
      </c>
      <c r="H81" s="2" t="s">
        <v>401</v>
      </c>
      <c r="I81" s="2" t="s">
        <v>544</v>
      </c>
      <c r="J81" s="2" t="s">
        <v>687</v>
      </c>
      <c r="K81" s="2" t="s">
        <v>830</v>
      </c>
      <c r="L81" s="2" t="s">
        <v>973</v>
      </c>
      <c r="M81" s="2" t="s">
        <v>1116</v>
      </c>
      <c r="N81" s="2" t="s">
        <v>1259</v>
      </c>
      <c r="O81" s="2" t="s">
        <v>1402</v>
      </c>
      <c r="P81" s="2" t="s">
        <v>1545</v>
      </c>
      <c r="Q81" s="2" t="s">
        <v>1688</v>
      </c>
      <c r="R81" s="2" t="s">
        <v>1831</v>
      </c>
      <c r="S81" s="2" t="s">
        <v>1974</v>
      </c>
      <c r="T81" s="2" t="s">
        <v>2117</v>
      </c>
      <c r="U81" s="2" t="s">
        <v>2260</v>
      </c>
      <c r="V81" s="2" t="s">
        <v>2403</v>
      </c>
      <c r="W81" s="2" t="s">
        <v>2546</v>
      </c>
      <c r="X81" s="2" t="s">
        <v>2689</v>
      </c>
      <c r="Y81" s="2" t="s">
        <v>2832</v>
      </c>
      <c r="Z81" s="2" t="s">
        <v>2975</v>
      </c>
      <c r="AA81" s="2" t="s">
        <v>3118</v>
      </c>
    </row>
    <row r="82" spans="1:27" x14ac:dyDescent="0.3">
      <c r="A82" s="2" t="s">
        <v>45</v>
      </c>
      <c r="F82" s="2" t="s">
        <v>116</v>
      </c>
      <c r="G82" s="2" t="s">
        <v>259</v>
      </c>
      <c r="H82" s="2" t="s">
        <v>402</v>
      </c>
      <c r="I82" s="2" t="s">
        <v>545</v>
      </c>
      <c r="J82" s="2" t="s">
        <v>688</v>
      </c>
      <c r="K82" s="2" t="s">
        <v>831</v>
      </c>
      <c r="L82" s="2" t="s">
        <v>974</v>
      </c>
      <c r="M82" s="2" t="s">
        <v>1117</v>
      </c>
      <c r="N82" s="2" t="s">
        <v>1260</v>
      </c>
      <c r="O82" s="2" t="s">
        <v>1403</v>
      </c>
      <c r="P82" s="2" t="s">
        <v>1546</v>
      </c>
      <c r="Q82" s="2" t="s">
        <v>1689</v>
      </c>
      <c r="R82" s="2" t="s">
        <v>1832</v>
      </c>
      <c r="S82" s="2" t="s">
        <v>1975</v>
      </c>
      <c r="T82" s="2" t="s">
        <v>2118</v>
      </c>
      <c r="U82" s="2" t="s">
        <v>2261</v>
      </c>
      <c r="V82" s="2" t="s">
        <v>2404</v>
      </c>
      <c r="W82" s="2" t="s">
        <v>2547</v>
      </c>
      <c r="X82" s="2" t="s">
        <v>2690</v>
      </c>
      <c r="Y82" s="2" t="s">
        <v>2833</v>
      </c>
      <c r="Z82" s="2" t="s">
        <v>2976</v>
      </c>
      <c r="AA82" s="2" t="s">
        <v>3119</v>
      </c>
    </row>
    <row r="83" spans="1:27" x14ac:dyDescent="0.3">
      <c r="A83" s="2" t="s">
        <v>45</v>
      </c>
      <c r="F83" s="2" t="s">
        <v>117</v>
      </c>
      <c r="G83" s="2" t="s">
        <v>260</v>
      </c>
      <c r="H83" s="2" t="s">
        <v>403</v>
      </c>
      <c r="I83" s="2" t="s">
        <v>546</v>
      </c>
      <c r="J83" s="2" t="s">
        <v>689</v>
      </c>
      <c r="K83" s="2" t="s">
        <v>832</v>
      </c>
      <c r="L83" s="2" t="s">
        <v>975</v>
      </c>
      <c r="M83" s="2" t="s">
        <v>1118</v>
      </c>
      <c r="N83" s="2" t="s">
        <v>1261</v>
      </c>
      <c r="O83" s="2" t="s">
        <v>1404</v>
      </c>
      <c r="P83" s="2" t="s">
        <v>1547</v>
      </c>
      <c r="Q83" s="2" t="s">
        <v>1690</v>
      </c>
      <c r="R83" s="2" t="s">
        <v>1833</v>
      </c>
      <c r="S83" s="2" t="s">
        <v>1976</v>
      </c>
      <c r="T83" s="2" t="s">
        <v>2119</v>
      </c>
      <c r="U83" s="2" t="s">
        <v>2262</v>
      </c>
      <c r="V83" s="2" t="s">
        <v>2405</v>
      </c>
      <c r="W83" s="2" t="s">
        <v>2548</v>
      </c>
      <c r="X83" s="2" t="s">
        <v>2691</v>
      </c>
      <c r="Y83" s="2" t="s">
        <v>2834</v>
      </c>
      <c r="Z83" s="2" t="s">
        <v>2977</v>
      </c>
      <c r="AA83" s="2" t="s">
        <v>3120</v>
      </c>
    </row>
    <row r="84" spans="1:27" x14ac:dyDescent="0.3">
      <c r="A84" s="2" t="s">
        <v>45</v>
      </c>
      <c r="F84" s="2" t="s">
        <v>118</v>
      </c>
      <c r="G84" s="2" t="s">
        <v>261</v>
      </c>
      <c r="H84" s="2" t="s">
        <v>404</v>
      </c>
      <c r="I84" s="2" t="s">
        <v>547</v>
      </c>
      <c r="J84" s="2" t="s">
        <v>690</v>
      </c>
      <c r="K84" s="2" t="s">
        <v>833</v>
      </c>
      <c r="L84" s="2" t="s">
        <v>976</v>
      </c>
      <c r="M84" s="2" t="s">
        <v>1119</v>
      </c>
      <c r="N84" s="2" t="s">
        <v>1262</v>
      </c>
      <c r="O84" s="2" t="s">
        <v>1405</v>
      </c>
      <c r="P84" s="2" t="s">
        <v>1548</v>
      </c>
      <c r="Q84" s="2" t="s">
        <v>1691</v>
      </c>
      <c r="R84" s="2" t="s">
        <v>1834</v>
      </c>
      <c r="S84" s="2" t="s">
        <v>1977</v>
      </c>
      <c r="T84" s="2" t="s">
        <v>2120</v>
      </c>
      <c r="U84" s="2" t="s">
        <v>2263</v>
      </c>
      <c r="V84" s="2" t="s">
        <v>2406</v>
      </c>
      <c r="W84" s="2" t="s">
        <v>2549</v>
      </c>
      <c r="X84" s="2" t="s">
        <v>2692</v>
      </c>
      <c r="Y84" s="2" t="s">
        <v>2835</v>
      </c>
      <c r="Z84" s="2" t="s">
        <v>2978</v>
      </c>
      <c r="AA84" s="2" t="s">
        <v>3121</v>
      </c>
    </row>
    <row r="85" spans="1:27" x14ac:dyDescent="0.3">
      <c r="A85" s="2" t="s">
        <v>45</v>
      </c>
      <c r="F85" s="2" t="s">
        <v>119</v>
      </c>
      <c r="G85" s="2" t="s">
        <v>262</v>
      </c>
      <c r="H85" s="2" t="s">
        <v>405</v>
      </c>
      <c r="I85" s="2" t="s">
        <v>548</v>
      </c>
      <c r="J85" s="2" t="s">
        <v>691</v>
      </c>
      <c r="K85" s="2" t="s">
        <v>834</v>
      </c>
      <c r="L85" s="2" t="s">
        <v>977</v>
      </c>
      <c r="M85" s="2" t="s">
        <v>1120</v>
      </c>
      <c r="N85" s="2" t="s">
        <v>1263</v>
      </c>
      <c r="O85" s="2" t="s">
        <v>1406</v>
      </c>
      <c r="P85" s="2" t="s">
        <v>1549</v>
      </c>
      <c r="Q85" s="2" t="s">
        <v>1692</v>
      </c>
      <c r="R85" s="2" t="s">
        <v>1835</v>
      </c>
      <c r="S85" s="2" t="s">
        <v>1978</v>
      </c>
      <c r="T85" s="2" t="s">
        <v>2121</v>
      </c>
      <c r="U85" s="2" t="s">
        <v>2264</v>
      </c>
      <c r="V85" s="2" t="s">
        <v>2407</v>
      </c>
      <c r="W85" s="2" t="s">
        <v>2550</v>
      </c>
      <c r="X85" s="2" t="s">
        <v>2693</v>
      </c>
      <c r="Y85" s="2" t="s">
        <v>2836</v>
      </c>
      <c r="Z85" s="2" t="s">
        <v>2979</v>
      </c>
      <c r="AA85" s="2" t="s">
        <v>3122</v>
      </c>
    </row>
    <row r="86" spans="1:27" x14ac:dyDescent="0.3">
      <c r="A86" s="2" t="s">
        <v>45</v>
      </c>
      <c r="F86" s="2" t="s">
        <v>120</v>
      </c>
      <c r="G86" s="2" t="s">
        <v>263</v>
      </c>
      <c r="H86" s="2" t="s">
        <v>406</v>
      </c>
      <c r="I86" s="2" t="s">
        <v>549</v>
      </c>
      <c r="J86" s="2" t="s">
        <v>692</v>
      </c>
      <c r="K86" s="2" t="s">
        <v>835</v>
      </c>
      <c r="L86" s="2" t="s">
        <v>978</v>
      </c>
      <c r="M86" s="2" t="s">
        <v>1121</v>
      </c>
      <c r="N86" s="2" t="s">
        <v>1264</v>
      </c>
      <c r="O86" s="2" t="s">
        <v>1407</v>
      </c>
      <c r="P86" s="2" t="s">
        <v>1550</v>
      </c>
      <c r="Q86" s="2" t="s">
        <v>1693</v>
      </c>
      <c r="R86" s="2" t="s">
        <v>1836</v>
      </c>
      <c r="S86" s="2" t="s">
        <v>1979</v>
      </c>
      <c r="T86" s="2" t="s">
        <v>2122</v>
      </c>
      <c r="U86" s="2" t="s">
        <v>2265</v>
      </c>
      <c r="V86" s="2" t="s">
        <v>2408</v>
      </c>
      <c r="W86" s="2" t="s">
        <v>2551</v>
      </c>
      <c r="X86" s="2" t="s">
        <v>2694</v>
      </c>
      <c r="Y86" s="2" t="s">
        <v>2837</v>
      </c>
      <c r="Z86" s="2" t="s">
        <v>2980</v>
      </c>
      <c r="AA86" s="2" t="s">
        <v>3123</v>
      </c>
    </row>
    <row r="87" spans="1:27" x14ac:dyDescent="0.3">
      <c r="A87" s="2" t="s">
        <v>45</v>
      </c>
      <c r="F87" s="2" t="s">
        <v>121</v>
      </c>
      <c r="G87" s="2" t="s">
        <v>264</v>
      </c>
      <c r="H87" s="2" t="s">
        <v>407</v>
      </c>
      <c r="I87" s="2" t="s">
        <v>550</v>
      </c>
      <c r="J87" s="2" t="s">
        <v>693</v>
      </c>
      <c r="K87" s="2" t="s">
        <v>836</v>
      </c>
      <c r="L87" s="2" t="s">
        <v>979</v>
      </c>
      <c r="M87" s="2" t="s">
        <v>1122</v>
      </c>
      <c r="N87" s="2" t="s">
        <v>1265</v>
      </c>
      <c r="O87" s="2" t="s">
        <v>1408</v>
      </c>
      <c r="P87" s="2" t="s">
        <v>1551</v>
      </c>
      <c r="Q87" s="2" t="s">
        <v>1694</v>
      </c>
      <c r="R87" s="2" t="s">
        <v>1837</v>
      </c>
      <c r="S87" s="2" t="s">
        <v>1980</v>
      </c>
      <c r="T87" s="2" t="s">
        <v>2123</v>
      </c>
      <c r="U87" s="2" t="s">
        <v>2266</v>
      </c>
      <c r="V87" s="2" t="s">
        <v>2409</v>
      </c>
      <c r="W87" s="2" t="s">
        <v>2552</v>
      </c>
      <c r="X87" s="2" t="s">
        <v>2695</v>
      </c>
      <c r="Y87" s="2" t="s">
        <v>2838</v>
      </c>
      <c r="Z87" s="2" t="s">
        <v>2981</v>
      </c>
      <c r="AA87" s="2" t="s">
        <v>3124</v>
      </c>
    </row>
    <row r="88" spans="1:27" x14ac:dyDescent="0.3">
      <c r="A88" s="2" t="s">
        <v>45</v>
      </c>
      <c r="F88" s="2" t="s">
        <v>122</v>
      </c>
      <c r="G88" s="2" t="s">
        <v>265</v>
      </c>
      <c r="H88" s="2" t="s">
        <v>408</v>
      </c>
      <c r="I88" s="2" t="s">
        <v>551</v>
      </c>
      <c r="J88" s="2" t="s">
        <v>694</v>
      </c>
      <c r="K88" s="2" t="s">
        <v>837</v>
      </c>
      <c r="L88" s="2" t="s">
        <v>980</v>
      </c>
      <c r="M88" s="2" t="s">
        <v>1123</v>
      </c>
      <c r="N88" s="2" t="s">
        <v>1266</v>
      </c>
      <c r="O88" s="2" t="s">
        <v>1409</v>
      </c>
      <c r="P88" s="2" t="s">
        <v>1552</v>
      </c>
      <c r="Q88" s="2" t="s">
        <v>1695</v>
      </c>
      <c r="R88" s="2" t="s">
        <v>1838</v>
      </c>
      <c r="S88" s="2" t="s">
        <v>1981</v>
      </c>
      <c r="T88" s="2" t="s">
        <v>2124</v>
      </c>
      <c r="U88" s="2" t="s">
        <v>2267</v>
      </c>
      <c r="V88" s="2" t="s">
        <v>2410</v>
      </c>
      <c r="W88" s="2" t="s">
        <v>2553</v>
      </c>
      <c r="X88" s="2" t="s">
        <v>2696</v>
      </c>
      <c r="Y88" s="2" t="s">
        <v>2839</v>
      </c>
      <c r="Z88" s="2" t="s">
        <v>2982</v>
      </c>
      <c r="AA88" s="2" t="s">
        <v>3125</v>
      </c>
    </row>
    <row r="89" spans="1:27" x14ac:dyDescent="0.3">
      <c r="A89" s="2" t="s">
        <v>45</v>
      </c>
      <c r="F89" s="2" t="s">
        <v>123</v>
      </c>
      <c r="G89" s="2" t="s">
        <v>266</v>
      </c>
      <c r="H89" s="2" t="s">
        <v>409</v>
      </c>
      <c r="I89" s="2" t="s">
        <v>552</v>
      </c>
      <c r="J89" s="2" t="s">
        <v>695</v>
      </c>
      <c r="K89" s="2" t="s">
        <v>838</v>
      </c>
      <c r="L89" s="2" t="s">
        <v>981</v>
      </c>
      <c r="M89" s="2" t="s">
        <v>1124</v>
      </c>
      <c r="N89" s="2" t="s">
        <v>1267</v>
      </c>
      <c r="O89" s="2" t="s">
        <v>1410</v>
      </c>
      <c r="P89" s="2" t="s">
        <v>1553</v>
      </c>
      <c r="Q89" s="2" t="s">
        <v>1696</v>
      </c>
      <c r="R89" s="2" t="s">
        <v>1839</v>
      </c>
      <c r="S89" s="2" t="s">
        <v>1982</v>
      </c>
      <c r="T89" s="2" t="s">
        <v>2125</v>
      </c>
      <c r="U89" s="2" t="s">
        <v>2268</v>
      </c>
      <c r="V89" s="2" t="s">
        <v>2411</v>
      </c>
      <c r="W89" s="2" t="s">
        <v>2554</v>
      </c>
      <c r="X89" s="2" t="s">
        <v>2697</v>
      </c>
      <c r="Y89" s="2" t="s">
        <v>2840</v>
      </c>
      <c r="Z89" s="2" t="s">
        <v>2983</v>
      </c>
      <c r="AA89" s="2" t="s">
        <v>3126</v>
      </c>
    </row>
    <row r="90" spans="1:27" x14ac:dyDescent="0.3">
      <c r="A90" s="2" t="s">
        <v>45</v>
      </c>
      <c r="F90" s="2" t="s">
        <v>124</v>
      </c>
      <c r="G90" s="2" t="s">
        <v>267</v>
      </c>
      <c r="H90" s="2" t="s">
        <v>410</v>
      </c>
      <c r="I90" s="2" t="s">
        <v>553</v>
      </c>
      <c r="J90" s="2" t="s">
        <v>696</v>
      </c>
      <c r="K90" s="2" t="s">
        <v>839</v>
      </c>
      <c r="L90" s="2" t="s">
        <v>982</v>
      </c>
      <c r="M90" s="2" t="s">
        <v>1125</v>
      </c>
      <c r="N90" s="2" t="s">
        <v>1268</v>
      </c>
      <c r="O90" s="2" t="s">
        <v>1411</v>
      </c>
      <c r="P90" s="2" t="s">
        <v>1554</v>
      </c>
      <c r="Q90" s="2" t="s">
        <v>1697</v>
      </c>
      <c r="R90" s="2" t="s">
        <v>1840</v>
      </c>
      <c r="S90" s="2" t="s">
        <v>1983</v>
      </c>
      <c r="T90" s="2" t="s">
        <v>2126</v>
      </c>
      <c r="U90" s="2" t="s">
        <v>2269</v>
      </c>
      <c r="V90" s="2" t="s">
        <v>2412</v>
      </c>
      <c r="W90" s="2" t="s">
        <v>2555</v>
      </c>
      <c r="X90" s="2" t="s">
        <v>2698</v>
      </c>
      <c r="Y90" s="2" t="s">
        <v>2841</v>
      </c>
      <c r="Z90" s="2" t="s">
        <v>2984</v>
      </c>
      <c r="AA90" s="2" t="s">
        <v>3127</v>
      </c>
    </row>
    <row r="91" spans="1:27" x14ac:dyDescent="0.3">
      <c r="A91" s="2" t="s">
        <v>45</v>
      </c>
      <c r="F91" s="2" t="s">
        <v>125</v>
      </c>
      <c r="G91" s="2" t="s">
        <v>268</v>
      </c>
      <c r="H91" s="2" t="s">
        <v>411</v>
      </c>
      <c r="I91" s="2" t="s">
        <v>554</v>
      </c>
      <c r="J91" s="2" t="s">
        <v>697</v>
      </c>
      <c r="K91" s="2" t="s">
        <v>840</v>
      </c>
      <c r="L91" s="2" t="s">
        <v>983</v>
      </c>
      <c r="M91" s="2" t="s">
        <v>1126</v>
      </c>
      <c r="N91" s="2" t="s">
        <v>1269</v>
      </c>
      <c r="O91" s="2" t="s">
        <v>1412</v>
      </c>
      <c r="P91" s="2" t="s">
        <v>1555</v>
      </c>
      <c r="Q91" s="2" t="s">
        <v>1698</v>
      </c>
      <c r="R91" s="2" t="s">
        <v>1841</v>
      </c>
      <c r="S91" s="2" t="s">
        <v>1984</v>
      </c>
      <c r="T91" s="2" t="s">
        <v>2127</v>
      </c>
      <c r="U91" s="2" t="s">
        <v>2270</v>
      </c>
      <c r="V91" s="2" t="s">
        <v>2413</v>
      </c>
      <c r="W91" s="2" t="s">
        <v>2556</v>
      </c>
      <c r="X91" s="2" t="s">
        <v>2699</v>
      </c>
      <c r="Y91" s="2" t="s">
        <v>2842</v>
      </c>
      <c r="Z91" s="2" t="s">
        <v>2985</v>
      </c>
      <c r="AA91" s="2" t="s">
        <v>3128</v>
      </c>
    </row>
    <row r="92" spans="1:27" x14ac:dyDescent="0.3">
      <c r="A92" s="2" t="s">
        <v>45</v>
      </c>
      <c r="F92" s="2" t="s">
        <v>126</v>
      </c>
      <c r="G92" s="2" t="s">
        <v>269</v>
      </c>
      <c r="H92" s="2" t="s">
        <v>412</v>
      </c>
      <c r="I92" s="2" t="s">
        <v>555</v>
      </c>
      <c r="J92" s="2" t="s">
        <v>698</v>
      </c>
      <c r="K92" s="2" t="s">
        <v>841</v>
      </c>
      <c r="L92" s="2" t="s">
        <v>984</v>
      </c>
      <c r="M92" s="2" t="s">
        <v>1127</v>
      </c>
      <c r="N92" s="2" t="s">
        <v>1270</v>
      </c>
      <c r="O92" s="2" t="s">
        <v>1413</v>
      </c>
      <c r="P92" s="2" t="s">
        <v>1556</v>
      </c>
      <c r="Q92" s="2" t="s">
        <v>1699</v>
      </c>
      <c r="R92" s="2" t="s">
        <v>1842</v>
      </c>
      <c r="S92" s="2" t="s">
        <v>1985</v>
      </c>
      <c r="T92" s="2" t="s">
        <v>2128</v>
      </c>
      <c r="U92" s="2" t="s">
        <v>2271</v>
      </c>
      <c r="V92" s="2" t="s">
        <v>2414</v>
      </c>
      <c r="W92" s="2" t="s">
        <v>2557</v>
      </c>
      <c r="X92" s="2" t="s">
        <v>2700</v>
      </c>
      <c r="Y92" s="2" t="s">
        <v>2843</v>
      </c>
      <c r="Z92" s="2" t="s">
        <v>2986</v>
      </c>
      <c r="AA92" s="2" t="s">
        <v>3129</v>
      </c>
    </row>
    <row r="93" spans="1:27" x14ac:dyDescent="0.3">
      <c r="A93" s="2" t="s">
        <v>45</v>
      </c>
      <c r="F93" s="2" t="s">
        <v>127</v>
      </c>
      <c r="G93" s="2" t="s">
        <v>270</v>
      </c>
      <c r="H93" s="2" t="s">
        <v>413</v>
      </c>
      <c r="I93" s="2" t="s">
        <v>556</v>
      </c>
      <c r="J93" s="2" t="s">
        <v>699</v>
      </c>
      <c r="K93" s="2" t="s">
        <v>842</v>
      </c>
      <c r="L93" s="2" t="s">
        <v>985</v>
      </c>
      <c r="M93" s="2" t="s">
        <v>1128</v>
      </c>
      <c r="N93" s="2" t="s">
        <v>1271</v>
      </c>
      <c r="O93" s="2" t="s">
        <v>1414</v>
      </c>
      <c r="P93" s="2" t="s">
        <v>1557</v>
      </c>
      <c r="Q93" s="2" t="s">
        <v>1700</v>
      </c>
      <c r="R93" s="2" t="s">
        <v>1843</v>
      </c>
      <c r="S93" s="2" t="s">
        <v>1986</v>
      </c>
      <c r="T93" s="2" t="s">
        <v>2129</v>
      </c>
      <c r="U93" s="2" t="s">
        <v>2272</v>
      </c>
      <c r="V93" s="2" t="s">
        <v>2415</v>
      </c>
      <c r="W93" s="2" t="s">
        <v>2558</v>
      </c>
      <c r="X93" s="2" t="s">
        <v>2701</v>
      </c>
      <c r="Y93" s="2" t="s">
        <v>2844</v>
      </c>
      <c r="Z93" s="2" t="s">
        <v>2987</v>
      </c>
      <c r="AA93" s="2" t="s">
        <v>3130</v>
      </c>
    </row>
    <row r="94" spans="1:27" x14ac:dyDescent="0.3">
      <c r="A94" s="2" t="s">
        <v>45</v>
      </c>
      <c r="F94" s="2" t="s">
        <v>128</v>
      </c>
      <c r="G94" s="2" t="s">
        <v>271</v>
      </c>
      <c r="H94" s="2" t="s">
        <v>414</v>
      </c>
      <c r="I94" s="2" t="s">
        <v>557</v>
      </c>
      <c r="J94" s="2" t="s">
        <v>700</v>
      </c>
      <c r="K94" s="2" t="s">
        <v>843</v>
      </c>
      <c r="L94" s="2" t="s">
        <v>986</v>
      </c>
      <c r="M94" s="2" t="s">
        <v>1129</v>
      </c>
      <c r="N94" s="2" t="s">
        <v>1272</v>
      </c>
      <c r="O94" s="2" t="s">
        <v>1415</v>
      </c>
      <c r="P94" s="2" t="s">
        <v>1558</v>
      </c>
      <c r="Q94" s="2" t="s">
        <v>1701</v>
      </c>
      <c r="R94" s="2" t="s">
        <v>1844</v>
      </c>
      <c r="S94" s="2" t="s">
        <v>1987</v>
      </c>
      <c r="T94" s="2" t="s">
        <v>2130</v>
      </c>
      <c r="U94" s="2" t="s">
        <v>2273</v>
      </c>
      <c r="V94" s="2" t="s">
        <v>2416</v>
      </c>
      <c r="W94" s="2" t="s">
        <v>2559</v>
      </c>
      <c r="X94" s="2" t="s">
        <v>2702</v>
      </c>
      <c r="Y94" s="2" t="s">
        <v>2845</v>
      </c>
      <c r="Z94" s="2" t="s">
        <v>2988</v>
      </c>
      <c r="AA94" s="2" t="s">
        <v>3131</v>
      </c>
    </row>
    <row r="95" spans="1:27" x14ac:dyDescent="0.3">
      <c r="A95" s="2" t="s">
        <v>45</v>
      </c>
      <c r="F95" s="2" t="s">
        <v>129</v>
      </c>
      <c r="G95" s="2" t="s">
        <v>272</v>
      </c>
      <c r="H95" s="2" t="s">
        <v>415</v>
      </c>
      <c r="I95" s="2" t="s">
        <v>558</v>
      </c>
      <c r="J95" s="2" t="s">
        <v>701</v>
      </c>
      <c r="K95" s="2" t="s">
        <v>844</v>
      </c>
      <c r="L95" s="2" t="s">
        <v>987</v>
      </c>
      <c r="M95" s="2" t="s">
        <v>1130</v>
      </c>
      <c r="N95" s="2" t="s">
        <v>1273</v>
      </c>
      <c r="O95" s="2" t="s">
        <v>1416</v>
      </c>
      <c r="P95" s="2" t="s">
        <v>1559</v>
      </c>
      <c r="Q95" s="2" t="s">
        <v>1702</v>
      </c>
      <c r="R95" s="2" t="s">
        <v>1845</v>
      </c>
      <c r="S95" s="2" t="s">
        <v>1988</v>
      </c>
      <c r="T95" s="2" t="s">
        <v>2131</v>
      </c>
      <c r="U95" s="2" t="s">
        <v>2274</v>
      </c>
      <c r="V95" s="2" t="s">
        <v>2417</v>
      </c>
      <c r="W95" s="2" t="s">
        <v>2560</v>
      </c>
      <c r="X95" s="2" t="s">
        <v>2703</v>
      </c>
      <c r="Y95" s="2" t="s">
        <v>2846</v>
      </c>
      <c r="Z95" s="2" t="s">
        <v>2989</v>
      </c>
      <c r="AA95" s="2" t="s">
        <v>3132</v>
      </c>
    </row>
    <row r="96" spans="1:27" x14ac:dyDescent="0.3">
      <c r="A96" s="2" t="s">
        <v>45</v>
      </c>
      <c r="F96" s="2" t="s">
        <v>130</v>
      </c>
      <c r="G96" s="2" t="s">
        <v>273</v>
      </c>
      <c r="H96" s="2" t="s">
        <v>416</v>
      </c>
      <c r="I96" s="2" t="s">
        <v>559</v>
      </c>
      <c r="J96" s="2" t="s">
        <v>702</v>
      </c>
      <c r="K96" s="2" t="s">
        <v>845</v>
      </c>
      <c r="L96" s="2" t="s">
        <v>988</v>
      </c>
      <c r="M96" s="2" t="s">
        <v>1131</v>
      </c>
      <c r="N96" s="2" t="s">
        <v>1274</v>
      </c>
      <c r="O96" s="2" t="s">
        <v>1417</v>
      </c>
      <c r="P96" s="2" t="s">
        <v>1560</v>
      </c>
      <c r="Q96" s="2" t="s">
        <v>1703</v>
      </c>
      <c r="R96" s="2" t="s">
        <v>1846</v>
      </c>
      <c r="S96" s="2" t="s">
        <v>1989</v>
      </c>
      <c r="T96" s="2" t="s">
        <v>2132</v>
      </c>
      <c r="U96" s="2" t="s">
        <v>2275</v>
      </c>
      <c r="V96" s="2" t="s">
        <v>2418</v>
      </c>
      <c r="W96" s="2" t="s">
        <v>2561</v>
      </c>
      <c r="X96" s="2" t="s">
        <v>2704</v>
      </c>
      <c r="Y96" s="2" t="s">
        <v>2847</v>
      </c>
      <c r="Z96" s="2" t="s">
        <v>2990</v>
      </c>
      <c r="AA96" s="2" t="s">
        <v>3133</v>
      </c>
    </row>
    <row r="97" spans="1:27" x14ac:dyDescent="0.3">
      <c r="A97" s="2" t="s">
        <v>45</v>
      </c>
      <c r="F97" s="2" t="s">
        <v>131</v>
      </c>
      <c r="G97" s="2" t="s">
        <v>274</v>
      </c>
      <c r="H97" s="2" t="s">
        <v>417</v>
      </c>
      <c r="I97" s="2" t="s">
        <v>560</v>
      </c>
      <c r="J97" s="2" t="s">
        <v>703</v>
      </c>
      <c r="K97" s="2" t="s">
        <v>846</v>
      </c>
      <c r="L97" s="2" t="s">
        <v>989</v>
      </c>
      <c r="M97" s="2" t="s">
        <v>1132</v>
      </c>
      <c r="N97" s="2" t="s">
        <v>1275</v>
      </c>
      <c r="O97" s="2" t="s">
        <v>1418</v>
      </c>
      <c r="P97" s="2" t="s">
        <v>1561</v>
      </c>
      <c r="Q97" s="2" t="s">
        <v>1704</v>
      </c>
      <c r="R97" s="2" t="s">
        <v>1847</v>
      </c>
      <c r="S97" s="2" t="s">
        <v>1990</v>
      </c>
      <c r="T97" s="2" t="s">
        <v>2133</v>
      </c>
      <c r="U97" s="2" t="s">
        <v>2276</v>
      </c>
      <c r="V97" s="2" t="s">
        <v>2419</v>
      </c>
      <c r="W97" s="2" t="s">
        <v>2562</v>
      </c>
      <c r="X97" s="2" t="s">
        <v>2705</v>
      </c>
      <c r="Y97" s="2" t="s">
        <v>2848</v>
      </c>
      <c r="Z97" s="2" t="s">
        <v>2991</v>
      </c>
      <c r="AA97" s="2" t="s">
        <v>3134</v>
      </c>
    </row>
    <row r="98" spans="1:27" x14ac:dyDescent="0.3">
      <c r="A98" s="2" t="s">
        <v>45</v>
      </c>
      <c r="F98" s="2" t="s">
        <v>132</v>
      </c>
      <c r="G98" s="2" t="s">
        <v>275</v>
      </c>
      <c r="H98" s="2" t="s">
        <v>418</v>
      </c>
      <c r="I98" s="2" t="s">
        <v>561</v>
      </c>
      <c r="J98" s="2" t="s">
        <v>704</v>
      </c>
      <c r="K98" s="2" t="s">
        <v>847</v>
      </c>
      <c r="L98" s="2" t="s">
        <v>990</v>
      </c>
      <c r="M98" s="2" t="s">
        <v>1133</v>
      </c>
      <c r="N98" s="2" t="s">
        <v>1276</v>
      </c>
      <c r="O98" s="2" t="s">
        <v>1419</v>
      </c>
      <c r="P98" s="2" t="s">
        <v>1562</v>
      </c>
      <c r="Q98" s="2" t="s">
        <v>1705</v>
      </c>
      <c r="R98" s="2" t="s">
        <v>1848</v>
      </c>
      <c r="S98" s="2" t="s">
        <v>1991</v>
      </c>
      <c r="T98" s="2" t="s">
        <v>2134</v>
      </c>
      <c r="U98" s="2" t="s">
        <v>2277</v>
      </c>
      <c r="V98" s="2" t="s">
        <v>2420</v>
      </c>
      <c r="W98" s="2" t="s">
        <v>2563</v>
      </c>
      <c r="X98" s="2" t="s">
        <v>2706</v>
      </c>
      <c r="Y98" s="2" t="s">
        <v>2849</v>
      </c>
      <c r="Z98" s="2" t="s">
        <v>2992</v>
      </c>
      <c r="AA98" s="2" t="s">
        <v>3135</v>
      </c>
    </row>
    <row r="99" spans="1:27" x14ac:dyDescent="0.3">
      <c r="A99" s="2" t="s">
        <v>45</v>
      </c>
      <c r="F99" s="2" t="s">
        <v>133</v>
      </c>
      <c r="G99" s="2" t="s">
        <v>276</v>
      </c>
      <c r="H99" s="2" t="s">
        <v>419</v>
      </c>
      <c r="I99" s="2" t="s">
        <v>562</v>
      </c>
      <c r="J99" s="2" t="s">
        <v>705</v>
      </c>
      <c r="K99" s="2" t="s">
        <v>848</v>
      </c>
      <c r="L99" s="2" t="s">
        <v>991</v>
      </c>
      <c r="M99" s="2" t="s">
        <v>1134</v>
      </c>
      <c r="N99" s="2" t="s">
        <v>1277</v>
      </c>
      <c r="O99" s="2" t="s">
        <v>1420</v>
      </c>
      <c r="P99" s="2" t="s">
        <v>1563</v>
      </c>
      <c r="Q99" s="2" t="s">
        <v>1706</v>
      </c>
      <c r="R99" s="2" t="s">
        <v>1849</v>
      </c>
      <c r="S99" s="2" t="s">
        <v>1992</v>
      </c>
      <c r="T99" s="2" t="s">
        <v>2135</v>
      </c>
      <c r="U99" s="2" t="s">
        <v>2278</v>
      </c>
      <c r="V99" s="2" t="s">
        <v>2421</v>
      </c>
      <c r="W99" s="2" t="s">
        <v>2564</v>
      </c>
      <c r="X99" s="2" t="s">
        <v>2707</v>
      </c>
      <c r="Y99" s="2" t="s">
        <v>2850</v>
      </c>
      <c r="Z99" s="2" t="s">
        <v>2993</v>
      </c>
      <c r="AA99" s="2" t="s">
        <v>3136</v>
      </c>
    </row>
    <row r="100" spans="1:27" x14ac:dyDescent="0.3">
      <c r="A100" s="2" t="s">
        <v>45</v>
      </c>
      <c r="F100" s="2" t="s">
        <v>134</v>
      </c>
      <c r="G100" s="2" t="s">
        <v>277</v>
      </c>
      <c r="H100" s="2" t="s">
        <v>420</v>
      </c>
      <c r="I100" s="2" t="s">
        <v>563</v>
      </c>
      <c r="J100" s="2" t="s">
        <v>706</v>
      </c>
      <c r="K100" s="2" t="s">
        <v>849</v>
      </c>
      <c r="L100" s="2" t="s">
        <v>992</v>
      </c>
      <c r="M100" s="2" t="s">
        <v>1135</v>
      </c>
      <c r="N100" s="2" t="s">
        <v>1278</v>
      </c>
      <c r="O100" s="2" t="s">
        <v>1421</v>
      </c>
      <c r="P100" s="2" t="s">
        <v>1564</v>
      </c>
      <c r="Q100" s="2" t="s">
        <v>1707</v>
      </c>
      <c r="R100" s="2" t="s">
        <v>1850</v>
      </c>
      <c r="S100" s="2" t="s">
        <v>1993</v>
      </c>
      <c r="T100" s="2" t="s">
        <v>2136</v>
      </c>
      <c r="U100" s="2" t="s">
        <v>2279</v>
      </c>
      <c r="V100" s="2" t="s">
        <v>2422</v>
      </c>
      <c r="W100" s="2" t="s">
        <v>2565</v>
      </c>
      <c r="X100" s="2" t="s">
        <v>2708</v>
      </c>
      <c r="Y100" s="2" t="s">
        <v>2851</v>
      </c>
      <c r="Z100" s="2" t="s">
        <v>2994</v>
      </c>
      <c r="AA100" s="2" t="s">
        <v>3137</v>
      </c>
    </row>
    <row r="101" spans="1:27" x14ac:dyDescent="0.3">
      <c r="A101" s="2" t="s">
        <v>45</v>
      </c>
      <c r="F101" s="2" t="s">
        <v>135</v>
      </c>
      <c r="G101" s="2" t="s">
        <v>278</v>
      </c>
      <c r="H101" s="2" t="s">
        <v>421</v>
      </c>
      <c r="I101" s="2" t="s">
        <v>564</v>
      </c>
      <c r="J101" s="2" t="s">
        <v>707</v>
      </c>
      <c r="K101" s="2" t="s">
        <v>850</v>
      </c>
      <c r="L101" s="2" t="s">
        <v>993</v>
      </c>
      <c r="M101" s="2" t="s">
        <v>1136</v>
      </c>
      <c r="N101" s="2" t="s">
        <v>1279</v>
      </c>
      <c r="O101" s="2" t="s">
        <v>1422</v>
      </c>
      <c r="P101" s="2" t="s">
        <v>1565</v>
      </c>
      <c r="Q101" s="2" t="s">
        <v>1708</v>
      </c>
      <c r="R101" s="2" t="s">
        <v>1851</v>
      </c>
      <c r="S101" s="2" t="s">
        <v>1994</v>
      </c>
      <c r="T101" s="2" t="s">
        <v>2137</v>
      </c>
      <c r="U101" s="2" t="s">
        <v>2280</v>
      </c>
      <c r="V101" s="2" t="s">
        <v>2423</v>
      </c>
      <c r="W101" s="2" t="s">
        <v>2566</v>
      </c>
      <c r="X101" s="2" t="s">
        <v>2709</v>
      </c>
      <c r="Y101" s="2" t="s">
        <v>2852</v>
      </c>
      <c r="Z101" s="2" t="s">
        <v>2995</v>
      </c>
      <c r="AA101" s="2" t="s">
        <v>3138</v>
      </c>
    </row>
    <row r="102" spans="1:27" x14ac:dyDescent="0.3">
      <c r="A102" s="2" t="s">
        <v>45</v>
      </c>
      <c r="F102" s="2" t="s">
        <v>136</v>
      </c>
      <c r="G102" s="2" t="s">
        <v>279</v>
      </c>
      <c r="H102" s="2" t="s">
        <v>422</v>
      </c>
      <c r="I102" s="2" t="s">
        <v>565</v>
      </c>
      <c r="J102" s="2" t="s">
        <v>708</v>
      </c>
      <c r="K102" s="2" t="s">
        <v>851</v>
      </c>
      <c r="L102" s="2" t="s">
        <v>994</v>
      </c>
      <c r="M102" s="2" t="s">
        <v>1137</v>
      </c>
      <c r="N102" s="2" t="s">
        <v>1280</v>
      </c>
      <c r="O102" s="2" t="s">
        <v>1423</v>
      </c>
      <c r="P102" s="2" t="s">
        <v>1566</v>
      </c>
      <c r="Q102" s="2" t="s">
        <v>1709</v>
      </c>
      <c r="R102" s="2" t="s">
        <v>1852</v>
      </c>
      <c r="S102" s="2" t="s">
        <v>1995</v>
      </c>
      <c r="T102" s="2" t="s">
        <v>2138</v>
      </c>
      <c r="U102" s="2" t="s">
        <v>2281</v>
      </c>
      <c r="V102" s="2" t="s">
        <v>2424</v>
      </c>
      <c r="W102" s="2" t="s">
        <v>2567</v>
      </c>
      <c r="X102" s="2" t="s">
        <v>2710</v>
      </c>
      <c r="Y102" s="2" t="s">
        <v>2853</v>
      </c>
      <c r="Z102" s="2" t="s">
        <v>2996</v>
      </c>
      <c r="AA102" s="2" t="s">
        <v>3139</v>
      </c>
    </row>
    <row r="103" spans="1:27" x14ac:dyDescent="0.3">
      <c r="A103" s="2" t="s">
        <v>45</v>
      </c>
      <c r="F103" s="2" t="s">
        <v>137</v>
      </c>
      <c r="G103" s="2" t="s">
        <v>280</v>
      </c>
      <c r="H103" s="2" t="s">
        <v>423</v>
      </c>
      <c r="I103" s="2" t="s">
        <v>566</v>
      </c>
      <c r="J103" s="2" t="s">
        <v>709</v>
      </c>
      <c r="K103" s="2" t="s">
        <v>852</v>
      </c>
      <c r="L103" s="2" t="s">
        <v>995</v>
      </c>
      <c r="M103" s="2" t="s">
        <v>1138</v>
      </c>
      <c r="N103" s="2" t="s">
        <v>1281</v>
      </c>
      <c r="O103" s="2" t="s">
        <v>1424</v>
      </c>
      <c r="P103" s="2" t="s">
        <v>1567</v>
      </c>
      <c r="Q103" s="2" t="s">
        <v>1710</v>
      </c>
      <c r="R103" s="2" t="s">
        <v>1853</v>
      </c>
      <c r="S103" s="2" t="s">
        <v>1996</v>
      </c>
      <c r="T103" s="2" t="s">
        <v>2139</v>
      </c>
      <c r="U103" s="2" t="s">
        <v>2282</v>
      </c>
      <c r="V103" s="2" t="s">
        <v>2425</v>
      </c>
      <c r="W103" s="2" t="s">
        <v>2568</v>
      </c>
      <c r="X103" s="2" t="s">
        <v>2711</v>
      </c>
      <c r="Y103" s="2" t="s">
        <v>2854</v>
      </c>
      <c r="Z103" s="2" t="s">
        <v>2997</v>
      </c>
      <c r="AA103" s="2" t="s">
        <v>3140</v>
      </c>
    </row>
    <row r="104" spans="1:27" x14ac:dyDescent="0.3">
      <c r="A104" s="2" t="s">
        <v>45</v>
      </c>
      <c r="F104" s="2" t="s">
        <v>138</v>
      </c>
      <c r="G104" s="2" t="s">
        <v>281</v>
      </c>
      <c r="H104" s="2" t="s">
        <v>424</v>
      </c>
      <c r="I104" s="2" t="s">
        <v>567</v>
      </c>
      <c r="J104" s="2" t="s">
        <v>710</v>
      </c>
      <c r="K104" s="2" t="s">
        <v>853</v>
      </c>
      <c r="L104" s="2" t="s">
        <v>996</v>
      </c>
      <c r="M104" s="2" t="s">
        <v>1139</v>
      </c>
      <c r="N104" s="2" t="s">
        <v>1282</v>
      </c>
      <c r="O104" s="2" t="s">
        <v>1425</v>
      </c>
      <c r="P104" s="2" t="s">
        <v>1568</v>
      </c>
      <c r="Q104" s="2" t="s">
        <v>1711</v>
      </c>
      <c r="R104" s="2" t="s">
        <v>1854</v>
      </c>
      <c r="S104" s="2" t="s">
        <v>1997</v>
      </c>
      <c r="T104" s="2" t="s">
        <v>2140</v>
      </c>
      <c r="U104" s="2" t="s">
        <v>2283</v>
      </c>
      <c r="V104" s="2" t="s">
        <v>2426</v>
      </c>
      <c r="W104" s="2" t="s">
        <v>2569</v>
      </c>
      <c r="X104" s="2" t="s">
        <v>2712</v>
      </c>
      <c r="Y104" s="2" t="s">
        <v>2855</v>
      </c>
      <c r="Z104" s="2" t="s">
        <v>2998</v>
      </c>
      <c r="AA104" s="2" t="s">
        <v>3141</v>
      </c>
    </row>
    <row r="105" spans="1:27" x14ac:dyDescent="0.3">
      <c r="A105" s="2" t="s">
        <v>45</v>
      </c>
      <c r="F105" s="2" t="s">
        <v>139</v>
      </c>
      <c r="G105" s="2" t="s">
        <v>282</v>
      </c>
      <c r="H105" s="2" t="s">
        <v>425</v>
      </c>
      <c r="I105" s="2" t="s">
        <v>568</v>
      </c>
      <c r="J105" s="2" t="s">
        <v>711</v>
      </c>
      <c r="K105" s="2" t="s">
        <v>854</v>
      </c>
      <c r="L105" s="2" t="s">
        <v>997</v>
      </c>
      <c r="M105" s="2" t="s">
        <v>1140</v>
      </c>
      <c r="N105" s="2" t="s">
        <v>1283</v>
      </c>
      <c r="O105" s="2" t="s">
        <v>1426</v>
      </c>
      <c r="P105" s="2" t="s">
        <v>1569</v>
      </c>
      <c r="Q105" s="2" t="s">
        <v>1712</v>
      </c>
      <c r="R105" s="2" t="s">
        <v>1855</v>
      </c>
      <c r="S105" s="2" t="s">
        <v>1998</v>
      </c>
      <c r="T105" s="2" t="s">
        <v>2141</v>
      </c>
      <c r="U105" s="2" t="s">
        <v>2284</v>
      </c>
      <c r="V105" s="2" t="s">
        <v>2427</v>
      </c>
      <c r="W105" s="2" t="s">
        <v>2570</v>
      </c>
      <c r="X105" s="2" t="s">
        <v>2713</v>
      </c>
      <c r="Y105" s="2" t="s">
        <v>2856</v>
      </c>
      <c r="Z105" s="2" t="s">
        <v>2999</v>
      </c>
      <c r="AA105" s="2" t="s">
        <v>3142</v>
      </c>
    </row>
    <row r="106" spans="1:27" x14ac:dyDescent="0.3">
      <c r="A106" s="2" t="s">
        <v>45</v>
      </c>
      <c r="F106" s="2" t="s">
        <v>140</v>
      </c>
      <c r="G106" s="2" t="s">
        <v>283</v>
      </c>
      <c r="H106" s="2" t="s">
        <v>426</v>
      </c>
      <c r="I106" s="2" t="s">
        <v>569</v>
      </c>
      <c r="J106" s="2" t="s">
        <v>712</v>
      </c>
      <c r="K106" s="2" t="s">
        <v>855</v>
      </c>
      <c r="L106" s="2" t="s">
        <v>998</v>
      </c>
      <c r="M106" s="2" t="s">
        <v>1141</v>
      </c>
      <c r="N106" s="2" t="s">
        <v>1284</v>
      </c>
      <c r="O106" s="2" t="s">
        <v>1427</v>
      </c>
      <c r="P106" s="2" t="s">
        <v>1570</v>
      </c>
      <c r="Q106" s="2" t="s">
        <v>1713</v>
      </c>
      <c r="R106" s="2" t="s">
        <v>1856</v>
      </c>
      <c r="S106" s="2" t="s">
        <v>1999</v>
      </c>
      <c r="T106" s="2" t="s">
        <v>2142</v>
      </c>
      <c r="U106" s="2" t="s">
        <v>2285</v>
      </c>
      <c r="V106" s="2" t="s">
        <v>2428</v>
      </c>
      <c r="W106" s="2" t="s">
        <v>2571</v>
      </c>
      <c r="X106" s="2" t="s">
        <v>2714</v>
      </c>
      <c r="Y106" s="2" t="s">
        <v>2857</v>
      </c>
      <c r="Z106" s="2" t="s">
        <v>3000</v>
      </c>
      <c r="AA106" s="2" t="s">
        <v>3143</v>
      </c>
    </row>
    <row r="107" spans="1:27" x14ac:dyDescent="0.3">
      <c r="A107" s="2" t="s">
        <v>45</v>
      </c>
      <c r="F107" s="2" t="s">
        <v>141</v>
      </c>
      <c r="G107" s="2" t="s">
        <v>284</v>
      </c>
      <c r="H107" s="2" t="s">
        <v>427</v>
      </c>
      <c r="I107" s="2" t="s">
        <v>570</v>
      </c>
      <c r="J107" s="2" t="s">
        <v>713</v>
      </c>
      <c r="K107" s="2" t="s">
        <v>856</v>
      </c>
      <c r="L107" s="2" t="s">
        <v>999</v>
      </c>
      <c r="M107" s="2" t="s">
        <v>1142</v>
      </c>
      <c r="N107" s="2" t="s">
        <v>1285</v>
      </c>
      <c r="O107" s="2" t="s">
        <v>1428</v>
      </c>
      <c r="P107" s="2" t="s">
        <v>1571</v>
      </c>
      <c r="Q107" s="2" t="s">
        <v>1714</v>
      </c>
      <c r="R107" s="2" t="s">
        <v>1857</v>
      </c>
      <c r="S107" s="2" t="s">
        <v>2000</v>
      </c>
      <c r="T107" s="2" t="s">
        <v>2143</v>
      </c>
      <c r="U107" s="2" t="s">
        <v>2286</v>
      </c>
      <c r="V107" s="2" t="s">
        <v>2429</v>
      </c>
      <c r="W107" s="2" t="s">
        <v>2572</v>
      </c>
      <c r="X107" s="2" t="s">
        <v>2715</v>
      </c>
      <c r="Y107" s="2" t="s">
        <v>2858</v>
      </c>
      <c r="Z107" s="2" t="s">
        <v>3001</v>
      </c>
      <c r="AA107" s="2" t="s">
        <v>3144</v>
      </c>
    </row>
    <row r="108" spans="1:27" x14ac:dyDescent="0.3">
      <c r="A108" s="2" t="s">
        <v>45</v>
      </c>
      <c r="F108" s="2" t="s">
        <v>142</v>
      </c>
      <c r="G108" s="2" t="s">
        <v>285</v>
      </c>
      <c r="H108" s="2" t="s">
        <v>428</v>
      </c>
      <c r="I108" s="2" t="s">
        <v>571</v>
      </c>
      <c r="J108" s="2" t="s">
        <v>714</v>
      </c>
      <c r="K108" s="2" t="s">
        <v>857</v>
      </c>
      <c r="L108" s="2" t="s">
        <v>1000</v>
      </c>
      <c r="M108" s="2" t="s">
        <v>1143</v>
      </c>
      <c r="N108" s="2" t="s">
        <v>1286</v>
      </c>
      <c r="O108" s="2" t="s">
        <v>1429</v>
      </c>
      <c r="P108" s="2" t="s">
        <v>1572</v>
      </c>
      <c r="Q108" s="2" t="s">
        <v>1715</v>
      </c>
      <c r="R108" s="2" t="s">
        <v>1858</v>
      </c>
      <c r="S108" s="2" t="s">
        <v>2001</v>
      </c>
      <c r="T108" s="2" t="s">
        <v>2144</v>
      </c>
      <c r="U108" s="2" t="s">
        <v>2287</v>
      </c>
      <c r="V108" s="2" t="s">
        <v>2430</v>
      </c>
      <c r="W108" s="2" t="s">
        <v>2573</v>
      </c>
      <c r="X108" s="2" t="s">
        <v>2716</v>
      </c>
      <c r="Y108" s="2" t="s">
        <v>2859</v>
      </c>
      <c r="Z108" s="2" t="s">
        <v>3002</v>
      </c>
      <c r="AA108" s="2" t="s">
        <v>3145</v>
      </c>
    </row>
    <row r="109" spans="1:27" x14ac:dyDescent="0.3">
      <c r="A109" s="2" t="s">
        <v>45</v>
      </c>
      <c r="F109" s="2" t="s">
        <v>143</v>
      </c>
      <c r="G109" s="2" t="s">
        <v>286</v>
      </c>
      <c r="H109" s="2" t="s">
        <v>429</v>
      </c>
      <c r="I109" s="2" t="s">
        <v>572</v>
      </c>
      <c r="J109" s="2" t="s">
        <v>715</v>
      </c>
      <c r="K109" s="2" t="s">
        <v>858</v>
      </c>
      <c r="L109" s="2" t="s">
        <v>1001</v>
      </c>
      <c r="M109" s="2" t="s">
        <v>1144</v>
      </c>
      <c r="N109" s="2" t="s">
        <v>1287</v>
      </c>
      <c r="O109" s="2" t="s">
        <v>1430</v>
      </c>
      <c r="P109" s="2" t="s">
        <v>1573</v>
      </c>
      <c r="Q109" s="2" t="s">
        <v>1716</v>
      </c>
      <c r="R109" s="2" t="s">
        <v>1859</v>
      </c>
      <c r="S109" s="2" t="s">
        <v>2002</v>
      </c>
      <c r="T109" s="2" t="s">
        <v>2145</v>
      </c>
      <c r="U109" s="2" t="s">
        <v>2288</v>
      </c>
      <c r="V109" s="2" t="s">
        <v>2431</v>
      </c>
      <c r="W109" s="2" t="s">
        <v>2574</v>
      </c>
      <c r="X109" s="2" t="s">
        <v>2717</v>
      </c>
      <c r="Y109" s="2" t="s">
        <v>2860</v>
      </c>
      <c r="Z109" s="2" t="s">
        <v>3003</v>
      </c>
      <c r="AA109" s="2" t="s">
        <v>3146</v>
      </c>
    </row>
    <row r="110" spans="1:27" x14ac:dyDescent="0.3">
      <c r="A110" s="2" t="s">
        <v>45</v>
      </c>
      <c r="F110" s="2" t="s">
        <v>144</v>
      </c>
      <c r="G110" s="2" t="s">
        <v>287</v>
      </c>
      <c r="H110" s="2" t="s">
        <v>430</v>
      </c>
      <c r="I110" s="2" t="s">
        <v>573</v>
      </c>
      <c r="J110" s="2" t="s">
        <v>716</v>
      </c>
      <c r="K110" s="2" t="s">
        <v>859</v>
      </c>
      <c r="L110" s="2" t="s">
        <v>1002</v>
      </c>
      <c r="M110" s="2" t="s">
        <v>1145</v>
      </c>
      <c r="N110" s="2" t="s">
        <v>1288</v>
      </c>
      <c r="O110" s="2" t="s">
        <v>1431</v>
      </c>
      <c r="P110" s="2" t="s">
        <v>1574</v>
      </c>
      <c r="Q110" s="2" t="s">
        <v>1717</v>
      </c>
      <c r="R110" s="2" t="s">
        <v>1860</v>
      </c>
      <c r="S110" s="2" t="s">
        <v>2003</v>
      </c>
      <c r="T110" s="2" t="s">
        <v>2146</v>
      </c>
      <c r="U110" s="2" t="s">
        <v>2289</v>
      </c>
      <c r="V110" s="2" t="s">
        <v>2432</v>
      </c>
      <c r="W110" s="2" t="s">
        <v>2575</v>
      </c>
      <c r="X110" s="2" t="s">
        <v>2718</v>
      </c>
      <c r="Y110" s="2" t="s">
        <v>2861</v>
      </c>
      <c r="Z110" s="2" t="s">
        <v>3004</v>
      </c>
      <c r="AA110" s="2" t="s">
        <v>3147</v>
      </c>
    </row>
    <row r="111" spans="1:27" x14ac:dyDescent="0.3">
      <c r="A111" s="2" t="s">
        <v>45</v>
      </c>
      <c r="F111" s="2" t="s">
        <v>145</v>
      </c>
      <c r="G111" s="2" t="s">
        <v>288</v>
      </c>
      <c r="H111" s="2" t="s">
        <v>431</v>
      </c>
      <c r="I111" s="2" t="s">
        <v>574</v>
      </c>
      <c r="J111" s="2" t="s">
        <v>717</v>
      </c>
      <c r="K111" s="2" t="s">
        <v>860</v>
      </c>
      <c r="L111" s="2" t="s">
        <v>1003</v>
      </c>
      <c r="M111" s="2" t="s">
        <v>1146</v>
      </c>
      <c r="N111" s="2" t="s">
        <v>1289</v>
      </c>
      <c r="O111" s="2" t="s">
        <v>1432</v>
      </c>
      <c r="P111" s="2" t="s">
        <v>1575</v>
      </c>
      <c r="Q111" s="2" t="s">
        <v>1718</v>
      </c>
      <c r="R111" s="2" t="s">
        <v>1861</v>
      </c>
      <c r="S111" s="2" t="s">
        <v>2004</v>
      </c>
      <c r="T111" s="2" t="s">
        <v>2147</v>
      </c>
      <c r="U111" s="2" t="s">
        <v>2290</v>
      </c>
      <c r="V111" s="2" t="s">
        <v>2433</v>
      </c>
      <c r="W111" s="2" t="s">
        <v>2576</v>
      </c>
      <c r="X111" s="2" t="s">
        <v>2719</v>
      </c>
      <c r="Y111" s="2" t="s">
        <v>2862</v>
      </c>
      <c r="Z111" s="2" t="s">
        <v>3005</v>
      </c>
      <c r="AA111" s="2" t="s">
        <v>3148</v>
      </c>
    </row>
    <row r="112" spans="1:27" x14ac:dyDescent="0.3">
      <c r="A112" s="2" t="s">
        <v>45</v>
      </c>
      <c r="F112" s="2" t="s">
        <v>146</v>
      </c>
      <c r="G112" s="2" t="s">
        <v>289</v>
      </c>
      <c r="H112" s="2" t="s">
        <v>432</v>
      </c>
      <c r="I112" s="2" t="s">
        <v>575</v>
      </c>
      <c r="J112" s="2" t="s">
        <v>718</v>
      </c>
      <c r="K112" s="2" t="s">
        <v>861</v>
      </c>
      <c r="L112" s="2" t="s">
        <v>1004</v>
      </c>
      <c r="M112" s="2" t="s">
        <v>1147</v>
      </c>
      <c r="N112" s="2" t="s">
        <v>1290</v>
      </c>
      <c r="O112" s="2" t="s">
        <v>1433</v>
      </c>
      <c r="P112" s="2" t="s">
        <v>1576</v>
      </c>
      <c r="Q112" s="2" t="s">
        <v>1719</v>
      </c>
      <c r="R112" s="2" t="s">
        <v>1862</v>
      </c>
      <c r="S112" s="2" t="s">
        <v>2005</v>
      </c>
      <c r="T112" s="2" t="s">
        <v>2148</v>
      </c>
      <c r="U112" s="2" t="s">
        <v>2291</v>
      </c>
      <c r="V112" s="2" t="s">
        <v>2434</v>
      </c>
      <c r="W112" s="2" t="s">
        <v>2577</v>
      </c>
      <c r="X112" s="2" t="s">
        <v>2720</v>
      </c>
      <c r="Y112" s="2" t="s">
        <v>2863</v>
      </c>
      <c r="Z112" s="2" t="s">
        <v>3006</v>
      </c>
      <c r="AA112" s="2" t="s">
        <v>3149</v>
      </c>
    </row>
    <row r="113" spans="1:27" x14ac:dyDescent="0.3">
      <c r="A113" s="2" t="s">
        <v>45</v>
      </c>
      <c r="F113" s="2" t="s">
        <v>147</v>
      </c>
      <c r="G113" s="2" t="s">
        <v>290</v>
      </c>
      <c r="H113" s="2" t="s">
        <v>433</v>
      </c>
      <c r="I113" s="2" t="s">
        <v>576</v>
      </c>
      <c r="J113" s="2" t="s">
        <v>719</v>
      </c>
      <c r="K113" s="2" t="s">
        <v>862</v>
      </c>
      <c r="L113" s="2" t="s">
        <v>1005</v>
      </c>
      <c r="M113" s="2" t="s">
        <v>1148</v>
      </c>
      <c r="N113" s="2" t="s">
        <v>1291</v>
      </c>
      <c r="O113" s="2" t="s">
        <v>1434</v>
      </c>
      <c r="P113" s="2" t="s">
        <v>1577</v>
      </c>
      <c r="Q113" s="2" t="s">
        <v>1720</v>
      </c>
      <c r="R113" s="2" t="s">
        <v>1863</v>
      </c>
      <c r="S113" s="2" t="s">
        <v>2006</v>
      </c>
      <c r="T113" s="2" t="s">
        <v>2149</v>
      </c>
      <c r="U113" s="2" t="s">
        <v>2292</v>
      </c>
      <c r="V113" s="2" t="s">
        <v>2435</v>
      </c>
      <c r="W113" s="2" t="s">
        <v>2578</v>
      </c>
      <c r="X113" s="2" t="s">
        <v>2721</v>
      </c>
      <c r="Y113" s="2" t="s">
        <v>2864</v>
      </c>
      <c r="Z113" s="2" t="s">
        <v>3007</v>
      </c>
      <c r="AA113" s="2" t="s">
        <v>3150</v>
      </c>
    </row>
    <row r="114" spans="1:27" x14ac:dyDescent="0.3">
      <c r="A114" s="2" t="s">
        <v>45</v>
      </c>
      <c r="F114" s="2" t="s">
        <v>148</v>
      </c>
      <c r="G114" s="2" t="s">
        <v>291</v>
      </c>
      <c r="H114" s="2" t="s">
        <v>434</v>
      </c>
      <c r="I114" s="2" t="s">
        <v>577</v>
      </c>
      <c r="J114" s="2" t="s">
        <v>720</v>
      </c>
      <c r="K114" s="2" t="s">
        <v>863</v>
      </c>
      <c r="L114" s="2" t="s">
        <v>1006</v>
      </c>
      <c r="M114" s="2" t="s">
        <v>1149</v>
      </c>
      <c r="N114" s="2" t="s">
        <v>1292</v>
      </c>
      <c r="O114" s="2" t="s">
        <v>1435</v>
      </c>
      <c r="P114" s="2" t="s">
        <v>1578</v>
      </c>
      <c r="Q114" s="2" t="s">
        <v>1721</v>
      </c>
      <c r="R114" s="2" t="s">
        <v>1864</v>
      </c>
      <c r="S114" s="2" t="s">
        <v>2007</v>
      </c>
      <c r="T114" s="2" t="s">
        <v>2150</v>
      </c>
      <c r="U114" s="2" t="s">
        <v>2293</v>
      </c>
      <c r="V114" s="2" t="s">
        <v>2436</v>
      </c>
      <c r="W114" s="2" t="s">
        <v>2579</v>
      </c>
      <c r="X114" s="2" t="s">
        <v>2722</v>
      </c>
      <c r="Y114" s="2" t="s">
        <v>2865</v>
      </c>
      <c r="Z114" s="2" t="s">
        <v>3008</v>
      </c>
      <c r="AA114" s="2" t="s">
        <v>3151</v>
      </c>
    </row>
    <row r="115" spans="1:27" x14ac:dyDescent="0.3">
      <c r="A115" s="2" t="s">
        <v>45</v>
      </c>
      <c r="F115" s="2" t="s">
        <v>149</v>
      </c>
      <c r="G115" s="2" t="s">
        <v>292</v>
      </c>
      <c r="H115" s="2" t="s">
        <v>435</v>
      </c>
      <c r="I115" s="2" t="s">
        <v>578</v>
      </c>
      <c r="J115" s="2" t="s">
        <v>721</v>
      </c>
      <c r="K115" s="2" t="s">
        <v>864</v>
      </c>
      <c r="L115" s="2" t="s">
        <v>1007</v>
      </c>
      <c r="M115" s="2" t="s">
        <v>1150</v>
      </c>
      <c r="N115" s="2" t="s">
        <v>1293</v>
      </c>
      <c r="O115" s="2" t="s">
        <v>1436</v>
      </c>
      <c r="P115" s="2" t="s">
        <v>1579</v>
      </c>
      <c r="Q115" s="2" t="s">
        <v>1722</v>
      </c>
      <c r="R115" s="2" t="s">
        <v>1865</v>
      </c>
      <c r="S115" s="2" t="s">
        <v>2008</v>
      </c>
      <c r="T115" s="2" t="s">
        <v>2151</v>
      </c>
      <c r="U115" s="2" t="s">
        <v>2294</v>
      </c>
      <c r="V115" s="2" t="s">
        <v>2437</v>
      </c>
      <c r="W115" s="2" t="s">
        <v>2580</v>
      </c>
      <c r="X115" s="2" t="s">
        <v>2723</v>
      </c>
      <c r="Y115" s="2" t="s">
        <v>2866</v>
      </c>
      <c r="Z115" s="2" t="s">
        <v>3009</v>
      </c>
      <c r="AA115" s="2" t="s">
        <v>3152</v>
      </c>
    </row>
    <row r="116" spans="1:27" x14ac:dyDescent="0.3">
      <c r="A116" s="2" t="s">
        <v>45</v>
      </c>
      <c r="F116" s="2" t="s">
        <v>150</v>
      </c>
      <c r="G116" s="2" t="s">
        <v>293</v>
      </c>
      <c r="H116" s="2" t="s">
        <v>436</v>
      </c>
      <c r="I116" s="2" t="s">
        <v>579</v>
      </c>
      <c r="J116" s="2" t="s">
        <v>722</v>
      </c>
      <c r="K116" s="2" t="s">
        <v>865</v>
      </c>
      <c r="L116" s="2" t="s">
        <v>1008</v>
      </c>
      <c r="M116" s="2" t="s">
        <v>1151</v>
      </c>
      <c r="N116" s="2" t="s">
        <v>1294</v>
      </c>
      <c r="O116" s="2" t="s">
        <v>1437</v>
      </c>
      <c r="P116" s="2" t="s">
        <v>1580</v>
      </c>
      <c r="Q116" s="2" t="s">
        <v>1723</v>
      </c>
      <c r="R116" s="2" t="s">
        <v>1866</v>
      </c>
      <c r="S116" s="2" t="s">
        <v>2009</v>
      </c>
      <c r="T116" s="2" t="s">
        <v>2152</v>
      </c>
      <c r="U116" s="2" t="s">
        <v>2295</v>
      </c>
      <c r="V116" s="2" t="s">
        <v>2438</v>
      </c>
      <c r="W116" s="2" t="s">
        <v>2581</v>
      </c>
      <c r="X116" s="2" t="s">
        <v>2724</v>
      </c>
      <c r="Y116" s="2" t="s">
        <v>2867</v>
      </c>
      <c r="Z116" s="2" t="s">
        <v>3010</v>
      </c>
      <c r="AA116" s="2" t="s">
        <v>3153</v>
      </c>
    </row>
    <row r="117" spans="1:27" x14ac:dyDescent="0.3">
      <c r="A117" s="2" t="s">
        <v>45</v>
      </c>
      <c r="F117" s="2" t="s">
        <v>151</v>
      </c>
      <c r="G117" s="2" t="s">
        <v>294</v>
      </c>
      <c r="H117" s="2" t="s">
        <v>437</v>
      </c>
      <c r="I117" s="2" t="s">
        <v>580</v>
      </c>
      <c r="J117" s="2" t="s">
        <v>723</v>
      </c>
      <c r="K117" s="2" t="s">
        <v>866</v>
      </c>
      <c r="L117" s="2" t="s">
        <v>1009</v>
      </c>
      <c r="M117" s="2" t="s">
        <v>1152</v>
      </c>
      <c r="N117" s="2" t="s">
        <v>1295</v>
      </c>
      <c r="O117" s="2" t="s">
        <v>1438</v>
      </c>
      <c r="P117" s="2" t="s">
        <v>1581</v>
      </c>
      <c r="Q117" s="2" t="s">
        <v>1724</v>
      </c>
      <c r="R117" s="2" t="s">
        <v>1867</v>
      </c>
      <c r="S117" s="2" t="s">
        <v>2010</v>
      </c>
      <c r="T117" s="2" t="s">
        <v>2153</v>
      </c>
      <c r="U117" s="2" t="s">
        <v>2296</v>
      </c>
      <c r="V117" s="2" t="s">
        <v>2439</v>
      </c>
      <c r="W117" s="2" t="s">
        <v>2582</v>
      </c>
      <c r="X117" s="2" t="s">
        <v>2725</v>
      </c>
      <c r="Y117" s="2" t="s">
        <v>2868</v>
      </c>
      <c r="Z117" s="2" t="s">
        <v>3011</v>
      </c>
      <c r="AA117" s="2" t="s">
        <v>3154</v>
      </c>
    </row>
    <row r="118" spans="1:27" x14ac:dyDescent="0.3">
      <c r="A118" s="2" t="s">
        <v>45</v>
      </c>
      <c r="F118" s="2" t="s">
        <v>152</v>
      </c>
      <c r="G118" s="2" t="s">
        <v>295</v>
      </c>
      <c r="H118" s="2" t="s">
        <v>438</v>
      </c>
      <c r="I118" s="2" t="s">
        <v>581</v>
      </c>
      <c r="J118" s="2" t="s">
        <v>724</v>
      </c>
      <c r="K118" s="2" t="s">
        <v>867</v>
      </c>
      <c r="L118" s="2" t="s">
        <v>1010</v>
      </c>
      <c r="M118" s="2" t="s">
        <v>1153</v>
      </c>
      <c r="N118" s="2" t="s">
        <v>1296</v>
      </c>
      <c r="O118" s="2" t="s">
        <v>1439</v>
      </c>
      <c r="P118" s="2" t="s">
        <v>1582</v>
      </c>
      <c r="Q118" s="2" t="s">
        <v>1725</v>
      </c>
      <c r="R118" s="2" t="s">
        <v>1868</v>
      </c>
      <c r="S118" s="2" t="s">
        <v>2011</v>
      </c>
      <c r="T118" s="2" t="s">
        <v>2154</v>
      </c>
      <c r="U118" s="2" t="s">
        <v>2297</v>
      </c>
      <c r="V118" s="2" t="s">
        <v>2440</v>
      </c>
      <c r="W118" s="2" t="s">
        <v>2583</v>
      </c>
      <c r="X118" s="2" t="s">
        <v>2726</v>
      </c>
      <c r="Y118" s="2" t="s">
        <v>2869</v>
      </c>
      <c r="Z118" s="2" t="s">
        <v>3012</v>
      </c>
      <c r="AA118" s="2" t="s">
        <v>3155</v>
      </c>
    </row>
    <row r="119" spans="1:27" x14ac:dyDescent="0.3">
      <c r="A119" s="2" t="s">
        <v>45</v>
      </c>
      <c r="F119" s="2" t="s">
        <v>153</v>
      </c>
      <c r="G119" s="2" t="s">
        <v>296</v>
      </c>
      <c r="H119" s="2" t="s">
        <v>439</v>
      </c>
      <c r="I119" s="2" t="s">
        <v>582</v>
      </c>
      <c r="J119" s="2" t="s">
        <v>725</v>
      </c>
      <c r="K119" s="2" t="s">
        <v>868</v>
      </c>
      <c r="L119" s="2" t="s">
        <v>1011</v>
      </c>
      <c r="M119" s="2" t="s">
        <v>1154</v>
      </c>
      <c r="N119" s="2" t="s">
        <v>1297</v>
      </c>
      <c r="O119" s="2" t="s">
        <v>1440</v>
      </c>
      <c r="P119" s="2" t="s">
        <v>1583</v>
      </c>
      <c r="Q119" s="2" t="s">
        <v>1726</v>
      </c>
      <c r="R119" s="2" t="s">
        <v>1869</v>
      </c>
      <c r="S119" s="2" t="s">
        <v>2012</v>
      </c>
      <c r="T119" s="2" t="s">
        <v>2155</v>
      </c>
      <c r="U119" s="2" t="s">
        <v>2298</v>
      </c>
      <c r="V119" s="2" t="s">
        <v>2441</v>
      </c>
      <c r="W119" s="2" t="s">
        <v>2584</v>
      </c>
      <c r="X119" s="2" t="s">
        <v>2727</v>
      </c>
      <c r="Y119" s="2" t="s">
        <v>2870</v>
      </c>
      <c r="Z119" s="2" t="s">
        <v>3013</v>
      </c>
      <c r="AA119" s="2" t="s">
        <v>3156</v>
      </c>
    </row>
    <row r="120" spans="1:27" x14ac:dyDescent="0.3">
      <c r="A120" s="2" t="s">
        <v>45</v>
      </c>
      <c r="F120" s="2" t="s">
        <v>154</v>
      </c>
      <c r="G120" s="2" t="s">
        <v>297</v>
      </c>
      <c r="H120" s="2" t="s">
        <v>440</v>
      </c>
      <c r="I120" s="2" t="s">
        <v>583</v>
      </c>
      <c r="J120" s="2" t="s">
        <v>726</v>
      </c>
      <c r="K120" s="2" t="s">
        <v>869</v>
      </c>
      <c r="L120" s="2" t="s">
        <v>1012</v>
      </c>
      <c r="M120" s="2" t="s">
        <v>1155</v>
      </c>
      <c r="N120" s="2" t="s">
        <v>1298</v>
      </c>
      <c r="O120" s="2" t="s">
        <v>1441</v>
      </c>
      <c r="P120" s="2" t="s">
        <v>1584</v>
      </c>
      <c r="Q120" s="2" t="s">
        <v>1727</v>
      </c>
      <c r="R120" s="2" t="s">
        <v>1870</v>
      </c>
      <c r="S120" s="2" t="s">
        <v>2013</v>
      </c>
      <c r="T120" s="2" t="s">
        <v>2156</v>
      </c>
      <c r="U120" s="2" t="s">
        <v>2299</v>
      </c>
      <c r="V120" s="2" t="s">
        <v>2442</v>
      </c>
      <c r="W120" s="2" t="s">
        <v>2585</v>
      </c>
      <c r="X120" s="2" t="s">
        <v>2728</v>
      </c>
      <c r="Y120" s="2" t="s">
        <v>2871</v>
      </c>
      <c r="Z120" s="2" t="s">
        <v>3014</v>
      </c>
      <c r="AA120" s="2" t="s">
        <v>3157</v>
      </c>
    </row>
    <row r="121" spans="1:27" x14ac:dyDescent="0.3">
      <c r="A121" s="2" t="s">
        <v>45</v>
      </c>
      <c r="F121" s="2" t="s">
        <v>155</v>
      </c>
      <c r="G121" s="2" t="s">
        <v>298</v>
      </c>
      <c r="H121" s="2" t="s">
        <v>441</v>
      </c>
      <c r="I121" s="2" t="s">
        <v>584</v>
      </c>
      <c r="J121" s="2" t="s">
        <v>727</v>
      </c>
      <c r="K121" s="2" t="s">
        <v>870</v>
      </c>
      <c r="L121" s="2" t="s">
        <v>1013</v>
      </c>
      <c r="M121" s="2" t="s">
        <v>1156</v>
      </c>
      <c r="N121" s="2" t="s">
        <v>1299</v>
      </c>
      <c r="O121" s="2" t="s">
        <v>1442</v>
      </c>
      <c r="P121" s="2" t="s">
        <v>1585</v>
      </c>
      <c r="Q121" s="2" t="s">
        <v>1728</v>
      </c>
      <c r="R121" s="2" t="s">
        <v>1871</v>
      </c>
      <c r="S121" s="2" t="s">
        <v>2014</v>
      </c>
      <c r="T121" s="2" t="s">
        <v>2157</v>
      </c>
      <c r="U121" s="2" t="s">
        <v>2300</v>
      </c>
      <c r="V121" s="2" t="s">
        <v>2443</v>
      </c>
      <c r="W121" s="2" t="s">
        <v>2586</v>
      </c>
      <c r="X121" s="2" t="s">
        <v>2729</v>
      </c>
      <c r="Y121" s="2" t="s">
        <v>2872</v>
      </c>
      <c r="Z121" s="2" t="s">
        <v>3015</v>
      </c>
      <c r="AA121" s="2" t="s">
        <v>3158</v>
      </c>
    </row>
    <row r="122" spans="1:27" x14ac:dyDescent="0.3">
      <c r="A122" s="2" t="s">
        <v>45</v>
      </c>
      <c r="F122" s="2" t="s">
        <v>156</v>
      </c>
      <c r="G122" s="2" t="s">
        <v>299</v>
      </c>
      <c r="H122" s="2" t="s">
        <v>442</v>
      </c>
      <c r="I122" s="2" t="s">
        <v>585</v>
      </c>
      <c r="J122" s="2" t="s">
        <v>728</v>
      </c>
      <c r="K122" s="2" t="s">
        <v>871</v>
      </c>
      <c r="L122" s="2" t="s">
        <v>1014</v>
      </c>
      <c r="M122" s="2" t="s">
        <v>1157</v>
      </c>
      <c r="N122" s="2" t="s">
        <v>1300</v>
      </c>
      <c r="O122" s="2" t="s">
        <v>1443</v>
      </c>
      <c r="P122" s="2" t="s">
        <v>1586</v>
      </c>
      <c r="Q122" s="2" t="s">
        <v>1729</v>
      </c>
      <c r="R122" s="2" t="s">
        <v>1872</v>
      </c>
      <c r="S122" s="2" t="s">
        <v>2015</v>
      </c>
      <c r="T122" s="2" t="s">
        <v>2158</v>
      </c>
      <c r="U122" s="2" t="s">
        <v>2301</v>
      </c>
      <c r="V122" s="2" t="s">
        <v>2444</v>
      </c>
      <c r="W122" s="2" t="s">
        <v>2587</v>
      </c>
      <c r="X122" s="2" t="s">
        <v>2730</v>
      </c>
      <c r="Y122" s="2" t="s">
        <v>2873</v>
      </c>
      <c r="Z122" s="2" t="s">
        <v>3016</v>
      </c>
      <c r="AA122" s="2" t="s">
        <v>3159</v>
      </c>
    </row>
    <row r="123" spans="1:27" x14ac:dyDescent="0.3">
      <c r="A123" s="2" t="s">
        <v>45</v>
      </c>
      <c r="F123" s="2" t="s">
        <v>157</v>
      </c>
      <c r="G123" s="2" t="s">
        <v>300</v>
      </c>
      <c r="H123" s="2" t="s">
        <v>443</v>
      </c>
      <c r="I123" s="2" t="s">
        <v>586</v>
      </c>
      <c r="J123" s="2" t="s">
        <v>729</v>
      </c>
      <c r="K123" s="2" t="s">
        <v>872</v>
      </c>
      <c r="L123" s="2" t="s">
        <v>1015</v>
      </c>
      <c r="M123" s="2" t="s">
        <v>1158</v>
      </c>
      <c r="N123" s="2" t="s">
        <v>1301</v>
      </c>
      <c r="O123" s="2" t="s">
        <v>1444</v>
      </c>
      <c r="P123" s="2" t="s">
        <v>1587</v>
      </c>
      <c r="Q123" s="2" t="s">
        <v>1730</v>
      </c>
      <c r="R123" s="2" t="s">
        <v>1873</v>
      </c>
      <c r="S123" s="2" t="s">
        <v>2016</v>
      </c>
      <c r="T123" s="2" t="s">
        <v>2159</v>
      </c>
      <c r="U123" s="2" t="s">
        <v>2302</v>
      </c>
      <c r="V123" s="2" t="s">
        <v>2445</v>
      </c>
      <c r="W123" s="2" t="s">
        <v>2588</v>
      </c>
      <c r="X123" s="2" t="s">
        <v>2731</v>
      </c>
      <c r="Y123" s="2" t="s">
        <v>2874</v>
      </c>
      <c r="Z123" s="2" t="s">
        <v>3017</v>
      </c>
      <c r="AA123" s="2" t="s">
        <v>3160</v>
      </c>
    </row>
    <row r="124" spans="1:27" x14ac:dyDescent="0.3">
      <c r="A124" s="2" t="s">
        <v>45</v>
      </c>
      <c r="F124" s="2" t="s">
        <v>158</v>
      </c>
      <c r="G124" s="2" t="s">
        <v>301</v>
      </c>
      <c r="H124" s="2" t="s">
        <v>444</v>
      </c>
      <c r="I124" s="2" t="s">
        <v>587</v>
      </c>
      <c r="J124" s="2" t="s">
        <v>730</v>
      </c>
      <c r="K124" s="2" t="s">
        <v>873</v>
      </c>
      <c r="L124" s="2" t="s">
        <v>1016</v>
      </c>
      <c r="M124" s="2" t="s">
        <v>1159</v>
      </c>
      <c r="N124" s="2" t="s">
        <v>1302</v>
      </c>
      <c r="O124" s="2" t="s">
        <v>1445</v>
      </c>
      <c r="P124" s="2" t="s">
        <v>1588</v>
      </c>
      <c r="Q124" s="2" t="s">
        <v>1731</v>
      </c>
      <c r="R124" s="2" t="s">
        <v>1874</v>
      </c>
      <c r="S124" s="2" t="s">
        <v>2017</v>
      </c>
      <c r="T124" s="2" t="s">
        <v>2160</v>
      </c>
      <c r="U124" s="2" t="s">
        <v>2303</v>
      </c>
      <c r="V124" s="2" t="s">
        <v>2446</v>
      </c>
      <c r="W124" s="2" t="s">
        <v>2589</v>
      </c>
      <c r="X124" s="2" t="s">
        <v>2732</v>
      </c>
      <c r="Y124" s="2" t="s">
        <v>2875</v>
      </c>
      <c r="Z124" s="2" t="s">
        <v>3018</v>
      </c>
      <c r="AA124" s="2" t="s">
        <v>3161</v>
      </c>
    </row>
    <row r="125" spans="1:27" x14ac:dyDescent="0.3">
      <c r="A125" s="2" t="s">
        <v>45</v>
      </c>
      <c r="F125" s="2" t="s">
        <v>159</v>
      </c>
      <c r="G125" s="2" t="s">
        <v>302</v>
      </c>
      <c r="H125" s="2" t="s">
        <v>445</v>
      </c>
      <c r="I125" s="2" t="s">
        <v>588</v>
      </c>
      <c r="J125" s="2" t="s">
        <v>731</v>
      </c>
      <c r="K125" s="2" t="s">
        <v>874</v>
      </c>
      <c r="L125" s="2" t="s">
        <v>1017</v>
      </c>
      <c r="M125" s="2" t="s">
        <v>1160</v>
      </c>
      <c r="N125" s="2" t="s">
        <v>1303</v>
      </c>
      <c r="O125" s="2" t="s">
        <v>1446</v>
      </c>
      <c r="P125" s="2" t="s">
        <v>1589</v>
      </c>
      <c r="Q125" s="2" t="s">
        <v>1732</v>
      </c>
      <c r="R125" s="2" t="s">
        <v>1875</v>
      </c>
      <c r="S125" s="2" t="s">
        <v>2018</v>
      </c>
      <c r="T125" s="2" t="s">
        <v>2161</v>
      </c>
      <c r="U125" s="2" t="s">
        <v>2304</v>
      </c>
      <c r="V125" s="2" t="s">
        <v>2447</v>
      </c>
      <c r="W125" s="2" t="s">
        <v>2590</v>
      </c>
      <c r="X125" s="2" t="s">
        <v>2733</v>
      </c>
      <c r="Y125" s="2" t="s">
        <v>2876</v>
      </c>
      <c r="Z125" s="2" t="s">
        <v>3019</v>
      </c>
      <c r="AA125" s="2" t="s">
        <v>3162</v>
      </c>
    </row>
    <row r="126" spans="1:27" x14ac:dyDescent="0.3">
      <c r="A126" s="2" t="s">
        <v>45</v>
      </c>
      <c r="F126" s="2" t="s">
        <v>160</v>
      </c>
      <c r="G126" s="2" t="s">
        <v>303</v>
      </c>
      <c r="H126" s="2" t="s">
        <v>446</v>
      </c>
      <c r="I126" s="2" t="s">
        <v>589</v>
      </c>
      <c r="J126" s="2" t="s">
        <v>732</v>
      </c>
      <c r="K126" s="2" t="s">
        <v>875</v>
      </c>
      <c r="L126" s="2" t="s">
        <v>1018</v>
      </c>
      <c r="M126" s="2" t="s">
        <v>1161</v>
      </c>
      <c r="N126" s="2" t="s">
        <v>1304</v>
      </c>
      <c r="O126" s="2" t="s">
        <v>1447</v>
      </c>
      <c r="P126" s="2" t="s">
        <v>1590</v>
      </c>
      <c r="Q126" s="2" t="s">
        <v>1733</v>
      </c>
      <c r="R126" s="2" t="s">
        <v>1876</v>
      </c>
      <c r="S126" s="2" t="s">
        <v>2019</v>
      </c>
      <c r="T126" s="2" t="s">
        <v>2162</v>
      </c>
      <c r="U126" s="2" t="s">
        <v>2305</v>
      </c>
      <c r="V126" s="2" t="s">
        <v>2448</v>
      </c>
      <c r="W126" s="2" t="s">
        <v>2591</v>
      </c>
      <c r="X126" s="2" t="s">
        <v>2734</v>
      </c>
      <c r="Y126" s="2" t="s">
        <v>2877</v>
      </c>
      <c r="Z126" s="2" t="s">
        <v>3020</v>
      </c>
      <c r="AA126" s="2" t="s">
        <v>3163</v>
      </c>
    </row>
    <row r="127" spans="1:27" x14ac:dyDescent="0.3">
      <c r="A127" s="2" t="s">
        <v>45</v>
      </c>
      <c r="F127" s="2" t="s">
        <v>161</v>
      </c>
      <c r="G127" s="2" t="s">
        <v>304</v>
      </c>
      <c r="H127" s="2" t="s">
        <v>447</v>
      </c>
      <c r="I127" s="2" t="s">
        <v>590</v>
      </c>
      <c r="J127" s="2" t="s">
        <v>733</v>
      </c>
      <c r="K127" s="2" t="s">
        <v>876</v>
      </c>
      <c r="L127" s="2" t="s">
        <v>1019</v>
      </c>
      <c r="M127" s="2" t="s">
        <v>1162</v>
      </c>
      <c r="N127" s="2" t="s">
        <v>1305</v>
      </c>
      <c r="O127" s="2" t="s">
        <v>1448</v>
      </c>
      <c r="P127" s="2" t="s">
        <v>1591</v>
      </c>
      <c r="Q127" s="2" t="s">
        <v>1734</v>
      </c>
      <c r="R127" s="2" t="s">
        <v>1877</v>
      </c>
      <c r="S127" s="2" t="s">
        <v>2020</v>
      </c>
      <c r="T127" s="2" t="s">
        <v>2163</v>
      </c>
      <c r="U127" s="2" t="s">
        <v>2306</v>
      </c>
      <c r="V127" s="2" t="s">
        <v>2449</v>
      </c>
      <c r="W127" s="2" t="s">
        <v>2592</v>
      </c>
      <c r="X127" s="2" t="s">
        <v>2735</v>
      </c>
      <c r="Y127" s="2" t="s">
        <v>2878</v>
      </c>
      <c r="Z127" s="2" t="s">
        <v>3021</v>
      </c>
      <c r="AA127" s="2" t="s">
        <v>3164</v>
      </c>
    </row>
    <row r="128" spans="1:27" x14ac:dyDescent="0.3">
      <c r="A128" s="2" t="s">
        <v>45</v>
      </c>
      <c r="F128" s="2" t="s">
        <v>162</v>
      </c>
      <c r="G128" s="2" t="s">
        <v>305</v>
      </c>
      <c r="H128" s="2" t="s">
        <v>448</v>
      </c>
      <c r="I128" s="2" t="s">
        <v>591</v>
      </c>
      <c r="J128" s="2" t="s">
        <v>734</v>
      </c>
      <c r="K128" s="2" t="s">
        <v>877</v>
      </c>
      <c r="L128" s="2" t="s">
        <v>1020</v>
      </c>
      <c r="M128" s="2" t="s">
        <v>1163</v>
      </c>
      <c r="N128" s="2" t="s">
        <v>1306</v>
      </c>
      <c r="O128" s="2" t="s">
        <v>1449</v>
      </c>
      <c r="P128" s="2" t="s">
        <v>1592</v>
      </c>
      <c r="Q128" s="2" t="s">
        <v>1735</v>
      </c>
      <c r="R128" s="2" t="s">
        <v>1878</v>
      </c>
      <c r="S128" s="2" t="s">
        <v>2021</v>
      </c>
      <c r="T128" s="2" t="s">
        <v>2164</v>
      </c>
      <c r="U128" s="2" t="s">
        <v>2307</v>
      </c>
      <c r="V128" s="2" t="s">
        <v>2450</v>
      </c>
      <c r="W128" s="2" t="s">
        <v>2593</v>
      </c>
      <c r="X128" s="2" t="s">
        <v>2736</v>
      </c>
      <c r="Y128" s="2" t="s">
        <v>2879</v>
      </c>
      <c r="Z128" s="2" t="s">
        <v>3022</v>
      </c>
      <c r="AA128" s="2" t="s">
        <v>3165</v>
      </c>
    </row>
    <row r="129" spans="1:27" x14ac:dyDescent="0.3">
      <c r="A129" s="2" t="s">
        <v>45</v>
      </c>
      <c r="F129" s="2" t="s">
        <v>163</v>
      </c>
      <c r="G129" s="2" t="s">
        <v>306</v>
      </c>
      <c r="H129" s="2" t="s">
        <v>449</v>
      </c>
      <c r="I129" s="2" t="s">
        <v>592</v>
      </c>
      <c r="J129" s="2" t="s">
        <v>735</v>
      </c>
      <c r="K129" s="2" t="s">
        <v>878</v>
      </c>
      <c r="L129" s="2" t="s">
        <v>1021</v>
      </c>
      <c r="M129" s="2" t="s">
        <v>1164</v>
      </c>
      <c r="N129" s="2" t="s">
        <v>1307</v>
      </c>
      <c r="O129" s="2" t="s">
        <v>1450</v>
      </c>
      <c r="P129" s="2" t="s">
        <v>1593</v>
      </c>
      <c r="Q129" s="2" t="s">
        <v>1736</v>
      </c>
      <c r="R129" s="2" t="s">
        <v>1879</v>
      </c>
      <c r="S129" s="2" t="s">
        <v>2022</v>
      </c>
      <c r="T129" s="2" t="s">
        <v>2165</v>
      </c>
      <c r="U129" s="2" t="s">
        <v>2308</v>
      </c>
      <c r="V129" s="2" t="s">
        <v>2451</v>
      </c>
      <c r="W129" s="2" t="s">
        <v>2594</v>
      </c>
      <c r="X129" s="2" t="s">
        <v>2737</v>
      </c>
      <c r="Y129" s="2" t="s">
        <v>2880</v>
      </c>
      <c r="Z129" s="2" t="s">
        <v>3023</v>
      </c>
      <c r="AA129" s="2" t="s">
        <v>3166</v>
      </c>
    </row>
    <row r="130" spans="1:27" x14ac:dyDescent="0.3">
      <c r="A130" s="2" t="s">
        <v>45</v>
      </c>
      <c r="F130" s="2" t="s">
        <v>164</v>
      </c>
      <c r="G130" s="2" t="s">
        <v>307</v>
      </c>
      <c r="H130" s="2" t="s">
        <v>450</v>
      </c>
      <c r="I130" s="2" t="s">
        <v>593</v>
      </c>
      <c r="J130" s="2" t="s">
        <v>736</v>
      </c>
      <c r="K130" s="2" t="s">
        <v>879</v>
      </c>
      <c r="L130" s="2" t="s">
        <v>1022</v>
      </c>
      <c r="M130" s="2" t="s">
        <v>1165</v>
      </c>
      <c r="N130" s="2" t="s">
        <v>1308</v>
      </c>
      <c r="O130" s="2" t="s">
        <v>1451</v>
      </c>
      <c r="P130" s="2" t="s">
        <v>1594</v>
      </c>
      <c r="Q130" s="2" t="s">
        <v>1737</v>
      </c>
      <c r="R130" s="2" t="s">
        <v>1880</v>
      </c>
      <c r="S130" s="2" t="s">
        <v>2023</v>
      </c>
      <c r="T130" s="2" t="s">
        <v>2166</v>
      </c>
      <c r="U130" s="2" t="s">
        <v>2309</v>
      </c>
      <c r="V130" s="2" t="s">
        <v>2452</v>
      </c>
      <c r="W130" s="2" t="s">
        <v>2595</v>
      </c>
      <c r="X130" s="2" t="s">
        <v>2738</v>
      </c>
      <c r="Y130" s="2" t="s">
        <v>2881</v>
      </c>
      <c r="Z130" s="2" t="s">
        <v>3024</v>
      </c>
      <c r="AA130" s="2" t="s">
        <v>3167</v>
      </c>
    </row>
    <row r="131" spans="1:27" x14ac:dyDescent="0.3">
      <c r="A131" s="2" t="s">
        <v>45</v>
      </c>
      <c r="F131" s="2" t="s">
        <v>165</v>
      </c>
      <c r="G131" s="2" t="s">
        <v>308</v>
      </c>
      <c r="H131" s="2" t="s">
        <v>451</v>
      </c>
      <c r="I131" s="2" t="s">
        <v>594</v>
      </c>
      <c r="J131" s="2" t="s">
        <v>737</v>
      </c>
      <c r="K131" s="2" t="s">
        <v>880</v>
      </c>
      <c r="L131" s="2" t="s">
        <v>1023</v>
      </c>
      <c r="M131" s="2" t="s">
        <v>1166</v>
      </c>
      <c r="N131" s="2" t="s">
        <v>1309</v>
      </c>
      <c r="O131" s="2" t="s">
        <v>1452</v>
      </c>
      <c r="P131" s="2" t="s">
        <v>1595</v>
      </c>
      <c r="Q131" s="2" t="s">
        <v>1738</v>
      </c>
      <c r="R131" s="2" t="s">
        <v>1881</v>
      </c>
      <c r="S131" s="2" t="s">
        <v>2024</v>
      </c>
      <c r="T131" s="2" t="s">
        <v>2167</v>
      </c>
      <c r="U131" s="2" t="s">
        <v>2310</v>
      </c>
      <c r="V131" s="2" t="s">
        <v>2453</v>
      </c>
      <c r="W131" s="2" t="s">
        <v>2596</v>
      </c>
      <c r="X131" s="2" t="s">
        <v>2739</v>
      </c>
      <c r="Y131" s="2" t="s">
        <v>2882</v>
      </c>
      <c r="Z131" s="2" t="s">
        <v>3025</v>
      </c>
      <c r="AA131" s="2" t="s">
        <v>3168</v>
      </c>
    </row>
    <row r="132" spans="1:27" x14ac:dyDescent="0.3">
      <c r="A132" s="2" t="s">
        <v>45</v>
      </c>
      <c r="F132" s="2" t="s">
        <v>166</v>
      </c>
      <c r="G132" s="2" t="s">
        <v>309</v>
      </c>
      <c r="H132" s="2" t="s">
        <v>452</v>
      </c>
      <c r="I132" s="2" t="s">
        <v>595</v>
      </c>
      <c r="J132" s="2" t="s">
        <v>738</v>
      </c>
      <c r="K132" s="2" t="s">
        <v>881</v>
      </c>
      <c r="L132" s="2" t="s">
        <v>1024</v>
      </c>
      <c r="M132" s="2" t="s">
        <v>1167</v>
      </c>
      <c r="N132" s="2" t="s">
        <v>1310</v>
      </c>
      <c r="O132" s="2" t="s">
        <v>1453</v>
      </c>
      <c r="P132" s="2" t="s">
        <v>1596</v>
      </c>
      <c r="Q132" s="2" t="s">
        <v>1739</v>
      </c>
      <c r="R132" s="2" t="s">
        <v>1882</v>
      </c>
      <c r="S132" s="2" t="s">
        <v>2025</v>
      </c>
      <c r="T132" s="2" t="s">
        <v>2168</v>
      </c>
      <c r="U132" s="2" t="s">
        <v>2311</v>
      </c>
      <c r="V132" s="2" t="s">
        <v>2454</v>
      </c>
      <c r="W132" s="2" t="s">
        <v>2597</v>
      </c>
      <c r="X132" s="2" t="s">
        <v>2740</v>
      </c>
      <c r="Y132" s="2" t="s">
        <v>2883</v>
      </c>
      <c r="Z132" s="2" t="s">
        <v>3026</v>
      </c>
      <c r="AA132" s="2" t="s">
        <v>3169</v>
      </c>
    </row>
    <row r="133" spans="1:27" x14ac:dyDescent="0.3">
      <c r="A133" s="2" t="s">
        <v>45</v>
      </c>
      <c r="F133" s="2" t="s">
        <v>167</v>
      </c>
      <c r="G133" s="2" t="s">
        <v>310</v>
      </c>
      <c r="H133" s="2" t="s">
        <v>453</v>
      </c>
      <c r="I133" s="2" t="s">
        <v>596</v>
      </c>
      <c r="J133" s="2" t="s">
        <v>739</v>
      </c>
      <c r="K133" s="2" t="s">
        <v>882</v>
      </c>
      <c r="L133" s="2" t="s">
        <v>1025</v>
      </c>
      <c r="M133" s="2" t="s">
        <v>1168</v>
      </c>
      <c r="N133" s="2" t="s">
        <v>1311</v>
      </c>
      <c r="O133" s="2" t="s">
        <v>1454</v>
      </c>
      <c r="P133" s="2" t="s">
        <v>1597</v>
      </c>
      <c r="Q133" s="2" t="s">
        <v>1740</v>
      </c>
      <c r="R133" s="2" t="s">
        <v>1883</v>
      </c>
      <c r="S133" s="2" t="s">
        <v>2026</v>
      </c>
      <c r="T133" s="2" t="s">
        <v>2169</v>
      </c>
      <c r="U133" s="2" t="s">
        <v>2312</v>
      </c>
      <c r="V133" s="2" t="s">
        <v>2455</v>
      </c>
      <c r="W133" s="2" t="s">
        <v>2598</v>
      </c>
      <c r="X133" s="2" t="s">
        <v>2741</v>
      </c>
      <c r="Y133" s="2" t="s">
        <v>2884</v>
      </c>
      <c r="Z133" s="2" t="s">
        <v>3027</v>
      </c>
      <c r="AA133" s="2" t="s">
        <v>3170</v>
      </c>
    </row>
    <row r="134" spans="1:27" x14ac:dyDescent="0.3">
      <c r="A134" s="2" t="s">
        <v>45</v>
      </c>
      <c r="F134" s="2" t="s">
        <v>168</v>
      </c>
      <c r="G134" s="2" t="s">
        <v>311</v>
      </c>
      <c r="H134" s="2" t="s">
        <v>454</v>
      </c>
      <c r="I134" s="2" t="s">
        <v>597</v>
      </c>
      <c r="J134" s="2" t="s">
        <v>740</v>
      </c>
      <c r="K134" s="2" t="s">
        <v>883</v>
      </c>
      <c r="L134" s="2" t="s">
        <v>1026</v>
      </c>
      <c r="M134" s="2" t="s">
        <v>1169</v>
      </c>
      <c r="N134" s="2" t="s">
        <v>1312</v>
      </c>
      <c r="O134" s="2" t="s">
        <v>1455</v>
      </c>
      <c r="P134" s="2" t="s">
        <v>1598</v>
      </c>
      <c r="Q134" s="2" t="s">
        <v>1741</v>
      </c>
      <c r="R134" s="2" t="s">
        <v>1884</v>
      </c>
      <c r="S134" s="2" t="s">
        <v>2027</v>
      </c>
      <c r="T134" s="2" t="s">
        <v>2170</v>
      </c>
      <c r="U134" s="2" t="s">
        <v>2313</v>
      </c>
      <c r="V134" s="2" t="s">
        <v>2456</v>
      </c>
      <c r="W134" s="2" t="s">
        <v>2599</v>
      </c>
      <c r="X134" s="2" t="s">
        <v>2742</v>
      </c>
      <c r="Y134" s="2" t="s">
        <v>2885</v>
      </c>
      <c r="Z134" s="2" t="s">
        <v>3028</v>
      </c>
      <c r="AA134" s="2" t="s">
        <v>3171</v>
      </c>
    </row>
    <row r="135" spans="1:27" x14ac:dyDescent="0.3">
      <c r="A135" s="2" t="s">
        <v>45</v>
      </c>
      <c r="F135" s="2" t="s">
        <v>169</v>
      </c>
      <c r="G135" s="2" t="s">
        <v>312</v>
      </c>
      <c r="H135" s="2" t="s">
        <v>455</v>
      </c>
      <c r="I135" s="2" t="s">
        <v>598</v>
      </c>
      <c r="J135" s="2" t="s">
        <v>741</v>
      </c>
      <c r="K135" s="2" t="s">
        <v>884</v>
      </c>
      <c r="L135" s="2" t="s">
        <v>1027</v>
      </c>
      <c r="M135" s="2" t="s">
        <v>1170</v>
      </c>
      <c r="N135" s="2" t="s">
        <v>1313</v>
      </c>
      <c r="O135" s="2" t="s">
        <v>1456</v>
      </c>
      <c r="P135" s="2" t="s">
        <v>1599</v>
      </c>
      <c r="Q135" s="2" t="s">
        <v>1742</v>
      </c>
      <c r="R135" s="2" t="s">
        <v>1885</v>
      </c>
      <c r="S135" s="2" t="s">
        <v>2028</v>
      </c>
      <c r="T135" s="2" t="s">
        <v>2171</v>
      </c>
      <c r="U135" s="2" t="s">
        <v>2314</v>
      </c>
      <c r="V135" s="2" t="s">
        <v>2457</v>
      </c>
      <c r="W135" s="2" t="s">
        <v>2600</v>
      </c>
      <c r="X135" s="2" t="s">
        <v>2743</v>
      </c>
      <c r="Y135" s="2" t="s">
        <v>2886</v>
      </c>
      <c r="Z135" s="2" t="s">
        <v>3029</v>
      </c>
      <c r="AA135" s="2" t="s">
        <v>3172</v>
      </c>
    </row>
    <row r="136" spans="1:27" x14ac:dyDescent="0.3">
      <c r="A136" s="2" t="s">
        <v>45</v>
      </c>
      <c r="F136" s="2" t="s">
        <v>170</v>
      </c>
      <c r="G136" s="2" t="s">
        <v>313</v>
      </c>
      <c r="H136" s="2" t="s">
        <v>456</v>
      </c>
      <c r="I136" s="2" t="s">
        <v>599</v>
      </c>
      <c r="J136" s="2" t="s">
        <v>742</v>
      </c>
      <c r="K136" s="2" t="s">
        <v>885</v>
      </c>
      <c r="L136" s="2" t="s">
        <v>1028</v>
      </c>
      <c r="M136" s="2" t="s">
        <v>1171</v>
      </c>
      <c r="N136" s="2" t="s">
        <v>1314</v>
      </c>
      <c r="O136" s="2" t="s">
        <v>1457</v>
      </c>
      <c r="P136" s="2" t="s">
        <v>1600</v>
      </c>
      <c r="Q136" s="2" t="s">
        <v>1743</v>
      </c>
      <c r="R136" s="2" t="s">
        <v>1886</v>
      </c>
      <c r="S136" s="2" t="s">
        <v>2029</v>
      </c>
      <c r="T136" s="2" t="s">
        <v>2172</v>
      </c>
      <c r="U136" s="2" t="s">
        <v>2315</v>
      </c>
      <c r="V136" s="2" t="s">
        <v>2458</v>
      </c>
      <c r="W136" s="2" t="s">
        <v>2601</v>
      </c>
      <c r="X136" s="2" t="s">
        <v>2744</v>
      </c>
      <c r="Y136" s="2" t="s">
        <v>2887</v>
      </c>
      <c r="Z136" s="2" t="s">
        <v>3030</v>
      </c>
      <c r="AA136" s="2" t="s">
        <v>3173</v>
      </c>
    </row>
    <row r="137" spans="1:27" x14ac:dyDescent="0.3">
      <c r="A137" s="2" t="s">
        <v>45</v>
      </c>
      <c r="F137" s="2" t="s">
        <v>171</v>
      </c>
      <c r="G137" s="2" t="s">
        <v>314</v>
      </c>
      <c r="H137" s="2" t="s">
        <v>457</v>
      </c>
      <c r="I137" s="2" t="s">
        <v>600</v>
      </c>
      <c r="J137" s="2" t="s">
        <v>743</v>
      </c>
      <c r="K137" s="2" t="s">
        <v>886</v>
      </c>
      <c r="L137" s="2" t="s">
        <v>1029</v>
      </c>
      <c r="M137" s="2" t="s">
        <v>1172</v>
      </c>
      <c r="N137" s="2" t="s">
        <v>1315</v>
      </c>
      <c r="O137" s="2" t="s">
        <v>1458</v>
      </c>
      <c r="P137" s="2" t="s">
        <v>1601</v>
      </c>
      <c r="Q137" s="2" t="s">
        <v>1744</v>
      </c>
      <c r="R137" s="2" t="s">
        <v>1887</v>
      </c>
      <c r="S137" s="2" t="s">
        <v>2030</v>
      </c>
      <c r="T137" s="2" t="s">
        <v>2173</v>
      </c>
      <c r="U137" s="2" t="s">
        <v>2316</v>
      </c>
      <c r="V137" s="2" t="s">
        <v>2459</v>
      </c>
      <c r="W137" s="2" t="s">
        <v>2602</v>
      </c>
      <c r="X137" s="2" t="s">
        <v>2745</v>
      </c>
      <c r="Y137" s="2" t="s">
        <v>2888</v>
      </c>
      <c r="Z137" s="2" t="s">
        <v>3031</v>
      </c>
      <c r="AA137" s="2" t="s">
        <v>3174</v>
      </c>
    </row>
    <row r="138" spans="1:27" x14ac:dyDescent="0.3">
      <c r="A138" s="2" t="s">
        <v>45</v>
      </c>
      <c r="F138" s="2" t="s">
        <v>172</v>
      </c>
      <c r="G138" s="2" t="s">
        <v>315</v>
      </c>
      <c r="H138" s="2" t="s">
        <v>458</v>
      </c>
      <c r="I138" s="2" t="s">
        <v>601</v>
      </c>
      <c r="J138" s="2" t="s">
        <v>744</v>
      </c>
      <c r="K138" s="2" t="s">
        <v>887</v>
      </c>
      <c r="L138" s="2" t="s">
        <v>1030</v>
      </c>
      <c r="M138" s="2" t="s">
        <v>1173</v>
      </c>
      <c r="N138" s="2" t="s">
        <v>1316</v>
      </c>
      <c r="O138" s="2" t="s">
        <v>1459</v>
      </c>
      <c r="P138" s="2" t="s">
        <v>1602</v>
      </c>
      <c r="Q138" s="2" t="s">
        <v>1745</v>
      </c>
      <c r="R138" s="2" t="s">
        <v>1888</v>
      </c>
      <c r="S138" s="2" t="s">
        <v>2031</v>
      </c>
      <c r="T138" s="2" t="s">
        <v>2174</v>
      </c>
      <c r="U138" s="2" t="s">
        <v>2317</v>
      </c>
      <c r="V138" s="2" t="s">
        <v>2460</v>
      </c>
      <c r="W138" s="2" t="s">
        <v>2603</v>
      </c>
      <c r="X138" s="2" t="s">
        <v>2746</v>
      </c>
      <c r="Y138" s="2" t="s">
        <v>2889</v>
      </c>
      <c r="Z138" s="2" t="s">
        <v>3032</v>
      </c>
      <c r="AA138" s="2" t="s">
        <v>3175</v>
      </c>
    </row>
    <row r="139" spans="1:27" x14ac:dyDescent="0.3">
      <c r="A139" s="2" t="s">
        <v>45</v>
      </c>
      <c r="F139" s="2" t="s">
        <v>173</v>
      </c>
      <c r="G139" s="2" t="s">
        <v>316</v>
      </c>
      <c r="H139" s="2" t="s">
        <v>459</v>
      </c>
      <c r="I139" s="2" t="s">
        <v>602</v>
      </c>
      <c r="J139" s="2" t="s">
        <v>745</v>
      </c>
      <c r="K139" s="2" t="s">
        <v>888</v>
      </c>
      <c r="L139" s="2" t="s">
        <v>1031</v>
      </c>
      <c r="M139" s="2" t="s">
        <v>1174</v>
      </c>
      <c r="N139" s="2" t="s">
        <v>1317</v>
      </c>
      <c r="O139" s="2" t="s">
        <v>1460</v>
      </c>
      <c r="P139" s="2" t="s">
        <v>1603</v>
      </c>
      <c r="Q139" s="2" t="s">
        <v>1746</v>
      </c>
      <c r="R139" s="2" t="s">
        <v>1889</v>
      </c>
      <c r="S139" s="2" t="s">
        <v>2032</v>
      </c>
      <c r="T139" s="2" t="s">
        <v>2175</v>
      </c>
      <c r="U139" s="2" t="s">
        <v>2318</v>
      </c>
      <c r="V139" s="2" t="s">
        <v>2461</v>
      </c>
      <c r="W139" s="2" t="s">
        <v>2604</v>
      </c>
      <c r="X139" s="2" t="s">
        <v>2747</v>
      </c>
      <c r="Y139" s="2" t="s">
        <v>2890</v>
      </c>
      <c r="Z139" s="2" t="s">
        <v>3033</v>
      </c>
      <c r="AA139" s="2" t="s">
        <v>3176</v>
      </c>
    </row>
    <row r="140" spans="1:27" x14ac:dyDescent="0.3">
      <c r="A140" s="2" t="s">
        <v>45</v>
      </c>
      <c r="F140" s="2" t="s">
        <v>174</v>
      </c>
      <c r="G140" s="2" t="s">
        <v>317</v>
      </c>
      <c r="H140" s="2" t="s">
        <v>460</v>
      </c>
      <c r="I140" s="2" t="s">
        <v>603</v>
      </c>
      <c r="J140" s="2" t="s">
        <v>746</v>
      </c>
      <c r="K140" s="2" t="s">
        <v>889</v>
      </c>
      <c r="L140" s="2" t="s">
        <v>1032</v>
      </c>
      <c r="M140" s="2" t="s">
        <v>1175</v>
      </c>
      <c r="N140" s="2" t="s">
        <v>1318</v>
      </c>
      <c r="O140" s="2" t="s">
        <v>1461</v>
      </c>
      <c r="P140" s="2" t="s">
        <v>1604</v>
      </c>
      <c r="Q140" s="2" t="s">
        <v>1747</v>
      </c>
      <c r="R140" s="2" t="s">
        <v>1890</v>
      </c>
      <c r="S140" s="2" t="s">
        <v>2033</v>
      </c>
      <c r="T140" s="2" t="s">
        <v>2176</v>
      </c>
      <c r="U140" s="2" t="s">
        <v>2319</v>
      </c>
      <c r="V140" s="2" t="s">
        <v>2462</v>
      </c>
      <c r="W140" s="2" t="s">
        <v>2605</v>
      </c>
      <c r="X140" s="2" t="s">
        <v>2748</v>
      </c>
      <c r="Y140" s="2" t="s">
        <v>2891</v>
      </c>
      <c r="Z140" s="2" t="s">
        <v>3034</v>
      </c>
      <c r="AA140" s="2" t="s">
        <v>3177</v>
      </c>
    </row>
    <row r="141" spans="1:27" x14ac:dyDescent="0.3">
      <c r="A141" s="2" t="s">
        <v>45</v>
      </c>
      <c r="F141" s="2" t="s">
        <v>175</v>
      </c>
      <c r="G141" s="2" t="s">
        <v>318</v>
      </c>
      <c r="H141" s="2" t="s">
        <v>461</v>
      </c>
      <c r="I141" s="2" t="s">
        <v>604</v>
      </c>
      <c r="J141" s="2" t="s">
        <v>747</v>
      </c>
      <c r="K141" s="2" t="s">
        <v>890</v>
      </c>
      <c r="L141" s="2" t="s">
        <v>1033</v>
      </c>
      <c r="M141" s="2" t="s">
        <v>1176</v>
      </c>
      <c r="N141" s="2" t="s">
        <v>1319</v>
      </c>
      <c r="O141" s="2" t="s">
        <v>1462</v>
      </c>
      <c r="P141" s="2" t="s">
        <v>1605</v>
      </c>
      <c r="Q141" s="2" t="s">
        <v>1748</v>
      </c>
      <c r="R141" s="2" t="s">
        <v>1891</v>
      </c>
      <c r="S141" s="2" t="s">
        <v>2034</v>
      </c>
      <c r="T141" s="2" t="s">
        <v>2177</v>
      </c>
      <c r="U141" s="2" t="s">
        <v>2320</v>
      </c>
      <c r="V141" s="2" t="s">
        <v>2463</v>
      </c>
      <c r="W141" s="2" t="s">
        <v>2606</v>
      </c>
      <c r="X141" s="2" t="s">
        <v>2749</v>
      </c>
      <c r="Y141" s="2" t="s">
        <v>2892</v>
      </c>
      <c r="Z141" s="2" t="s">
        <v>3035</v>
      </c>
      <c r="AA141" s="2" t="s">
        <v>3178</v>
      </c>
    </row>
    <row r="142" spans="1:27" x14ac:dyDescent="0.3">
      <c r="A142" s="2" t="s">
        <v>45</v>
      </c>
      <c r="F142" s="2" t="s">
        <v>176</v>
      </c>
      <c r="G142" s="2" t="s">
        <v>319</v>
      </c>
      <c r="H142" s="2" t="s">
        <v>462</v>
      </c>
      <c r="I142" s="2" t="s">
        <v>605</v>
      </c>
      <c r="J142" s="2" t="s">
        <v>748</v>
      </c>
      <c r="K142" s="2" t="s">
        <v>891</v>
      </c>
      <c r="L142" s="2" t="s">
        <v>1034</v>
      </c>
      <c r="M142" s="2" t="s">
        <v>1177</v>
      </c>
      <c r="N142" s="2" t="s">
        <v>1320</v>
      </c>
      <c r="O142" s="2" t="s">
        <v>1463</v>
      </c>
      <c r="P142" s="2" t="s">
        <v>1606</v>
      </c>
      <c r="Q142" s="2" t="s">
        <v>1749</v>
      </c>
      <c r="R142" s="2" t="s">
        <v>1892</v>
      </c>
      <c r="S142" s="2" t="s">
        <v>2035</v>
      </c>
      <c r="T142" s="2" t="s">
        <v>2178</v>
      </c>
      <c r="U142" s="2" t="s">
        <v>2321</v>
      </c>
      <c r="V142" s="2" t="s">
        <v>2464</v>
      </c>
      <c r="W142" s="2" t="s">
        <v>2607</v>
      </c>
      <c r="X142" s="2" t="s">
        <v>2750</v>
      </c>
      <c r="Y142" s="2" t="s">
        <v>2893</v>
      </c>
      <c r="Z142" s="2" t="s">
        <v>3036</v>
      </c>
      <c r="AA142" s="2" t="s">
        <v>3179</v>
      </c>
    </row>
    <row r="143" spans="1:27" x14ac:dyDescent="0.3">
      <c r="A143" s="2" t="s">
        <v>45</v>
      </c>
      <c r="F143" s="2" t="s">
        <v>177</v>
      </c>
      <c r="G143" s="2" t="s">
        <v>320</v>
      </c>
      <c r="H143" s="2" t="s">
        <v>463</v>
      </c>
      <c r="I143" s="2" t="s">
        <v>606</v>
      </c>
      <c r="J143" s="2" t="s">
        <v>749</v>
      </c>
      <c r="K143" s="2" t="s">
        <v>892</v>
      </c>
      <c r="L143" s="2" t="s">
        <v>1035</v>
      </c>
      <c r="M143" s="2" t="s">
        <v>1178</v>
      </c>
      <c r="N143" s="2" t="s">
        <v>1321</v>
      </c>
      <c r="O143" s="2" t="s">
        <v>1464</v>
      </c>
      <c r="P143" s="2" t="s">
        <v>1607</v>
      </c>
      <c r="Q143" s="2" t="s">
        <v>1750</v>
      </c>
      <c r="R143" s="2" t="s">
        <v>1893</v>
      </c>
      <c r="S143" s="2" t="s">
        <v>2036</v>
      </c>
      <c r="T143" s="2" t="s">
        <v>2179</v>
      </c>
      <c r="U143" s="2" t="s">
        <v>2322</v>
      </c>
      <c r="V143" s="2" t="s">
        <v>2465</v>
      </c>
      <c r="W143" s="2" t="s">
        <v>2608</v>
      </c>
      <c r="X143" s="2" t="s">
        <v>2751</v>
      </c>
      <c r="Y143" s="2" t="s">
        <v>2894</v>
      </c>
      <c r="Z143" s="2" t="s">
        <v>3037</v>
      </c>
      <c r="AA143" s="2" t="s">
        <v>3180</v>
      </c>
    </row>
    <row r="144" spans="1:27" x14ac:dyDescent="0.3">
      <c r="A144" s="2" t="s">
        <v>45</v>
      </c>
      <c r="F144" s="2" t="s">
        <v>178</v>
      </c>
      <c r="G144" s="2" t="s">
        <v>321</v>
      </c>
      <c r="H144" s="2" t="s">
        <v>464</v>
      </c>
      <c r="I144" s="2" t="s">
        <v>607</v>
      </c>
      <c r="J144" s="2" t="s">
        <v>750</v>
      </c>
      <c r="K144" s="2" t="s">
        <v>893</v>
      </c>
      <c r="L144" s="2" t="s">
        <v>1036</v>
      </c>
      <c r="M144" s="2" t="s">
        <v>1179</v>
      </c>
      <c r="N144" s="2" t="s">
        <v>1322</v>
      </c>
      <c r="O144" s="2" t="s">
        <v>1465</v>
      </c>
      <c r="P144" s="2" t="s">
        <v>1608</v>
      </c>
      <c r="Q144" s="2" t="s">
        <v>1751</v>
      </c>
      <c r="R144" s="2" t="s">
        <v>1894</v>
      </c>
      <c r="S144" s="2" t="s">
        <v>2037</v>
      </c>
      <c r="T144" s="2" t="s">
        <v>2180</v>
      </c>
      <c r="U144" s="2" t="s">
        <v>2323</v>
      </c>
      <c r="V144" s="2" t="s">
        <v>2466</v>
      </c>
      <c r="W144" s="2" t="s">
        <v>2609</v>
      </c>
      <c r="X144" s="2" t="s">
        <v>2752</v>
      </c>
      <c r="Y144" s="2" t="s">
        <v>2895</v>
      </c>
      <c r="Z144" s="2" t="s">
        <v>3038</v>
      </c>
      <c r="AA144" s="2" t="s">
        <v>3181</v>
      </c>
    </row>
    <row r="145" spans="1:27" x14ac:dyDescent="0.3">
      <c r="A145" s="2" t="s">
        <v>45</v>
      </c>
      <c r="F145" s="2" t="s">
        <v>179</v>
      </c>
      <c r="G145" s="2" t="s">
        <v>322</v>
      </c>
      <c r="H145" s="2" t="s">
        <v>465</v>
      </c>
      <c r="I145" s="2" t="s">
        <v>608</v>
      </c>
      <c r="J145" s="2" t="s">
        <v>751</v>
      </c>
      <c r="K145" s="2" t="s">
        <v>894</v>
      </c>
      <c r="L145" s="2" t="s">
        <v>1037</v>
      </c>
      <c r="M145" s="2" t="s">
        <v>1180</v>
      </c>
      <c r="N145" s="2" t="s">
        <v>1323</v>
      </c>
      <c r="O145" s="2" t="s">
        <v>1466</v>
      </c>
      <c r="P145" s="2" t="s">
        <v>1609</v>
      </c>
      <c r="Q145" s="2" t="s">
        <v>1752</v>
      </c>
      <c r="R145" s="2" t="s">
        <v>1895</v>
      </c>
      <c r="S145" s="2" t="s">
        <v>2038</v>
      </c>
      <c r="T145" s="2" t="s">
        <v>2181</v>
      </c>
      <c r="U145" s="2" t="s">
        <v>2324</v>
      </c>
      <c r="V145" s="2" t="s">
        <v>2467</v>
      </c>
      <c r="W145" s="2" t="s">
        <v>2610</v>
      </c>
      <c r="X145" s="2" t="s">
        <v>2753</v>
      </c>
      <c r="Y145" s="2" t="s">
        <v>2896</v>
      </c>
      <c r="Z145" s="2" t="s">
        <v>3039</v>
      </c>
      <c r="AA145" s="2" t="s">
        <v>3182</v>
      </c>
    </row>
    <row r="146" spans="1:27" x14ac:dyDescent="0.3">
      <c r="A146" s="2" t="s">
        <v>45</v>
      </c>
      <c r="F146" s="2" t="s">
        <v>180</v>
      </c>
      <c r="G146" s="2" t="s">
        <v>323</v>
      </c>
      <c r="H146" s="2" t="s">
        <v>466</v>
      </c>
      <c r="I146" s="2" t="s">
        <v>609</v>
      </c>
      <c r="J146" s="2" t="s">
        <v>752</v>
      </c>
      <c r="K146" s="2" t="s">
        <v>895</v>
      </c>
      <c r="L146" s="2" t="s">
        <v>1038</v>
      </c>
      <c r="M146" s="2" t="s">
        <v>1181</v>
      </c>
      <c r="N146" s="2" t="s">
        <v>1324</v>
      </c>
      <c r="O146" s="2" t="s">
        <v>1467</v>
      </c>
      <c r="P146" s="2" t="s">
        <v>1610</v>
      </c>
      <c r="Q146" s="2" t="s">
        <v>1753</v>
      </c>
      <c r="R146" s="2" t="s">
        <v>1896</v>
      </c>
      <c r="S146" s="2" t="s">
        <v>2039</v>
      </c>
      <c r="T146" s="2" t="s">
        <v>2182</v>
      </c>
      <c r="U146" s="2" t="s">
        <v>2325</v>
      </c>
      <c r="V146" s="2" t="s">
        <v>2468</v>
      </c>
      <c r="W146" s="2" t="s">
        <v>2611</v>
      </c>
      <c r="X146" s="2" t="s">
        <v>2754</v>
      </c>
      <c r="Y146" s="2" t="s">
        <v>2897</v>
      </c>
      <c r="Z146" s="2" t="s">
        <v>3040</v>
      </c>
      <c r="AA146" s="2" t="s">
        <v>3183</v>
      </c>
    </row>
    <row r="147" spans="1:27" x14ac:dyDescent="0.3">
      <c r="A147" s="2" t="s">
        <v>45</v>
      </c>
      <c r="F147" s="2" t="s">
        <v>181</v>
      </c>
      <c r="G147" s="2" t="s">
        <v>324</v>
      </c>
      <c r="H147" s="2" t="s">
        <v>467</v>
      </c>
      <c r="I147" s="2" t="s">
        <v>610</v>
      </c>
      <c r="J147" s="2" t="s">
        <v>753</v>
      </c>
      <c r="K147" s="2" t="s">
        <v>896</v>
      </c>
      <c r="L147" s="2" t="s">
        <v>1039</v>
      </c>
      <c r="M147" s="2" t="s">
        <v>1182</v>
      </c>
      <c r="N147" s="2" t="s">
        <v>1325</v>
      </c>
      <c r="O147" s="2" t="s">
        <v>1468</v>
      </c>
      <c r="P147" s="2" t="s">
        <v>1611</v>
      </c>
      <c r="Q147" s="2" t="s">
        <v>1754</v>
      </c>
      <c r="R147" s="2" t="s">
        <v>1897</v>
      </c>
      <c r="S147" s="2" t="s">
        <v>2040</v>
      </c>
      <c r="T147" s="2" t="s">
        <v>2183</v>
      </c>
      <c r="U147" s="2" t="s">
        <v>2326</v>
      </c>
      <c r="V147" s="2" t="s">
        <v>2469</v>
      </c>
      <c r="W147" s="2" t="s">
        <v>2612</v>
      </c>
      <c r="X147" s="2" t="s">
        <v>2755</v>
      </c>
      <c r="Y147" s="2" t="s">
        <v>2898</v>
      </c>
      <c r="Z147" s="2" t="s">
        <v>3041</v>
      </c>
      <c r="AA147" s="2" t="s">
        <v>3184</v>
      </c>
    </row>
    <row r="148" spans="1:27" x14ac:dyDescent="0.3">
      <c r="A148" s="2" t="s">
        <v>45</v>
      </c>
      <c r="F148" s="2" t="s">
        <v>182</v>
      </c>
      <c r="G148" s="2" t="s">
        <v>325</v>
      </c>
      <c r="H148" s="2" t="s">
        <v>468</v>
      </c>
      <c r="I148" s="2" t="s">
        <v>611</v>
      </c>
      <c r="J148" s="2" t="s">
        <v>754</v>
      </c>
      <c r="K148" s="2" t="s">
        <v>897</v>
      </c>
      <c r="L148" s="2" t="s">
        <v>1040</v>
      </c>
      <c r="M148" s="2" t="s">
        <v>1183</v>
      </c>
      <c r="N148" s="2" t="s">
        <v>1326</v>
      </c>
      <c r="O148" s="2" t="s">
        <v>1469</v>
      </c>
      <c r="P148" s="2" t="s">
        <v>1612</v>
      </c>
      <c r="Q148" s="2" t="s">
        <v>1755</v>
      </c>
      <c r="R148" s="2" t="s">
        <v>1898</v>
      </c>
      <c r="S148" s="2" t="s">
        <v>2041</v>
      </c>
      <c r="T148" s="2" t="s">
        <v>2184</v>
      </c>
      <c r="U148" s="2" t="s">
        <v>2327</v>
      </c>
      <c r="V148" s="2" t="s">
        <v>2470</v>
      </c>
      <c r="W148" s="2" t="s">
        <v>2613</v>
      </c>
      <c r="X148" s="2" t="s">
        <v>2756</v>
      </c>
      <c r="Y148" s="2" t="s">
        <v>2899</v>
      </c>
      <c r="Z148" s="2" t="s">
        <v>3042</v>
      </c>
      <c r="AA148" s="2" t="s">
        <v>3185</v>
      </c>
    </row>
    <row r="149" spans="1:27" x14ac:dyDescent="0.3">
      <c r="A149" s="2" t="s">
        <v>45</v>
      </c>
      <c r="F149" s="2" t="s">
        <v>183</v>
      </c>
      <c r="G149" s="2" t="s">
        <v>326</v>
      </c>
      <c r="H149" s="2" t="s">
        <v>469</v>
      </c>
      <c r="I149" s="2" t="s">
        <v>612</v>
      </c>
      <c r="J149" s="2" t="s">
        <v>755</v>
      </c>
      <c r="K149" s="2" t="s">
        <v>898</v>
      </c>
      <c r="L149" s="2" t="s">
        <v>1041</v>
      </c>
      <c r="M149" s="2" t="s">
        <v>1184</v>
      </c>
      <c r="N149" s="2" t="s">
        <v>1327</v>
      </c>
      <c r="O149" s="2" t="s">
        <v>1470</v>
      </c>
      <c r="P149" s="2" t="s">
        <v>1613</v>
      </c>
      <c r="Q149" s="2" t="s">
        <v>1756</v>
      </c>
      <c r="R149" s="2" t="s">
        <v>1899</v>
      </c>
      <c r="S149" s="2" t="s">
        <v>2042</v>
      </c>
      <c r="T149" s="2" t="s">
        <v>2185</v>
      </c>
      <c r="U149" s="2" t="s">
        <v>2328</v>
      </c>
      <c r="V149" s="2" t="s">
        <v>2471</v>
      </c>
      <c r="W149" s="2" t="s">
        <v>2614</v>
      </c>
      <c r="X149" s="2" t="s">
        <v>2757</v>
      </c>
      <c r="Y149" s="2" t="s">
        <v>2900</v>
      </c>
      <c r="Z149" s="2" t="s">
        <v>3043</v>
      </c>
      <c r="AA149" s="2" t="s">
        <v>3186</v>
      </c>
    </row>
    <row r="150" spans="1:27" x14ac:dyDescent="0.3">
      <c r="A150" s="2" t="s">
        <v>45</v>
      </c>
      <c r="F150" s="2" t="s">
        <v>184</v>
      </c>
      <c r="G150" s="2" t="s">
        <v>327</v>
      </c>
      <c r="H150" s="2" t="s">
        <v>470</v>
      </c>
      <c r="I150" s="2" t="s">
        <v>613</v>
      </c>
      <c r="J150" s="2" t="s">
        <v>756</v>
      </c>
      <c r="K150" s="2" t="s">
        <v>899</v>
      </c>
      <c r="L150" s="2" t="s">
        <v>1042</v>
      </c>
      <c r="M150" s="2" t="s">
        <v>1185</v>
      </c>
      <c r="N150" s="2" t="s">
        <v>1328</v>
      </c>
      <c r="O150" s="2" t="s">
        <v>1471</v>
      </c>
      <c r="P150" s="2" t="s">
        <v>1614</v>
      </c>
      <c r="Q150" s="2" t="s">
        <v>1757</v>
      </c>
      <c r="R150" s="2" t="s">
        <v>1900</v>
      </c>
      <c r="S150" s="2" t="s">
        <v>2043</v>
      </c>
      <c r="T150" s="2" t="s">
        <v>2186</v>
      </c>
      <c r="U150" s="2" t="s">
        <v>2329</v>
      </c>
      <c r="V150" s="2" t="s">
        <v>2472</v>
      </c>
      <c r="W150" s="2" t="s">
        <v>2615</v>
      </c>
      <c r="X150" s="2" t="s">
        <v>2758</v>
      </c>
      <c r="Y150" s="2" t="s">
        <v>2901</v>
      </c>
      <c r="Z150" s="2" t="s">
        <v>3044</v>
      </c>
      <c r="AA150" s="2" t="s">
        <v>3187</v>
      </c>
    </row>
    <row r="151" spans="1:27" x14ac:dyDescent="0.3">
      <c r="A151" s="2" t="s">
        <v>45</v>
      </c>
      <c r="F151" s="2" t="s">
        <v>185</v>
      </c>
      <c r="G151" s="2" t="s">
        <v>328</v>
      </c>
      <c r="H151" s="2" t="s">
        <v>471</v>
      </c>
      <c r="I151" s="2" t="s">
        <v>614</v>
      </c>
      <c r="J151" s="2" t="s">
        <v>757</v>
      </c>
      <c r="K151" s="2" t="s">
        <v>900</v>
      </c>
      <c r="L151" s="2" t="s">
        <v>1043</v>
      </c>
      <c r="M151" s="2" t="s">
        <v>1186</v>
      </c>
      <c r="N151" s="2" t="s">
        <v>1329</v>
      </c>
      <c r="O151" s="2" t="s">
        <v>1472</v>
      </c>
      <c r="P151" s="2" t="s">
        <v>1615</v>
      </c>
      <c r="Q151" s="2" t="s">
        <v>1758</v>
      </c>
      <c r="R151" s="2" t="s">
        <v>1901</v>
      </c>
      <c r="S151" s="2" t="s">
        <v>2044</v>
      </c>
      <c r="T151" s="2" t="s">
        <v>2187</v>
      </c>
      <c r="U151" s="2" t="s">
        <v>2330</v>
      </c>
      <c r="V151" s="2" t="s">
        <v>2473</v>
      </c>
      <c r="W151" s="2" t="s">
        <v>2616</v>
      </c>
      <c r="X151" s="2" t="s">
        <v>2759</v>
      </c>
      <c r="Y151" s="2" t="s">
        <v>2902</v>
      </c>
      <c r="Z151" s="2" t="s">
        <v>3045</v>
      </c>
      <c r="AA151" s="2" t="s">
        <v>3188</v>
      </c>
    </row>
    <row r="152" spans="1:27" x14ac:dyDescent="0.3">
      <c r="A152" s="2" t="s">
        <v>45</v>
      </c>
      <c r="F152" s="2" t="s">
        <v>186</v>
      </c>
      <c r="G152" s="2" t="s">
        <v>329</v>
      </c>
      <c r="H152" s="2" t="s">
        <v>472</v>
      </c>
      <c r="I152" s="2" t="s">
        <v>615</v>
      </c>
      <c r="J152" s="2" t="s">
        <v>758</v>
      </c>
      <c r="K152" s="2" t="s">
        <v>901</v>
      </c>
      <c r="L152" s="2" t="s">
        <v>1044</v>
      </c>
      <c r="M152" s="2" t="s">
        <v>1187</v>
      </c>
      <c r="N152" s="2" t="s">
        <v>1330</v>
      </c>
      <c r="O152" s="2" t="s">
        <v>1473</v>
      </c>
      <c r="P152" s="2" t="s">
        <v>1616</v>
      </c>
      <c r="Q152" s="2" t="s">
        <v>1759</v>
      </c>
      <c r="R152" s="2" t="s">
        <v>1902</v>
      </c>
      <c r="S152" s="2" t="s">
        <v>2045</v>
      </c>
      <c r="T152" s="2" t="s">
        <v>2188</v>
      </c>
      <c r="U152" s="2" t="s">
        <v>2331</v>
      </c>
      <c r="V152" s="2" t="s">
        <v>2474</v>
      </c>
      <c r="W152" s="2" t="s">
        <v>2617</v>
      </c>
      <c r="X152" s="2" t="s">
        <v>2760</v>
      </c>
      <c r="Y152" s="2" t="s">
        <v>2903</v>
      </c>
      <c r="Z152" s="2" t="s">
        <v>3046</v>
      </c>
      <c r="AA152" s="2" t="s">
        <v>3189</v>
      </c>
    </row>
    <row r="153" spans="1:27" x14ac:dyDescent="0.3">
      <c r="A153" s="2" t="s">
        <v>45</v>
      </c>
      <c r="F153" s="2" t="s">
        <v>187</v>
      </c>
      <c r="G153" s="2" t="s">
        <v>330</v>
      </c>
      <c r="H153" s="2" t="s">
        <v>473</v>
      </c>
      <c r="I153" s="2" t="s">
        <v>616</v>
      </c>
      <c r="J153" s="2" t="s">
        <v>759</v>
      </c>
      <c r="K153" s="2" t="s">
        <v>902</v>
      </c>
      <c r="L153" s="2" t="s">
        <v>1045</v>
      </c>
      <c r="M153" s="2" t="s">
        <v>1188</v>
      </c>
      <c r="N153" s="2" t="s">
        <v>1331</v>
      </c>
      <c r="O153" s="2" t="s">
        <v>1474</v>
      </c>
      <c r="P153" s="2" t="s">
        <v>1617</v>
      </c>
      <c r="Q153" s="2" t="s">
        <v>1760</v>
      </c>
      <c r="R153" s="2" t="s">
        <v>1903</v>
      </c>
      <c r="S153" s="2" t="s">
        <v>2046</v>
      </c>
      <c r="T153" s="2" t="s">
        <v>2189</v>
      </c>
      <c r="U153" s="2" t="s">
        <v>2332</v>
      </c>
      <c r="V153" s="2" t="s">
        <v>2475</v>
      </c>
      <c r="W153" s="2" t="s">
        <v>2618</v>
      </c>
      <c r="X153" s="2" t="s">
        <v>2761</v>
      </c>
      <c r="Y153" s="2" t="s">
        <v>2904</v>
      </c>
      <c r="Z153" s="2" t="s">
        <v>3047</v>
      </c>
      <c r="AA153" s="2" t="s">
        <v>3190</v>
      </c>
    </row>
    <row r="154" spans="1:27" x14ac:dyDescent="0.3">
      <c r="A154" s="2" t="s">
        <v>45</v>
      </c>
      <c r="F154" s="2" t="s">
        <v>188</v>
      </c>
      <c r="G154" s="2" t="s">
        <v>331</v>
      </c>
      <c r="H154" s="2" t="s">
        <v>474</v>
      </c>
      <c r="I154" s="2" t="s">
        <v>617</v>
      </c>
      <c r="J154" s="2" t="s">
        <v>760</v>
      </c>
      <c r="K154" s="2" t="s">
        <v>903</v>
      </c>
      <c r="L154" s="2" t="s">
        <v>1046</v>
      </c>
      <c r="M154" s="2" t="s">
        <v>1189</v>
      </c>
      <c r="N154" s="2" t="s">
        <v>1332</v>
      </c>
      <c r="O154" s="2" t="s">
        <v>1475</v>
      </c>
      <c r="P154" s="2" t="s">
        <v>1618</v>
      </c>
      <c r="Q154" s="2" t="s">
        <v>1761</v>
      </c>
      <c r="R154" s="2" t="s">
        <v>1904</v>
      </c>
      <c r="S154" s="2" t="s">
        <v>2047</v>
      </c>
      <c r="T154" s="2" t="s">
        <v>2190</v>
      </c>
      <c r="U154" s="2" t="s">
        <v>2333</v>
      </c>
      <c r="V154" s="2" t="s">
        <v>2476</v>
      </c>
      <c r="W154" s="2" t="s">
        <v>2619</v>
      </c>
      <c r="X154" s="2" t="s">
        <v>2762</v>
      </c>
      <c r="Y154" s="2" t="s">
        <v>2905</v>
      </c>
      <c r="Z154" s="2" t="s">
        <v>3048</v>
      </c>
      <c r="AA154" s="2" t="s">
        <v>3191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Amitha Sampath-Kumar</dc:creator>
  <cp:lastModifiedBy>Amitha Sampath-Kumar</cp:lastModifiedBy>
  <dcterms:created xsi:type="dcterms:W3CDTF">2019-04-09T19:40:00Z</dcterms:created>
  <dcterms:modified xsi:type="dcterms:W3CDTF">2019-04-09T19:44:38Z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  <property fmtid="{D5CDD505-2E9C-101B-9397-08002B2CF9AE}" pid="3" name="Jet Reports Function Literals">
    <vt:lpwstr>,	;	,	{	}	[@[{0}]]	1033</vt:lpwstr>
  </property>
</Properties>
</file>