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0" showVerticalScroll="0" showSheetTabs="1" xWindow="28680" yWindow="-120" windowWidth="29040" windowHeight="17640" tabRatio="600" firstSheet="1" activeTab="1" autoFilterDateGrouping="1"/>
  </bookViews>
  <sheets>
    <sheet xmlns:r="http://schemas.openxmlformats.org/officeDocument/2006/relationships" name="__SheetSelection" sheetId="1" state="hidden" r:id="rId1"/>
    <sheet xmlns:r="http://schemas.openxmlformats.org/officeDocument/2006/relationships" name="Template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Beregning" sheetId="4" state="visible" r:id="rId4"/>
    <sheet xmlns:r="http://schemas.openxmlformats.org/officeDocument/2006/relationships" name="Tabeller" sheetId="5" state="visible" r:id="rId5"/>
    <sheet xmlns:r="http://schemas.openxmlformats.org/officeDocument/2006/relationships" name="Colebrook-White" sheetId="6" state="visible" r:id="rId6"/>
    <sheet xmlns:r="http://schemas.openxmlformats.org/officeDocument/2006/relationships" name="Tor Wadmark" sheetId="7" state="visible" r:id="rId7"/>
  </sheets>
  <definedNames>
    <definedName name="dimensioner">Tabeller!$F$55:$AT$74</definedName>
    <definedName name="Stoffælles">Tabeller!$F$6:$L$36</definedName>
    <definedName name="stofluft">Tabeller!$F$44:$H$74</definedName>
    <definedName name="stofvand">Tabeller!$F$7:$J$25</definedName>
    <definedName name="stofvandglycol">Tabeller!$K$17:$L$35</definedName>
    <definedName name="Tabel1">Tabeller!$B$6:$C$23</definedName>
    <definedName name="Tabel2">Tabeller!$F$6:$N$36</definedName>
    <definedName name="tabel4">Tabeller!$F$43:$G$47</definedName>
    <definedName name="_xlnm._FilterDatabase" localSheetId="1" hidden="1">'Template'!$A$1:$I$5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0.0000000000"/>
    <numFmt numFmtId="166" formatCode="0.0000"/>
    <numFmt numFmtId="167" formatCode="0.000000000"/>
    <numFmt numFmtId="168" formatCode="0.000"/>
  </numFmts>
  <fonts count="17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10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8"/>
    </font>
    <font>
      <name val="Times New Roman"/>
      <family val="1"/>
      <i val="1"/>
      <sz val="10"/>
    </font>
    <font>
      <name val="Arial"/>
      <family val="2"/>
      <b val="1"/>
      <sz val="8"/>
    </font>
    <font>
      <name val="Arial"/>
      <family val="2"/>
      <color indexed="47"/>
      <sz val="10"/>
    </font>
    <font>
      <name val="Symbol"/>
      <charset val="2"/>
      <family val="1"/>
      <sz val="10"/>
    </font>
    <font>
      <name val="Arial"/>
      <family val="2"/>
      <b val="1"/>
      <sz val="10"/>
    </font>
    <font>
      <name val="Symbol"/>
      <charset val="2"/>
      <family val="1"/>
      <b val="1"/>
      <sz val="10"/>
    </font>
    <font>
      <name val="Arial"/>
      <family val="2"/>
      <sz val="10"/>
    </font>
    <font>
      <name val="Arial"/>
      <family val="2"/>
      <color indexed="47"/>
      <sz val="12"/>
    </font>
    <font>
      <name val="Verdana"/>
      <family val="2"/>
      <sz val="14"/>
    </font>
    <font>
      <name val="Calibri"/>
      <family val="2"/>
      <b val="1"/>
      <sz val="11"/>
    </font>
  </fonts>
  <fills count="13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E5AF42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6" fillId="12" borderId="0"/>
  </cellStyleXfs>
  <cellXfs count="201">
    <xf numFmtId="0" fontId="0" fillId="0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0" fontId="0" fillId="3" borderId="6" pivotButton="0" quotePrefix="0" xfId="0"/>
    <xf numFmtId="0" fontId="0" fillId="3" borderId="7" pivotButton="0" quotePrefix="0" xfId="0"/>
    <xf numFmtId="0" fontId="0" fillId="3" borderId="8" pivotButton="0" quotePrefix="0" xfId="0"/>
    <xf numFmtId="0" fontId="0" fillId="3" borderId="9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0" fontId="0" fillId="3" borderId="11" applyAlignment="1" pivotButton="0" quotePrefix="0" xfId="0">
      <alignment horizontal="center"/>
    </xf>
    <xf numFmtId="0" fontId="0" fillId="3" borderId="12" pivotButton="0" quotePrefix="0" xfId="0"/>
    <xf numFmtId="0" fontId="0" fillId="3" borderId="13" pivotButton="0" quotePrefix="0" xfId="0"/>
    <xf numFmtId="0" fontId="0" fillId="3" borderId="14" pivotButton="0" quotePrefix="0" xfId="0"/>
    <xf numFmtId="0" fontId="0" fillId="4" borderId="15" pivotButton="0" quotePrefix="0" xfId="0"/>
    <xf numFmtId="0" fontId="0" fillId="4" borderId="0" pivotButton="0" quotePrefix="0" xfId="0"/>
    <xf numFmtId="0" fontId="0" fillId="4" borderId="16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  <xf numFmtId="0" fontId="0" fillId="4" borderId="12" pivotButton="0" quotePrefix="0" xfId="0"/>
    <xf numFmtId="0" fontId="0" fillId="4" borderId="13" applyAlignment="1" pivotButton="0" quotePrefix="0" xfId="0">
      <alignment horizontal="center"/>
    </xf>
    <xf numFmtId="0" fontId="0" fillId="4" borderId="14" applyAlignment="1" pivotButton="0" quotePrefix="0" xfId="0">
      <alignment horizontal="center"/>
    </xf>
    <xf numFmtId="0" fontId="0" fillId="4" borderId="13" pivotButton="0" quotePrefix="0" xfId="0"/>
    <xf numFmtId="0" fontId="0" fillId="4" borderId="14" pivotButton="0" quotePrefix="0" xfId="0"/>
    <xf numFmtId="11" fontId="0" fillId="4" borderId="14" pivotButton="0" quotePrefix="0" xfId="0"/>
    <xf numFmtId="0" fontId="0" fillId="4" borderId="9" pivotButton="0" quotePrefix="0" xfId="0"/>
    <xf numFmtId="0" fontId="0" fillId="4" borderId="10" pivotButton="0" quotePrefix="0" xfId="0"/>
    <xf numFmtId="0" fontId="0" fillId="4" borderId="11" pivotButton="0" quotePrefix="0" xfId="0"/>
    <xf numFmtId="0" fontId="0" fillId="5" borderId="3" pivotButton="0" quotePrefix="0" xfId="0"/>
    <xf numFmtId="0" fontId="0" fillId="5" borderId="4" pivotButton="0" quotePrefix="0" xfId="0"/>
    <xf numFmtId="0" fontId="0" fillId="5" borderId="9" applyAlignment="1" pivotButton="0" quotePrefix="0" xfId="0">
      <alignment horizontal="center"/>
    </xf>
    <xf numFmtId="0" fontId="0" fillId="5" borderId="10" applyAlignment="1" pivotButton="0" quotePrefix="0" xfId="0">
      <alignment horizontal="center"/>
    </xf>
    <xf numFmtId="0" fontId="0" fillId="5" borderId="11" pivotButton="0" quotePrefix="0" xfId="0"/>
    <xf numFmtId="0" fontId="0" fillId="6" borderId="17" pivotButton="0" quotePrefix="0" xfId="0"/>
    <xf numFmtId="0" fontId="2" fillId="0" borderId="18" pivotButton="0" quotePrefix="0" xfId="0"/>
    <xf numFmtId="0" fontId="0" fillId="0" borderId="19" pivotButton="0" quotePrefix="0" xfId="0"/>
    <xf numFmtId="0" fontId="1" fillId="0" borderId="19" pivotButton="0" quotePrefix="0" xfId="0"/>
    <xf numFmtId="0" fontId="1" fillId="0" borderId="20" pivotButton="0" quotePrefix="0" xfId="0"/>
    <xf numFmtId="0" fontId="0" fillId="0" borderId="21" pivotButton="0" quotePrefix="0" xfId="0"/>
    <xf numFmtId="0" fontId="1" fillId="0" borderId="0" applyAlignment="1" pivotButton="0" quotePrefix="0" xfId="0">
      <alignment horizontal="right"/>
    </xf>
    <xf numFmtId="0" fontId="0" fillId="0" borderId="17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1" fillId="0" borderId="23" pivotButton="0" quotePrefix="0" xfId="0"/>
    <xf numFmtId="0" fontId="10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1" fillId="0" borderId="0" pivotButton="0" quotePrefix="0" xfId="0"/>
    <xf numFmtId="0" fontId="0" fillId="5" borderId="25" pivotButton="0" quotePrefix="0" xfId="0"/>
    <xf numFmtId="0" fontId="1" fillId="0" borderId="0" pivotButton="0" quotePrefix="0" xfId="0"/>
    <xf numFmtId="0" fontId="13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0" fillId="5" borderId="26" pivotButton="0" quotePrefix="0" xfId="0"/>
    <xf numFmtId="0" fontId="0" fillId="5" borderId="13" applyAlignment="1" pivotButton="0" quotePrefix="0" xfId="0">
      <alignment horizontal="center"/>
    </xf>
    <xf numFmtId="0" fontId="0" fillId="5" borderId="13" pivotButton="0" quotePrefix="0" xfId="0"/>
    <xf numFmtId="0" fontId="0" fillId="5" borderId="25" applyAlignment="1" pivotButton="0" quotePrefix="0" xfId="0">
      <alignment horizontal="center"/>
    </xf>
    <xf numFmtId="0" fontId="0" fillId="5" borderId="27" pivotButton="0" quotePrefix="0" xfId="0"/>
    <xf numFmtId="0" fontId="0" fillId="5" borderId="28" applyAlignment="1" pivotButton="0" quotePrefix="0" xfId="0">
      <alignment horizontal="center"/>
    </xf>
    <xf numFmtId="0" fontId="0" fillId="5" borderId="12" applyAlignment="1" pivotButton="0" quotePrefix="0" xfId="0">
      <alignment horizontal="center"/>
    </xf>
    <xf numFmtId="0" fontId="0" fillId="5" borderId="14" applyAlignment="1" pivotButton="0" quotePrefix="0" xfId="0">
      <alignment horizontal="center"/>
    </xf>
    <xf numFmtId="0" fontId="0" fillId="3" borderId="14" applyAlignment="1" pivotButton="0" quotePrefix="0" xfId="0">
      <alignment horizontal="right"/>
    </xf>
    <xf numFmtId="0" fontId="0" fillId="8" borderId="12" pivotButton="0" quotePrefix="0" xfId="0"/>
    <xf numFmtId="0" fontId="0" fillId="8" borderId="9" applyAlignment="1" pivotButton="0" quotePrefix="0" xfId="0">
      <alignment horizontal="center"/>
    </xf>
    <xf numFmtId="0" fontId="0" fillId="8" borderId="0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8" borderId="16" pivotButton="0" quotePrefix="0" xfId="0"/>
    <xf numFmtId="0" fontId="0" fillId="8" borderId="6" pivotButton="0" quotePrefix="0" xfId="0"/>
    <xf numFmtId="0" fontId="0" fillId="8" borderId="7" pivotButton="0" quotePrefix="0" xfId="0"/>
    <xf numFmtId="0" fontId="0" fillId="8" borderId="10" applyAlignment="1" pivotButton="0" quotePrefix="0" xfId="0">
      <alignment horizontal="center"/>
    </xf>
    <xf numFmtId="0" fontId="0" fillId="8" borderId="13" pivotButton="0" quotePrefix="0" xfId="0"/>
    <xf numFmtId="0" fontId="0" fillId="8" borderId="9" pivotButton="0" quotePrefix="0" xfId="0"/>
    <xf numFmtId="0" fontId="0" fillId="8" borderId="11" pivotButton="0" quotePrefix="0" xfId="0"/>
    <xf numFmtId="0" fontId="0" fillId="8" borderId="29" pivotButton="0" quotePrefix="0" xfId="0"/>
    <xf numFmtId="0" fontId="0" fillId="8" borderId="25" pivotButton="0" quotePrefix="0" xfId="0"/>
    <xf numFmtId="0" fontId="0" fillId="8" borderId="10" pivotButton="0" quotePrefix="0" xfId="0"/>
    <xf numFmtId="0" fontId="0" fillId="8" borderId="25" applyAlignment="1" pivotButton="0" quotePrefix="0" xfId="0">
      <alignment horizontal="center"/>
    </xf>
    <xf numFmtId="0" fontId="0" fillId="8" borderId="31" pivotButton="0" quotePrefix="0" xfId="0"/>
    <xf numFmtId="0" fontId="0" fillId="8" borderId="32" pivotButton="0" quotePrefix="0" xfId="0"/>
    <xf numFmtId="0" fontId="0" fillId="8" borderId="5" pivotButton="0" quotePrefix="0" xfId="0"/>
    <xf numFmtId="0" fontId="0" fillId="8" borderId="8" applyAlignment="1" pivotButton="0" quotePrefix="0" xfId="0">
      <alignment horizontal="right"/>
    </xf>
    <xf numFmtId="0" fontId="0" fillId="8" borderId="14" applyAlignment="1" pivotButton="0" quotePrefix="0" xfId="0">
      <alignment horizontal="right"/>
    </xf>
    <xf numFmtId="0" fontId="0" fillId="8" borderId="14" applyAlignment="1" pivotButton="0" quotePrefix="1" xfId="0">
      <alignment horizontal="right"/>
    </xf>
    <xf numFmtId="0" fontId="0" fillId="0" borderId="14" applyAlignment="1" pivotButton="0" quotePrefix="1" xfId="0">
      <alignment horizontal="right"/>
    </xf>
    <xf numFmtId="0" fontId="0" fillId="8" borderId="7" applyAlignment="1" pivotButton="0" quotePrefix="0" xfId="0">
      <alignment horizontal="right"/>
    </xf>
    <xf numFmtId="0" fontId="0" fillId="8" borderId="13" applyAlignment="1" pivotButton="0" quotePrefix="1" xfId="0">
      <alignment horizontal="right"/>
    </xf>
    <xf numFmtId="0" fontId="0" fillId="8" borderId="13" applyAlignment="1" pivotButton="0" quotePrefix="0" xfId="0">
      <alignment horizontal="right"/>
    </xf>
    <xf numFmtId="0" fontId="0" fillId="0" borderId="13" applyAlignment="1" pivotButton="0" quotePrefix="1" xfId="0">
      <alignment horizontal="right"/>
    </xf>
    <xf numFmtId="0" fontId="0" fillId="7" borderId="0" applyAlignment="1" applyProtection="1" pivotButton="0" quotePrefix="0" xfId="0">
      <alignment horizontal="right"/>
      <protection locked="0" hidden="0"/>
    </xf>
    <xf numFmtId="0" fontId="9" fillId="10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1" borderId="0" applyAlignment="1" pivotButton="0" quotePrefix="0" xfId="0">
      <alignment horizontal="left"/>
    </xf>
    <xf numFmtId="0" fontId="6" fillId="11" borderId="0" applyAlignment="1" pivotButton="0" quotePrefix="0" xfId="0">
      <alignment horizontal="left"/>
    </xf>
    <xf numFmtId="0" fontId="16" fillId="12" borderId="0" applyAlignment="1" pivotButton="0" quotePrefix="0" xfId="1">
      <alignment wrapText="1"/>
    </xf>
    <xf numFmtId="2" fontId="13" fillId="7" borderId="0" applyAlignment="1" applyProtection="1" pivotButton="0" quotePrefix="0" xfId="0">
      <alignment horizontal="center"/>
      <protection locked="0" hidden="0"/>
    </xf>
    <xf numFmtId="0" fontId="13" fillId="11" borderId="0" pivotButton="0" quotePrefix="0" xfId="0"/>
    <xf numFmtId="0" fontId="8" fillId="9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39" pivotButton="0" quotePrefix="0" xfId="0"/>
    <xf numFmtId="0" fontId="0" fillId="10" borderId="40" pivotButton="0" quotePrefix="0" xfId="0"/>
    <xf numFmtId="0" fontId="1" fillId="10" borderId="39" pivotButton="0" quotePrefix="0" xfId="0"/>
    <xf numFmtId="0" fontId="1" fillId="10" borderId="41" pivotButton="0" quotePrefix="0" xfId="0"/>
    <xf numFmtId="0" fontId="0" fillId="10" borderId="42" pivotButton="0" quotePrefix="0" xfId="0"/>
    <xf numFmtId="0" fontId="0" fillId="10" borderId="43" pivotButton="0" quotePrefix="0" xfId="0"/>
    <xf numFmtId="0" fontId="0" fillId="11" borderId="42" pivotButton="0" quotePrefix="0" xfId="0"/>
    <xf numFmtId="0" fontId="9" fillId="10" borderId="39" pivotButton="0" quotePrefix="0" xfId="0"/>
    <xf numFmtId="0" fontId="14" fillId="10" borderId="39" pivotButton="0" quotePrefix="0" xfId="0"/>
    <xf numFmtId="0" fontId="0" fillId="11" borderId="39" pivotButton="0" quotePrefix="0" xfId="0"/>
    <xf numFmtId="0" fontId="1" fillId="11" borderId="39" applyAlignment="1" pivotButton="0" quotePrefix="0" xfId="0">
      <alignment horizontal="left"/>
    </xf>
    <xf numFmtId="0" fontId="1" fillId="11" borderId="39" pivotButton="0" quotePrefix="0" xfId="0"/>
    <xf numFmtId="0" fontId="0" fillId="11" borderId="41" pivotButton="0" quotePrefix="0" xfId="0"/>
    <xf numFmtId="0" fontId="9" fillId="10" borderId="36" pivotButton="0" quotePrefix="0" xfId="0"/>
    <xf numFmtId="0" fontId="9" fillId="10" borderId="37" pivotButton="0" quotePrefix="0" xfId="0"/>
    <xf numFmtId="0" fontId="0" fillId="10" borderId="37" pivotButton="0" quotePrefix="0" xfId="0"/>
    <xf numFmtId="0" fontId="1" fillId="5" borderId="40" applyAlignment="1" pivotButton="0" quotePrefix="0" xfId="0">
      <alignment horizontal="center"/>
    </xf>
    <xf numFmtId="0" fontId="0" fillId="11" borderId="40" pivotButton="0" quotePrefix="0" xfId="0"/>
    <xf numFmtId="0" fontId="3" fillId="10" borderId="40" applyAlignment="1" pivotButton="0" quotePrefix="0" xfId="0">
      <alignment horizontal="right"/>
    </xf>
    <xf numFmtId="0" fontId="0" fillId="10" borderId="38" pivotButton="0" quotePrefix="0" xfId="0"/>
    <xf numFmtId="0" fontId="9" fillId="10" borderId="41" pivotButton="0" quotePrefix="0" xfId="0"/>
    <xf numFmtId="0" fontId="9" fillId="10" borderId="42" pivotButton="0" quotePrefix="0" xfId="0"/>
    <xf numFmtId="0" fontId="8" fillId="9" borderId="39" applyAlignment="1" pivotButton="0" quotePrefix="0" xfId="0">
      <alignment horizontal="center"/>
    </xf>
    <xf numFmtId="0" fontId="0" fillId="9" borderId="39" applyAlignment="1" pivotButton="0" quotePrefix="0" xfId="0">
      <alignment horizontal="center"/>
    </xf>
    <xf numFmtId="0" fontId="0" fillId="9" borderId="41" applyAlignment="1" pivotButton="0" quotePrefix="0" xfId="0">
      <alignment horizontal="center"/>
    </xf>
    <xf numFmtId="0" fontId="0" fillId="9" borderId="42" applyAlignment="1" pivotButton="0" quotePrefix="0" xfId="0">
      <alignment horizontal="center"/>
    </xf>
    <xf numFmtId="0" fontId="0" fillId="10" borderId="0" applyAlignment="1" pivotButton="0" quotePrefix="0" xfId="0">
      <alignment horizontal="right"/>
    </xf>
    <xf numFmtId="0" fontId="4" fillId="10" borderId="0" applyAlignment="1" pivotButton="0" quotePrefix="0" xfId="0">
      <alignment horizontal="center"/>
    </xf>
    <xf numFmtId="164" fontId="0" fillId="5" borderId="0" applyAlignment="1" pivotButton="0" quotePrefix="0" xfId="0">
      <alignment horizontal="center"/>
    </xf>
    <xf numFmtId="164" fontId="0" fillId="5" borderId="40" applyAlignment="1" pivotButton="0" quotePrefix="0" xfId="0">
      <alignment horizontal="center"/>
    </xf>
    <xf numFmtId="164" fontId="0" fillId="5" borderId="42" applyAlignment="1" pivotButton="0" quotePrefix="0" xfId="0">
      <alignment horizontal="center"/>
    </xf>
    <xf numFmtId="164" fontId="0" fillId="5" borderId="43" applyAlignment="1" pivotButton="0" quotePrefix="0" xfId="0">
      <alignment horizontal="center"/>
    </xf>
    <xf numFmtId="164" fontId="0" fillId="7" borderId="0" applyProtection="1" pivotButton="0" quotePrefix="0" xfId="0">
      <protection locked="0" hidden="0"/>
    </xf>
    <xf numFmtId="164" fontId="1" fillId="10" borderId="0" pivotButton="0" quotePrefix="0" xfId="0"/>
    <xf numFmtId="164" fontId="1" fillId="10" borderId="39" pivotButton="0" quotePrefix="0" xfId="0"/>
    <xf numFmtId="164" fontId="1" fillId="10" borderId="0" applyAlignment="1" pivotButton="0" quotePrefix="0" xfId="0">
      <alignment horizontal="right"/>
    </xf>
    <xf numFmtId="164" fontId="1" fillId="10" borderId="42" pivotButton="0" quotePrefix="0" xfId="0"/>
    <xf numFmtId="164" fontId="1" fillId="10" borderId="42" applyAlignment="1" pivotButton="0" quotePrefix="0" xfId="0">
      <alignment horizontal="right"/>
    </xf>
    <xf numFmtId="165" fontId="0" fillId="0" borderId="0" pivotButton="0" quotePrefix="0" xfId="0"/>
    <xf numFmtId="166" fontId="0" fillId="5" borderId="25" pivotButton="0" quotePrefix="0" xfId="0"/>
    <xf numFmtId="165" fontId="0" fillId="5" borderId="25" pivotButton="0" quotePrefix="0" xfId="0"/>
    <xf numFmtId="164" fontId="0" fillId="5" borderId="13" pivotButton="0" quotePrefix="0" xfId="0"/>
    <xf numFmtId="166" fontId="0" fillId="5" borderId="13" pivotButton="0" quotePrefix="0" xfId="0"/>
    <xf numFmtId="167" fontId="0" fillId="5" borderId="13" pivotButton="0" quotePrefix="0" xfId="0"/>
    <xf numFmtId="165" fontId="0" fillId="5" borderId="13" pivotButton="0" quotePrefix="0" xfId="0"/>
    <xf numFmtId="167" fontId="0" fillId="0" borderId="0" pivotButton="0" quotePrefix="0" xfId="0"/>
    <xf numFmtId="164" fontId="0" fillId="0" borderId="0" pivotButton="0" quotePrefix="0" xfId="0"/>
    <xf numFmtId="168" fontId="0" fillId="0" borderId="0" pivotButton="0" quotePrefix="0" xfId="0"/>
    <xf numFmtId="166" fontId="0" fillId="0" borderId="0" pivotButton="0" quotePrefix="0" xfId="0"/>
    <xf numFmtId="165" fontId="0" fillId="8" borderId="31" pivotButton="0" quotePrefix="0" xfId="0"/>
    <xf numFmtId="165" fontId="0" fillId="8" borderId="0" pivotButton="0" quotePrefix="0" xfId="0"/>
    <xf numFmtId="165" fontId="0" fillId="8" borderId="4" pivotButton="0" quotePrefix="0" xfId="0"/>
    <xf numFmtId="165" fontId="0" fillId="8" borderId="25" applyAlignment="1" pivotButton="0" quotePrefix="0" xfId="0">
      <alignment horizontal="center"/>
    </xf>
    <xf numFmtId="165" fontId="0" fillId="8" borderId="30" applyAlignment="1" pivotButton="0" quotePrefix="0" xfId="0">
      <alignment horizontal="center"/>
    </xf>
    <xf numFmtId="165" fontId="0" fillId="0" borderId="2" pivotButton="0" quotePrefix="0" xfId="0"/>
    <xf numFmtId="165" fontId="0" fillId="8" borderId="10" pivotButton="0" quotePrefix="0" xfId="0"/>
    <xf numFmtId="164" fontId="0" fillId="8" borderId="7" applyAlignment="1" pivotButton="0" quotePrefix="0" xfId="0">
      <alignment horizontal="right"/>
    </xf>
    <xf numFmtId="164" fontId="0" fillId="8" borderId="13" applyAlignment="1" pivotButton="0" quotePrefix="1" xfId="0">
      <alignment horizontal="right"/>
    </xf>
    <xf numFmtId="164" fontId="0" fillId="8" borderId="13" applyAlignment="1" pivotButton="0" quotePrefix="0" xfId="0">
      <alignment horizontal="right"/>
    </xf>
    <xf numFmtId="164" fontId="0" fillId="0" borderId="13" applyAlignment="1" pivotButton="0" quotePrefix="1" xfId="0">
      <alignment horizontal="right"/>
    </xf>
    <xf numFmtId="165" fontId="4" fillId="0" borderId="0" pivotButton="0" quotePrefix="0" xfId="0"/>
    <xf numFmtId="165" fontId="11" fillId="0" borderId="0" applyAlignment="1" pivotButton="0" quotePrefix="0" xfId="0">
      <alignment horizontal="center"/>
    </xf>
    <xf numFmtId="165" fontId="11" fillId="0" borderId="0" applyAlignment="1" pivotButton="0" quotePrefix="0" xfId="0">
      <alignment horizontal="right"/>
    </xf>
    <xf numFmtId="164" fontId="0" fillId="6" borderId="0" pivotButton="0" quotePrefix="0" xfId="0"/>
    <xf numFmtId="0" fontId="0" fillId="0" borderId="0" pivotButton="0" quotePrefix="0" xfId="0"/>
    <xf numFmtId="0" fontId="0" fillId="0" borderId="40" pivotButton="0" quotePrefix="0" xfId="0"/>
    <xf numFmtId="0" fontId="7" fillId="1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5" fillId="10" borderId="40" applyAlignment="1" pivotButton="0" quotePrefix="0" xfId="0">
      <alignment horizontal="right"/>
    </xf>
    <xf numFmtId="0" fontId="0" fillId="0" borderId="0" pivotButton="0" quotePrefix="0" xfId="0"/>
    <xf numFmtId="0" fontId="0" fillId="0" borderId="40" pivotButton="0" quotePrefix="0" xfId="0"/>
    <xf numFmtId="0" fontId="7" fillId="10" borderId="0" applyAlignment="1" pivotButton="0" quotePrefix="0" xfId="0">
      <alignment horizontal="center"/>
    </xf>
    <xf numFmtId="0" fontId="7" fillId="10" borderId="44" applyAlignment="1" pivotButton="0" quotePrefix="0" xfId="0">
      <alignment horizontal="center"/>
    </xf>
    <xf numFmtId="0" fontId="0" fillId="10" borderId="40" applyAlignment="1" pivotButton="0" quotePrefix="0" xfId="0">
      <alignment horizontal="right"/>
    </xf>
    <xf numFmtId="0" fontId="1" fillId="5" borderId="45" applyAlignment="1" pivotButton="0" quotePrefix="0" xfId="0">
      <alignment horizontal="center" vertical="center"/>
    </xf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4" fillId="10" borderId="39" applyAlignment="1" pivotButton="0" quotePrefix="0" xfId="0">
      <alignment horizontal="center"/>
    </xf>
    <xf numFmtId="0" fontId="4" fillId="10" borderId="4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0" borderId="31" pivotButton="0" quotePrefix="0" xfId="0"/>
    <xf numFmtId="0" fontId="0" fillId="0" borderId="32" pivotButton="0" quotePrefix="0" xfId="0"/>
    <xf numFmtId="0" fontId="5" fillId="3" borderId="47" applyAlignment="1" pivotButton="0" quotePrefix="0" xfId="0">
      <alignment horizontal="center"/>
    </xf>
    <xf numFmtId="0" fontId="0" fillId="0" borderId="16" pivotButton="0" quotePrefix="0" xfId="0"/>
    <xf numFmtId="0" fontId="4" fillId="8" borderId="33" applyAlignment="1" pivotButton="0" quotePrefix="0" xfId="0">
      <alignment horizontal="center"/>
    </xf>
    <xf numFmtId="0" fontId="5" fillId="8" borderId="15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13" fillId="5" borderId="46" applyAlignment="1" pivotButton="0" quotePrefix="0" xfId="0">
      <alignment horizontal="center"/>
    </xf>
    <xf numFmtId="0" fontId="0" fillId="0" borderId="34" pivotButton="0" quotePrefix="0" xfId="0"/>
    <xf numFmtId="0" fontId="0" fillId="0" borderId="35" pivotButton="0" quotePrefix="0" xfId="0"/>
    <xf numFmtId="0" fontId="0" fillId="5" borderId="46" applyAlignment="1" pivotButton="0" quotePrefix="0" xfId="0">
      <alignment horizontal="center"/>
    </xf>
    <xf numFmtId="0" fontId="4" fillId="5" borderId="1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DiRootsHeaderStyle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showRowColHeaders="0" showZeros="0" showOutlineSymbols="0" workbookViewId="0">
      <selection activeCell="A1" sqref="A1"/>
    </sheetView>
  </sheetViews>
  <sheetFormatPr baseColWidth="8" defaultColWidth="1" defaultRowHeight="5.25" customHeight="1"/>
  <sheetData/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 codeName="Ark4">
    <tabColor rgb="FFFFFF00"/>
    <outlinePr summaryBelow="1" summaryRight="1"/>
    <pageSetUpPr/>
  </sheetPr>
  <dimension ref="A1:I156"/>
  <sheetViews>
    <sheetView tabSelected="1" zoomScaleNormal="100" workbookViewId="0">
      <selection activeCell="A2" sqref="A2:I156"/>
    </sheetView>
  </sheetViews>
  <sheetFormatPr baseColWidth="8" defaultRowHeight="12.75"/>
  <cols>
    <col width="31.7109375" bestFit="1" customWidth="1" style="175" min="1" max="1"/>
    <col width="10.5703125" bestFit="1" customWidth="1" style="175" min="2" max="2"/>
    <col width="25.42578125" bestFit="1" customWidth="1" style="175" min="3" max="3"/>
    <col width="14.42578125" customWidth="1" style="175" min="4" max="4"/>
    <col width="23.140625" bestFit="1" customWidth="1" style="175" min="5" max="5"/>
    <col width="8.140625" customWidth="1" style="175" min="6" max="6"/>
    <col width="18.5703125" bestFit="1" customWidth="1" style="175" min="7" max="7"/>
    <col width="44.7109375" customWidth="1" style="175" min="8" max="8"/>
    <col width="18.7109375" customWidth="1" style="175" min="9" max="9"/>
  </cols>
  <sheetData>
    <row r="1" ht="15" customHeight="1" s="175">
      <c r="A1" s="100" t="inlineStr">
        <is>
          <t>Rumnavne</t>
        </is>
      </c>
      <c r="B1" s="100" t="inlineStr">
        <is>
          <t>Number</t>
        </is>
      </c>
      <c r="C1" s="100" t="inlineStr">
        <is>
          <t>Specified Supply Airflow</t>
        </is>
      </c>
      <c r="D1" s="100" t="inlineStr">
        <is>
          <t>Luftmængde</t>
        </is>
      </c>
      <c r="E1" s="100" t="inlineStr">
        <is>
          <t>Specified Return Airflow</t>
        </is>
      </c>
      <c r="F1" s="100" t="inlineStr">
        <is>
          <t>Area</t>
        </is>
      </c>
      <c r="G1" s="100" t="inlineStr">
        <is>
          <t>Room: Department</t>
        </is>
      </c>
      <c r="H1" s="100" t="inlineStr">
        <is>
          <t>Min. Invendig Diamenter (Tryktabsgradient 0,7)</t>
        </is>
      </c>
      <c r="I1" s="100" t="inlineStr">
        <is>
          <t>Indendig Diameter</t>
        </is>
      </c>
    </row>
    <row r="2" ht="14.25" customHeight="1" s="175">
      <c r="A2" t="inlineStr">
        <is>
          <t>Fagtorv Science</t>
        </is>
      </c>
      <c r="B2" t="inlineStr">
        <is>
          <t>A001</t>
        </is>
      </c>
      <c r="C2" t="inlineStr">
        <is>
          <t>630,0 m³/h</t>
        </is>
      </c>
      <c r="E2" t="inlineStr">
        <is>
          <t>0,0 m³/h</t>
        </is>
      </c>
      <c r="F2" t="inlineStr">
        <is>
          <t>44 m²</t>
        </is>
      </c>
      <c r="G2" t="inlineStr">
        <is>
          <t>Science</t>
        </is>
      </c>
    </row>
    <row r="3" ht="14.25" customHeight="1" s="175">
      <c r="A3" t="inlineStr">
        <is>
          <t>HC toilet</t>
        </is>
      </c>
      <c r="B3" t="inlineStr">
        <is>
          <t>A002</t>
        </is>
      </c>
      <c r="C3" t="inlineStr">
        <is>
          <t>36,0 m³/h</t>
        </is>
      </c>
      <c r="E3" t="inlineStr">
        <is>
          <t>36,0 m³/h</t>
        </is>
      </c>
      <c r="F3" t="inlineStr">
        <is>
          <t>5 m²</t>
        </is>
      </c>
      <c r="G3" t="inlineStr">
        <is>
          <t>eksisterende</t>
        </is>
      </c>
    </row>
    <row r="4" ht="14.25" customHeight="1" s="175">
      <c r="A4" t="inlineStr">
        <is>
          <t>Samlingssted</t>
        </is>
      </c>
      <c r="B4" t="inlineStr">
        <is>
          <t>A101</t>
        </is>
      </c>
      <c r="C4" t="inlineStr">
        <is>
          <t>0,0 m³/h</t>
        </is>
      </c>
      <c r="E4" t="inlineStr">
        <is>
          <t>0,0 m³/h</t>
        </is>
      </c>
      <c r="F4" t="inlineStr">
        <is>
          <t>456 m²</t>
        </is>
      </c>
      <c r="G4" t="inlineStr">
        <is>
          <t>fælles</t>
        </is>
      </c>
    </row>
    <row r="5" ht="14.25" customHeight="1" s="175">
      <c r="A5" t="inlineStr">
        <is>
          <t>Ophold/Gang/Udstilling</t>
        </is>
      </c>
      <c r="B5" t="inlineStr">
        <is>
          <t>A102</t>
        </is>
      </c>
      <c r="C5" t="inlineStr">
        <is>
          <t>450,0 m³/h</t>
        </is>
      </c>
      <c r="E5" t="inlineStr">
        <is>
          <t>450,0 m³/h</t>
        </is>
      </c>
      <c r="F5" t="inlineStr">
        <is>
          <t>146 m²</t>
        </is>
      </c>
      <c r="G5" t="inlineStr">
        <is>
          <t>GANG</t>
        </is>
      </c>
    </row>
    <row r="6" ht="14.25" customHeight="1" s="175">
      <c r="A6" t="inlineStr">
        <is>
          <t>Fagtorv Samfund</t>
        </is>
      </c>
      <c r="B6" t="inlineStr">
        <is>
          <t>A103</t>
        </is>
      </c>
      <c r="C6" t="inlineStr">
        <is>
          <t>665,0 m³/h</t>
        </is>
      </c>
      <c r="E6" t="inlineStr">
        <is>
          <t>665,0 m³/h</t>
        </is>
      </c>
      <c r="F6" t="inlineStr">
        <is>
          <t>208 m²</t>
        </is>
      </c>
      <c r="G6" t="inlineStr">
        <is>
          <t>samf</t>
        </is>
      </c>
    </row>
    <row r="7" ht="14.25" customHeight="1" s="175">
      <c r="A7" t="inlineStr">
        <is>
          <t>Vindfang</t>
        </is>
      </c>
      <c r="B7" t="inlineStr">
        <is>
          <t>A104</t>
        </is>
      </c>
      <c r="C7" t="inlineStr">
        <is>
          <t>0,0 m³/h</t>
        </is>
      </c>
      <c r="E7" t="inlineStr">
        <is>
          <t>0,0 m³/h</t>
        </is>
      </c>
      <c r="F7" t="inlineStr">
        <is>
          <t>7 m²</t>
        </is>
      </c>
      <c r="G7" t="inlineStr">
        <is>
          <t>GANG</t>
        </is>
      </c>
    </row>
    <row r="8" ht="14.25" customHeight="1" s="175">
      <c r="A8" t="inlineStr">
        <is>
          <t>Vindfang</t>
        </is>
      </c>
      <c r="B8" t="inlineStr">
        <is>
          <t>A105</t>
        </is>
      </c>
      <c r="C8" t="inlineStr">
        <is>
          <t>0,0 m³/h</t>
        </is>
      </c>
      <c r="E8" t="inlineStr">
        <is>
          <t>0,0 m³/h</t>
        </is>
      </c>
      <c r="F8" t="inlineStr">
        <is>
          <t>5 m²</t>
        </is>
      </c>
      <c r="G8" t="inlineStr">
        <is>
          <t>GANG</t>
        </is>
      </c>
    </row>
    <row r="9" ht="14.25" customHeight="1" s="175">
      <c r="A9" t="inlineStr">
        <is>
          <t>Vindfang</t>
        </is>
      </c>
      <c r="B9" t="inlineStr">
        <is>
          <t>A106</t>
        </is>
      </c>
      <c r="C9" t="inlineStr">
        <is>
          <t>0,0 m³/h</t>
        </is>
      </c>
      <c r="E9" t="inlineStr">
        <is>
          <t>0,0 m³/h</t>
        </is>
      </c>
      <c r="F9" t="inlineStr">
        <is>
          <t>7 m²</t>
        </is>
      </c>
      <c r="G9" t="inlineStr">
        <is>
          <t>GANG</t>
        </is>
      </c>
    </row>
    <row r="10" ht="14.25" customHeight="1" s="175">
      <c r="A10" t="inlineStr">
        <is>
          <t>Musikundervisning</t>
        </is>
      </c>
      <c r="B10" t="inlineStr">
        <is>
          <t>A111</t>
        </is>
      </c>
      <c r="C10" t="inlineStr">
        <is>
          <t>1000,0 m³/h</t>
        </is>
      </c>
      <c r="E10" t="inlineStr">
        <is>
          <t>1000,0 m³/h</t>
        </is>
      </c>
      <c r="F10" t="inlineStr">
        <is>
          <t>86 m²</t>
        </is>
      </c>
      <c r="G10" t="inlineStr">
        <is>
          <t>Kunst</t>
        </is>
      </c>
    </row>
    <row r="11" ht="14.25" customHeight="1" s="175">
      <c r="A11" t="inlineStr">
        <is>
          <t>Drama Lokale</t>
        </is>
      </c>
      <c r="B11" t="inlineStr">
        <is>
          <t>A112</t>
        </is>
      </c>
      <c r="C11" t="inlineStr">
        <is>
          <t>1000,0 m³/h</t>
        </is>
      </c>
      <c r="E11" t="inlineStr">
        <is>
          <t>1000,0 m³/h</t>
        </is>
      </c>
      <c r="F11" t="inlineStr">
        <is>
          <t>67 m²</t>
        </is>
      </c>
      <c r="G11" t="inlineStr">
        <is>
          <t>Kunst</t>
        </is>
      </c>
    </row>
    <row r="12" ht="14.25" customHeight="1" s="175">
      <c r="A12" t="inlineStr">
        <is>
          <t>Drama Lokale</t>
        </is>
      </c>
      <c r="B12" t="inlineStr">
        <is>
          <t>A113</t>
        </is>
      </c>
      <c r="C12" t="inlineStr">
        <is>
          <t>1000,0 m³/h</t>
        </is>
      </c>
      <c r="E12" t="inlineStr">
        <is>
          <t>1000,0 m³/h</t>
        </is>
      </c>
      <c r="F12" t="inlineStr">
        <is>
          <t>91 m²</t>
        </is>
      </c>
      <c r="G12" t="inlineStr">
        <is>
          <t>Kunst</t>
        </is>
      </c>
    </row>
    <row r="13">
      <c r="A13" t="inlineStr">
        <is>
          <t>Mørkekammer</t>
        </is>
      </c>
      <c r="B13" t="inlineStr">
        <is>
          <t>A113M1</t>
        </is>
      </c>
      <c r="C13" t="inlineStr">
        <is>
          <t>0,0 m³/h</t>
        </is>
      </c>
      <c r="E13" t="inlineStr">
        <is>
          <t>0,0 m³/h</t>
        </is>
      </c>
      <c r="F13" t="inlineStr">
        <is>
          <t>6 m²</t>
        </is>
      </c>
      <c r="G13" t="inlineStr">
        <is>
          <t>ombyg</t>
        </is>
      </c>
    </row>
    <row r="14">
      <c r="A14" t="inlineStr">
        <is>
          <t>Musikundervisning</t>
        </is>
      </c>
      <c r="B14" t="inlineStr">
        <is>
          <t>A114</t>
        </is>
      </c>
      <c r="C14" t="inlineStr">
        <is>
          <t>1000,0 m³/h</t>
        </is>
      </c>
      <c r="E14" t="inlineStr">
        <is>
          <t>1000,0 m³/h</t>
        </is>
      </c>
      <c r="F14" t="inlineStr">
        <is>
          <t>84 m²</t>
        </is>
      </c>
      <c r="G14" t="inlineStr">
        <is>
          <t>Kunst</t>
        </is>
      </c>
    </row>
    <row r="15">
      <c r="A15" t="inlineStr">
        <is>
          <t>Matematik</t>
        </is>
      </c>
      <c r="B15" t="inlineStr">
        <is>
          <t>A115</t>
        </is>
      </c>
      <c r="C15" t="inlineStr">
        <is>
          <t>1000,0 m³/h</t>
        </is>
      </c>
      <c r="E15" t="inlineStr">
        <is>
          <t>1000,0 m³/h</t>
        </is>
      </c>
      <c r="F15" t="inlineStr">
        <is>
          <t>64 m²</t>
        </is>
      </c>
      <c r="G15" t="inlineStr">
        <is>
          <t>samf</t>
        </is>
      </c>
    </row>
    <row r="16">
      <c r="A16" t="inlineStr">
        <is>
          <t>Matematik</t>
        </is>
      </c>
      <c r="B16" t="inlineStr">
        <is>
          <t>A116</t>
        </is>
      </c>
      <c r="C16" t="inlineStr">
        <is>
          <t>1000,0 m³/h</t>
        </is>
      </c>
      <c r="E16" t="inlineStr">
        <is>
          <t>1000,0 m³/h</t>
        </is>
      </c>
      <c r="F16" t="inlineStr">
        <is>
          <t>63 m²</t>
        </is>
      </c>
      <c r="G16" t="inlineStr">
        <is>
          <t>samf</t>
        </is>
      </c>
    </row>
    <row r="17">
      <c r="A17" t="inlineStr">
        <is>
          <t>Samfundsfag</t>
        </is>
      </c>
      <c r="B17" t="inlineStr">
        <is>
          <t>A117</t>
        </is>
      </c>
      <c r="C17" t="inlineStr">
        <is>
          <t>1000,0 m³/h</t>
        </is>
      </c>
      <c r="E17" t="inlineStr">
        <is>
          <t>1000,0 m³/h</t>
        </is>
      </c>
      <c r="F17" t="inlineStr">
        <is>
          <t>63 m²</t>
        </is>
      </c>
      <c r="G17" t="inlineStr">
        <is>
          <t>samf</t>
        </is>
      </c>
    </row>
    <row r="18">
      <c r="A18" t="inlineStr">
        <is>
          <t>Samfundsfag</t>
        </is>
      </c>
      <c r="B18" t="inlineStr">
        <is>
          <t>A118</t>
        </is>
      </c>
      <c r="C18" t="inlineStr">
        <is>
          <t>1100,0 m³/h</t>
        </is>
      </c>
      <c r="E18" t="inlineStr">
        <is>
          <t>1100,0 m³/h</t>
        </is>
      </c>
      <c r="F18" t="inlineStr">
        <is>
          <t>62 m²</t>
        </is>
      </c>
      <c r="G18" t="inlineStr">
        <is>
          <t>samf</t>
        </is>
      </c>
    </row>
    <row r="19">
      <c r="A19" t="inlineStr">
        <is>
          <t>Samfundsfag</t>
        </is>
      </c>
      <c r="B19" t="inlineStr">
        <is>
          <t>A119</t>
        </is>
      </c>
      <c r="C19" t="inlineStr">
        <is>
          <t>1000,0 m³/h</t>
        </is>
      </c>
      <c r="E19" t="inlineStr">
        <is>
          <t>1000,0 m³/h</t>
        </is>
      </c>
      <c r="F19" t="inlineStr">
        <is>
          <t>63 m²</t>
        </is>
      </c>
      <c r="G19" t="inlineStr">
        <is>
          <t>samf</t>
        </is>
      </c>
    </row>
    <row r="20">
      <c r="A20" t="inlineStr">
        <is>
          <t>Samfundsfag</t>
        </is>
      </c>
      <c r="B20" t="inlineStr">
        <is>
          <t>A120</t>
        </is>
      </c>
      <c r="C20" t="inlineStr">
        <is>
          <t>1000,0 m³/h</t>
        </is>
      </c>
      <c r="E20" t="inlineStr">
        <is>
          <t>1000,0 m³/h</t>
        </is>
      </c>
      <c r="F20" t="inlineStr">
        <is>
          <t>64 m²</t>
        </is>
      </c>
      <c r="G20" t="inlineStr">
        <is>
          <t>samf</t>
        </is>
      </c>
    </row>
    <row r="21">
      <c r="A21" t="inlineStr">
        <is>
          <t>Dame toiletter</t>
        </is>
      </c>
      <c r="B21" t="inlineStr">
        <is>
          <t>A121</t>
        </is>
      </c>
      <c r="C21" t="inlineStr">
        <is>
          <t>360,0 m³/h</t>
        </is>
      </c>
      <c r="E21" t="inlineStr">
        <is>
          <t>360,0 m³/h</t>
        </is>
      </c>
      <c r="F21" t="inlineStr">
        <is>
          <t>13 m²</t>
        </is>
      </c>
      <c r="G21" t="inlineStr">
        <is>
          <t>toilet</t>
        </is>
      </c>
    </row>
    <row r="22">
      <c r="A22" t="inlineStr">
        <is>
          <t>Toilet</t>
        </is>
      </c>
      <c r="B22" t="inlineStr">
        <is>
          <t>A122</t>
        </is>
      </c>
      <c r="C22" t="inlineStr">
        <is>
          <t>0,0 m³/h</t>
        </is>
      </c>
      <c r="E22" t="inlineStr">
        <is>
          <t>36,0 m³/h</t>
        </is>
      </c>
      <c r="F22" t="inlineStr">
        <is>
          <t>2 m²</t>
        </is>
      </c>
      <c r="G22" t="inlineStr">
        <is>
          <t>toilet</t>
        </is>
      </c>
    </row>
    <row r="23">
      <c r="A23" t="inlineStr">
        <is>
          <t>Toilet</t>
        </is>
      </c>
      <c r="B23" t="inlineStr">
        <is>
          <t>A123</t>
        </is>
      </c>
      <c r="C23" t="inlineStr">
        <is>
          <t>0,0 m³/h</t>
        </is>
      </c>
      <c r="E23" t="inlineStr">
        <is>
          <t>36,0 m³/h</t>
        </is>
      </c>
      <c r="F23" t="inlineStr">
        <is>
          <t>2 m²</t>
        </is>
      </c>
      <c r="G23" t="inlineStr">
        <is>
          <t>toilet</t>
        </is>
      </c>
    </row>
    <row r="24">
      <c r="A24" t="inlineStr">
        <is>
          <t>Toilet</t>
        </is>
      </c>
      <c r="B24" t="inlineStr">
        <is>
          <t>A124</t>
        </is>
      </c>
      <c r="C24" t="inlineStr">
        <is>
          <t>0,0 m³/h</t>
        </is>
      </c>
      <c r="E24" t="inlineStr">
        <is>
          <t>36,0 m³/h</t>
        </is>
      </c>
      <c r="F24" t="inlineStr">
        <is>
          <t>2 m²</t>
        </is>
      </c>
      <c r="G24" t="inlineStr">
        <is>
          <t>toilet</t>
        </is>
      </c>
    </row>
    <row r="25">
      <c r="A25" t="inlineStr">
        <is>
          <t>Toilet</t>
        </is>
      </c>
      <c r="B25" t="inlineStr">
        <is>
          <t>A125</t>
        </is>
      </c>
      <c r="C25" t="inlineStr">
        <is>
          <t>0,0 m³/h</t>
        </is>
      </c>
      <c r="E25" t="inlineStr">
        <is>
          <t>36,0 m³/h</t>
        </is>
      </c>
      <c r="F25" t="inlineStr">
        <is>
          <t>2 m²</t>
        </is>
      </c>
      <c r="G25" t="inlineStr">
        <is>
          <t>toilet</t>
        </is>
      </c>
    </row>
    <row r="26">
      <c r="A26" t="inlineStr">
        <is>
          <t>Toilet</t>
        </is>
      </c>
      <c r="B26" t="inlineStr">
        <is>
          <t>A127</t>
        </is>
      </c>
      <c r="C26" t="inlineStr">
        <is>
          <t>0,0 m³/h</t>
        </is>
      </c>
      <c r="E26" t="inlineStr">
        <is>
          <t>36,0 m³/h</t>
        </is>
      </c>
      <c r="F26" t="inlineStr">
        <is>
          <t>2 m²</t>
        </is>
      </c>
      <c r="G26" t="inlineStr">
        <is>
          <t>toilet</t>
        </is>
      </c>
    </row>
    <row r="27">
      <c r="A27" t="inlineStr">
        <is>
          <t>Toilet</t>
        </is>
      </c>
      <c r="B27" t="inlineStr">
        <is>
          <t>A128</t>
        </is>
      </c>
      <c r="C27" t="inlineStr">
        <is>
          <t>0,0 m³/h</t>
        </is>
      </c>
      <c r="E27" t="inlineStr">
        <is>
          <t>36,0 m³/h</t>
        </is>
      </c>
      <c r="F27" t="inlineStr">
        <is>
          <t>2 m²</t>
        </is>
      </c>
      <c r="G27" t="inlineStr">
        <is>
          <t>toilet</t>
        </is>
      </c>
    </row>
    <row r="28">
      <c r="A28" t="inlineStr">
        <is>
          <t>Toilet</t>
        </is>
      </c>
      <c r="B28" t="inlineStr">
        <is>
          <t>A129</t>
        </is>
      </c>
      <c r="C28" t="inlineStr">
        <is>
          <t>0,0 m³/h</t>
        </is>
      </c>
      <c r="E28" t="inlineStr">
        <is>
          <t>36,0 m³/h</t>
        </is>
      </c>
      <c r="F28" t="inlineStr">
        <is>
          <t>2 m²</t>
        </is>
      </c>
      <c r="G28" t="inlineStr">
        <is>
          <t>toilet</t>
        </is>
      </c>
    </row>
    <row r="29">
      <c r="A29" t="inlineStr">
        <is>
          <t>Toilet</t>
        </is>
      </c>
      <c r="B29" t="inlineStr">
        <is>
          <t>A130</t>
        </is>
      </c>
      <c r="C29" t="inlineStr">
        <is>
          <t>0,0 m³/h</t>
        </is>
      </c>
      <c r="E29" t="inlineStr">
        <is>
          <t>36,0 m³/h</t>
        </is>
      </c>
      <c r="F29" t="inlineStr">
        <is>
          <t>2 m²</t>
        </is>
      </c>
      <c r="G29" t="inlineStr">
        <is>
          <t>toilet</t>
        </is>
      </c>
    </row>
    <row r="30">
      <c r="A30" t="inlineStr">
        <is>
          <t>Toilet</t>
        </is>
      </c>
      <c r="B30" t="inlineStr">
        <is>
          <t>A131</t>
        </is>
      </c>
      <c r="C30" t="inlineStr">
        <is>
          <t>0,0 m³/h</t>
        </is>
      </c>
      <c r="E30" t="inlineStr">
        <is>
          <t>36,0 m³/h</t>
        </is>
      </c>
      <c r="F30" t="inlineStr">
        <is>
          <t>2 m²</t>
        </is>
      </c>
      <c r="G30" t="inlineStr">
        <is>
          <t>toilet</t>
        </is>
      </c>
    </row>
    <row r="31">
      <c r="A31" t="inlineStr">
        <is>
          <t>HC toilet</t>
        </is>
      </c>
      <c r="B31" t="inlineStr">
        <is>
          <t>A132</t>
        </is>
      </c>
      <c r="C31" t="inlineStr">
        <is>
          <t>0,0 m³/h</t>
        </is>
      </c>
      <c r="E31" t="inlineStr">
        <is>
          <t>36,0 m³/h</t>
        </is>
      </c>
      <c r="F31" t="inlineStr">
        <is>
          <t>5 m²</t>
        </is>
      </c>
      <c r="G31" t="inlineStr">
        <is>
          <t>toilet</t>
        </is>
      </c>
    </row>
    <row r="32">
      <c r="A32" t="inlineStr">
        <is>
          <t>Herre toiletter</t>
        </is>
      </c>
      <c r="B32" t="inlineStr">
        <is>
          <t>A133</t>
        </is>
      </c>
      <c r="C32" t="inlineStr">
        <is>
          <t>252,0 m³/h</t>
        </is>
      </c>
      <c r="E32" t="inlineStr">
        <is>
          <t>252,0 m³/h</t>
        </is>
      </c>
      <c r="F32" t="inlineStr">
        <is>
          <t>12 m²</t>
        </is>
      </c>
      <c r="G32" t="inlineStr">
        <is>
          <t>toilet</t>
        </is>
      </c>
    </row>
    <row r="33">
      <c r="A33" t="inlineStr">
        <is>
          <t>Toilet</t>
        </is>
      </c>
      <c r="B33" t="inlineStr">
        <is>
          <t>A134</t>
        </is>
      </c>
      <c r="C33" t="inlineStr">
        <is>
          <t>0,0 m³/h</t>
        </is>
      </c>
      <c r="E33" t="inlineStr">
        <is>
          <t>36,0 m³/h</t>
        </is>
      </c>
      <c r="F33" t="inlineStr">
        <is>
          <t>2 m²</t>
        </is>
      </c>
      <c r="G33" t="inlineStr">
        <is>
          <t>toilet</t>
        </is>
      </c>
    </row>
    <row r="34">
      <c r="A34" t="inlineStr">
        <is>
          <t>Toilet</t>
        </is>
      </c>
      <c r="B34" t="inlineStr">
        <is>
          <t>A135</t>
        </is>
      </c>
      <c r="C34" t="inlineStr">
        <is>
          <t>0,0 m³/h</t>
        </is>
      </c>
      <c r="E34" t="inlineStr">
        <is>
          <t>36,0 m³/h</t>
        </is>
      </c>
      <c r="F34" t="inlineStr">
        <is>
          <t>2 m²</t>
        </is>
      </c>
      <c r="G34" t="inlineStr">
        <is>
          <t>toilet</t>
        </is>
      </c>
    </row>
    <row r="35">
      <c r="A35" t="inlineStr">
        <is>
          <t>Toilet</t>
        </is>
      </c>
      <c r="B35" t="inlineStr">
        <is>
          <t>A136</t>
        </is>
      </c>
      <c r="C35" t="inlineStr">
        <is>
          <t>0,0 m³/h</t>
        </is>
      </c>
      <c r="E35" t="inlineStr">
        <is>
          <t>36,0 m³/h</t>
        </is>
      </c>
      <c r="F35" t="inlineStr">
        <is>
          <t>2 m²</t>
        </is>
      </c>
      <c r="G35" t="inlineStr">
        <is>
          <t>toilet</t>
        </is>
      </c>
    </row>
    <row r="36">
      <c r="A36" t="inlineStr">
        <is>
          <t>Toilet</t>
        </is>
      </c>
      <c r="B36" t="inlineStr">
        <is>
          <t>A137</t>
        </is>
      </c>
      <c r="C36" t="inlineStr">
        <is>
          <t>0,0 m³/h</t>
        </is>
      </c>
      <c r="E36" t="inlineStr">
        <is>
          <t>36,0 m³/h</t>
        </is>
      </c>
      <c r="F36" t="inlineStr">
        <is>
          <t>2 m²</t>
        </is>
      </c>
      <c r="G36" t="inlineStr">
        <is>
          <t>toilet</t>
        </is>
      </c>
    </row>
    <row r="37">
      <c r="A37" t="inlineStr">
        <is>
          <t>Toilet</t>
        </is>
      </c>
      <c r="B37" t="inlineStr">
        <is>
          <t>A138</t>
        </is>
      </c>
      <c r="C37" t="inlineStr">
        <is>
          <t>0,0 m³/h</t>
        </is>
      </c>
      <c r="E37" t="inlineStr">
        <is>
          <t>36,0 m³/h</t>
        </is>
      </c>
      <c r="F37" t="inlineStr">
        <is>
          <t>2 m²</t>
        </is>
      </c>
      <c r="G37" t="inlineStr">
        <is>
          <t>toilet</t>
        </is>
      </c>
    </row>
    <row r="38">
      <c r="A38" t="inlineStr">
        <is>
          <t>Toilet</t>
        </is>
      </c>
      <c r="B38" t="inlineStr">
        <is>
          <t>A139</t>
        </is>
      </c>
      <c r="C38" t="inlineStr">
        <is>
          <t>0,0 m³/h</t>
        </is>
      </c>
      <c r="E38" t="inlineStr">
        <is>
          <t>36,0 m³/h</t>
        </is>
      </c>
      <c r="F38" t="inlineStr">
        <is>
          <t>2 m²</t>
        </is>
      </c>
      <c r="G38" t="inlineStr">
        <is>
          <t>toilet</t>
        </is>
      </c>
    </row>
    <row r="39">
      <c r="A39" t="inlineStr">
        <is>
          <t>HC toilet</t>
        </is>
      </c>
      <c r="B39" t="inlineStr">
        <is>
          <t>A140</t>
        </is>
      </c>
      <c r="C39" t="inlineStr">
        <is>
          <t>0,0 m³/h</t>
        </is>
      </c>
      <c r="E39" t="inlineStr">
        <is>
          <t>36,0 m³/h</t>
        </is>
      </c>
      <c r="F39" t="inlineStr">
        <is>
          <t>5 m²</t>
        </is>
      </c>
      <c r="G39" t="inlineStr">
        <is>
          <t>toilet</t>
        </is>
      </c>
    </row>
    <row r="40">
      <c r="A40" t="inlineStr">
        <is>
          <t>Samlingssted</t>
        </is>
      </c>
      <c r="B40" t="inlineStr">
        <is>
          <t>A202</t>
        </is>
      </c>
      <c r="C40" t="inlineStr">
        <is>
          <t>0,0 m³/h</t>
        </is>
      </c>
      <c r="E40" t="inlineStr">
        <is>
          <t>108,0 m³/h</t>
        </is>
      </c>
      <c r="F40" t="inlineStr">
        <is>
          <t>32 m²</t>
        </is>
      </c>
      <c r="G40" t="inlineStr">
        <is>
          <t>fælles</t>
        </is>
      </c>
    </row>
    <row r="41">
      <c r="A41" t="inlineStr">
        <is>
          <t>Ophold/Gang</t>
        </is>
      </c>
      <c r="B41" t="inlineStr">
        <is>
          <t>A203</t>
        </is>
      </c>
      <c r="C41" t="inlineStr">
        <is>
          <t>400,0 m³/h</t>
        </is>
      </c>
      <c r="E41" t="inlineStr">
        <is>
          <t>400,0 m³/h</t>
        </is>
      </c>
      <c r="F41" t="inlineStr">
        <is>
          <t>84 m²</t>
        </is>
      </c>
      <c r="G41" t="inlineStr">
        <is>
          <t>GANG</t>
        </is>
      </c>
    </row>
    <row r="42">
      <c r="A42" t="inlineStr">
        <is>
          <t>Fagtorv Samfund</t>
        </is>
      </c>
      <c r="B42" t="inlineStr">
        <is>
          <t>A205</t>
        </is>
      </c>
      <c r="C42" t="inlineStr">
        <is>
          <t>665,0 m³/h</t>
        </is>
      </c>
      <c r="E42" t="inlineStr">
        <is>
          <t>665,0 m³/h</t>
        </is>
      </c>
      <c r="F42" t="inlineStr">
        <is>
          <t>156 m²</t>
        </is>
      </c>
      <c r="G42" t="inlineStr">
        <is>
          <t>samf</t>
        </is>
      </c>
    </row>
    <row r="43">
      <c r="A43" t="inlineStr">
        <is>
          <t>Musik Samspil</t>
        </is>
      </c>
      <c r="B43" t="inlineStr">
        <is>
          <t>A211</t>
        </is>
      </c>
      <c r="C43" t="inlineStr">
        <is>
          <t>180,0 m³/h</t>
        </is>
      </c>
      <c r="E43" t="inlineStr">
        <is>
          <t>180,0 m³/h</t>
        </is>
      </c>
      <c r="F43" t="inlineStr">
        <is>
          <t>26 m²</t>
        </is>
      </c>
      <c r="G43" t="inlineStr">
        <is>
          <t>Kunst</t>
        </is>
      </c>
    </row>
    <row r="44">
      <c r="A44" t="inlineStr">
        <is>
          <t>Musik Samspil</t>
        </is>
      </c>
      <c r="B44" t="inlineStr">
        <is>
          <t>A212</t>
        </is>
      </c>
      <c r="C44" t="inlineStr">
        <is>
          <t>180,0 m³/h</t>
        </is>
      </c>
      <c r="E44" t="inlineStr">
        <is>
          <t>180,0 m³/h</t>
        </is>
      </c>
      <c r="F44" t="inlineStr">
        <is>
          <t>26 m²</t>
        </is>
      </c>
      <c r="G44" t="inlineStr">
        <is>
          <t>Kunst</t>
        </is>
      </c>
    </row>
    <row r="45">
      <c r="A45" t="inlineStr">
        <is>
          <t>Mediefagslokale</t>
        </is>
      </c>
      <c r="B45" t="inlineStr">
        <is>
          <t>A213</t>
        </is>
      </c>
      <c r="C45" t="inlineStr">
        <is>
          <t>1200,0 m³/h</t>
        </is>
      </c>
      <c r="E45" t="inlineStr">
        <is>
          <t>1200,0 m³/h</t>
        </is>
      </c>
      <c r="F45" t="inlineStr">
        <is>
          <t>61 m²</t>
        </is>
      </c>
      <c r="G45" t="inlineStr">
        <is>
          <t>Kunst</t>
        </is>
      </c>
    </row>
    <row r="46">
      <c r="A46" t="inlineStr">
        <is>
          <t>Mediefagslokale</t>
        </is>
      </c>
      <c r="B46" t="inlineStr">
        <is>
          <t>A214</t>
        </is>
      </c>
      <c r="C46" t="inlineStr">
        <is>
          <t>1200,0 m³/h</t>
        </is>
      </c>
      <c r="E46" t="inlineStr">
        <is>
          <t>1200,0 m³/h</t>
        </is>
      </c>
      <c r="F46" t="inlineStr">
        <is>
          <t>63 m²</t>
        </is>
      </c>
      <c r="G46" t="inlineStr">
        <is>
          <t>Kunst</t>
        </is>
      </c>
    </row>
    <row r="47">
      <c r="A47" t="inlineStr">
        <is>
          <t>Psykologi</t>
        </is>
      </c>
      <c r="B47" t="inlineStr">
        <is>
          <t>A215</t>
        </is>
      </c>
      <c r="C47" t="inlineStr">
        <is>
          <t>1100,0 m³/h</t>
        </is>
      </c>
      <c r="E47" t="inlineStr">
        <is>
          <t>1100,0 m³/h</t>
        </is>
      </c>
      <c r="F47" t="inlineStr">
        <is>
          <t>64 m²</t>
        </is>
      </c>
      <c r="G47" t="inlineStr">
        <is>
          <t>samf</t>
        </is>
      </c>
    </row>
    <row r="48">
      <c r="A48" t="inlineStr">
        <is>
          <t>Psykologi</t>
        </is>
      </c>
      <c r="B48" t="inlineStr">
        <is>
          <t>A216</t>
        </is>
      </c>
      <c r="C48" t="inlineStr">
        <is>
          <t>1100,0 m³/h</t>
        </is>
      </c>
      <c r="E48" t="inlineStr">
        <is>
          <t>1100,0 m³/h</t>
        </is>
      </c>
      <c r="F48" t="inlineStr">
        <is>
          <t>63 m²</t>
        </is>
      </c>
      <c r="G48" t="inlineStr">
        <is>
          <t>samf</t>
        </is>
      </c>
    </row>
    <row r="49">
      <c r="A49" t="inlineStr">
        <is>
          <t>Matematik</t>
        </is>
      </c>
      <c r="B49" t="inlineStr">
        <is>
          <t>A217</t>
        </is>
      </c>
      <c r="C49" t="inlineStr">
        <is>
          <t>1100,0 m³/h</t>
        </is>
      </c>
      <c r="E49" t="inlineStr">
        <is>
          <t>1100,0 m³/h</t>
        </is>
      </c>
      <c r="F49" t="inlineStr">
        <is>
          <t>63 m²</t>
        </is>
      </c>
      <c r="G49" t="inlineStr">
        <is>
          <t>samf</t>
        </is>
      </c>
    </row>
    <row r="50">
      <c r="A50" t="inlineStr">
        <is>
          <t>Matematik</t>
        </is>
      </c>
      <c r="B50" t="inlineStr">
        <is>
          <t>A218</t>
        </is>
      </c>
      <c r="C50" t="inlineStr">
        <is>
          <t>1300,0 m³/h</t>
        </is>
      </c>
      <c r="E50" t="inlineStr">
        <is>
          <t>1300,0 m³/h</t>
        </is>
      </c>
      <c r="F50" t="inlineStr">
        <is>
          <t>62 m²</t>
        </is>
      </c>
      <c r="G50" t="inlineStr">
        <is>
          <t>samf</t>
        </is>
      </c>
    </row>
    <row r="51">
      <c r="A51" t="inlineStr">
        <is>
          <t>Religion</t>
        </is>
      </c>
      <c r="B51" t="inlineStr">
        <is>
          <t>A219</t>
        </is>
      </c>
      <c r="C51" t="inlineStr">
        <is>
          <t>1100,0 m³/h</t>
        </is>
      </c>
      <c r="E51" t="inlineStr">
        <is>
          <t>1100,0 m³/h</t>
        </is>
      </c>
      <c r="F51" t="inlineStr">
        <is>
          <t>63 m²</t>
        </is>
      </c>
      <c r="G51" t="inlineStr">
        <is>
          <t>samf</t>
        </is>
      </c>
    </row>
    <row r="52">
      <c r="A52" t="inlineStr">
        <is>
          <t>Samfundsfag</t>
        </is>
      </c>
      <c r="B52" t="inlineStr">
        <is>
          <t>A220</t>
        </is>
      </c>
      <c r="C52" t="inlineStr">
        <is>
          <t>1000,0 m³/h</t>
        </is>
      </c>
      <c r="E52" t="inlineStr">
        <is>
          <t>1000,0 m³/h</t>
        </is>
      </c>
      <c r="F52" t="inlineStr">
        <is>
          <t>64 m²</t>
        </is>
      </c>
      <c r="G52" t="inlineStr">
        <is>
          <t>samf</t>
        </is>
      </c>
    </row>
    <row r="53">
      <c r="A53" t="inlineStr">
        <is>
          <t>klasseværelse m. gr. undervisning</t>
        </is>
      </c>
      <c r="B53" t="inlineStr">
        <is>
          <t>A221</t>
        </is>
      </c>
      <c r="C53" t="inlineStr">
        <is>
          <t>900,0 m³/h</t>
        </is>
      </c>
      <c r="E53" t="inlineStr">
        <is>
          <t>900,0 m³/h</t>
        </is>
      </c>
      <c r="F53" t="inlineStr">
        <is>
          <t>64 m²</t>
        </is>
      </c>
      <c r="G53" t="inlineStr">
        <is>
          <t>samf</t>
        </is>
      </c>
    </row>
    <row r="54">
      <c r="A54" t="inlineStr">
        <is>
          <t>Toiletter</t>
        </is>
      </c>
      <c r="B54" t="inlineStr">
        <is>
          <t>A231</t>
        </is>
      </c>
      <c r="C54" t="inlineStr">
        <is>
          <t>290,0 m³/h</t>
        </is>
      </c>
      <c r="E54" t="inlineStr">
        <is>
          <t>0,0 m³/h</t>
        </is>
      </c>
      <c r="F54" t="inlineStr">
        <is>
          <t>9 m²</t>
        </is>
      </c>
      <c r="G54" t="inlineStr">
        <is>
          <t>toilet</t>
        </is>
      </c>
    </row>
    <row r="55">
      <c r="A55" t="inlineStr">
        <is>
          <t>Toilet</t>
        </is>
      </c>
      <c r="B55" t="inlineStr">
        <is>
          <t>A232</t>
        </is>
      </c>
      <c r="C55" t="inlineStr">
        <is>
          <t>0,0 m³/h</t>
        </is>
      </c>
      <c r="E55" t="inlineStr">
        <is>
          <t>36,0 m³/h</t>
        </is>
      </c>
      <c r="F55" t="inlineStr">
        <is>
          <t>3 m²</t>
        </is>
      </c>
      <c r="G55" t="inlineStr">
        <is>
          <t>toilet</t>
        </is>
      </c>
    </row>
    <row r="56">
      <c r="A56" t="inlineStr">
        <is>
          <t>Toilet</t>
        </is>
      </c>
      <c r="B56" t="inlineStr">
        <is>
          <t>A233</t>
        </is>
      </c>
      <c r="C56" t="inlineStr">
        <is>
          <t>0,0 m³/h</t>
        </is>
      </c>
      <c r="E56" t="inlineStr">
        <is>
          <t>36,0 m³/h</t>
        </is>
      </c>
      <c r="F56" t="inlineStr">
        <is>
          <t>1 m²</t>
        </is>
      </c>
      <c r="G56" t="inlineStr">
        <is>
          <t>toilet</t>
        </is>
      </c>
    </row>
    <row r="57">
      <c r="A57" t="inlineStr">
        <is>
          <t>Toilet</t>
        </is>
      </c>
      <c r="B57" t="inlineStr">
        <is>
          <t>A234</t>
        </is>
      </c>
      <c r="C57" t="inlineStr">
        <is>
          <t>0,0 m³/h</t>
        </is>
      </c>
      <c r="E57" t="inlineStr">
        <is>
          <t>36,0 m³/h</t>
        </is>
      </c>
      <c r="F57" t="inlineStr">
        <is>
          <t>1 m²</t>
        </is>
      </c>
      <c r="G57" t="inlineStr">
        <is>
          <t>toilet</t>
        </is>
      </c>
    </row>
    <row r="58">
      <c r="A58" t="inlineStr">
        <is>
          <t>Toilet</t>
        </is>
      </c>
      <c r="B58" t="inlineStr">
        <is>
          <t>A235</t>
        </is>
      </c>
      <c r="C58" t="inlineStr">
        <is>
          <t>0,0 m³/h</t>
        </is>
      </c>
      <c r="E58" t="inlineStr">
        <is>
          <t>36,0 m³/h</t>
        </is>
      </c>
      <c r="F58" t="inlineStr">
        <is>
          <t>2 m²</t>
        </is>
      </c>
      <c r="G58" t="inlineStr">
        <is>
          <t>toilet</t>
        </is>
      </c>
    </row>
    <row r="59">
      <c r="A59" t="inlineStr">
        <is>
          <t>Toilet</t>
        </is>
      </c>
      <c r="B59" t="inlineStr">
        <is>
          <t>A236</t>
        </is>
      </c>
      <c r="C59" t="inlineStr">
        <is>
          <t>0,0 m³/h</t>
        </is>
      </c>
      <c r="E59" t="inlineStr">
        <is>
          <t>36,0 m³/h</t>
        </is>
      </c>
      <c r="F59" t="inlineStr">
        <is>
          <t>2 m²</t>
        </is>
      </c>
      <c r="G59" t="inlineStr">
        <is>
          <t>toilet</t>
        </is>
      </c>
    </row>
    <row r="60">
      <c r="A60" t="inlineStr">
        <is>
          <t>Toilet</t>
        </is>
      </c>
      <c r="B60" t="inlineStr">
        <is>
          <t>A237</t>
        </is>
      </c>
      <c r="C60" t="inlineStr">
        <is>
          <t>0,0 m³/h</t>
        </is>
      </c>
      <c r="E60" t="inlineStr">
        <is>
          <t>36,0 m³/h</t>
        </is>
      </c>
      <c r="F60" t="inlineStr">
        <is>
          <t>2 m²</t>
        </is>
      </c>
      <c r="G60" t="inlineStr">
        <is>
          <t>toilet</t>
        </is>
      </c>
    </row>
    <row r="61">
      <c r="A61" t="inlineStr">
        <is>
          <t>Toilet</t>
        </is>
      </c>
      <c r="B61" t="inlineStr">
        <is>
          <t>A238</t>
        </is>
      </c>
      <c r="C61" t="inlineStr">
        <is>
          <t>0,0 m³/h</t>
        </is>
      </c>
      <c r="E61" t="inlineStr">
        <is>
          <t>36,0 m³/h</t>
        </is>
      </c>
      <c r="F61" t="inlineStr">
        <is>
          <t>2 m²</t>
        </is>
      </c>
      <c r="G61" t="inlineStr">
        <is>
          <t>toilet</t>
        </is>
      </c>
    </row>
    <row r="62">
      <c r="A62" t="inlineStr">
        <is>
          <t>HC toilet</t>
        </is>
      </c>
      <c r="B62" t="inlineStr">
        <is>
          <t>A239</t>
        </is>
      </c>
      <c r="C62" t="inlineStr">
        <is>
          <t>0,0 m³/h</t>
        </is>
      </c>
      <c r="E62" t="inlineStr">
        <is>
          <t>36,0 m³/h</t>
        </is>
      </c>
      <c r="F62" t="inlineStr">
        <is>
          <t>5 m²</t>
        </is>
      </c>
      <c r="G62" t="inlineStr">
        <is>
          <t>toilet</t>
        </is>
      </c>
    </row>
    <row r="63">
      <c r="A63" t="inlineStr">
        <is>
          <t>Depot til stoleopbevaring</t>
        </is>
      </c>
      <c r="B63" t="inlineStr">
        <is>
          <t>AG111</t>
        </is>
      </c>
      <c r="C63" t="inlineStr">
        <is>
          <t>36,0 m³/h</t>
        </is>
      </c>
      <c r="E63" t="inlineStr">
        <is>
          <t>36,0 m³/h</t>
        </is>
      </c>
      <c r="F63" t="inlineStr">
        <is>
          <t>27 m²</t>
        </is>
      </c>
      <c r="G63" t="inlineStr">
        <is>
          <t>fælles</t>
        </is>
      </c>
    </row>
    <row r="64">
      <c r="A64" t="inlineStr">
        <is>
          <t>Rengøring</t>
        </is>
      </c>
      <c r="B64" t="inlineStr">
        <is>
          <t>AG112</t>
        </is>
      </c>
      <c r="C64" t="inlineStr">
        <is>
          <t>36,0 m³/h</t>
        </is>
      </c>
      <c r="E64" t="inlineStr">
        <is>
          <t>36,0 m³/h</t>
        </is>
      </c>
      <c r="F64" t="inlineStr">
        <is>
          <t>12 m²</t>
        </is>
      </c>
      <c r="G64" t="inlineStr">
        <is>
          <t>fælles</t>
        </is>
      </c>
    </row>
    <row r="65">
      <c r="A65" t="inlineStr">
        <is>
          <t>Grupperum</t>
        </is>
      </c>
      <c r="B65" t="inlineStr">
        <is>
          <t>AG113</t>
        </is>
      </c>
      <c r="C65" t="inlineStr">
        <is>
          <t>180,0 m³/h</t>
        </is>
      </c>
      <c r="E65" t="inlineStr">
        <is>
          <t>180,0 m³/h</t>
        </is>
      </c>
      <c r="F65" t="inlineStr">
        <is>
          <t>10 m²</t>
        </is>
      </c>
      <c r="G65" t="inlineStr">
        <is>
          <t>samf</t>
        </is>
      </c>
    </row>
    <row r="66">
      <c r="A66" t="inlineStr">
        <is>
          <t>Grupperum</t>
        </is>
      </c>
      <c r="B66" t="inlineStr">
        <is>
          <t>AG211</t>
        </is>
      </c>
      <c r="C66" t="inlineStr">
        <is>
          <t>108,0 m³/h</t>
        </is>
      </c>
      <c r="E66" t="inlineStr">
        <is>
          <t>108,0 m³/h</t>
        </is>
      </c>
      <c r="F66" t="inlineStr">
        <is>
          <t>6 m²</t>
        </is>
      </c>
      <c r="G66" t="inlineStr">
        <is>
          <t>Kunst</t>
        </is>
      </c>
    </row>
    <row r="67">
      <c r="A67" t="inlineStr">
        <is>
          <t>Grupperum</t>
        </is>
      </c>
      <c r="B67" t="inlineStr">
        <is>
          <t>AG212</t>
        </is>
      </c>
      <c r="C67" t="inlineStr">
        <is>
          <t>108,0 m³/h</t>
        </is>
      </c>
      <c r="E67" t="inlineStr">
        <is>
          <t>108,0 m³/h</t>
        </is>
      </c>
      <c r="F67" t="inlineStr">
        <is>
          <t>6 m²</t>
        </is>
      </c>
      <c r="G67" t="inlineStr">
        <is>
          <t>Kunst</t>
        </is>
      </c>
    </row>
    <row r="68">
      <c r="A68" t="inlineStr">
        <is>
          <t>Grupperum</t>
        </is>
      </c>
      <c r="B68" t="inlineStr">
        <is>
          <t>AG213</t>
        </is>
      </c>
      <c r="C68" t="inlineStr">
        <is>
          <t>108,0 m³/h</t>
        </is>
      </c>
      <c r="E68" t="inlineStr">
        <is>
          <t>108,0 m³/h</t>
        </is>
      </c>
      <c r="F68" t="inlineStr">
        <is>
          <t>6 m²</t>
        </is>
      </c>
      <c r="G68" t="inlineStr">
        <is>
          <t>Kunst</t>
        </is>
      </c>
    </row>
    <row r="69">
      <c r="A69" t="inlineStr">
        <is>
          <t>Grupperum</t>
        </is>
      </c>
      <c r="B69" t="inlineStr">
        <is>
          <t>AG214</t>
        </is>
      </c>
      <c r="C69" t="inlineStr">
        <is>
          <t>108,0 m³/h</t>
        </is>
      </c>
      <c r="E69" t="inlineStr">
        <is>
          <t>108,0 m³/h</t>
        </is>
      </c>
      <c r="F69" t="inlineStr">
        <is>
          <t>6 m²</t>
        </is>
      </c>
      <c r="G69" t="inlineStr">
        <is>
          <t>Kunst</t>
        </is>
      </c>
    </row>
    <row r="70">
      <c r="A70" t="inlineStr">
        <is>
          <t>Grupperum</t>
        </is>
      </c>
      <c r="B70" t="inlineStr">
        <is>
          <t>AG216</t>
        </is>
      </c>
      <c r="C70" t="inlineStr">
        <is>
          <t>108,0 m³/h</t>
        </is>
      </c>
      <c r="E70" t="inlineStr">
        <is>
          <t>108,0 m³/h</t>
        </is>
      </c>
      <c r="F70" t="inlineStr">
        <is>
          <t>6 m²</t>
        </is>
      </c>
      <c r="G70" t="inlineStr">
        <is>
          <t>Kunst</t>
        </is>
      </c>
    </row>
    <row r="71">
      <c r="A71" t="inlineStr">
        <is>
          <t>Grupperum</t>
        </is>
      </c>
      <c r="B71" t="inlineStr">
        <is>
          <t>AG217</t>
        </is>
      </c>
      <c r="C71" t="inlineStr">
        <is>
          <t>108,0 m³/h</t>
        </is>
      </c>
      <c r="E71" t="inlineStr">
        <is>
          <t>108,0 m³/h</t>
        </is>
      </c>
      <c r="F71" t="inlineStr">
        <is>
          <t>6 m²</t>
        </is>
      </c>
      <c r="G71" t="inlineStr">
        <is>
          <t>Kunst</t>
        </is>
      </c>
    </row>
    <row r="72">
      <c r="A72" t="inlineStr">
        <is>
          <t>Grupperum</t>
        </is>
      </c>
      <c r="B72" t="inlineStr">
        <is>
          <t>AG218</t>
        </is>
      </c>
      <c r="C72" t="inlineStr">
        <is>
          <t>108,0 m³/h</t>
        </is>
      </c>
      <c r="E72" t="inlineStr">
        <is>
          <t>108,0 m³/h</t>
        </is>
      </c>
      <c r="F72" t="inlineStr">
        <is>
          <t>6 m²</t>
        </is>
      </c>
      <c r="G72" t="inlineStr">
        <is>
          <t>Kunst</t>
        </is>
      </c>
    </row>
    <row r="73">
      <c r="A73" t="inlineStr">
        <is>
          <t>Grupperum</t>
        </is>
      </c>
      <c r="B73" t="inlineStr">
        <is>
          <t>AG218</t>
        </is>
      </c>
      <c r="C73" t="inlineStr">
        <is>
          <t>108,0 m³/h</t>
        </is>
      </c>
      <c r="E73" t="inlineStr">
        <is>
          <t>108,0 m³/h</t>
        </is>
      </c>
      <c r="F73" t="inlineStr">
        <is>
          <t>6 m²</t>
        </is>
      </c>
      <c r="G73" t="inlineStr">
        <is>
          <t>Kunst</t>
        </is>
      </c>
    </row>
    <row r="74">
      <c r="A74" t="inlineStr">
        <is>
          <t>Grupperum</t>
        </is>
      </c>
      <c r="B74" t="inlineStr">
        <is>
          <t>AG219</t>
        </is>
      </c>
      <c r="C74" t="inlineStr">
        <is>
          <t>108,0 m³/h</t>
        </is>
      </c>
      <c r="E74" t="inlineStr">
        <is>
          <t>108,0 m³/h</t>
        </is>
      </c>
      <c r="F74" t="inlineStr">
        <is>
          <t>6 m²</t>
        </is>
      </c>
      <c r="G74" t="inlineStr">
        <is>
          <t>Kunst</t>
        </is>
      </c>
    </row>
    <row r="75">
      <c r="A75" t="inlineStr">
        <is>
          <t>Grupperum</t>
        </is>
      </c>
      <c r="B75" t="inlineStr">
        <is>
          <t>AG220</t>
        </is>
      </c>
      <c r="C75" t="inlineStr">
        <is>
          <t>180,0 m³/h</t>
        </is>
      </c>
      <c r="E75" t="inlineStr">
        <is>
          <t>180,0 m³/h</t>
        </is>
      </c>
      <c r="F75" t="inlineStr">
        <is>
          <t>8 m²</t>
        </is>
      </c>
      <c r="G75" t="inlineStr">
        <is>
          <t>Kunst</t>
        </is>
      </c>
    </row>
    <row r="76">
      <c r="A76" t="inlineStr">
        <is>
          <t>Grupperum</t>
        </is>
      </c>
      <c r="B76" t="inlineStr">
        <is>
          <t>AG221</t>
        </is>
      </c>
      <c r="C76" t="inlineStr">
        <is>
          <t>180,0 m³/h</t>
        </is>
      </c>
      <c r="E76" t="inlineStr">
        <is>
          <t>180,0 m³/h</t>
        </is>
      </c>
      <c r="F76" t="inlineStr">
        <is>
          <t>8 m²</t>
        </is>
      </c>
      <c r="G76" t="inlineStr">
        <is>
          <t>Kunst</t>
        </is>
      </c>
    </row>
    <row r="77">
      <c r="A77" t="inlineStr">
        <is>
          <t>Grupperum</t>
        </is>
      </c>
      <c r="B77" t="inlineStr">
        <is>
          <t>AG222</t>
        </is>
      </c>
      <c r="C77" t="inlineStr">
        <is>
          <t>180,0 m³/h</t>
        </is>
      </c>
      <c r="E77" t="inlineStr">
        <is>
          <t>180,0 m³/h</t>
        </is>
      </c>
      <c r="F77" t="inlineStr">
        <is>
          <t>8 m²</t>
        </is>
      </c>
      <c r="G77" t="inlineStr">
        <is>
          <t>Kunst</t>
        </is>
      </c>
    </row>
    <row r="78">
      <c r="A78" t="inlineStr">
        <is>
          <t>Depot mediefag</t>
        </is>
      </c>
      <c r="B78" t="inlineStr">
        <is>
          <t>AG223</t>
        </is>
      </c>
      <c r="C78" t="inlineStr">
        <is>
          <t>36,0 m³/h</t>
        </is>
      </c>
      <c r="E78" t="inlineStr">
        <is>
          <t>36,0 m³/h</t>
        </is>
      </c>
      <c r="F78" t="inlineStr">
        <is>
          <t>11 m²</t>
        </is>
      </c>
      <c r="G78" t="inlineStr">
        <is>
          <t>Kunst</t>
        </is>
      </c>
    </row>
    <row r="79">
      <c r="A79" t="inlineStr">
        <is>
          <t>Depot Musik</t>
        </is>
      </c>
      <c r="B79" t="inlineStr">
        <is>
          <t>AG224</t>
        </is>
      </c>
      <c r="C79" t="inlineStr">
        <is>
          <t>36,0 m³/h</t>
        </is>
      </c>
      <c r="E79" t="inlineStr">
        <is>
          <t>36,0 m³/h</t>
        </is>
      </c>
      <c r="F79" t="inlineStr">
        <is>
          <t>14 m²</t>
        </is>
      </c>
      <c r="G79" t="inlineStr">
        <is>
          <t>Kunst</t>
        </is>
      </c>
    </row>
    <row r="80">
      <c r="A80" t="inlineStr">
        <is>
          <t>Rengøring</t>
        </is>
      </c>
      <c r="B80" t="inlineStr">
        <is>
          <t>AG225</t>
        </is>
      </c>
      <c r="C80" t="inlineStr">
        <is>
          <t>36,0 m³/h</t>
        </is>
      </c>
      <c r="E80" t="inlineStr">
        <is>
          <t>36,0 m³/h</t>
        </is>
      </c>
      <c r="F80" t="inlineStr">
        <is>
          <t>13 m²</t>
        </is>
      </c>
      <c r="G80" t="inlineStr">
        <is>
          <t>fælles</t>
        </is>
      </c>
    </row>
    <row r="81">
      <c r="A81" t="inlineStr">
        <is>
          <t>Lærerforberedelse</t>
        </is>
      </c>
      <c r="B81" t="inlineStr">
        <is>
          <t>AG226</t>
        </is>
      </c>
      <c r="C81" t="inlineStr">
        <is>
          <t>200,0 m³/h</t>
        </is>
      </c>
      <c r="E81" t="inlineStr">
        <is>
          <t>200,0 m³/h</t>
        </is>
      </c>
      <c r="F81" t="inlineStr">
        <is>
          <t>13 m²</t>
        </is>
      </c>
      <c r="G81" t="inlineStr">
        <is>
          <t>samf</t>
        </is>
      </c>
    </row>
    <row r="82">
      <c r="A82" t="inlineStr">
        <is>
          <t>Lærerforberedelse</t>
        </is>
      </c>
      <c r="B82" t="inlineStr">
        <is>
          <t>AG227</t>
        </is>
      </c>
      <c r="C82" t="inlineStr">
        <is>
          <t>200,0 m³/h</t>
        </is>
      </c>
      <c r="E82" t="inlineStr">
        <is>
          <t>200,0 m³/h</t>
        </is>
      </c>
      <c r="F82" t="inlineStr">
        <is>
          <t>14 m²</t>
        </is>
      </c>
      <c r="G82" t="inlineStr">
        <is>
          <t>samf</t>
        </is>
      </c>
    </row>
    <row r="83">
      <c r="A83" t="inlineStr">
        <is>
          <t>Lærerforberedelse</t>
        </is>
      </c>
      <c r="B83" t="inlineStr">
        <is>
          <t>AG228</t>
        </is>
      </c>
      <c r="C83" t="inlineStr">
        <is>
          <t>200,0 m³/h</t>
        </is>
      </c>
      <c r="E83" t="inlineStr">
        <is>
          <t>200,0 m³/h</t>
        </is>
      </c>
      <c r="F83" t="inlineStr">
        <is>
          <t>13 m²</t>
        </is>
      </c>
      <c r="G83" t="inlineStr">
        <is>
          <t>samf</t>
        </is>
      </c>
    </row>
    <row r="84">
      <c r="A84" t="inlineStr">
        <is>
          <t>Grupperum</t>
        </is>
      </c>
      <c r="B84" t="inlineStr">
        <is>
          <t>AG229</t>
        </is>
      </c>
      <c r="C84" t="inlineStr">
        <is>
          <t>180,0 m³/h</t>
        </is>
      </c>
      <c r="E84" t="inlineStr">
        <is>
          <t>180,0 m³/h</t>
        </is>
      </c>
      <c r="F84" t="inlineStr">
        <is>
          <t>10 m²</t>
        </is>
      </c>
      <c r="G84" t="inlineStr">
        <is>
          <t>samf</t>
        </is>
      </c>
    </row>
    <row r="85">
      <c r="A85" t="inlineStr">
        <is>
          <t>Grupperum</t>
        </is>
      </c>
      <c r="B85" t="inlineStr">
        <is>
          <t>AG230</t>
        </is>
      </c>
      <c r="C85" t="inlineStr">
        <is>
          <t>180,0 m³/h</t>
        </is>
      </c>
      <c r="E85" t="inlineStr">
        <is>
          <t>180,0 m³/h</t>
        </is>
      </c>
      <c r="F85" t="inlineStr">
        <is>
          <t>9 m²</t>
        </is>
      </c>
      <c r="G85" t="inlineStr">
        <is>
          <t>samf</t>
        </is>
      </c>
    </row>
    <row r="86">
      <c r="A86" t="inlineStr">
        <is>
          <t>Auditorium - eks. rum</t>
        </is>
      </c>
      <c r="B86" t="inlineStr">
        <is>
          <t>Audit,</t>
        </is>
      </c>
      <c r="C86" t="inlineStr">
        <is>
          <t>0,0 m³/h</t>
        </is>
      </c>
      <c r="E86" t="inlineStr">
        <is>
          <t>0,0 m³/h</t>
        </is>
      </c>
      <c r="F86" t="inlineStr">
        <is>
          <t>155 m²</t>
        </is>
      </c>
      <c r="G86" t="inlineStr">
        <is>
          <t>eksisterende</t>
        </is>
      </c>
    </row>
    <row r="87">
      <c r="A87" t="inlineStr">
        <is>
          <t>Ankomstgang</t>
        </is>
      </c>
      <c r="B87" t="inlineStr">
        <is>
          <t>H101</t>
        </is>
      </c>
      <c r="C87" t="inlineStr">
        <is>
          <t>0,0 m³/h</t>
        </is>
      </c>
      <c r="E87" t="inlineStr">
        <is>
          <t>0,0 m³/h</t>
        </is>
      </c>
      <c r="F87" t="inlineStr">
        <is>
          <t>41 m²</t>
        </is>
      </c>
      <c r="G87" t="inlineStr">
        <is>
          <t>hal gang</t>
        </is>
      </c>
    </row>
    <row r="88">
      <c r="A88" t="inlineStr">
        <is>
          <t>Fordelingsgang</t>
        </is>
      </c>
      <c r="B88" t="inlineStr">
        <is>
          <t>H102</t>
        </is>
      </c>
      <c r="C88" t="inlineStr">
        <is>
          <t>0,0 m³/h</t>
        </is>
      </c>
      <c r="E88" t="inlineStr">
        <is>
          <t>0,0 m³/h</t>
        </is>
      </c>
      <c r="F88" t="inlineStr">
        <is>
          <t>31 m²</t>
        </is>
      </c>
      <c r="G88" t="inlineStr">
        <is>
          <t>hal gang</t>
        </is>
      </c>
    </row>
    <row r="89">
      <c r="A89" t="inlineStr">
        <is>
          <t>Fordelingsgang</t>
        </is>
      </c>
      <c r="B89" t="inlineStr">
        <is>
          <t>H103</t>
        </is>
      </c>
      <c r="C89" t="inlineStr">
        <is>
          <t>0,0 m³/h</t>
        </is>
      </c>
      <c r="E89" t="inlineStr">
        <is>
          <t>0,0 m³/h</t>
        </is>
      </c>
      <c r="F89" t="inlineStr">
        <is>
          <t>25 m²</t>
        </is>
      </c>
      <c r="G89" t="inlineStr">
        <is>
          <t>hal gang</t>
        </is>
      </c>
    </row>
    <row r="90">
      <c r="A90" t="inlineStr">
        <is>
          <t>Vindfang</t>
        </is>
      </c>
      <c r="B90" t="inlineStr">
        <is>
          <t>H104</t>
        </is>
      </c>
      <c r="C90" t="inlineStr">
        <is>
          <t>0,0 m³/h</t>
        </is>
      </c>
      <c r="E90" t="inlineStr">
        <is>
          <t>0,0 m³/h</t>
        </is>
      </c>
      <c r="F90" t="inlineStr">
        <is>
          <t>7 m²</t>
        </is>
      </c>
      <c r="G90" t="inlineStr">
        <is>
          <t>hal gang</t>
        </is>
      </c>
    </row>
    <row r="91">
      <c r="A91" t="inlineStr">
        <is>
          <t>Indgang omklædning</t>
        </is>
      </c>
      <c r="B91" t="inlineStr">
        <is>
          <t>H105</t>
        </is>
      </c>
      <c r="C91" t="inlineStr">
        <is>
          <t>0,0 m³/h</t>
        </is>
      </c>
      <c r="E91" t="inlineStr">
        <is>
          <t>0,0 m³/h</t>
        </is>
      </c>
      <c r="F91" t="inlineStr">
        <is>
          <t>9 m²</t>
        </is>
      </c>
      <c r="G91" t="inlineStr">
        <is>
          <t>GANG</t>
        </is>
      </c>
    </row>
    <row r="92">
      <c r="A92" t="inlineStr">
        <is>
          <t>Idrætshal</t>
        </is>
      </c>
      <c r="B92" t="inlineStr">
        <is>
          <t>H110</t>
        </is>
      </c>
      <c r="C92" t="inlineStr">
        <is>
          <t>23100,0 m³/h</t>
        </is>
      </c>
      <c r="E92" t="inlineStr">
        <is>
          <t>23100,0 m³/h</t>
        </is>
      </c>
      <c r="F92" t="inlineStr">
        <is>
          <t>986 m²</t>
        </is>
      </c>
      <c r="G92" t="inlineStr">
        <is>
          <t>hal</t>
        </is>
      </c>
    </row>
    <row r="93">
      <c r="A93" t="inlineStr">
        <is>
          <t>Spejlsal</t>
        </is>
      </c>
      <c r="B93" t="inlineStr">
        <is>
          <t>H111</t>
        </is>
      </c>
      <c r="C93" t="inlineStr">
        <is>
          <t>1500,0 m³/h</t>
        </is>
      </c>
      <c r="E93" t="inlineStr">
        <is>
          <t>1500,0 m³/h</t>
        </is>
      </c>
      <c r="F93" t="inlineStr">
        <is>
          <t>101 m²</t>
        </is>
      </c>
      <c r="G93" t="inlineStr">
        <is>
          <t>hal</t>
        </is>
      </c>
    </row>
    <row r="94">
      <c r="A94" t="inlineStr">
        <is>
          <t>Motionsrum</t>
        </is>
      </c>
      <c r="B94" t="inlineStr">
        <is>
          <t>H112</t>
        </is>
      </c>
      <c r="C94" t="inlineStr">
        <is>
          <t>1500,0 m³/h</t>
        </is>
      </c>
      <c r="E94" t="inlineStr">
        <is>
          <t>1500,0 m³/h</t>
        </is>
      </c>
      <c r="F94" t="inlineStr">
        <is>
          <t>93 m²</t>
        </is>
      </c>
      <c r="G94" t="inlineStr">
        <is>
          <t>hal</t>
        </is>
      </c>
    </row>
    <row r="95">
      <c r="A95" t="inlineStr">
        <is>
          <t>Undervisning</t>
        </is>
      </c>
      <c r="B95" t="inlineStr">
        <is>
          <t>H113</t>
        </is>
      </c>
      <c r="C95" t="inlineStr">
        <is>
          <t>1300,0 m³/h</t>
        </is>
      </c>
      <c r="E95" t="inlineStr">
        <is>
          <t>1300,0 m³/h</t>
        </is>
      </c>
      <c r="F95" t="inlineStr">
        <is>
          <t>55 m²</t>
        </is>
      </c>
      <c r="G95" t="inlineStr">
        <is>
          <t>hal</t>
        </is>
      </c>
    </row>
    <row r="96">
      <c r="A96" t="inlineStr">
        <is>
          <t>Omklædning piger</t>
        </is>
      </c>
      <c r="B96" t="inlineStr">
        <is>
          <t>H120</t>
        </is>
      </c>
      <c r="C96" t="inlineStr">
        <is>
          <t>1532,0 m³/h</t>
        </is>
      </c>
      <c r="E96" t="inlineStr">
        <is>
          <t>1532,0 m³/h</t>
        </is>
      </c>
      <c r="F96" t="inlineStr">
        <is>
          <t>89 m²</t>
        </is>
      </c>
      <c r="G96" t="inlineStr">
        <is>
          <t>hal</t>
        </is>
      </c>
    </row>
    <row r="97">
      <c r="A97" t="inlineStr">
        <is>
          <t>Omklædning lærere</t>
        </is>
      </c>
      <c r="B97" t="inlineStr">
        <is>
          <t>H121</t>
        </is>
      </c>
      <c r="C97" t="inlineStr">
        <is>
          <t>468,0 m³/h</t>
        </is>
      </c>
      <c r="E97" t="inlineStr">
        <is>
          <t>468,0 m³/h</t>
        </is>
      </c>
      <c r="F97" t="inlineStr">
        <is>
          <t>5 m²</t>
        </is>
      </c>
      <c r="G97" t="inlineStr">
        <is>
          <t>hal</t>
        </is>
      </c>
    </row>
    <row r="98">
      <c r="A98" t="inlineStr">
        <is>
          <t>Omklædning Drenge</t>
        </is>
      </c>
      <c r="B98" t="inlineStr">
        <is>
          <t>H122</t>
        </is>
      </c>
      <c r="C98" t="inlineStr">
        <is>
          <t>731,0 m³/h</t>
        </is>
      </c>
      <c r="E98" t="inlineStr">
        <is>
          <t>731,0 m³/h</t>
        </is>
      </c>
      <c r="F98" t="inlineStr">
        <is>
          <t>57 m²</t>
        </is>
      </c>
      <c r="G98" t="inlineStr">
        <is>
          <t>hal</t>
        </is>
      </c>
    </row>
    <row r="99">
      <c r="A99" t="inlineStr">
        <is>
          <t>Forrum</t>
        </is>
      </c>
      <c r="B99" t="inlineStr">
        <is>
          <t>H130</t>
        </is>
      </c>
      <c r="C99" t="inlineStr">
        <is>
          <t>0,0 m³/h</t>
        </is>
      </c>
      <c r="E99" t="inlineStr">
        <is>
          <t>0,0 m³/h</t>
        </is>
      </c>
      <c r="F99" t="inlineStr">
        <is>
          <t>5 m²</t>
        </is>
      </c>
      <c r="G99" t="inlineStr">
        <is>
          <t>hal gang</t>
        </is>
      </c>
    </row>
    <row r="100">
      <c r="A100" t="inlineStr">
        <is>
          <t>Toiletter</t>
        </is>
      </c>
      <c r="B100" t="inlineStr">
        <is>
          <t>H131</t>
        </is>
      </c>
      <c r="C100" t="inlineStr">
        <is>
          <t>36,0 m³/h</t>
        </is>
      </c>
      <c r="E100" t="inlineStr">
        <is>
          <t>36,0 m³/h</t>
        </is>
      </c>
      <c r="F100" t="inlineStr">
        <is>
          <t>10 m²</t>
        </is>
      </c>
      <c r="G100" t="inlineStr">
        <is>
          <t>hal toilet</t>
        </is>
      </c>
    </row>
    <row r="101">
      <c r="A101" t="inlineStr">
        <is>
          <t>HC toilet</t>
        </is>
      </c>
      <c r="B101" t="inlineStr">
        <is>
          <t>H132</t>
        </is>
      </c>
      <c r="C101" t="inlineStr">
        <is>
          <t>36,0 m³/h</t>
        </is>
      </c>
      <c r="E101" t="inlineStr">
        <is>
          <t>36,0 m³/h</t>
        </is>
      </c>
      <c r="F101" t="inlineStr">
        <is>
          <t>8 m²</t>
        </is>
      </c>
      <c r="G101" t="inlineStr">
        <is>
          <t>hal toilet</t>
        </is>
      </c>
    </row>
    <row r="102">
      <c r="A102" t="inlineStr">
        <is>
          <t>HC toilet</t>
        </is>
      </c>
      <c r="B102" t="inlineStr">
        <is>
          <t>H133</t>
        </is>
      </c>
      <c r="C102" t="inlineStr">
        <is>
          <t>0,0 m³/h</t>
        </is>
      </c>
      <c r="E102" t="inlineStr">
        <is>
          <t>0,0 m³/h</t>
        </is>
      </c>
      <c r="F102" t="inlineStr">
        <is>
          <t>5 m²</t>
        </is>
      </c>
      <c r="G102" t="inlineStr">
        <is>
          <t>hal toilet</t>
        </is>
      </c>
    </row>
    <row r="103">
      <c r="A103" t="inlineStr">
        <is>
          <t>Forrum</t>
        </is>
      </c>
      <c r="B103" t="inlineStr">
        <is>
          <t>H134</t>
        </is>
      </c>
      <c r="C103" t="inlineStr">
        <is>
          <t>0,0 m³/h</t>
        </is>
      </c>
      <c r="E103" t="inlineStr">
        <is>
          <t>0,0 m³/h</t>
        </is>
      </c>
      <c r="F103" t="inlineStr">
        <is>
          <t>3 m²</t>
        </is>
      </c>
      <c r="G103" t="inlineStr">
        <is>
          <t>hal gang</t>
        </is>
      </c>
    </row>
    <row r="104">
      <c r="A104" t="inlineStr">
        <is>
          <t>Toiletter</t>
        </is>
      </c>
      <c r="B104" t="inlineStr">
        <is>
          <t>H135</t>
        </is>
      </c>
      <c r="C104" t="inlineStr">
        <is>
          <t>144,0 m³/h</t>
        </is>
      </c>
      <c r="E104" t="inlineStr">
        <is>
          <t>144,0 m³/h</t>
        </is>
      </c>
      <c r="F104" t="inlineStr">
        <is>
          <t>13 m²</t>
        </is>
      </c>
      <c r="G104" t="inlineStr">
        <is>
          <t>hal toilet</t>
        </is>
      </c>
    </row>
    <row r="105">
      <c r="A105" t="inlineStr">
        <is>
          <t>Teknik</t>
        </is>
      </c>
      <c r="B105" t="inlineStr">
        <is>
          <t>H150</t>
        </is>
      </c>
      <c r="C105" t="inlineStr">
        <is>
          <t>0,0 m³/h</t>
        </is>
      </c>
      <c r="E105" t="inlineStr">
        <is>
          <t>0,0 m³/h</t>
        </is>
      </c>
      <c r="F105" t="inlineStr">
        <is>
          <t>13 m²</t>
        </is>
      </c>
      <c r="G105" t="inlineStr">
        <is>
          <t>TEK</t>
        </is>
      </c>
    </row>
    <row r="106">
      <c r="A106" t="inlineStr">
        <is>
          <t>Rengøring</t>
        </is>
      </c>
      <c r="B106" t="inlineStr">
        <is>
          <t>H151</t>
        </is>
      </c>
      <c r="C106" t="inlineStr">
        <is>
          <t>81,0 m³/h</t>
        </is>
      </c>
      <c r="E106" t="inlineStr">
        <is>
          <t>81,0 m³/h</t>
        </is>
      </c>
      <c r="F106" t="inlineStr">
        <is>
          <t>11 m²</t>
        </is>
      </c>
      <c r="G106" t="inlineStr">
        <is>
          <t>hal</t>
        </is>
      </c>
    </row>
    <row r="107">
      <c r="A107" t="inlineStr">
        <is>
          <t>Udedepot</t>
        </is>
      </c>
      <c r="B107" t="inlineStr">
        <is>
          <t>H152</t>
        </is>
      </c>
      <c r="C107" t="inlineStr">
        <is>
          <t>50,0 m³/h</t>
        </is>
      </c>
      <c r="E107" t="inlineStr">
        <is>
          <t>50,0 m³/h</t>
        </is>
      </c>
      <c r="F107" t="inlineStr">
        <is>
          <t>31 m²</t>
        </is>
      </c>
      <c r="G107" t="inlineStr">
        <is>
          <t>hal</t>
        </is>
      </c>
    </row>
    <row r="108">
      <c r="A108" t="inlineStr">
        <is>
          <t>Depot til møbelopbevaring</t>
        </is>
      </c>
      <c r="B108" t="inlineStr">
        <is>
          <t>H155</t>
        </is>
      </c>
      <c r="C108" t="inlineStr">
        <is>
          <t>0,0 m³/h</t>
        </is>
      </c>
      <c r="E108" t="inlineStr">
        <is>
          <t>0,0 m³/h</t>
        </is>
      </c>
      <c r="F108" t="inlineStr">
        <is>
          <t>108 m²</t>
        </is>
      </c>
      <c r="G108" t="inlineStr">
        <is>
          <t>eksisterende</t>
        </is>
      </c>
    </row>
    <row r="109">
      <c r="A109" t="inlineStr">
        <is>
          <t>Ophold/Gang</t>
        </is>
      </c>
      <c r="B109" t="inlineStr">
        <is>
          <t>M202</t>
        </is>
      </c>
      <c r="C109" t="inlineStr">
        <is>
          <t>0,0 m³/h</t>
        </is>
      </c>
      <c r="E109" t="inlineStr">
        <is>
          <t>0,0 m³/h</t>
        </is>
      </c>
      <c r="F109" t="inlineStr">
        <is>
          <t>27 m²</t>
        </is>
      </c>
      <c r="G109" t="inlineStr">
        <is>
          <t>GANG</t>
        </is>
      </c>
    </row>
    <row r="110">
      <c r="A110" t="inlineStr">
        <is>
          <t>Ophold/Gang</t>
        </is>
      </c>
      <c r="B110" t="inlineStr">
        <is>
          <t>M203</t>
        </is>
      </c>
      <c r="C110" t="inlineStr">
        <is>
          <t>0,0 m³/h</t>
        </is>
      </c>
      <c r="E110" t="inlineStr">
        <is>
          <t>0,0 m³/h</t>
        </is>
      </c>
      <c r="F110" t="inlineStr">
        <is>
          <t>26 m²</t>
        </is>
      </c>
      <c r="G110" t="inlineStr">
        <is>
          <t>GANG</t>
        </is>
      </c>
    </row>
    <row r="111">
      <c r="A111" t="inlineStr">
        <is>
          <t>Ophold/Gang</t>
        </is>
      </c>
      <c r="B111" t="inlineStr">
        <is>
          <t>N101</t>
        </is>
      </c>
      <c r="C111" t="inlineStr">
        <is>
          <t>155,0 m³/h</t>
        </is>
      </c>
      <c r="E111" t="inlineStr">
        <is>
          <t>155,0 m³/h</t>
        </is>
      </c>
      <c r="F111" t="inlineStr">
        <is>
          <t>50 m²</t>
        </is>
      </c>
      <c r="G111" t="inlineStr">
        <is>
          <t>GANG</t>
        </is>
      </c>
    </row>
    <row r="112">
      <c r="A112" t="inlineStr">
        <is>
          <t>Fagtorv Science</t>
        </is>
      </c>
      <c r="B112" t="inlineStr">
        <is>
          <t>N102</t>
        </is>
      </c>
      <c r="C112" t="inlineStr">
        <is>
          <t>410,0 m³/h</t>
        </is>
      </c>
      <c r="E112" t="inlineStr">
        <is>
          <t>410,0 m³/h</t>
        </is>
      </c>
      <c r="F112" t="inlineStr">
        <is>
          <t>119 m²</t>
        </is>
      </c>
      <c r="G112" t="inlineStr">
        <is>
          <t>science</t>
        </is>
      </c>
    </row>
    <row r="113">
      <c r="A113" t="inlineStr">
        <is>
          <t>Vindfang</t>
        </is>
      </c>
      <c r="B113" t="inlineStr">
        <is>
          <t>N103</t>
        </is>
      </c>
      <c r="C113" t="inlineStr">
        <is>
          <t>0,0 m³/h</t>
        </is>
      </c>
      <c r="E113" t="inlineStr">
        <is>
          <t>0,0 m³/h</t>
        </is>
      </c>
      <c r="F113" t="inlineStr">
        <is>
          <t>7 m²</t>
        </is>
      </c>
      <c r="G113" t="inlineStr">
        <is>
          <t>GANG</t>
        </is>
      </c>
    </row>
    <row r="114">
      <c r="A114" t="inlineStr">
        <is>
          <t>Bio Teori 1 - Eks lokale</t>
        </is>
      </c>
      <c r="B114" t="inlineStr">
        <is>
          <t>N111L</t>
        </is>
      </c>
      <c r="C114" t="inlineStr">
        <is>
          <t>0,0 m³/h</t>
        </is>
      </c>
      <c r="E114" t="inlineStr">
        <is>
          <t>0,0 m³/h</t>
        </is>
      </c>
      <c r="F114" t="inlineStr">
        <is>
          <t>75 m²</t>
        </is>
      </c>
      <c r="G114" t="inlineStr">
        <is>
          <t>eksisterende</t>
        </is>
      </c>
    </row>
    <row r="115">
      <c r="A115" t="inlineStr">
        <is>
          <t>Fysik Teori 1 - eks. Lokale</t>
        </is>
      </c>
      <c r="B115" t="inlineStr">
        <is>
          <t>N112</t>
        </is>
      </c>
      <c r="C115" t="inlineStr">
        <is>
          <t>0,0 m³/h</t>
        </is>
      </c>
      <c r="E115" t="inlineStr">
        <is>
          <t>0,0 m³/h</t>
        </is>
      </c>
      <c r="F115" t="inlineStr">
        <is>
          <t>72 m²</t>
        </is>
      </c>
      <c r="G115" t="inlineStr">
        <is>
          <t>eksisterende</t>
        </is>
      </c>
    </row>
    <row r="116">
      <c r="A116" t="inlineStr">
        <is>
          <t>Fysikdepot</t>
        </is>
      </c>
      <c r="B116" t="inlineStr">
        <is>
          <t>N113D</t>
        </is>
      </c>
      <c r="C116" t="inlineStr">
        <is>
          <t>0,0 m³/h</t>
        </is>
      </c>
      <c r="E116" t="inlineStr">
        <is>
          <t>0,0 m³/h</t>
        </is>
      </c>
      <c r="F116" t="inlineStr">
        <is>
          <t>36 m²</t>
        </is>
      </c>
      <c r="G116" t="inlineStr">
        <is>
          <t>ombyg</t>
        </is>
      </c>
    </row>
    <row r="117">
      <c r="A117" t="inlineStr">
        <is>
          <t>Fysik lab - eks. Lokale</t>
        </is>
      </c>
      <c r="B117" t="inlineStr">
        <is>
          <t>N113L</t>
        </is>
      </c>
      <c r="C117" t="inlineStr">
        <is>
          <t>0,0 m³/h</t>
        </is>
      </c>
      <c r="E117" t="inlineStr">
        <is>
          <t>0,0 m³/h</t>
        </is>
      </c>
      <c r="F117" t="inlineStr">
        <is>
          <t>81 m²</t>
        </is>
      </c>
      <c r="G117" t="inlineStr">
        <is>
          <t>eksisterende</t>
        </is>
      </c>
    </row>
    <row r="118">
      <c r="A118" t="inlineStr">
        <is>
          <t>Fysik Lab</t>
        </is>
      </c>
      <c r="B118" t="inlineStr">
        <is>
          <t>N114L</t>
        </is>
      </c>
      <c r="C118" t="inlineStr">
        <is>
          <t>0,0 m³/h</t>
        </is>
      </c>
      <c r="E118" t="inlineStr">
        <is>
          <t>0,0 m³/h</t>
        </is>
      </c>
      <c r="F118" t="inlineStr">
        <is>
          <t>72 m²</t>
        </is>
      </c>
      <c r="G118" t="inlineStr">
        <is>
          <t>ombyg</t>
        </is>
      </c>
    </row>
    <row r="119">
      <c r="A119" t="inlineStr">
        <is>
          <t>eks. Naturgeo, Teori</t>
        </is>
      </c>
      <c r="B119" t="inlineStr">
        <is>
          <t>N115</t>
        </is>
      </c>
      <c r="C119" t="inlineStr">
        <is>
          <t>0,0 m³/h</t>
        </is>
      </c>
      <c r="E119" t="inlineStr">
        <is>
          <t>0,0 m³/h</t>
        </is>
      </c>
      <c r="F119" t="inlineStr">
        <is>
          <t>73 m²</t>
        </is>
      </c>
      <c r="G119" t="inlineStr">
        <is>
          <t>eksisterende</t>
        </is>
      </c>
    </row>
    <row r="120">
      <c r="A120" t="inlineStr">
        <is>
          <t>Klasselokale</t>
        </is>
      </c>
      <c r="B120" t="inlineStr">
        <is>
          <t>N116</t>
        </is>
      </c>
      <c r="C120" t="inlineStr">
        <is>
          <t>1000,0 m³/h</t>
        </is>
      </c>
      <c r="E120" t="inlineStr">
        <is>
          <t>1000,0 m³/h</t>
        </is>
      </c>
      <c r="F120" t="inlineStr">
        <is>
          <t>63 m²</t>
        </is>
      </c>
      <c r="G120" t="inlineStr">
        <is>
          <t>science</t>
        </is>
      </c>
    </row>
    <row r="121">
      <c r="A121" t="inlineStr">
        <is>
          <t>Klasselokale</t>
        </is>
      </c>
      <c r="B121" t="inlineStr">
        <is>
          <t>N117</t>
        </is>
      </c>
      <c r="C121" t="inlineStr">
        <is>
          <t>1100,0 m³/h</t>
        </is>
      </c>
      <c r="E121" t="inlineStr">
        <is>
          <t>1100,0 m³/h</t>
        </is>
      </c>
      <c r="F121" t="inlineStr">
        <is>
          <t>58 m²</t>
        </is>
      </c>
      <c r="G121" t="inlineStr">
        <is>
          <t>science</t>
        </is>
      </c>
    </row>
    <row r="122">
      <c r="A122" t="inlineStr">
        <is>
          <t>Klasselokale</t>
        </is>
      </c>
      <c r="B122" t="inlineStr">
        <is>
          <t>N118</t>
        </is>
      </c>
      <c r="C122" t="inlineStr">
        <is>
          <t>1000,0 m³/h</t>
        </is>
      </c>
      <c r="E122" t="inlineStr">
        <is>
          <t>1000,0 m³/h</t>
        </is>
      </c>
      <c r="F122" t="inlineStr">
        <is>
          <t>65 m²</t>
        </is>
      </c>
      <c r="G122" t="inlineStr">
        <is>
          <t>science</t>
        </is>
      </c>
    </row>
    <row r="123">
      <c r="A123" t="inlineStr">
        <is>
          <t>Food Laboratorium</t>
        </is>
      </c>
      <c r="B123" t="inlineStr">
        <is>
          <t>N119</t>
        </is>
      </c>
      <c r="C123" t="inlineStr">
        <is>
          <t>1000,0 m³/h</t>
        </is>
      </c>
      <c r="E123" t="inlineStr">
        <is>
          <t>1000,0 m³/h</t>
        </is>
      </c>
      <c r="F123" t="inlineStr">
        <is>
          <t>64 m²</t>
        </is>
      </c>
      <c r="G123" t="inlineStr">
        <is>
          <t>science</t>
        </is>
      </c>
    </row>
    <row r="124">
      <c r="A124" t="inlineStr">
        <is>
          <t>Grupperum</t>
        </is>
      </c>
      <c r="B124" t="inlineStr">
        <is>
          <t>N120</t>
        </is>
      </c>
      <c r="C124" t="inlineStr">
        <is>
          <t>180,0 m³/h</t>
        </is>
      </c>
      <c r="E124" t="inlineStr">
        <is>
          <t>180,0 m³/h</t>
        </is>
      </c>
      <c r="F124" t="inlineStr">
        <is>
          <t>11 m²</t>
        </is>
      </c>
      <c r="G124" t="inlineStr">
        <is>
          <t>science</t>
        </is>
      </c>
    </row>
    <row r="125">
      <c r="A125" t="inlineStr">
        <is>
          <t>Grupperum</t>
        </is>
      </c>
      <c r="B125" t="inlineStr">
        <is>
          <t>N121</t>
        </is>
      </c>
      <c r="C125" t="inlineStr">
        <is>
          <t>180,0 m³/h</t>
        </is>
      </c>
      <c r="E125" t="inlineStr">
        <is>
          <t>180,0 m³/h</t>
        </is>
      </c>
      <c r="F125" t="inlineStr">
        <is>
          <t>8 m²</t>
        </is>
      </c>
      <c r="G125" t="inlineStr">
        <is>
          <t>science</t>
        </is>
      </c>
    </row>
    <row r="126">
      <c r="A126" t="inlineStr">
        <is>
          <t>eks. Forrum</t>
        </is>
      </c>
      <c r="B126" t="inlineStr">
        <is>
          <t>N122</t>
        </is>
      </c>
      <c r="C126" t="inlineStr">
        <is>
          <t>0,0 m³/h</t>
        </is>
      </c>
      <c r="E126" t="inlineStr">
        <is>
          <t>0,0 m³/h</t>
        </is>
      </c>
      <c r="F126" t="inlineStr">
        <is>
          <t>5 m²</t>
        </is>
      </c>
      <c r="G126" t="inlineStr">
        <is>
          <t>eksisterende</t>
        </is>
      </c>
    </row>
    <row r="127">
      <c r="A127" t="inlineStr">
        <is>
          <t>eks. Toilet</t>
        </is>
      </c>
      <c r="B127" t="inlineStr">
        <is>
          <t>N123</t>
        </is>
      </c>
      <c r="C127" t="inlineStr">
        <is>
          <t>0,0 m³/h</t>
        </is>
      </c>
      <c r="E127" t="inlineStr">
        <is>
          <t>0,0 m³/h</t>
        </is>
      </c>
      <c r="F127" t="inlineStr">
        <is>
          <t>5 m²</t>
        </is>
      </c>
      <c r="G127" t="inlineStr">
        <is>
          <t>eksisterende</t>
        </is>
      </c>
    </row>
    <row r="128">
      <c r="A128" t="inlineStr">
        <is>
          <t>Toliet - Eks</t>
        </is>
      </c>
      <c r="B128" t="inlineStr">
        <is>
          <t>N124</t>
        </is>
      </c>
      <c r="C128" t="inlineStr">
        <is>
          <t>0,0 m³/h</t>
        </is>
      </c>
      <c r="E128" t="inlineStr">
        <is>
          <t>0,0 m³/h</t>
        </is>
      </c>
      <c r="F128" t="inlineStr">
        <is>
          <t>2 m²</t>
        </is>
      </c>
      <c r="G128" t="inlineStr">
        <is>
          <t>eksisterende</t>
        </is>
      </c>
    </row>
    <row r="129">
      <c r="A129" t="inlineStr">
        <is>
          <t>Toliet - Eks</t>
        </is>
      </c>
      <c r="B129" t="inlineStr">
        <is>
          <t>N125</t>
        </is>
      </c>
      <c r="C129" t="inlineStr">
        <is>
          <t>0,0 m³/h</t>
        </is>
      </c>
      <c r="E129" t="inlineStr">
        <is>
          <t>0,0 m³/h</t>
        </is>
      </c>
      <c r="F129" t="inlineStr">
        <is>
          <t>2 m²</t>
        </is>
      </c>
      <c r="G129" t="inlineStr">
        <is>
          <t>eksisterende</t>
        </is>
      </c>
    </row>
    <row r="130">
      <c r="A130" t="inlineStr">
        <is>
          <t>Toliet - Eks</t>
        </is>
      </c>
      <c r="B130" t="inlineStr">
        <is>
          <t>N126</t>
        </is>
      </c>
      <c r="C130" t="inlineStr">
        <is>
          <t>0,0 m³/h</t>
        </is>
      </c>
      <c r="E130" t="inlineStr">
        <is>
          <t>0,0 m³/h</t>
        </is>
      </c>
      <c r="F130" t="inlineStr">
        <is>
          <t>2 m²</t>
        </is>
      </c>
      <c r="G130" t="inlineStr">
        <is>
          <t>eksisterende</t>
        </is>
      </c>
    </row>
    <row r="131">
      <c r="A131" t="inlineStr">
        <is>
          <t>eks. Forrum</t>
        </is>
      </c>
      <c r="B131" t="inlineStr">
        <is>
          <t>N127</t>
        </is>
      </c>
      <c r="C131" t="inlineStr">
        <is>
          <t>0,0 m³/h</t>
        </is>
      </c>
      <c r="E131" t="inlineStr">
        <is>
          <t>0,0 m³/h</t>
        </is>
      </c>
      <c r="F131" t="inlineStr">
        <is>
          <t>6 m²</t>
        </is>
      </c>
      <c r="G131" t="inlineStr">
        <is>
          <t>eksisterende</t>
        </is>
      </c>
    </row>
    <row r="132">
      <c r="A132" t="inlineStr">
        <is>
          <t>eks. Toilet</t>
        </is>
      </c>
      <c r="B132" t="inlineStr">
        <is>
          <t>N128</t>
        </is>
      </c>
      <c r="C132" t="inlineStr">
        <is>
          <t>0,0 m³/h</t>
        </is>
      </c>
      <c r="E132" t="inlineStr">
        <is>
          <t>0,0 m³/h</t>
        </is>
      </c>
      <c r="F132" t="inlineStr">
        <is>
          <t>1 m²</t>
        </is>
      </c>
      <c r="G132" t="inlineStr">
        <is>
          <t>eksisterende</t>
        </is>
      </c>
    </row>
    <row r="133">
      <c r="A133" t="inlineStr">
        <is>
          <t>eks. Toilet</t>
        </is>
      </c>
      <c r="B133" t="inlineStr">
        <is>
          <t>N129</t>
        </is>
      </c>
      <c r="C133" t="inlineStr">
        <is>
          <t>0,0 m³/h</t>
        </is>
      </c>
      <c r="E133" t="inlineStr">
        <is>
          <t>0,0 m³/h</t>
        </is>
      </c>
      <c r="F133" t="inlineStr">
        <is>
          <t>2 m²</t>
        </is>
      </c>
      <c r="G133" t="inlineStr">
        <is>
          <t>eksisterende</t>
        </is>
      </c>
    </row>
    <row r="134">
      <c r="A134" t="inlineStr">
        <is>
          <t>eks. Toilet</t>
        </is>
      </c>
      <c r="B134" t="inlineStr">
        <is>
          <t>N130</t>
        </is>
      </c>
      <c r="C134" t="inlineStr">
        <is>
          <t>0,0 m³/h</t>
        </is>
      </c>
      <c r="E134" t="inlineStr">
        <is>
          <t>0,0 m³/h</t>
        </is>
      </c>
      <c r="F134" t="inlineStr">
        <is>
          <t>1 m²</t>
        </is>
      </c>
      <c r="G134" t="inlineStr">
        <is>
          <t>eksisterende</t>
        </is>
      </c>
    </row>
    <row r="135">
      <c r="A135" t="inlineStr">
        <is>
          <t>eks. Toilet</t>
        </is>
      </c>
      <c r="B135" t="inlineStr">
        <is>
          <t>N131</t>
        </is>
      </c>
      <c r="C135" t="inlineStr">
        <is>
          <t>0,0 m³/h</t>
        </is>
      </c>
      <c r="E135" t="inlineStr">
        <is>
          <t>0,0 m³/h</t>
        </is>
      </c>
      <c r="F135" t="inlineStr">
        <is>
          <t>2 m²</t>
        </is>
      </c>
      <c r="G135" t="inlineStr">
        <is>
          <t>eksisterende</t>
        </is>
      </c>
    </row>
    <row r="136">
      <c r="A136" t="inlineStr">
        <is>
          <t>Ophold/Gang</t>
        </is>
      </c>
      <c r="B136" t="inlineStr">
        <is>
          <t>N201</t>
        </is>
      </c>
      <c r="C136" t="inlineStr">
        <is>
          <t>155,0 m³/h</t>
        </is>
      </c>
      <c r="E136" t="inlineStr">
        <is>
          <t>155,0 m³/h</t>
        </is>
      </c>
      <c r="F136" t="inlineStr">
        <is>
          <t>47 m²</t>
        </is>
      </c>
      <c r="G136" t="inlineStr">
        <is>
          <t>GANG</t>
        </is>
      </c>
    </row>
    <row r="137">
      <c r="A137" t="inlineStr">
        <is>
          <t>Fagtorv Science</t>
        </is>
      </c>
      <c r="B137" t="inlineStr">
        <is>
          <t>N202</t>
        </is>
      </c>
      <c r="C137" t="inlineStr">
        <is>
          <t>630,0 m³/h</t>
        </is>
      </c>
      <c r="E137" t="inlineStr">
        <is>
          <t>630,0 m³/h</t>
        </is>
      </c>
      <c r="F137" t="inlineStr">
        <is>
          <t>82 m²</t>
        </is>
      </c>
      <c r="G137" t="inlineStr">
        <is>
          <t>science</t>
        </is>
      </c>
    </row>
    <row r="138">
      <c r="A138" t="inlineStr">
        <is>
          <t>Kemilab - eks. Lokale</t>
        </is>
      </c>
      <c r="B138" t="inlineStr">
        <is>
          <t>N211L</t>
        </is>
      </c>
      <c r="C138" t="inlineStr">
        <is>
          <t>0,0 m³/h</t>
        </is>
      </c>
      <c r="E138" t="inlineStr">
        <is>
          <t>0,0 m³/h</t>
        </is>
      </c>
      <c r="F138" t="inlineStr">
        <is>
          <t>75 m²</t>
        </is>
      </c>
      <c r="G138" t="inlineStr">
        <is>
          <t>eksisterende</t>
        </is>
      </c>
    </row>
    <row r="139">
      <c r="A139" t="inlineStr">
        <is>
          <t>Biologilab - Eks Lokale</t>
        </is>
      </c>
      <c r="B139" t="inlineStr">
        <is>
          <t>N212L</t>
        </is>
      </c>
      <c r="C139" t="inlineStr">
        <is>
          <t>0,0 m³/h</t>
        </is>
      </c>
      <c r="E139" t="inlineStr">
        <is>
          <t>0,0 m³/h</t>
        </is>
      </c>
      <c r="F139" t="inlineStr">
        <is>
          <t>81 m²</t>
        </is>
      </c>
      <c r="G139" t="inlineStr">
        <is>
          <t>eksisterende</t>
        </is>
      </c>
    </row>
    <row r="140">
      <c r="A140" t="inlineStr">
        <is>
          <t>Biolab</t>
        </is>
      </c>
      <c r="B140" t="inlineStr">
        <is>
          <t>N213L</t>
        </is>
      </c>
      <c r="C140" t="inlineStr">
        <is>
          <t>0,0 m³/h</t>
        </is>
      </c>
      <c r="E140" t="inlineStr">
        <is>
          <t>0,0 m³/h</t>
        </is>
      </c>
      <c r="F140" t="inlineStr">
        <is>
          <t>73 m²</t>
        </is>
      </c>
      <c r="G140" t="inlineStr">
        <is>
          <t>ombyg</t>
        </is>
      </c>
    </row>
    <row r="141">
      <c r="A141" t="inlineStr">
        <is>
          <t>Science</t>
        </is>
      </c>
      <c r="B141" t="inlineStr">
        <is>
          <t>N214</t>
        </is>
      </c>
      <c r="C141" t="inlineStr">
        <is>
          <t>1100,0 m³/h</t>
        </is>
      </c>
      <c r="E141" t="inlineStr">
        <is>
          <t>1100,0 m³/h</t>
        </is>
      </c>
      <c r="F141" t="inlineStr">
        <is>
          <t>64 m²</t>
        </is>
      </c>
      <c r="G141" t="inlineStr">
        <is>
          <t>science</t>
        </is>
      </c>
    </row>
    <row r="142">
      <c r="A142" t="inlineStr">
        <is>
          <t>Klasselokale 32 elever</t>
        </is>
      </c>
      <c r="B142" t="inlineStr">
        <is>
          <t>N215</t>
        </is>
      </c>
      <c r="C142" t="inlineStr">
        <is>
          <t>1300,0 m³/h</t>
        </is>
      </c>
      <c r="E142" t="inlineStr">
        <is>
          <t>1300,0 m³/h</t>
        </is>
      </c>
      <c r="F142" t="inlineStr">
        <is>
          <t>58 m²</t>
        </is>
      </c>
      <c r="G142" t="inlineStr">
        <is>
          <t>science</t>
        </is>
      </c>
    </row>
    <row r="143">
      <c r="A143" t="inlineStr">
        <is>
          <t>Science</t>
        </is>
      </c>
      <c r="B143" t="inlineStr">
        <is>
          <t>N216</t>
        </is>
      </c>
      <c r="C143" t="inlineStr">
        <is>
          <t>1100,0 m³/h</t>
        </is>
      </c>
      <c r="E143" t="inlineStr">
        <is>
          <t>1100,0 m³/h</t>
        </is>
      </c>
      <c r="F143" t="inlineStr">
        <is>
          <t>65 m²</t>
        </is>
      </c>
      <c r="G143" t="inlineStr">
        <is>
          <t>science</t>
        </is>
      </c>
    </row>
    <row r="144">
      <c r="A144" t="inlineStr">
        <is>
          <t>Science</t>
        </is>
      </c>
      <c r="B144" t="inlineStr">
        <is>
          <t>N217</t>
        </is>
      </c>
      <c r="C144" t="inlineStr">
        <is>
          <t>1000,0 m³/h</t>
        </is>
      </c>
      <c r="E144" t="inlineStr">
        <is>
          <t>1000,0 m³/h</t>
        </is>
      </c>
      <c r="F144" t="inlineStr">
        <is>
          <t>64 m²</t>
        </is>
      </c>
      <c r="G144" t="inlineStr">
        <is>
          <t>science</t>
        </is>
      </c>
    </row>
    <row r="145">
      <c r="A145" t="inlineStr">
        <is>
          <t>Bio/kemi depot</t>
        </is>
      </c>
      <c r="B145" t="inlineStr">
        <is>
          <t>N218</t>
        </is>
      </c>
      <c r="C145" t="inlineStr">
        <is>
          <t>1300,0 m³/h</t>
        </is>
      </c>
      <c r="E145" t="inlineStr">
        <is>
          <t>1300,0 m³/h</t>
        </is>
      </c>
      <c r="F145" t="inlineStr">
        <is>
          <t>25 m²</t>
        </is>
      </c>
      <c r="G145" t="inlineStr">
        <is>
          <t>ombyg</t>
        </is>
      </c>
    </row>
    <row r="146">
      <c r="A146" t="inlineStr">
        <is>
          <t>Glasdepot</t>
        </is>
      </c>
      <c r="B146" t="inlineStr">
        <is>
          <t>N219</t>
        </is>
      </c>
      <c r="C146" t="inlineStr">
        <is>
          <t>1100,0 m³/h</t>
        </is>
      </c>
      <c r="E146" t="inlineStr">
        <is>
          <t>1100,0 m³/h</t>
        </is>
      </c>
      <c r="F146" t="inlineStr">
        <is>
          <t>46 m²</t>
        </is>
      </c>
      <c r="G146" t="inlineStr">
        <is>
          <t>ombyg</t>
        </is>
      </c>
    </row>
    <row r="147">
      <c r="A147" t="inlineStr">
        <is>
          <t>Toiletter</t>
        </is>
      </c>
      <c r="B147" t="inlineStr">
        <is>
          <t>N220</t>
        </is>
      </c>
      <c r="C147" t="inlineStr">
        <is>
          <t>0,0 m³/h</t>
        </is>
      </c>
      <c r="E147" t="inlineStr">
        <is>
          <t>0,0 m³/h</t>
        </is>
      </c>
      <c r="F147" t="inlineStr">
        <is>
          <t>6 m²</t>
        </is>
      </c>
      <c r="G147" t="inlineStr">
        <is>
          <t>toiletscience</t>
        </is>
      </c>
    </row>
    <row r="148">
      <c r="A148" t="inlineStr">
        <is>
          <t>Toilet</t>
        </is>
      </c>
      <c r="B148" t="inlineStr">
        <is>
          <t>N221</t>
        </is>
      </c>
      <c r="C148" t="inlineStr">
        <is>
          <t>0,0 m³/h</t>
        </is>
      </c>
      <c r="E148" t="inlineStr">
        <is>
          <t>0,0 m³/h</t>
        </is>
      </c>
      <c r="F148" t="inlineStr">
        <is>
          <t>2 m²</t>
        </is>
      </c>
      <c r="G148" t="inlineStr">
        <is>
          <t>toiletscience</t>
        </is>
      </c>
    </row>
    <row r="149">
      <c r="A149" t="inlineStr">
        <is>
          <t>Toilet</t>
        </is>
      </c>
      <c r="B149" t="inlineStr">
        <is>
          <t>N222</t>
        </is>
      </c>
      <c r="C149" t="inlineStr">
        <is>
          <t>0,0 m³/h</t>
        </is>
      </c>
      <c r="E149" t="inlineStr">
        <is>
          <t>0,0 m³/h</t>
        </is>
      </c>
      <c r="F149" t="inlineStr">
        <is>
          <t>2 m²</t>
        </is>
      </c>
      <c r="G149" t="inlineStr">
        <is>
          <t>toiletscience</t>
        </is>
      </c>
    </row>
    <row r="150">
      <c r="A150" t="inlineStr">
        <is>
          <t>Toilet</t>
        </is>
      </c>
      <c r="B150" t="inlineStr">
        <is>
          <t>N223</t>
        </is>
      </c>
      <c r="C150" t="inlineStr">
        <is>
          <t>0,0 m³/h</t>
        </is>
      </c>
      <c r="E150" t="inlineStr">
        <is>
          <t>0,0 m³/h</t>
        </is>
      </c>
      <c r="F150" t="inlineStr">
        <is>
          <t>2 m²</t>
        </is>
      </c>
      <c r="G150" t="inlineStr">
        <is>
          <t>toiletscience</t>
        </is>
      </c>
    </row>
    <row r="151">
      <c r="A151" t="inlineStr">
        <is>
          <t>Toilet</t>
        </is>
      </c>
      <c r="B151" t="inlineStr">
        <is>
          <t>N224</t>
        </is>
      </c>
      <c r="C151" t="inlineStr">
        <is>
          <t>0,0 m³/h</t>
        </is>
      </c>
      <c r="E151" t="inlineStr">
        <is>
          <t>0,0 m³/h</t>
        </is>
      </c>
      <c r="F151" t="inlineStr">
        <is>
          <t>2 m²</t>
        </is>
      </c>
      <c r="G151" t="inlineStr">
        <is>
          <t>toiletscience</t>
        </is>
      </c>
    </row>
    <row r="152">
      <c r="A152" t="inlineStr">
        <is>
          <t>Grupperum</t>
        </is>
      </c>
      <c r="B152" t="inlineStr">
        <is>
          <t>NG212</t>
        </is>
      </c>
      <c r="C152" t="inlineStr">
        <is>
          <t>180,0 m³/h</t>
        </is>
      </c>
      <c r="E152" t="inlineStr">
        <is>
          <t>180,0 m³/h</t>
        </is>
      </c>
      <c r="F152" t="inlineStr">
        <is>
          <t>11 m²</t>
        </is>
      </c>
      <c r="G152" t="inlineStr">
        <is>
          <t>science</t>
        </is>
      </c>
    </row>
    <row r="153">
      <c r="A153" t="inlineStr">
        <is>
          <t>Grupperum</t>
        </is>
      </c>
      <c r="B153" t="inlineStr">
        <is>
          <t>NG213</t>
        </is>
      </c>
      <c r="C153" t="inlineStr">
        <is>
          <t>180,0 m³/h</t>
        </is>
      </c>
      <c r="E153" t="inlineStr">
        <is>
          <t>180,0 m³/h</t>
        </is>
      </c>
      <c r="F153" t="inlineStr">
        <is>
          <t>11 m²</t>
        </is>
      </c>
      <c r="G153" t="inlineStr">
        <is>
          <t>science</t>
        </is>
      </c>
    </row>
    <row r="154">
      <c r="A154" t="inlineStr">
        <is>
          <t>Lærerforberedelse</t>
        </is>
      </c>
      <c r="B154" t="inlineStr">
        <is>
          <t>NG221</t>
        </is>
      </c>
      <c r="C154" t="inlineStr">
        <is>
          <t>0,0 m³/h</t>
        </is>
      </c>
      <c r="E154" t="inlineStr">
        <is>
          <t>0,0 m³/h</t>
        </is>
      </c>
      <c r="F154" t="inlineStr">
        <is>
          <t>36 m²</t>
        </is>
      </c>
      <c r="G154" t="inlineStr">
        <is>
          <t>ombyg</t>
        </is>
      </c>
    </row>
    <row r="155">
      <c r="A155" t="inlineStr">
        <is>
          <t>Teknik</t>
        </is>
      </c>
      <c r="B155" t="inlineStr">
        <is>
          <t>Teknik</t>
        </is>
      </c>
      <c r="C155" t="inlineStr">
        <is>
          <t>0,0 m³/h</t>
        </is>
      </c>
      <c r="E155" t="inlineStr">
        <is>
          <t>0,0 m³/h</t>
        </is>
      </c>
      <c r="F155" t="inlineStr">
        <is>
          <t>167 m²</t>
        </is>
      </c>
      <c r="G155" t="inlineStr">
        <is>
          <t>TEK</t>
        </is>
      </c>
    </row>
    <row r="156">
      <c r="A156" t="inlineStr">
        <is>
          <t>eks. teknikrum auditorie</t>
        </is>
      </c>
      <c r="B156" t="inlineStr">
        <is>
          <t>Teknik</t>
        </is>
      </c>
      <c r="C156" t="inlineStr">
        <is>
          <t>0,0 m³/h</t>
        </is>
      </c>
      <c r="E156" t="inlineStr">
        <is>
          <t>0,0 m³/h</t>
        </is>
      </c>
      <c r="F156" t="inlineStr">
        <is>
          <t>15 m²</t>
        </is>
      </c>
      <c r="G156" t="inlineStr">
        <is>
          <t>eksisterende</t>
        </is>
      </c>
    </row>
  </sheetData>
  <autoFilter ref="A1:I5"/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 codeName="Sheet1">
    <tabColor theme="0" tint="-0.499984740745262"/>
    <outlinePr summaryBelow="1" summaryRight="1"/>
    <pageSetUpPr/>
  </sheetPr>
  <dimension ref="A1:A1"/>
  <sheetViews>
    <sheetView workbookViewId="0">
      <selection activeCell="A1" sqref="A1:I1861"/>
    </sheetView>
  </sheetViews>
  <sheetFormatPr baseColWidth="8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Ark1">
    <outlinePr summaryBelow="1" summaryRight="1"/>
    <pageSetUpPr autoPageBreaks="0"/>
  </sheetPr>
  <dimension ref="A2:U58"/>
  <sheetViews>
    <sheetView showGridLines="0" workbookViewId="0">
      <selection activeCell="C20" sqref="C20"/>
    </sheetView>
  </sheetViews>
  <sheetFormatPr baseColWidth="8" defaultRowHeight="12.75"/>
  <cols>
    <col width="24.85546875" bestFit="1" customWidth="1" style="175" min="2" max="2"/>
    <col width="9.42578125" customWidth="1" style="175" min="3" max="3"/>
    <col width="9.85546875" customWidth="1" style="175" min="4" max="4"/>
    <col width="15.140625" customWidth="1" style="175" min="5" max="5"/>
    <col hidden="1" width="3.140625" customWidth="1" style="175" min="6" max="6"/>
    <col width="8.140625" customWidth="1" style="175" min="7" max="7"/>
    <col width="14.5703125" customWidth="1" style="175" min="8" max="8"/>
    <col width="12.85546875" customWidth="1" style="175" min="9" max="9"/>
    <col width="14.42578125" customWidth="1" style="175" min="10" max="10"/>
    <col width="13.7109375" customWidth="1" style="175" min="11" max="11"/>
    <col width="18.85546875" bestFit="1" customWidth="1" style="175" min="12" max="12"/>
    <col width="2.140625" customWidth="1" style="175" min="13" max="13"/>
    <col width="16.7109375" customWidth="1" style="175" min="14" max="14"/>
    <col width="15.85546875" customWidth="1" style="175" min="15" max="15"/>
    <col width="17.28515625" customWidth="1" style="175" min="16" max="16"/>
    <col width="14.7109375" bestFit="1" customWidth="1" style="175" min="17" max="17"/>
    <col width="18.140625" customWidth="1" style="175" min="18" max="18"/>
  </cols>
  <sheetData>
    <row r="1" ht="13.5" customHeight="1" s="175" thickBot="1"/>
    <row r="2" ht="13.5" customHeight="1" s="175" thickTop="1">
      <c r="B2" s="119" t="n"/>
      <c r="C2" s="120" t="n"/>
      <c r="D2" s="120" t="n"/>
      <c r="E2" s="120" t="n"/>
      <c r="F2" s="120" t="n"/>
      <c r="G2" s="121" t="n"/>
      <c r="H2" s="121" t="n"/>
      <c r="I2" s="121" t="n"/>
      <c r="J2" s="121" t="n"/>
      <c r="K2" s="125" t="n"/>
    </row>
    <row r="3" ht="18" customHeight="1" s="175">
      <c r="B3" s="114" t="n"/>
      <c r="C3" s="95" t="n"/>
      <c r="D3" s="95" t="n"/>
      <c r="E3" s="95" t="n"/>
      <c r="F3" s="95" t="n"/>
      <c r="G3" s="174" t="inlineStr">
        <is>
          <t>Tryktabsgradient i cirkulære rør og kanaler</t>
        </is>
      </c>
      <c r="K3" s="176" t="n"/>
    </row>
    <row r="4">
      <c r="B4" s="113" t="n"/>
      <c r="C4" s="95" t="n"/>
      <c r="D4" s="95" t="n"/>
      <c r="E4" s="95" t="n"/>
      <c r="F4" s="95" t="n"/>
      <c r="G4" s="179" t="n"/>
      <c r="K4" s="176" t="n"/>
    </row>
    <row r="5">
      <c r="B5" s="113" t="n"/>
      <c r="C5" s="95" t="n"/>
      <c r="D5" s="95" t="n"/>
      <c r="E5" s="95" t="n"/>
      <c r="F5" s="95" t="n"/>
      <c r="G5" s="179" t="inlineStr">
        <is>
          <t>Betaversion 1.3</t>
        </is>
      </c>
      <c r="K5" s="176" t="n"/>
    </row>
    <row r="6">
      <c r="B6" s="113" t="n"/>
      <c r="C6" s="95" t="n"/>
      <c r="D6" s="95" t="n"/>
      <c r="E6" s="95" t="n"/>
      <c r="F6" s="95" t="n"/>
      <c r="G6" s="96" t="n"/>
      <c r="H6" s="96" t="n"/>
      <c r="I6" s="96" t="n"/>
      <c r="J6" s="96" t="n"/>
      <c r="K6" s="124" t="inlineStr">
        <is>
          <t>Copyright: Thomas Kjems Lyngvad - 2006</t>
        </is>
      </c>
    </row>
    <row r="7">
      <c r="B7" s="113" t="n"/>
      <c r="C7" s="95" t="n"/>
      <c r="D7" s="95" t="n"/>
      <c r="E7" s="95" t="n"/>
      <c r="F7" s="95" t="n"/>
      <c r="G7" s="96" t="n"/>
      <c r="H7" s="96" t="n"/>
      <c r="I7" s="96" t="n"/>
      <c r="J7" s="96" t="n"/>
      <c r="K7" s="124" t="n"/>
    </row>
    <row r="8" ht="9.75" customHeight="1" s="175" thickBot="1">
      <c r="B8" s="126" t="n"/>
      <c r="C8" s="127" t="n"/>
      <c r="D8" s="127" t="n"/>
      <c r="E8" s="127" t="n"/>
      <c r="F8" s="127" t="n"/>
      <c r="G8" s="110" t="n"/>
      <c r="H8" s="110" t="n"/>
      <c r="I8" s="110" t="n"/>
      <c r="J8" s="110" t="n"/>
      <c r="K8" s="111" t="n"/>
    </row>
    <row r="9" ht="6" customHeight="1" s="175" thickTop="1">
      <c r="B9" s="115" t="n"/>
      <c r="C9" s="97" t="n"/>
      <c r="D9" s="97" t="n"/>
      <c r="E9" s="97" t="n"/>
      <c r="F9" s="97" t="n"/>
      <c r="G9" s="97" t="n"/>
      <c r="H9" s="180" t="inlineStr">
        <is>
          <t>Udvalgte handelsdimensioner og indvendige diametre [mm]</t>
        </is>
      </c>
      <c r="I9" s="181" t="n"/>
      <c r="J9" s="181" t="n"/>
      <c r="K9" s="182" t="n"/>
    </row>
    <row r="10" ht="15" customHeight="1" s="175">
      <c r="B10" s="116" t="inlineStr">
        <is>
          <t>Medie</t>
        </is>
      </c>
      <c r="C10" s="97" t="n"/>
      <c r="D10" s="97" t="inlineStr">
        <is>
          <t xml:space="preserve"> </t>
        </is>
      </c>
      <c r="E10" s="97" t="n"/>
      <c r="F10" s="97" t="n"/>
      <c r="G10" s="97" t="n"/>
      <c r="H10" s="183" t="n"/>
      <c r="K10" s="176" t="n"/>
    </row>
    <row r="11" ht="15.75" customHeight="1" s="175">
      <c r="B11" s="115" t="n"/>
      <c r="C11" s="97" t="n"/>
      <c r="D11" s="97" t="n"/>
      <c r="E11" s="98">
        <f>Tabeller!H5</f>
        <v/>
      </c>
      <c r="F11" s="97" t="n"/>
      <c r="G11" s="97" t="n"/>
      <c r="H11" s="128" t="inlineStr">
        <is>
          <t>Nominel dim.</t>
        </is>
      </c>
      <c r="I11" s="104" t="inlineStr">
        <is>
          <t>di</t>
        </is>
      </c>
      <c r="J11" s="103" t="inlineStr">
        <is>
          <t>Nominel dim.</t>
        </is>
      </c>
      <c r="K11" s="122" t="inlineStr">
        <is>
          <t>di</t>
        </is>
      </c>
    </row>
    <row r="12">
      <c r="B12" s="115" t="n"/>
      <c r="C12" s="97" t="n"/>
      <c r="D12" s="97" t="n"/>
      <c r="E12" s="97" t="n"/>
      <c r="F12" s="97" t="n"/>
      <c r="G12" s="97" t="n"/>
      <c r="H12" s="129">
        <f>VLOOKUP(Tabeller!$A$33,dimensioner,2)</f>
        <v/>
      </c>
      <c r="I12" s="134">
        <f>VLOOKUP(Tabeller!$A$33,dimensioner,3)</f>
        <v/>
      </c>
      <c r="J12" s="105">
        <f>VLOOKUP(Tabeller!$A$33,dimensioner,22)</f>
        <v/>
      </c>
      <c r="K12" s="135">
        <f>VLOOKUP(Tabeller!$A$33,dimensioner,23)</f>
        <v/>
      </c>
    </row>
    <row r="13" ht="12.75" customHeight="1" s="175">
      <c r="B13" s="115" t="n"/>
      <c r="C13" s="97" t="n"/>
      <c r="D13" s="97" t="n"/>
      <c r="E13" s="97" t="n"/>
      <c r="F13" s="97" t="n"/>
      <c r="G13" s="97" t="n"/>
      <c r="H13" s="129">
        <f>VLOOKUP(Tabeller!$A$33,dimensioner,4)</f>
        <v/>
      </c>
      <c r="I13" s="134">
        <f>VLOOKUP(Tabeller!$A$33,dimensioner,5)</f>
        <v/>
      </c>
      <c r="J13" s="105">
        <f>VLOOKUP(Tabeller!$A$33,dimensioner,24)</f>
        <v/>
      </c>
      <c r="K13" s="135">
        <f>VLOOKUP(Tabeller!$A$33,dimensioner,25)</f>
        <v/>
      </c>
    </row>
    <row r="14" ht="12" customHeight="1" s="175">
      <c r="B14" s="115" t="n"/>
      <c r="C14" s="97" t="n"/>
      <c r="D14" s="97" t="n"/>
      <c r="E14" s="97" t="n"/>
      <c r="F14" s="97" t="n"/>
      <c r="G14" s="97" t="n"/>
      <c r="H14" s="129">
        <f>VLOOKUP(Tabeller!$A$33,dimensioner,6)</f>
        <v/>
      </c>
      <c r="I14" s="134">
        <f>VLOOKUP(Tabeller!$A$33,dimensioner,7)</f>
        <v/>
      </c>
      <c r="J14" s="105">
        <f>VLOOKUP(Tabeller!$A$33,dimensioner,26)</f>
        <v/>
      </c>
      <c r="K14" s="135">
        <f>VLOOKUP(Tabeller!$A$33,dimensioner,27)</f>
        <v/>
      </c>
    </row>
    <row r="15" ht="14.25" customHeight="1" s="175">
      <c r="B15" s="117" t="inlineStr">
        <is>
          <t>Temperatur [ºC]</t>
        </is>
      </c>
      <c r="C15" s="97" t="n"/>
      <c r="D15" s="99" t="inlineStr">
        <is>
          <t>Vand (0-100ºC), Luft (-20-300ºC)</t>
        </is>
      </c>
      <c r="E15" s="97" t="n"/>
      <c r="F15" s="97" t="n"/>
      <c r="G15" s="97" t="n"/>
      <c r="H15" s="129">
        <f>VLOOKUP(Tabeller!$A$33,dimensioner,8)</f>
        <v/>
      </c>
      <c r="I15" s="134">
        <f>VLOOKUP(Tabeller!$A$33,dimensioner,9)</f>
        <v/>
      </c>
      <c r="J15" s="105">
        <f>VLOOKUP(Tabeller!$A$33,dimensioner,28)</f>
        <v/>
      </c>
      <c r="K15" s="135">
        <f>VLOOKUP(Tabeller!$A$33,dimensioner,29)</f>
        <v/>
      </c>
    </row>
    <row r="16" ht="14.25" customHeight="1" s="175">
      <c r="B16" s="115" t="n"/>
      <c r="C16" s="97" t="n"/>
      <c r="D16" s="97" t="n"/>
      <c r="E16" s="97" t="n"/>
      <c r="F16" s="97" t="n"/>
      <c r="G16" s="97" t="n"/>
      <c r="H16" s="129">
        <f>VLOOKUP(Tabeller!$A$33,dimensioner,10)</f>
        <v/>
      </c>
      <c r="I16" s="134">
        <f>VLOOKUP(Tabeller!$A$33,dimensioner,11)</f>
        <v/>
      </c>
      <c r="J16" s="105">
        <f>VLOOKUP(Tabeller!$A$33,dimensioner,30)</f>
        <v/>
      </c>
      <c r="K16" s="135">
        <f>VLOOKUP(Tabeller!$A$33,dimensioner,31)</f>
        <v/>
      </c>
    </row>
    <row r="17" ht="14.25" customHeight="1" s="175">
      <c r="B17" s="117" t="inlineStr">
        <is>
          <t>Rørmateriale:</t>
        </is>
      </c>
      <c r="C17" s="97" t="n"/>
      <c r="D17" s="97" t="n"/>
      <c r="E17" s="97" t="n"/>
      <c r="F17" s="97" t="n"/>
      <c r="G17" s="97" t="n"/>
      <c r="H17" s="129">
        <f>VLOOKUP(Tabeller!$A$33,dimensioner,12)</f>
        <v/>
      </c>
      <c r="I17" s="134">
        <f>VLOOKUP(Tabeller!$A$33,dimensioner,13)</f>
        <v/>
      </c>
      <c r="J17" s="105">
        <f>VLOOKUP(Tabeller!$A$33,dimensioner,32)</f>
        <v/>
      </c>
      <c r="K17" s="135">
        <f>VLOOKUP(Tabeller!$A$33,dimensioner,33)</f>
        <v/>
      </c>
    </row>
    <row r="18" ht="14.25" customHeight="1" s="175">
      <c r="B18" s="115" t="n"/>
      <c r="C18" s="97" t="n"/>
      <c r="D18" s="97" t="n"/>
      <c r="E18" s="97" t="n"/>
      <c r="F18" s="97" t="n"/>
      <c r="G18" s="97" t="n"/>
      <c r="H18" s="129">
        <f>VLOOKUP(Tabeller!$A$33,dimensioner,14)</f>
        <v/>
      </c>
      <c r="I18" s="134">
        <f>VLOOKUP(Tabeller!$A$33,dimensioner,15)</f>
        <v/>
      </c>
      <c r="J18" s="105">
        <f>VLOOKUP(Tabeller!$A$33,dimensioner,34)</f>
        <v/>
      </c>
      <c r="K18" s="135">
        <f>VLOOKUP(Tabeller!$A$33,dimensioner,35)</f>
        <v/>
      </c>
    </row>
    <row r="19" ht="14.25" customHeight="1" s="175">
      <c r="B19" s="117" t="inlineStr">
        <is>
          <t>Flow (vælg enhed)</t>
        </is>
      </c>
      <c r="C19" s="101">
        <f>Template!D2</f>
        <v/>
      </c>
      <c r="D19" s="97" t="n"/>
      <c r="E19" s="97" t="n"/>
      <c r="F19" s="97" t="n"/>
      <c r="G19" s="97" t="n"/>
      <c r="H19" s="129">
        <f>VLOOKUP(Tabeller!$A$33,dimensioner,16)</f>
        <v/>
      </c>
      <c r="I19" s="134">
        <f>VLOOKUP(Tabeller!$A$33,dimensioner,17)</f>
        <v/>
      </c>
      <c r="J19" s="105">
        <f>VLOOKUP(Tabeller!$A$33,dimensioner,36)</f>
        <v/>
      </c>
      <c r="K19" s="135">
        <f>VLOOKUP(Tabeller!$A$33,dimensioner,37)</f>
        <v/>
      </c>
    </row>
    <row r="20" ht="14.25" customHeight="1" s="175">
      <c r="B20" s="115" t="n"/>
      <c r="C20" s="101">
        <f>Template!D3</f>
        <v/>
      </c>
      <c r="D20" s="97" t="n"/>
      <c r="E20" s="97" t="n"/>
      <c r="F20" s="97" t="n"/>
      <c r="G20" s="97" t="n"/>
      <c r="H20" s="129">
        <f>VLOOKUP(Tabeller!$A$33,dimensioner,18)</f>
        <v/>
      </c>
      <c r="I20" s="134">
        <f>VLOOKUP(Tabeller!$A$33,dimensioner,19)</f>
        <v/>
      </c>
      <c r="J20" s="105">
        <f>VLOOKUP(Tabeller!$A$33,dimensioner,38)</f>
        <v/>
      </c>
      <c r="K20" s="135">
        <f>VLOOKUP(Tabeller!$A$33,dimensioner,39)</f>
        <v/>
      </c>
    </row>
    <row r="21" ht="14.25" customHeight="1" s="175" thickBot="1">
      <c r="B21" s="115" t="n"/>
      <c r="C21" s="101">
        <f>Template!D4</f>
        <v/>
      </c>
      <c r="D21" s="97" t="n"/>
      <c r="E21" s="97" t="n"/>
      <c r="F21" s="97" t="n"/>
      <c r="G21" s="97" t="n"/>
      <c r="H21" s="130">
        <f>VLOOKUP(Tabeller!$A$33,dimensioner,20)</f>
        <v/>
      </c>
      <c r="I21" s="136">
        <f>VLOOKUP(Tabeller!$A$33,dimensioner,21)</f>
        <v/>
      </c>
      <c r="J21" s="131">
        <f>VLOOKUP(Tabeller!$A$33,dimensioner,40)</f>
        <v/>
      </c>
      <c r="K21" s="137">
        <f>VLOOKUP(Tabeller!$A$33,dimensioner,41)</f>
        <v/>
      </c>
    </row>
    <row r="22" ht="14.25" customHeight="1" s="175" thickTop="1">
      <c r="B22" s="115" t="n"/>
      <c r="C22" s="101">
        <f>Template!D5</f>
        <v/>
      </c>
      <c r="D22" s="97" t="n"/>
      <c r="E22" s="97" t="n"/>
      <c r="F22" s="97" t="n"/>
      <c r="G22" s="97" t="n"/>
      <c r="H22" s="102" t="inlineStr">
        <is>
          <t xml:space="preserve"> </t>
        </is>
      </c>
      <c r="I22" s="97" t="n"/>
      <c r="J22" s="97" t="n"/>
      <c r="K22" s="123" t="n"/>
    </row>
    <row r="23" ht="14.25" customHeight="1" s="175" thickBot="1">
      <c r="B23" s="118" t="n"/>
      <c r="C23" s="112" t="n"/>
      <c r="D23" s="112" t="n"/>
      <c r="E23" s="112" t="n"/>
      <c r="F23" s="97" t="n"/>
      <c r="G23" s="97" t="n"/>
      <c r="H23" s="97" t="n"/>
      <c r="I23" s="97" t="n"/>
      <c r="J23" s="97" t="n"/>
      <c r="K23" s="123" t="n"/>
    </row>
    <row r="24" ht="14.25" customHeight="1" s="175" thickTop="1">
      <c r="B24" s="184" t="inlineStr">
        <is>
          <t>Tryktabsgradient som funktion af flow og diameter</t>
        </is>
      </c>
      <c r="F24" s="133" t="n"/>
      <c r="G24" s="185" t="inlineStr">
        <is>
          <t xml:space="preserve">Diameter som funktion af flow og tryktabsgradient </t>
        </is>
      </c>
      <c r="H24" s="181" t="n"/>
      <c r="I24" s="181" t="n"/>
      <c r="J24" s="181" t="n"/>
      <c r="K24" s="182" t="n"/>
    </row>
    <row r="25" ht="12.75" customHeight="1" s="175">
      <c r="A25" s="176" t="n"/>
      <c r="B25" s="177" t="inlineStr">
        <is>
          <t>Efter Colebrook-White´s formel</t>
        </is>
      </c>
      <c r="F25" s="177" t="n"/>
      <c r="G25" s="178" t="inlineStr">
        <is>
          <t xml:space="preserve">Efter Tor Wadmarks formel (afvigelse fra Colebrook-White er ca. -1/+3% </t>
        </is>
      </c>
      <c r="K25" s="176" t="n"/>
    </row>
    <row r="26" ht="13.5" customHeight="1" s="175">
      <c r="B26" s="106" t="n"/>
      <c r="C26" s="96" t="n"/>
      <c r="D26" s="96" t="n"/>
      <c r="E26" s="96" t="n"/>
      <c r="F26" s="96" t="n"/>
      <c r="G26" s="106" t="n"/>
      <c r="H26" s="96" t="n"/>
      <c r="I26" s="96" t="n"/>
      <c r="J26" s="96" t="n"/>
      <c r="K26" s="107" t="n"/>
    </row>
    <row r="27" ht="14.25" customHeight="1" s="175">
      <c r="B27" s="108" t="inlineStr">
        <is>
          <t>Indvendig diameter di / dh</t>
        </is>
      </c>
      <c r="C27" s="138" t="n">
        <v>400</v>
      </c>
      <c r="D27" s="96" t="inlineStr">
        <is>
          <t>[mm]</t>
        </is>
      </c>
      <c r="E27" s="96" t="n"/>
      <c r="F27" s="96" t="n"/>
      <c r="G27" s="108" t="inlineStr">
        <is>
          <t>Tryktabsgradient  R</t>
        </is>
      </c>
      <c r="H27" s="96" t="n"/>
      <c r="I27" s="94" t="n">
        <v>0.7</v>
      </c>
      <c r="J27" s="96" t="inlineStr">
        <is>
          <t>[pa/m]</t>
        </is>
      </c>
      <c r="K27" s="107" t="n"/>
    </row>
    <row r="28" ht="7.5" customHeight="1" s="175">
      <c r="B28" s="106" t="n"/>
      <c r="C28" s="96" t="n"/>
      <c r="D28" s="96" t="n"/>
      <c r="E28" s="96" t="n"/>
      <c r="F28" s="96" t="n"/>
      <c r="G28" s="106" t="n"/>
      <c r="H28" s="96" t="n"/>
      <c r="I28" s="132" t="n"/>
      <c r="J28" s="96" t="n"/>
      <c r="K28" s="107" t="n"/>
      <c r="T28" s="200" t="n"/>
      <c r="U28" t="inlineStr">
        <is>
          <t xml:space="preserve"> </t>
        </is>
      </c>
    </row>
    <row r="29" ht="12.75" customHeight="1" s="175">
      <c r="B29" s="108" t="inlineStr">
        <is>
          <t>Hastighed v</t>
        </is>
      </c>
      <c r="C29" s="139">
        <f>Tabeller!$A$54/Tabeller!$A$60</f>
        <v/>
      </c>
      <c r="D29" s="96" t="inlineStr">
        <is>
          <t>[m/s]</t>
        </is>
      </c>
      <c r="E29" s="96" t="n"/>
      <c r="F29" s="96" t="n"/>
      <c r="G29" s="140" t="inlineStr">
        <is>
          <t>Min. indvendig diameter di</t>
        </is>
      </c>
      <c r="H29" s="96" t="n"/>
      <c r="I29" s="141">
        <f>'Tor Wadmark'!F37</f>
        <v/>
      </c>
      <c r="J29" s="96" t="inlineStr">
        <is>
          <t>[mm]</t>
        </is>
      </c>
      <c r="K29" s="107" t="n"/>
    </row>
    <row r="30" ht="12.75" customHeight="1" s="175">
      <c r="B30" s="108" t="n"/>
      <c r="C30" s="139" t="n"/>
      <c r="D30" s="96" t="n"/>
      <c r="E30" s="96" t="n"/>
      <c r="F30" s="96" t="n"/>
      <c r="G30" s="140" t="inlineStr">
        <is>
          <t>Min. indvendig diameter di</t>
        </is>
      </c>
      <c r="H30" s="96" t="n"/>
      <c r="I30" s="141">
        <f>'Tor Wadmark'!F59</f>
        <v/>
      </c>
      <c r="J30" s="96" t="inlineStr">
        <is>
          <t>[mm]</t>
        </is>
      </c>
      <c r="K30" s="107" t="n"/>
    </row>
    <row r="31" ht="12.75" customHeight="1" s="175">
      <c r="B31" s="108" t="n"/>
      <c r="C31" s="139" t="n"/>
      <c r="D31" s="96" t="n"/>
      <c r="E31" s="96" t="n"/>
      <c r="F31" s="96" t="n"/>
      <c r="G31" s="140" t="inlineStr">
        <is>
          <t>Min. indvendig diameter di</t>
        </is>
      </c>
      <c r="H31" s="96" t="n"/>
      <c r="I31" s="141">
        <f>'Tor Wadmark'!F81</f>
        <v/>
      </c>
      <c r="J31" s="96" t="inlineStr">
        <is>
          <t>[mm]</t>
        </is>
      </c>
      <c r="K31" s="107" t="n"/>
    </row>
    <row r="32" ht="12.75" customHeight="1" s="175">
      <c r="B32" s="108" t="n"/>
      <c r="C32" s="139" t="n"/>
      <c r="D32" s="96" t="n"/>
      <c r="E32" s="96" t="n"/>
      <c r="F32" s="96" t="n"/>
      <c r="G32" s="140" t="inlineStr">
        <is>
          <t>Min. indvendig diameter di</t>
        </is>
      </c>
      <c r="H32" s="96" t="n"/>
      <c r="I32" s="141">
        <f>'Tor Wadmark'!F103</f>
        <v/>
      </c>
      <c r="J32" s="96" t="inlineStr">
        <is>
          <t>[mm]</t>
        </is>
      </c>
      <c r="K32" s="107" t="n"/>
    </row>
    <row r="33" ht="8.25" customHeight="1" s="175">
      <c r="B33" s="106" t="n"/>
      <c r="C33" s="96" t="n"/>
      <c r="D33" s="96" t="n"/>
      <c r="E33" s="96" t="n"/>
      <c r="F33" s="96" t="n"/>
      <c r="G33" s="106" t="n"/>
      <c r="H33" s="96" t="n"/>
      <c r="I33" s="132" t="n"/>
      <c r="J33" s="96" t="n"/>
      <c r="K33" s="107" t="n"/>
    </row>
    <row r="34" ht="12.75" customHeight="1" s="175">
      <c r="B34" s="108" t="inlineStr">
        <is>
          <t>Dynamisk tryk pd</t>
        </is>
      </c>
      <c r="C34" s="139">
        <f>0.5*Tabeller!$A$39*Tabeller!$A$63^2</f>
        <v/>
      </c>
      <c r="D34" s="96" t="inlineStr">
        <is>
          <t>[pa]</t>
        </is>
      </c>
      <c r="E34" s="96" t="n"/>
      <c r="F34" s="96" t="n"/>
      <c r="G34" s="108" t="inlineStr">
        <is>
          <t>Hastighed v</t>
        </is>
      </c>
      <c r="H34" s="96" t="n"/>
      <c r="I34" s="141">
        <f>Tabeller!$A$54/((PI()/4)*(Beregning!$I$29/1000)^2)</f>
        <v/>
      </c>
      <c r="J34" s="96" t="inlineStr">
        <is>
          <t>[m/s]</t>
        </is>
      </c>
      <c r="K34" s="107" t="n"/>
    </row>
    <row r="35" ht="7.5" customHeight="1" s="175">
      <c r="B35" s="106" t="n"/>
      <c r="C35" s="96" t="n"/>
      <c r="D35" s="96" t="n"/>
      <c r="E35" s="96" t="n"/>
      <c r="F35" s="96" t="n"/>
      <c r="G35" s="106" t="n"/>
      <c r="H35" s="96" t="n"/>
      <c r="I35" s="96" t="n"/>
      <c r="J35" s="96" t="n"/>
      <c r="K35" s="107" t="n"/>
    </row>
    <row r="36" ht="13.5" customHeight="1" s="175" thickBot="1">
      <c r="B36" s="109" t="inlineStr">
        <is>
          <t>Tryktabsgradient R</t>
        </is>
      </c>
      <c r="C36" s="142">
        <f>('Colebrook-White'!$E$25/(Beregning!$C$27/1000))*Beregning!$C$34</f>
        <v/>
      </c>
      <c r="D36" s="110" t="inlineStr">
        <is>
          <t>[pa/m]</t>
        </is>
      </c>
      <c r="E36" s="110" t="n"/>
      <c r="F36" s="96" t="n"/>
      <c r="G36" s="109" t="inlineStr">
        <is>
          <t>Dynamisk tryk pd</t>
        </is>
      </c>
      <c r="H36" s="110" t="n"/>
      <c r="I36" s="143">
        <f>0.5*Tabeller!$A$39*(Tabeller!$A$54/(($I$29/1000)^2*(PI()/4)))^2</f>
        <v/>
      </c>
      <c r="J36" s="110" t="inlineStr">
        <is>
          <t>[pa]</t>
        </is>
      </c>
      <c r="K36" s="111" t="n"/>
    </row>
    <row r="37" ht="13.5" customHeight="1" s="175" thickTop="1"/>
    <row r="39">
      <c r="O39" s="144" t="n"/>
      <c r="P39" s="144" t="n"/>
      <c r="R39" s="144" t="n"/>
    </row>
    <row r="40">
      <c r="O40" s="144" t="n"/>
      <c r="P40" s="144" t="n"/>
      <c r="R40" s="144" t="n"/>
    </row>
    <row r="41">
      <c r="O41" s="144" t="n"/>
      <c r="P41" s="144" t="n"/>
      <c r="R41" s="144" t="n"/>
    </row>
    <row r="42">
      <c r="O42" s="144" t="n"/>
      <c r="P42" s="144" t="n"/>
      <c r="R42" s="144" t="n"/>
    </row>
    <row r="43">
      <c r="O43" s="144" t="n"/>
      <c r="P43" s="144" t="n"/>
      <c r="R43" s="144" t="n"/>
    </row>
    <row r="44">
      <c r="O44" s="144" t="n"/>
      <c r="P44" s="144" t="n"/>
      <c r="R44" s="144" t="n"/>
    </row>
    <row r="45">
      <c r="O45" s="144" t="n"/>
      <c r="P45" s="144" t="n"/>
      <c r="R45" s="144" t="n"/>
    </row>
    <row r="46">
      <c r="O46" s="144" t="n"/>
      <c r="P46" s="144" t="n"/>
      <c r="R46" s="144" t="n"/>
    </row>
    <row r="47">
      <c r="O47" s="144" t="n"/>
      <c r="P47" s="144" t="n"/>
      <c r="R47" s="144" t="n"/>
    </row>
    <row r="48">
      <c r="O48" s="144" t="n"/>
      <c r="P48" s="144" t="n"/>
      <c r="R48" s="144" t="n"/>
    </row>
    <row r="49">
      <c r="O49" s="144" t="n"/>
      <c r="P49" s="144" t="n"/>
      <c r="R49" s="144" t="n"/>
    </row>
    <row r="50">
      <c r="O50" s="144" t="n"/>
      <c r="P50" s="144" t="n"/>
      <c r="R50" s="144" t="n"/>
    </row>
    <row r="51">
      <c r="O51" s="144" t="n"/>
      <c r="P51" s="144" t="n"/>
      <c r="R51" s="144" t="n"/>
    </row>
    <row r="52">
      <c r="O52" s="144" t="n"/>
      <c r="P52" s="144" t="n"/>
      <c r="R52" s="144" t="n"/>
    </row>
    <row r="53">
      <c r="O53" s="144" t="n"/>
      <c r="P53" s="144" t="n"/>
      <c r="R53" s="144" t="n"/>
    </row>
    <row r="54">
      <c r="O54" s="144" t="n"/>
      <c r="P54" s="144" t="n"/>
      <c r="R54" s="144" t="n"/>
    </row>
    <row r="55">
      <c r="O55" s="144" t="n"/>
      <c r="P55" s="144" t="n"/>
      <c r="R55" s="144" t="n"/>
    </row>
    <row r="56">
      <c r="O56" s="144" t="n"/>
      <c r="P56" s="144" t="n"/>
      <c r="R56" s="144" t="n"/>
    </row>
    <row r="57">
      <c r="O57" s="144" t="n"/>
      <c r="P57" s="144" t="n"/>
      <c r="R57" s="144" t="n"/>
    </row>
    <row r="58">
      <c r="O58" s="144" t="n"/>
      <c r="P58" s="144" t="n"/>
      <c r="R58" s="144" t="n"/>
    </row>
  </sheetData>
  <mergeCells count="8">
    <mergeCell ref="G3:K3"/>
    <mergeCell ref="B25:E25"/>
    <mergeCell ref="G25:K25"/>
    <mergeCell ref="G4:K4"/>
    <mergeCell ref="H9:K10"/>
    <mergeCell ref="B24:E24"/>
    <mergeCell ref="G24:K24"/>
    <mergeCell ref="G5:K5"/>
  </mergeCells>
  <pageMargins left="0.75" right="0.38" top="1" bottom="1" header="0" footer="0"/>
  <pageSetup orientation="landscape" paperSize="9"/>
</worksheet>
</file>

<file path=xl/worksheets/sheet5.xml><?xml version="1.0" encoding="utf-8"?>
<worksheet xmlns="http://schemas.openxmlformats.org/spreadsheetml/2006/main">
  <sheetPr codeName="Ark2">
    <outlinePr summaryBelow="1" summaryRight="1"/>
    <pageSetUpPr/>
  </sheetPr>
  <dimension ref="A1:AT78"/>
  <sheetViews>
    <sheetView workbookViewId="0">
      <selection activeCell="A33" sqref="A33"/>
    </sheetView>
  </sheetViews>
  <sheetFormatPr baseColWidth="8" defaultRowHeight="12.75"/>
  <cols>
    <col width="53.5703125" customWidth="1" style="175" min="1" max="1"/>
    <col width="13.42578125" bestFit="1" customWidth="1" style="175" min="2" max="2"/>
    <col width="15.7109375" bestFit="1" customWidth="1" style="175" min="3" max="3"/>
    <col width="50" bestFit="1" customWidth="1" style="175" min="5" max="5"/>
    <col width="13.42578125" bestFit="1" customWidth="1" style="175" min="6" max="6"/>
    <col width="15.7109375" bestFit="1" customWidth="1" style="175" min="7" max="7"/>
    <col width="11.140625" bestFit="1" customWidth="1" style="175" min="8" max="8"/>
    <col width="8.140625" bestFit="1" customWidth="1" style="175" min="9" max="9"/>
    <col width="12" bestFit="1" customWidth="1" style="175" min="10" max="10"/>
    <col width="12.5703125" bestFit="1" customWidth="1" style="175" min="11" max="12"/>
    <col width="8.140625" bestFit="1" customWidth="1" style="175" min="13" max="13"/>
    <col width="6.28515625" customWidth="1" style="175" min="14" max="14"/>
    <col width="8.140625" customWidth="1" style="175" min="15" max="15"/>
    <col width="6.28515625" customWidth="1" style="175" min="16" max="16"/>
    <col width="8.140625" bestFit="1" customWidth="1" style="175" min="17" max="17"/>
    <col width="6.28515625" customWidth="1" style="175" min="18" max="18"/>
    <col width="8.140625" bestFit="1" customWidth="1" style="175" min="19" max="19"/>
    <col width="6.28515625" customWidth="1" style="175" min="20" max="20"/>
    <col width="8.140625" bestFit="1" customWidth="1" style="175" min="21" max="21"/>
    <col width="6.28515625" customWidth="1" style="175" min="22" max="22"/>
    <col width="6.28515625" customWidth="1" style="175" min="24" max="24"/>
    <col width="6.28515625" customWidth="1" style="175" min="26" max="26"/>
    <col width="6.28515625" customWidth="1" style="175" min="28" max="28"/>
    <col width="6.28515625" customWidth="1" style="175" min="30" max="30"/>
    <col width="6.28515625" customWidth="1" style="175" min="32" max="32"/>
    <col width="6.28515625" customWidth="1" style="175" min="34" max="34"/>
    <col width="6.28515625" customWidth="1" style="175" min="36" max="36"/>
    <col width="6.28515625" customWidth="1" style="175" min="38" max="38"/>
    <col width="6.28515625" customWidth="1" style="175" min="40" max="40"/>
    <col width="6.28515625" customWidth="1" style="175" min="42" max="42"/>
    <col width="6.28515625" customWidth="1" style="175" min="44" max="44"/>
    <col width="6.28515625" customWidth="1" style="175" min="46" max="46"/>
  </cols>
  <sheetData>
    <row r="1" ht="15.75" customHeight="1" s="175">
      <c r="A1" s="186" t="inlineStr">
        <is>
          <t>Tabel 1</t>
        </is>
      </c>
      <c r="B1" s="187" t="n"/>
      <c r="C1" s="188" t="n"/>
      <c r="E1" s="198" t="inlineStr">
        <is>
          <t>Tabel 2 - stofværdier</t>
        </is>
      </c>
    </row>
    <row r="2" ht="13.5" customHeight="1" s="175" thickBot="1">
      <c r="A2" s="189" t="inlineStr">
        <is>
          <t>Rørmateriale og absolut sandruheder</t>
        </is>
      </c>
      <c r="C2" s="190" t="n"/>
      <c r="E2" s="199" t="n"/>
    </row>
    <row r="3" ht="13.5" customHeight="1" s="175" thickBot="1">
      <c r="A3" s="4" t="n"/>
      <c r="B3" s="5" t="n"/>
      <c r="C3" s="6" t="n"/>
      <c r="E3" s="31" t="n"/>
      <c r="F3" s="32" t="n"/>
      <c r="G3" s="194" t="inlineStr">
        <is>
          <t>Densitet r [kg/m³]</t>
        </is>
      </c>
      <c r="H3" s="195" t="n"/>
      <c r="I3" s="196" t="n"/>
      <c r="J3" s="197" t="inlineStr">
        <is>
          <t>Kinematisk viskositet n [m²/s]</t>
        </is>
      </c>
      <c r="K3" s="195" t="n"/>
      <c r="L3" s="196" t="n"/>
      <c r="M3" s="54" t="n"/>
      <c r="N3" s="55" t="n"/>
    </row>
    <row r="4">
      <c r="A4" s="7" t="inlineStr">
        <is>
          <t>Betegnelse</t>
        </is>
      </c>
      <c r="B4" s="8" t="inlineStr">
        <is>
          <t>Hjælpekolonne</t>
        </is>
      </c>
      <c r="C4" s="9" t="inlineStr">
        <is>
          <t>Sandruhed</t>
        </is>
      </c>
      <c r="E4" s="58" t="inlineStr">
        <is>
          <t>Temperatur</t>
        </is>
      </c>
      <c r="F4" s="62" t="inlineStr">
        <is>
          <t>Hjælpekolonne</t>
        </is>
      </c>
      <c r="G4" s="64" t="inlineStr">
        <is>
          <t>Vand</t>
        </is>
      </c>
      <c r="H4" s="59" t="inlineStr">
        <is>
          <t>Vand/Glycol</t>
        </is>
      </c>
      <c r="I4" s="65" t="inlineStr">
        <is>
          <t>Luft</t>
        </is>
      </c>
      <c r="J4" s="64" t="inlineStr">
        <is>
          <t>Vand</t>
        </is>
      </c>
      <c r="K4" s="59" t="inlineStr">
        <is>
          <t>Vand/Glycol</t>
        </is>
      </c>
      <c r="L4" s="65" t="inlineStr">
        <is>
          <t>Luft</t>
        </is>
      </c>
      <c r="O4" s="53" t="n"/>
    </row>
    <row r="5" ht="13.5" customHeight="1" s="175" thickBot="1">
      <c r="A5" s="10" t="n"/>
      <c r="B5" s="11" t="inlineStr">
        <is>
          <t>[-]</t>
        </is>
      </c>
      <c r="C5" s="12" t="inlineStr">
        <is>
          <t>[mm]</t>
        </is>
      </c>
      <c r="E5" s="34" t="inlineStr">
        <is>
          <t>[Cº]</t>
        </is>
      </c>
      <c r="F5" s="63" t="inlineStr">
        <is>
          <t>[-]</t>
        </is>
      </c>
      <c r="G5" s="33" t="n"/>
      <c r="H5" s="34" t="n">
        <v>20</v>
      </c>
      <c r="I5" s="35" t="n"/>
      <c r="J5" s="33" t="n"/>
      <c r="K5" s="34">
        <f>H5</f>
        <v/>
      </c>
      <c r="L5" s="35" t="n"/>
      <c r="M5" s="200" t="n"/>
      <c r="N5" s="200" t="n"/>
    </row>
    <row r="6">
      <c r="A6" s="7" t="inlineStr">
        <is>
          <t>Spiralfalsede galvaniserede ventilationskanaler</t>
        </is>
      </c>
      <c r="B6" s="8" t="n">
        <v>1</v>
      </c>
      <c r="C6" s="9" t="n">
        <v>0.15</v>
      </c>
      <c r="E6" s="61" t="n">
        <v>-20</v>
      </c>
      <c r="F6" s="52" t="n">
        <v>1</v>
      </c>
      <c r="G6" s="52" t="n"/>
      <c r="H6" s="52" t="n"/>
      <c r="I6" s="145" t="n">
        <v>1.3765</v>
      </c>
      <c r="J6" s="52" t="n"/>
      <c r="K6" s="52" t="n"/>
      <c r="L6" s="146" t="n">
        <v>1.173e-05</v>
      </c>
    </row>
    <row r="7">
      <c r="A7" s="13" t="inlineStr">
        <is>
          <t>Betonkanaler (til ventilation)</t>
        </is>
      </c>
      <c r="B7" s="14" t="n">
        <v>2</v>
      </c>
      <c r="C7" s="15" t="n">
        <v>0.15</v>
      </c>
      <c r="E7" s="59" t="n">
        <v>0</v>
      </c>
      <c r="F7" s="60" t="n">
        <v>2</v>
      </c>
      <c r="G7" s="60" t="n">
        <v>999.8</v>
      </c>
      <c r="H7" s="147">
        <f>(996.5+152.3*10^-2*$H$5-96.6*10^-4*$H$5^2)+(-1.7-146.1*10^-2*$H$5+76.7*10^-4*$H$5^2)*10^-2*E7+(-38.4+62.1*10^-2*$H$5-30.8*10^-4*$H$5^2)*10^-4*E7^2</f>
        <v/>
      </c>
      <c r="I7" s="148" t="n">
        <v>1.2754</v>
      </c>
      <c r="J7" s="149" t="n">
        <v>1.751e-06</v>
      </c>
      <c r="K7" s="150">
        <f>(1.293*EXP(4.388*10^-2*$K$5))*10^-6*EXP((-1.709-1.921*10^-2*$K$5-0.6*10^-4*$K$5^2)*10^-2*E7)</f>
        <v/>
      </c>
      <c r="L7" s="150" t="n">
        <v>1.341e-05</v>
      </c>
      <c r="N7" s="151" t="n"/>
    </row>
    <row r="8">
      <c r="A8" s="13" t="inlineStr">
        <is>
          <t>Varmforzinkede stålrør DIN2444 (gevindrør) med afsætning</t>
        </is>
      </c>
      <c r="B8" s="14" t="n">
        <v>3</v>
      </c>
      <c r="C8" s="15" t="n">
        <v>1.3</v>
      </c>
      <c r="E8" s="59" t="n">
        <v>10</v>
      </c>
      <c r="F8" s="60" t="n">
        <v>3</v>
      </c>
      <c r="G8" s="147" t="n">
        <v>999.7</v>
      </c>
      <c r="H8" s="147">
        <f>(996.5+152.3*10^-2*$H$5-96.6*10^-4*$H$5^2)+(-1.7-146.1*10^-2*$H$5+76.7*10^-4*$H$5^2)*10^-2*E8+(-38.4+62.1*10^-2*$H$5-30.8*10^-4*$H$5^2)*10^-4*E8^2</f>
        <v/>
      </c>
      <c r="I8" s="148" t="n">
        <v>1.23175</v>
      </c>
      <c r="J8" s="149" t="n">
        <v>1.3e-06</v>
      </c>
      <c r="K8" s="150">
        <f>(1.293*EXP(4.388*10^-2*$K$5))*10^-6*EXP((-1.709-1.921*10^-2*$K$5-0.6*10^-4*$K$5^2)*10^-2*E8)</f>
        <v/>
      </c>
      <c r="L8" s="150" t="n">
        <v>1.427e-05</v>
      </c>
      <c r="M8" s="152" t="n"/>
      <c r="N8" s="151" t="n"/>
      <c r="O8" s="200" t="n"/>
    </row>
    <row r="9">
      <c r="A9" s="13" t="inlineStr">
        <is>
          <t>Kobberrør med kalkafsætning (DS2110)</t>
        </is>
      </c>
      <c r="B9" s="14" t="n">
        <v>4</v>
      </c>
      <c r="C9" s="15" t="n">
        <v>0.15</v>
      </c>
      <c r="E9" s="59" t="n">
        <v>15</v>
      </c>
      <c r="F9" s="60" t="n">
        <v>4</v>
      </c>
      <c r="G9" s="147" t="n">
        <v>999.2</v>
      </c>
      <c r="H9" s="147">
        <f>(996.5+152.3*10^-2*$H$5-96.6*10^-4*$H$5^2)+(-1.7-146.1*10^-2*$H$5+76.7*10^-4*$H$5^2)*10^-2*E9+(-38.4+62.1*10^-2*$H$5-30.8*10^-4*$H$5^2)*10^-4*E9^2</f>
        <v/>
      </c>
      <c r="I9" s="148" t="n">
        <v>1.209925</v>
      </c>
      <c r="J9" s="149" t="n">
        <v>1.137e-06</v>
      </c>
      <c r="K9" s="150">
        <f>(1.293*EXP(4.388*10^-2*$K$5))*10^-6*EXP((-1.709-1.921*10^-2*$K$5-0.6*10^-4*$K$5^2)*10^-2*E9)</f>
        <v/>
      </c>
      <c r="L9" s="150" t="n">
        <v>1.47e-05</v>
      </c>
      <c r="N9" s="151" t="n"/>
    </row>
    <row r="10">
      <c r="A10" s="13" t="inlineStr">
        <is>
          <t>Asbest-cementrør (DS160)</t>
        </is>
      </c>
      <c r="B10" s="14" t="n">
        <v>5</v>
      </c>
      <c r="C10" s="15" t="n">
        <v>0.025</v>
      </c>
      <c r="E10" s="59" t="n">
        <v>20</v>
      </c>
      <c r="F10" s="60" t="n">
        <v>5</v>
      </c>
      <c r="G10" s="147" t="n">
        <v>998.2</v>
      </c>
      <c r="H10" s="147">
        <f>(996.5+152.3*10^-2*$H$5-96.6*10^-4*$H$5^2)+(-1.7-146.1*10^-2*$H$5+76.7*10^-4*$H$5^2)*10^-2*E10+(-38.4+62.1*10^-2*$H$5-30.8*10^-4*$H$5^2)*10^-4*E10^2</f>
        <v/>
      </c>
      <c r="I10" s="148" t="n">
        <v>1.1881</v>
      </c>
      <c r="J10" s="149" t="n">
        <v>1.003e-06</v>
      </c>
      <c r="K10" s="150">
        <f>(1.293*EXP(4.388*10^-2*$K$5))*10^-6*EXP((-1.709-1.921*10^-2*$K$5-0.6*10^-4*$K$5^2)*10^-2*E10)</f>
        <v/>
      </c>
      <c r="L10" s="150" t="n">
        <v>1.513e-05</v>
      </c>
      <c r="M10" s="152" t="n"/>
      <c r="N10" s="151" t="n"/>
    </row>
    <row r="11">
      <c r="A11" s="13" t="inlineStr">
        <is>
          <t>Kobberrør uden kalkafsætning (DS2110)</t>
        </is>
      </c>
      <c r="B11" s="14" t="n">
        <v>6</v>
      </c>
      <c r="C11" s="15" t="n">
        <v>0.0015</v>
      </c>
      <c r="E11" s="59" t="n">
        <v>25</v>
      </c>
      <c r="F11" s="60" t="n">
        <v>6</v>
      </c>
      <c r="G11" s="147" t="n">
        <v>997.1</v>
      </c>
      <c r="H11" s="147">
        <f>(996.5+152.3*10^-2*$H$5-96.6*10^-4*$H$5^2)+(-1.7-146.1*10^-2*$H$5+76.7*10^-4*$H$5^2)*10^-2*E11+(-38.4+62.1*10^-2*$H$5-30.8*10^-4*$H$5^2)*10^-4*E11^2</f>
        <v/>
      </c>
      <c r="I11" s="148" t="n">
        <v>1.169075</v>
      </c>
      <c r="J11" s="149" t="n">
        <v>8.93e-07</v>
      </c>
      <c r="K11" s="150">
        <f>(1.293*EXP(4.388*10^-2*$K$5))*10^-6*EXP((-1.709-1.921*10^-2*$K$5-0.6*10^-4*$K$5^2)*10^-2*E11)</f>
        <v/>
      </c>
      <c r="L11" s="150" t="n">
        <v>1.55775e-05</v>
      </c>
      <c r="N11" s="151" t="n"/>
    </row>
    <row r="12">
      <c r="A12" s="13" t="inlineStr">
        <is>
          <t>Rustfri stålrør med kalkafsætning DIN 10088 (Blücher Mapress)</t>
        </is>
      </c>
      <c r="B12" s="14" t="n">
        <v>7</v>
      </c>
      <c r="C12" s="15" t="n">
        <v>0.15</v>
      </c>
      <c r="E12" s="59" t="n">
        <v>30</v>
      </c>
      <c r="F12" s="60" t="n">
        <v>7</v>
      </c>
      <c r="G12" s="147" t="n">
        <v>995.7</v>
      </c>
      <c r="H12" s="147">
        <f>(996.5+152.3*10^-2*$H$5-96.6*10^-4*$H$5^2)+(-1.7-146.1*10^-2*$H$5+76.7*10^-4*$H$5^2)*10^-2*E12+(-38.4+62.1*10^-2*$H$5-30.8*10^-4*$H$5^2)*10^-4*E12^2</f>
        <v/>
      </c>
      <c r="I12" s="148" t="n">
        <v>1.15005</v>
      </c>
      <c r="J12" s="149" t="n">
        <v>8.01e-07</v>
      </c>
      <c r="K12" s="150">
        <f>(1.293*EXP(4.388*10^-2*$K$5))*10^-6*EXP((-1.709-1.921*10^-2*$K$5-0.6*10^-4*$K$5^2)*10^-2*E12)</f>
        <v/>
      </c>
      <c r="L12" s="150" t="n">
        <v>1.6025e-05</v>
      </c>
      <c r="M12" s="152" t="n"/>
      <c r="N12" s="151" t="n"/>
    </row>
    <row r="13">
      <c r="A13" s="13" t="inlineStr">
        <is>
          <t>Rustfri stålrør uden kalkafsætning DIN 10088 (Blücher Mapress)</t>
        </is>
      </c>
      <c r="B13" s="14" t="n">
        <v>8</v>
      </c>
      <c r="C13" s="15" t="n">
        <v>0.0015</v>
      </c>
      <c r="E13" s="59" t="n">
        <v>35</v>
      </c>
      <c r="F13" s="60" t="n">
        <v>8</v>
      </c>
      <c r="G13" s="147" t="n">
        <v>994</v>
      </c>
      <c r="H13" s="147">
        <f>(996.5+152.3*10^-2*$H$5-96.6*10^-4*$H$5^2)+(-1.7-146.1*10^-2*$H$5+76.7*10^-4*$H$5^2)*10^-2*E13+(-38.4+62.1*10^-2*$H$5-30.8*10^-4*$H$5^2)*10^-4*E13^2</f>
        <v/>
      </c>
      <c r="I13" s="148" t="n">
        <v>1.131025</v>
      </c>
      <c r="J13" s="149" t="n">
        <v>7.23e-07</v>
      </c>
      <c r="K13" s="150">
        <f>(1.293*EXP(4.388*10^-2*$K$5))*10^-6*EXP((-1.709-1.921*10^-2*$K$5-0.6*10^-4*$K$5^2)*10^-2*E13)</f>
        <v/>
      </c>
      <c r="L13" s="150" t="n">
        <v>1.64725e-05</v>
      </c>
      <c r="N13" s="151" t="n"/>
    </row>
    <row r="14">
      <c r="A14" s="13" t="inlineStr">
        <is>
          <t>Støbejernsrør SG-rør klasse K9</t>
        </is>
      </c>
      <c r="B14" s="14" t="n">
        <v>9</v>
      </c>
      <c r="C14" s="66" t="n">
        <v>1</v>
      </c>
      <c r="E14" s="59" t="n">
        <v>40</v>
      </c>
      <c r="F14" s="60" t="n">
        <v>9</v>
      </c>
      <c r="G14" s="147" t="n">
        <v>992.2</v>
      </c>
      <c r="H14" s="147">
        <f>(996.5+152.3*10^-2*$H$5-96.6*10^-4*$H$5^2)+(-1.7-146.1*10^-2*$H$5+76.7*10^-4*$H$5^2)*10^-2*E14+(-38.4+62.1*10^-2*$H$5-30.8*10^-4*$H$5^2)*10^-4*E14^2</f>
        <v/>
      </c>
      <c r="I14" s="148" t="n">
        <v>1.112</v>
      </c>
      <c r="J14" s="149" t="n">
        <v>6.57e-07</v>
      </c>
      <c r="K14" s="150">
        <f>(1.293*EXP(4.388*10^-2*$K$5))*10^-6*EXP((-1.709-1.921*10^-2*$K$5-0.6*10^-4*$K$5^2)*10^-2*E14)</f>
        <v/>
      </c>
      <c r="L14" s="150" t="n">
        <v>1.692e-05</v>
      </c>
      <c r="M14" s="152" t="n"/>
      <c r="N14" s="151" t="n"/>
    </row>
    <row r="15">
      <c r="A15" s="13" t="inlineStr">
        <is>
          <t>Middelsvære gevindrør (stål) DIN2440</t>
        </is>
      </c>
      <c r="B15" s="14" t="n">
        <v>10</v>
      </c>
      <c r="C15" s="15" t="n">
        <v>0.05</v>
      </c>
      <c r="E15" s="59" t="n">
        <v>45</v>
      </c>
      <c r="F15" s="60" t="n">
        <v>10</v>
      </c>
      <c r="G15" s="147" t="n">
        <v>990.2</v>
      </c>
      <c r="H15" s="147">
        <f>(996.5+152.3*10^-2*$H$5-96.6*10^-4*$H$5^2)+(-1.7-146.1*10^-2*$H$5+76.7*10^-4*$H$5^2)*10^-2*E15+(-38.4+62.1*10^-2*$H$5-30.8*10^-4*$H$5^2)*10^-4*E15^2</f>
        <v/>
      </c>
      <c r="I15" s="148" t="n">
        <v>1.0953</v>
      </c>
      <c r="J15" s="149" t="n">
        <v>6e-07</v>
      </c>
      <c r="K15" s="150">
        <f>(1.293*EXP(4.388*10^-2*$K$5))*10^-6*EXP((-1.709-1.921*10^-2*$K$5-0.6*10^-4*$K$5^2)*10^-2*E15)</f>
        <v/>
      </c>
      <c r="L15" s="150" t="n">
        <v>1.741e-05</v>
      </c>
      <c r="N15" s="151" t="n"/>
    </row>
    <row r="16">
      <c r="A16" s="13" t="inlineStr">
        <is>
          <t>Fjernvarmeledninger, glatte sømløse stålrør DIN2448</t>
        </is>
      </c>
      <c r="B16" s="14" t="n">
        <v>11</v>
      </c>
      <c r="C16" s="15" t="n">
        <v>0.03</v>
      </c>
      <c r="E16" s="59" t="n">
        <v>50</v>
      </c>
      <c r="F16" s="60" t="n">
        <v>11</v>
      </c>
      <c r="G16" s="147" t="n">
        <v>988</v>
      </c>
      <c r="H16" s="147">
        <f>(996.5+152.3*10^-2*$H$5-96.6*10^-4*$H$5^2)+(-1.7-146.1*10^-2*$H$5+76.7*10^-4*$H$5^2)*10^-2*E16+(-38.4+62.1*10^-2*$H$5-30.8*10^-4*$H$5^2)*10^-4*E16^2</f>
        <v/>
      </c>
      <c r="I16" s="148" t="n">
        <v>1.0786</v>
      </c>
      <c r="J16" s="149" t="n">
        <v>5.51e-07</v>
      </c>
      <c r="K16" s="150">
        <f>(1.293*EXP(4.388*10^-2*$K$5))*10^-6*EXP((-1.709-1.921*10^-2*$K$5-0.6*10^-4*$K$5^2)*10^-2*E16)</f>
        <v/>
      </c>
      <c r="L16" s="150" t="n">
        <v>1.79e-05</v>
      </c>
      <c r="M16" s="152" t="n"/>
      <c r="N16" s="151" t="n"/>
    </row>
    <row r="17">
      <c r="A17" s="13" t="inlineStr">
        <is>
          <t>PVC-rør (DS972) PN10</t>
        </is>
      </c>
      <c r="B17" s="14" t="n">
        <v>12</v>
      </c>
      <c r="C17" s="15" t="n">
        <v>0.01</v>
      </c>
      <c r="E17" s="59" t="n">
        <v>55</v>
      </c>
      <c r="F17" s="60" t="n">
        <v>12</v>
      </c>
      <c r="G17" s="147" t="n">
        <v>985.7</v>
      </c>
      <c r="H17" s="147">
        <f>(996.5+152.3*10^-2*$H$5-96.6*10^-4*$H$5^2)+(-1.7-146.1*10^-2*$H$5+76.7*10^-4*$H$5^2)*10^-2*E17+(-38.4+62.1*10^-2*$H$5-30.8*10^-4*$H$5^2)*10^-4*E17^2</f>
        <v/>
      </c>
      <c r="I17" s="148" t="n">
        <v>1.0619</v>
      </c>
      <c r="J17" s="149" t="n">
        <v>5.08e-07</v>
      </c>
      <c r="K17" s="150">
        <f>(1.293*EXP(4.388*10^-2*$K$5))*10^-6*EXP((-1.709-1.921*10^-2*$K$5-0.6*10^-4*$K$5^2)*10^-2*E17)</f>
        <v/>
      </c>
      <c r="L17" s="150" t="n">
        <v>1.839e-05</v>
      </c>
      <c r="N17" s="151" t="n"/>
    </row>
    <row r="18">
      <c r="A18" s="13" t="inlineStr">
        <is>
          <t>PEL-rør (DS719) PN10</t>
        </is>
      </c>
      <c r="B18" s="14" t="n">
        <v>13</v>
      </c>
      <c r="C18" s="15" t="n">
        <v>0.01</v>
      </c>
      <c r="E18" s="59" t="n">
        <v>60</v>
      </c>
      <c r="F18" s="60" t="n">
        <v>13</v>
      </c>
      <c r="G18" s="147" t="n">
        <v>983.2</v>
      </c>
      <c r="H18" s="147">
        <f>(996.5+152.3*10^-2*$H$5-96.6*10^-4*$H$5^2)+(-1.7-146.1*10^-2*$H$5+76.7*10^-4*$H$5^2)*10^-2*E18+(-38.4+62.1*10^-2*$H$5-30.8*10^-4*$H$5^2)*10^-4*E18^2</f>
        <v/>
      </c>
      <c r="I18" s="148" t="n">
        <v>1.0452</v>
      </c>
      <c r="J18" s="149" t="n">
        <v>4.71e-07</v>
      </c>
      <c r="K18" s="150">
        <f>(1.293*EXP(4.388*10^-2*$K$5))*10^-6*EXP((-1.709-1.921*10^-2*$K$5-0.6*10^-4*$K$5^2)*10^-2*E18)</f>
        <v/>
      </c>
      <c r="L18" s="150" t="n">
        <v>1.888e-05</v>
      </c>
      <c r="M18" s="152" t="n"/>
      <c r="N18" s="151" t="n"/>
    </row>
    <row r="19">
      <c r="A19" s="13" t="inlineStr">
        <is>
          <t>PEM- og PEH-rør (DS2129) PN10</t>
        </is>
      </c>
      <c r="B19" s="14" t="n">
        <v>14</v>
      </c>
      <c r="C19" s="15" t="n">
        <v>0.01</v>
      </c>
      <c r="E19" s="59" t="n">
        <v>65</v>
      </c>
      <c r="F19" s="60" t="n">
        <v>14</v>
      </c>
      <c r="G19" s="147" t="n">
        <v>980.5</v>
      </c>
      <c r="H19" s="147">
        <f>(996.5+152.3*10^-2*$H$5-96.6*10^-4*$H$5^2)+(-1.7-146.1*10^-2*$H$5+76.7*10^-4*$H$5^2)*10^-2*E19+(-38.4+62.1*10^-2*$H$5-30.8*10^-4*$H$5^2)*10^-4*E19^2</f>
        <v/>
      </c>
      <c r="I19" s="148" t="n">
        <v>1.030375</v>
      </c>
      <c r="J19" s="149" t="n">
        <v>4.38e-07</v>
      </c>
      <c r="K19" s="150">
        <f>(1.293*EXP(4.388*10^-2*$K$5))*10^-6*EXP((-1.709-1.921*10^-2*$K$5-0.6*10^-4*$K$5^2)*10^-2*E19)</f>
        <v/>
      </c>
      <c r="L19" s="150" t="n">
        <v>1.9415e-05</v>
      </c>
      <c r="N19" s="151" t="n"/>
    </row>
    <row r="20">
      <c r="A20" s="13" t="inlineStr">
        <is>
          <t>PEX-rør PN10 (Wirsbo-PEX)</t>
        </is>
      </c>
      <c r="B20" s="14" t="n">
        <v>15</v>
      </c>
      <c r="C20" s="15" t="n">
        <v>0.01</v>
      </c>
      <c r="E20" s="59" t="n">
        <v>70</v>
      </c>
      <c r="F20" s="60" t="n">
        <v>15</v>
      </c>
      <c r="G20" s="147" t="n">
        <v>977.7</v>
      </c>
      <c r="H20" s="147">
        <f>(996.5+152.3*10^-2*$H$5-96.6*10^-4*$H$5^2)+(-1.7-146.1*10^-2*$H$5+76.7*10^-4*$H$5^2)*10^-2*E20+(-38.4+62.1*10^-2*$H$5-30.8*10^-4*$H$5^2)*10^-4*E20^2</f>
        <v/>
      </c>
      <c r="I20" s="148" t="n">
        <v>1.01555</v>
      </c>
      <c r="J20" s="149" t="n">
        <v>4.1e-07</v>
      </c>
      <c r="K20" s="150">
        <f>(1.293*EXP(4.388*10^-2*$K$5))*10^-6*EXP((-1.709-1.921*10^-2*$K$5-0.6*10^-4*$K$5^2)*10^-2*E20)</f>
        <v/>
      </c>
      <c r="L20" s="150" t="n">
        <v>1.995e-05</v>
      </c>
      <c r="M20" s="152" t="n"/>
      <c r="N20" s="151" t="n"/>
    </row>
    <row r="21">
      <c r="A21" s="13" t="inlineStr">
        <is>
          <t>PEX-rør PN6 (Wirsbo evalPEX)</t>
        </is>
      </c>
      <c r="B21" s="14" t="n">
        <v>16</v>
      </c>
      <c r="C21" s="15" t="n">
        <v>0.01</v>
      </c>
      <c r="E21" s="59" t="n">
        <v>75</v>
      </c>
      <c r="F21" s="60" t="n">
        <v>16</v>
      </c>
      <c r="G21" s="147" t="n">
        <v>974.8</v>
      </c>
      <c r="H21" s="147">
        <f>(996.5+152.3*10^-2*$H$5-96.6*10^-4*$H$5^2)+(-1.7-146.1*10^-2*$H$5+76.7*10^-4*$H$5^2)*10^-2*E21+(-38.4+62.1*10^-2*$H$5-30.8*10^-4*$H$5^2)*10^-4*E21^2</f>
        <v/>
      </c>
      <c r="I21" s="148" t="n">
        <v>1.000725</v>
      </c>
      <c r="J21" s="149" t="n">
        <v>3.84e-07</v>
      </c>
      <c r="K21" s="150">
        <f>(1.293*EXP(4.388*10^-2*$K$5))*10^-6*EXP((-1.709-1.921*10^-2*$K$5-0.6*10^-4*$K$5^2)*10^-2*E21)</f>
        <v/>
      </c>
      <c r="L21" s="150" t="n">
        <v>2.0485e-05</v>
      </c>
      <c r="N21" s="151" t="n"/>
    </row>
    <row r="22">
      <c r="A22" s="13" t="inlineStr">
        <is>
          <t>AluPEX-rør</t>
        </is>
      </c>
      <c r="B22" s="14" t="n">
        <v>17</v>
      </c>
      <c r="C22" s="15" t="n">
        <v>0.01</v>
      </c>
      <c r="E22" s="59" t="n">
        <v>80</v>
      </c>
      <c r="F22" s="60" t="n">
        <v>17</v>
      </c>
      <c r="G22" s="147" t="n">
        <v>971.6</v>
      </c>
      <c r="H22" s="147">
        <f>(996.5+152.3*10^-2*$H$5-96.6*10^-4*$H$5^2)+(-1.7-146.1*10^-2*$H$5+76.7*10^-4*$H$5^2)*10^-2*E22+(-38.4+62.1*10^-2*$H$5-30.8*10^-4*$H$5^2)*10^-4*E22^2</f>
        <v/>
      </c>
      <c r="I22" s="148" t="n">
        <v>0.9859</v>
      </c>
      <c r="J22" s="149" t="n">
        <v>3.61e-07</v>
      </c>
      <c r="K22" s="150">
        <f>(1.293*EXP(4.388*10^-2*$K$5))*10^-6*EXP((-1.709-1.921*10^-2*$K$5-0.6*10^-4*$K$5^2)*10^-2*E22)</f>
        <v/>
      </c>
      <c r="L22" s="150" t="n">
        <v>2.102e-05</v>
      </c>
      <c r="M22" s="152" t="n"/>
      <c r="N22" s="151" t="n"/>
    </row>
    <row r="23">
      <c r="A23" s="13" t="inlineStr">
        <is>
          <t>Skorsten af svejste stålrør/kanaler</t>
        </is>
      </c>
      <c r="B23" s="14" t="n">
        <v>18</v>
      </c>
      <c r="C23" s="15" t="n">
        <v>0.05</v>
      </c>
      <c r="E23" s="59" t="n">
        <v>85</v>
      </c>
      <c r="F23" s="60" t="n">
        <v>18</v>
      </c>
      <c r="G23" s="147" t="n">
        <v>968.4</v>
      </c>
      <c r="H23" s="147">
        <f>(996.5+152.3*10^-2*$H$5-96.6*10^-4*$H$5^2)+(-1.7-146.1*10^-2*$H$5+76.7*10^-4*$H$5^2)*10^-2*E23+(-38.4+62.1*10^-2*$H$5-30.8*10^-4*$H$5^2)*10^-4*E23^2</f>
        <v/>
      </c>
      <c r="I23" s="148" t="n">
        <v>0.97265</v>
      </c>
      <c r="J23" s="149" t="n">
        <v>3.41e-07</v>
      </c>
      <c r="K23" s="150">
        <f>(1.293*EXP(4.388*10^-2*$K$5))*10^-6*EXP((-1.709-1.921*10^-2*$K$5-0.6*10^-4*$K$5^2)*10^-2*E23)</f>
        <v/>
      </c>
      <c r="L23" s="150" t="n">
        <v>2.15525e-05</v>
      </c>
      <c r="N23" s="151" t="n"/>
    </row>
    <row r="24">
      <c r="A24" s="13" t="inlineStr">
        <is>
          <t>Skorsten af let rustne svejste stålrør/kanaler</t>
        </is>
      </c>
      <c r="B24" s="14" t="n">
        <v>19</v>
      </c>
      <c r="C24" s="15" t="n">
        <v>0.2</v>
      </c>
      <c r="E24" s="59" t="n">
        <v>90</v>
      </c>
      <c r="F24" s="60" t="n">
        <v>19</v>
      </c>
      <c r="G24" s="147" t="n">
        <v>965.2</v>
      </c>
      <c r="H24" s="147">
        <f>(996.5+152.3*10^-2*$H$5-96.6*10^-4*$H$5^2)+(-1.7-146.1*10^-2*$H$5+76.7*10^-4*$H$5^2)*10^-2*E24+(-38.4+62.1*10^-2*$H$5-30.8*10^-4*$H$5^2)*10^-4*E24^2</f>
        <v/>
      </c>
      <c r="I24" s="148" t="n">
        <v>0.9594</v>
      </c>
      <c r="J24" s="149" t="n">
        <v>3.23e-07</v>
      </c>
      <c r="K24" s="150">
        <f>(1.293*EXP(4.388*10^-2*$K$5))*10^-6*EXP((-1.709-1.921*10^-2*$K$5-0.6*10^-4*$K$5^2)*10^-2*E24)</f>
        <v/>
      </c>
      <c r="L24" s="150" t="n">
        <v>2.2085e-05</v>
      </c>
      <c r="M24" s="152" t="n"/>
      <c r="N24" s="151" t="n"/>
    </row>
    <row r="25">
      <c r="A25" s="13" t="inlineStr">
        <is>
          <t>Skorsten af belagte rør/kanaler</t>
        </is>
      </c>
      <c r="B25" s="14" t="n">
        <v>20</v>
      </c>
      <c r="C25" s="15" t="n">
        <v>1</v>
      </c>
      <c r="E25" s="59" t="n">
        <v>95</v>
      </c>
      <c r="F25" s="60" t="n">
        <v>20</v>
      </c>
      <c r="G25" s="147" t="n">
        <v>961.6</v>
      </c>
      <c r="H25" s="147">
        <f>(996.5+152.3*10^-2*$H$5-96.6*10^-4*$H$5^2)+(-1.7-146.1*10^-2*$H$5+76.7*10^-4*$H$5^2)*10^-2*E25+(-38.4+62.1*10^-2*$H$5-30.8*10^-4*$H$5^2)*10^-4*E25^2</f>
        <v/>
      </c>
      <c r="I25" s="148" t="n">
        <v>0.94615</v>
      </c>
      <c r="J25" s="149" t="n">
        <v>3.06e-07</v>
      </c>
      <c r="K25" s="150">
        <f>(1.293*EXP(4.388*10^-2*$K$5))*10^-6*EXP((-1.709-1.921*10^-2*$K$5-0.6*10^-4*$K$5^2)*10^-2*E25)</f>
        <v/>
      </c>
      <c r="L25" s="150" t="n">
        <v>2.26175e-05</v>
      </c>
      <c r="N25" s="151" t="n"/>
    </row>
    <row r="26">
      <c r="C26" t="inlineStr">
        <is>
          <t xml:space="preserve"> </t>
        </is>
      </c>
      <c r="E26" s="59" t="n">
        <v>100</v>
      </c>
      <c r="F26" s="60" t="n">
        <v>21</v>
      </c>
      <c r="G26" s="60" t="n">
        <v>958.1</v>
      </c>
      <c r="H26" s="147">
        <f>(996.5+152.3*10^-2*$H$5-96.6*10^-4*$H$5^2)+(-1.7-146.1*10^-2*$H$5+76.7*10^-4*$H$5^2)*10^-2*E26+(-38.4+62.1*10^-2*$H$5-30.8*10^-4*$H$5^2)*10^-4*E26^2</f>
        <v/>
      </c>
      <c r="I26" s="148" t="n">
        <v>0.9329</v>
      </c>
      <c r="J26" s="60" t="n">
        <v>2.91e-07</v>
      </c>
      <c r="K26" s="150">
        <f>(1.293*EXP(4.388*10^-2*$K$5))*10^-6*EXP((-1.709-1.921*10^-2*$K$5-0.6*10^-4*$K$5^2)*10^-2*E26)</f>
        <v/>
      </c>
      <c r="L26" s="150" t="n">
        <v>2.315e-05</v>
      </c>
      <c r="O26" s="153" t="n"/>
    </row>
    <row r="27">
      <c r="E27" s="59" t="n">
        <v>120</v>
      </c>
      <c r="F27" s="60" t="n">
        <v>22</v>
      </c>
      <c r="G27" s="60" t="inlineStr">
        <is>
          <t xml:space="preserve"> </t>
        </is>
      </c>
      <c r="H27" s="60" t="n"/>
      <c r="I27" s="148" t="n">
        <v>0.8854</v>
      </c>
      <c r="J27" s="60" t="n"/>
      <c r="K27" s="150" t="n"/>
      <c r="L27" s="150" t="n">
        <v>2.533e-05</v>
      </c>
    </row>
    <row r="28" ht="13.5" customHeight="1" s="175" thickBot="1">
      <c r="E28" s="59" t="n">
        <v>140</v>
      </c>
      <c r="F28" s="60" t="n">
        <v>23</v>
      </c>
      <c r="G28" s="60" t="n"/>
      <c r="H28" s="60" t="n"/>
      <c r="I28" s="148" t="n">
        <v>0.8425</v>
      </c>
      <c r="J28" s="60" t="n"/>
      <c r="K28" s="150" t="n"/>
      <c r="L28" s="150" t="n">
        <v>2.753e-05</v>
      </c>
    </row>
    <row r="29">
      <c r="A29" s="2" t="inlineStr">
        <is>
          <t>Cellekæde medie:</t>
        </is>
      </c>
      <c r="E29" s="59" t="n">
        <v>160</v>
      </c>
      <c r="F29" s="60" t="n">
        <v>24</v>
      </c>
      <c r="G29" s="60" t="n"/>
      <c r="H29" s="60" t="n"/>
      <c r="I29" s="148" t="n">
        <v>0.8036</v>
      </c>
      <c r="J29" s="60" t="n"/>
      <c r="K29" s="150" t="n"/>
      <c r="L29" s="150" t="n">
        <v>2.988e-05</v>
      </c>
    </row>
    <row r="30" ht="13.5" customHeight="1" s="175" thickBot="1">
      <c r="A30" s="3" t="n">
        <v>3</v>
      </c>
      <c r="E30" s="59" t="n">
        <v>180</v>
      </c>
      <c r="F30" s="60" t="n">
        <v>25</v>
      </c>
      <c r="G30" s="60" t="n"/>
      <c r="H30" s="60" t="n"/>
      <c r="I30" s="148" t="n">
        <v>0.7681</v>
      </c>
      <c r="J30" s="60" t="n"/>
      <c r="K30" s="150" t="n"/>
      <c r="L30" s="150" t="n">
        <v>3.243e-05</v>
      </c>
    </row>
    <row r="31" ht="13.5" customHeight="1" s="175" thickBot="1">
      <c r="E31" s="59" t="n">
        <v>200</v>
      </c>
      <c r="F31" s="60" t="n">
        <v>26</v>
      </c>
      <c r="G31" s="60" t="n"/>
      <c r="H31" s="60" t="n"/>
      <c r="I31" s="148" t="n">
        <v>0.7356</v>
      </c>
      <c r="J31" s="60" t="n"/>
      <c r="K31" s="150" t="n"/>
      <c r="L31" s="150" t="n">
        <v>3.494e-05</v>
      </c>
    </row>
    <row r="32">
      <c r="A32" s="2" t="inlineStr">
        <is>
          <t>Cellekæde rørtype</t>
        </is>
      </c>
      <c r="E32" s="59" t="n">
        <v>220</v>
      </c>
      <c r="F32" s="60" t="n">
        <v>27</v>
      </c>
      <c r="G32" s="60" t="n"/>
      <c r="H32" s="60" t="n"/>
      <c r="I32" s="148" t="n">
        <v>0.7075</v>
      </c>
      <c r="J32" s="60" t="n"/>
      <c r="K32" s="150" t="n"/>
      <c r="L32" s="150" t="n">
        <v>3.6188e-05</v>
      </c>
    </row>
    <row r="33" ht="13.5" customHeight="1" s="175" thickBot="1">
      <c r="A33" s="3" t="n">
        <v>1</v>
      </c>
      <c r="E33" s="59" t="n">
        <v>240</v>
      </c>
      <c r="F33" s="60" t="n">
        <v>28</v>
      </c>
      <c r="G33" s="60" t="n"/>
      <c r="H33" s="60" t="n"/>
      <c r="I33" s="148" t="n">
        <v>0.6794</v>
      </c>
      <c r="J33" s="60" t="n"/>
      <c r="K33" s="150" t="n"/>
      <c r="L33" s="150" t="n">
        <v>3.8684e-05</v>
      </c>
    </row>
    <row r="34" ht="13.5" customHeight="1" s="175" thickBot="1">
      <c r="E34" s="59" t="n">
        <v>260</v>
      </c>
      <c r="F34" s="60" t="n">
        <v>29</v>
      </c>
      <c r="G34" s="60" t="n"/>
      <c r="H34" s="60" t="n"/>
      <c r="I34" s="148" t="n">
        <v>0.6421</v>
      </c>
      <c r="J34" s="60" t="n"/>
      <c r="K34" s="150" t="n"/>
      <c r="L34" s="150" t="n">
        <v>4.2562e-05</v>
      </c>
    </row>
    <row r="35">
      <c r="A35" s="2" t="inlineStr">
        <is>
          <t>Cellekæde temperatur:</t>
        </is>
      </c>
      <c r="E35" s="59" t="n">
        <v>280</v>
      </c>
      <c r="F35" s="60" t="n">
        <v>30</v>
      </c>
      <c r="G35" s="60" t="n"/>
      <c r="H35" s="60" t="n"/>
      <c r="I35" s="148" t="n">
        <v>0.6188</v>
      </c>
      <c r="J35" s="60" t="n"/>
      <c r="K35" s="150" t="n"/>
      <c r="L35" s="150" t="n">
        <v>4.5326e-05</v>
      </c>
    </row>
    <row r="36" ht="13.5" customHeight="1" s="175" thickBot="1">
      <c r="A36" s="3" t="n">
        <v>5</v>
      </c>
      <c r="E36" s="59" t="n">
        <v>300</v>
      </c>
      <c r="F36" s="60" t="n">
        <v>31</v>
      </c>
      <c r="G36" s="60" t="n"/>
      <c r="H36" s="60" t="n"/>
      <c r="I36" s="148" t="n">
        <v>0.6072</v>
      </c>
      <c r="J36" s="60" t="n"/>
      <c r="K36" s="150" t="n"/>
      <c r="L36" s="150" t="n">
        <v>4.809e-05</v>
      </c>
    </row>
    <row r="37" ht="13.5" customHeight="1" s="175" thickBot="1"/>
    <row r="38" ht="13.5" customHeight="1" s="175" thickBot="1">
      <c r="A38" s="2" t="inlineStr">
        <is>
          <t>Opslag densitet</t>
        </is>
      </c>
    </row>
    <row r="39" ht="16.5" customHeight="1" s="175" thickBot="1">
      <c r="A39" s="3">
        <f>VLOOKUP(A36,Stoffælles,1+A30)</f>
        <v/>
      </c>
      <c r="E39" s="193" t="inlineStr">
        <is>
          <t>Tabel 3</t>
        </is>
      </c>
      <c r="F39" s="187" t="n"/>
      <c r="G39" s="188" t="n"/>
    </row>
    <row r="40" ht="16.5" customHeight="1" s="175" thickBot="1">
      <c r="E40" s="16" t="n"/>
      <c r="F40" s="17" t="n"/>
      <c r="G40" s="18" t="n"/>
      <c r="H40" s="56" t="n"/>
    </row>
    <row r="41">
      <c r="A41" s="2" t="inlineStr">
        <is>
          <t>Opslag kinematisk viskosistet</t>
        </is>
      </c>
      <c r="E41" s="19" t="inlineStr">
        <is>
          <t>Enhed</t>
        </is>
      </c>
      <c r="F41" s="20" t="inlineStr">
        <is>
          <t>Hjælpekolonne</t>
        </is>
      </c>
      <c r="G41" s="21" t="inlineStr">
        <is>
          <t>Omregningsfaktor</t>
        </is>
      </c>
      <c r="H41" s="57" t="n"/>
    </row>
    <row r="42" ht="13.5" customHeight="1" s="175" thickBot="1">
      <c r="A42" s="3">
        <f>VLOOKUP(A36,Stoffælles,4+A30)</f>
        <v/>
      </c>
      <c r="E42" s="22" t="n"/>
      <c r="F42" s="23" t="inlineStr">
        <is>
          <t>[-]</t>
        </is>
      </c>
      <c r="G42" s="24" t="inlineStr">
        <is>
          <t>[-]</t>
        </is>
      </c>
    </row>
    <row r="43" ht="13.5" customHeight="1" s="175" thickBot="1">
      <c r="E43" s="22" t="inlineStr">
        <is>
          <t>kg/h</t>
        </is>
      </c>
      <c r="F43" s="25" t="n">
        <v>1</v>
      </c>
      <c r="G43" s="26">
        <f>2.77777777777777E-07/(A39/1000)</f>
        <v/>
      </c>
      <c r="H43" s="200" t="n"/>
    </row>
    <row r="44">
      <c r="A44" s="2" t="inlineStr">
        <is>
          <t>Opslag ruhed</t>
        </is>
      </c>
      <c r="E44" s="22" t="inlineStr">
        <is>
          <t>l/s</t>
        </is>
      </c>
      <c r="F44" s="25" t="n">
        <v>2</v>
      </c>
      <c r="G44" s="26" t="n">
        <v>0.001</v>
      </c>
      <c r="H44" s="144" t="n"/>
    </row>
    <row r="45" ht="13.5" customHeight="1" s="175" thickBot="1">
      <c r="A45" s="3">
        <f>VLOOKUP(A33,Tabel1,2)</f>
        <v/>
      </c>
      <c r="E45" s="22" t="inlineStr">
        <is>
          <t>l/h</t>
        </is>
      </c>
      <c r="F45" s="25" t="n">
        <v>3</v>
      </c>
      <c r="G45" s="27" t="n">
        <v>2.77777777777777e-07</v>
      </c>
      <c r="H45" s="144" t="n"/>
    </row>
    <row r="46" ht="13.5" customHeight="1" s="175" thickBot="1">
      <c r="E46" s="22" t="inlineStr">
        <is>
          <t>m3/h</t>
        </is>
      </c>
      <c r="F46" s="25" t="n">
        <v>4</v>
      </c>
      <c r="G46" s="26" t="n">
        <v>0.000277777777777777</v>
      </c>
      <c r="H46" s="144" t="n"/>
    </row>
    <row r="47" ht="13.5" customHeight="1" s="175" thickBot="1">
      <c r="A47" s="2" t="inlineStr">
        <is>
          <t>Cellekæde omregningsfaktor flow</t>
        </is>
      </c>
      <c r="E47" s="28" t="inlineStr">
        <is>
          <t>m3/s</t>
        </is>
      </c>
      <c r="F47" s="29" t="n">
        <v>5</v>
      </c>
      <c r="G47" s="30" t="n">
        <v>1</v>
      </c>
      <c r="H47" s="144" t="n"/>
    </row>
    <row r="48" ht="13.5" customHeight="1" s="175" thickBot="1">
      <c r="A48" s="3" t="n">
        <v>4</v>
      </c>
      <c r="G48" s="154" t="n"/>
      <c r="H48" s="144" t="n"/>
    </row>
    <row r="49" ht="13.5" customHeight="1" s="175" thickBot="1">
      <c r="G49" s="154" t="n"/>
      <c r="H49" s="144" t="n"/>
    </row>
    <row r="50" ht="15.75" customHeight="1" s="175">
      <c r="A50" s="2" t="inlineStr">
        <is>
          <t>Opslag omregningfaktor flow</t>
        </is>
      </c>
      <c r="E50" s="191" t="inlineStr">
        <is>
          <t>Tabel 4</t>
        </is>
      </c>
      <c r="F50" s="187" t="n"/>
      <c r="G50" s="187" t="n"/>
      <c r="H50" s="155" t="n"/>
      <c r="I50" s="83" t="n"/>
      <c r="J50" s="83" t="n"/>
      <c r="K50" s="83" t="n"/>
      <c r="L50" s="83" t="n"/>
      <c r="M50" s="83" t="n"/>
      <c r="N50" s="83" t="n"/>
      <c r="O50" s="83" t="n"/>
      <c r="P50" s="83" t="n"/>
      <c r="Q50" s="83" t="n"/>
      <c r="R50" s="83" t="n"/>
      <c r="S50" s="83" t="n"/>
      <c r="T50" s="83" t="n"/>
      <c r="U50" s="83" t="n"/>
      <c r="V50" s="83" t="n"/>
      <c r="W50" s="83" t="n"/>
      <c r="X50" s="83" t="n"/>
      <c r="Y50" s="83" t="n"/>
      <c r="Z50" s="83" t="n"/>
      <c r="AA50" s="83" t="n"/>
      <c r="AB50" s="83" t="n"/>
      <c r="AC50" s="83" t="n"/>
      <c r="AD50" s="83" t="n"/>
      <c r="AE50" s="83" t="n"/>
      <c r="AF50" s="83" t="n"/>
      <c r="AG50" s="83" t="n"/>
      <c r="AH50" s="83" t="n"/>
      <c r="AI50" s="83" t="n"/>
      <c r="AJ50" s="83" t="n"/>
      <c r="AK50" s="83" t="n"/>
      <c r="AL50" s="83" t="n"/>
      <c r="AM50" s="83" t="n"/>
      <c r="AN50" s="83" t="n"/>
      <c r="AO50" s="83" t="n"/>
      <c r="AP50" s="83" t="n"/>
      <c r="AQ50" s="83" t="n"/>
      <c r="AR50" s="83" t="n"/>
      <c r="AS50" s="83" t="n"/>
      <c r="AT50" s="84" t="n"/>
    </row>
    <row r="51" ht="13.5" customHeight="1" s="175" thickBot="1">
      <c r="A51" s="3">
        <f>VLOOKUP(A48,tabel4,2)</f>
        <v/>
      </c>
      <c r="E51" s="192" t="inlineStr">
        <is>
          <t>Rørmateriale og dimensioner</t>
        </is>
      </c>
      <c r="H51" s="156" t="n"/>
      <c r="I51" s="69" t="n"/>
      <c r="J51" s="69" t="n"/>
      <c r="K51" s="69" t="n"/>
      <c r="L51" s="69" t="n"/>
      <c r="M51" s="69" t="n"/>
      <c r="N51" s="69" t="n"/>
      <c r="O51" s="69" t="n"/>
      <c r="P51" s="69" t="n"/>
      <c r="Q51" s="69" t="n"/>
      <c r="R51" s="69" t="n"/>
      <c r="S51" s="69" t="n"/>
      <c r="T51" s="69" t="n"/>
      <c r="U51" s="69" t="n"/>
      <c r="V51" s="69" t="n"/>
      <c r="W51" s="69" t="n"/>
      <c r="X51" s="69" t="n"/>
      <c r="Y51" s="69" t="n"/>
      <c r="Z51" s="69" t="n"/>
      <c r="AA51" s="69" t="n"/>
      <c r="AB51" s="69" t="n"/>
      <c r="AC51" s="69" t="n"/>
      <c r="AD51" s="69" t="n"/>
      <c r="AE51" s="69" t="n"/>
      <c r="AF51" s="69" t="n"/>
      <c r="AG51" s="69" t="n"/>
      <c r="AH51" s="69" t="n"/>
      <c r="AI51" s="69" t="n"/>
      <c r="AJ51" s="69" t="n"/>
      <c r="AK51" s="69" t="n"/>
      <c r="AL51" s="69" t="n"/>
      <c r="AM51" s="69" t="n"/>
      <c r="AN51" s="69" t="n"/>
      <c r="AO51" s="69" t="n"/>
      <c r="AP51" s="69" t="n"/>
      <c r="AQ51" s="69" t="n"/>
      <c r="AR51" s="69" t="n"/>
      <c r="AS51" s="69" t="n"/>
      <c r="AT51" s="72" t="n"/>
    </row>
    <row r="52" ht="13.5" customHeight="1" s="175" thickBot="1">
      <c r="E52" s="70" t="n"/>
      <c r="F52" s="71" t="n"/>
      <c r="G52" s="71" t="n"/>
      <c r="H52" s="157" t="n"/>
      <c r="I52" s="71" t="n"/>
      <c r="J52" s="71" t="n"/>
      <c r="K52" s="71" t="n"/>
      <c r="L52" s="71" t="n"/>
      <c r="M52" s="71" t="n"/>
      <c r="N52" s="71" t="n"/>
      <c r="O52" s="71" t="n"/>
      <c r="P52" s="71" t="n"/>
      <c r="Q52" s="71" t="n"/>
      <c r="R52" s="71" t="n"/>
      <c r="S52" s="71" t="n"/>
      <c r="T52" s="71" t="n"/>
      <c r="U52" s="71" t="n"/>
      <c r="V52" s="71" t="n"/>
      <c r="W52" s="71" t="n"/>
      <c r="X52" s="71" t="n"/>
      <c r="Y52" s="71" t="n"/>
      <c r="Z52" s="71" t="n"/>
      <c r="AA52" s="71" t="n"/>
      <c r="AB52" s="71" t="n"/>
      <c r="AC52" s="71" t="n"/>
      <c r="AD52" s="71" t="n"/>
      <c r="AE52" s="71" t="n"/>
      <c r="AF52" s="71" t="n"/>
      <c r="AG52" s="71" t="n"/>
      <c r="AH52" s="71" t="n"/>
      <c r="AI52" s="71" t="n"/>
      <c r="AJ52" s="71" t="n"/>
      <c r="AK52" s="71" t="n"/>
      <c r="AL52" s="71" t="n"/>
      <c r="AM52" s="71" t="n"/>
      <c r="AN52" s="71" t="n"/>
      <c r="AO52" s="71" t="n"/>
      <c r="AP52" s="71" t="n"/>
      <c r="AQ52" s="71" t="n"/>
      <c r="AR52" s="71" t="n"/>
      <c r="AS52" s="71" t="n"/>
      <c r="AT52" s="85" t="n"/>
    </row>
    <row r="53">
      <c r="A53" s="2" t="inlineStr">
        <is>
          <t>Omregning flow til m3/s</t>
        </is>
      </c>
      <c r="E53" s="79" t="inlineStr">
        <is>
          <t>Betegnelse</t>
        </is>
      </c>
      <c r="F53" s="80" t="inlineStr">
        <is>
          <t>Hjælpekolonne</t>
        </is>
      </c>
      <c r="G53" s="82" t="inlineStr">
        <is>
          <t>DN 1</t>
        </is>
      </c>
      <c r="H53" s="158" t="inlineStr">
        <is>
          <t>Di 1</t>
        </is>
      </c>
      <c r="I53" s="82" t="inlineStr">
        <is>
          <t>DN 2</t>
        </is>
      </c>
      <c r="J53" s="158" t="inlineStr">
        <is>
          <t>Di 2</t>
        </is>
      </c>
      <c r="K53" s="82" t="inlineStr">
        <is>
          <t>DN 3</t>
        </is>
      </c>
      <c r="L53" s="158" t="inlineStr">
        <is>
          <t>Di 3</t>
        </is>
      </c>
      <c r="M53" s="82" t="inlineStr">
        <is>
          <t>DN 4</t>
        </is>
      </c>
      <c r="N53" s="158" t="inlineStr">
        <is>
          <t>Di 4</t>
        </is>
      </c>
      <c r="O53" s="82" t="inlineStr">
        <is>
          <t>DN 5</t>
        </is>
      </c>
      <c r="P53" s="158" t="inlineStr">
        <is>
          <t>Di 5</t>
        </is>
      </c>
      <c r="Q53" s="82" t="inlineStr">
        <is>
          <t>DN 6</t>
        </is>
      </c>
      <c r="R53" s="158" t="inlineStr">
        <is>
          <t>Di 6</t>
        </is>
      </c>
      <c r="S53" s="82" t="inlineStr">
        <is>
          <t>DN 7</t>
        </is>
      </c>
      <c r="T53" s="158" t="inlineStr">
        <is>
          <t>Di 7</t>
        </is>
      </c>
      <c r="U53" s="82" t="inlineStr">
        <is>
          <t>DN 8</t>
        </is>
      </c>
      <c r="V53" s="158" t="inlineStr">
        <is>
          <t>Di 8</t>
        </is>
      </c>
      <c r="W53" s="82" t="inlineStr">
        <is>
          <t>DN 9</t>
        </is>
      </c>
      <c r="X53" s="158" t="inlineStr">
        <is>
          <t>Di 9</t>
        </is>
      </c>
      <c r="Y53" s="82" t="inlineStr">
        <is>
          <t>DN 10</t>
        </is>
      </c>
      <c r="Z53" s="158" t="inlineStr">
        <is>
          <t>Di 10</t>
        </is>
      </c>
      <c r="AA53" s="82" t="inlineStr">
        <is>
          <t>DN 11</t>
        </is>
      </c>
      <c r="AB53" s="158" t="inlineStr">
        <is>
          <t>Di 11</t>
        </is>
      </c>
      <c r="AC53" s="82" t="inlineStr">
        <is>
          <t>DN 12</t>
        </is>
      </c>
      <c r="AD53" s="158" t="inlineStr">
        <is>
          <t>Di 12</t>
        </is>
      </c>
      <c r="AE53" s="82" t="inlineStr">
        <is>
          <t>DN 13</t>
        </is>
      </c>
      <c r="AF53" s="158" t="inlineStr">
        <is>
          <t>Di 13</t>
        </is>
      </c>
      <c r="AG53" s="82" t="inlineStr">
        <is>
          <t>DN 14</t>
        </is>
      </c>
      <c r="AH53" s="158" t="inlineStr">
        <is>
          <t>Di 14</t>
        </is>
      </c>
      <c r="AI53" s="82" t="inlineStr">
        <is>
          <t>DN 15</t>
        </is>
      </c>
      <c r="AJ53" s="158" t="inlineStr">
        <is>
          <t>Di 15</t>
        </is>
      </c>
      <c r="AK53" s="82" t="inlineStr">
        <is>
          <t>DN 16</t>
        </is>
      </c>
      <c r="AL53" s="158" t="inlineStr">
        <is>
          <t>Di 16</t>
        </is>
      </c>
      <c r="AM53" s="82" t="inlineStr">
        <is>
          <t>DN 17</t>
        </is>
      </c>
      <c r="AN53" s="158" t="inlineStr">
        <is>
          <t>Di 17</t>
        </is>
      </c>
      <c r="AO53" s="82" t="inlineStr">
        <is>
          <t>DN 18</t>
        </is>
      </c>
      <c r="AP53" s="158" t="inlineStr">
        <is>
          <t>Di 18</t>
        </is>
      </c>
      <c r="AQ53" s="82" t="inlineStr">
        <is>
          <t>DN 19</t>
        </is>
      </c>
      <c r="AR53" s="158" t="inlineStr">
        <is>
          <t>Di 19</t>
        </is>
      </c>
      <c r="AS53" s="82" t="inlineStr">
        <is>
          <t>DN 20</t>
        </is>
      </c>
      <c r="AT53" s="159" t="inlineStr">
        <is>
          <t>Di 20</t>
        </is>
      </c>
    </row>
    <row r="54" ht="13.5" customHeight="1" s="175" thickBot="1">
      <c r="A54" s="160">
        <f>Beregning!C19*Tabeller!A51</f>
        <v/>
      </c>
      <c r="E54" s="68" t="n"/>
      <c r="F54" s="75" t="inlineStr">
        <is>
          <t>[-]</t>
        </is>
      </c>
      <c r="G54" s="75" t="n"/>
      <c r="H54" s="161" t="n"/>
      <c r="I54" s="81" t="n"/>
      <c r="J54" s="81" t="n"/>
      <c r="K54" s="81" t="n"/>
      <c r="L54" s="81" t="n"/>
      <c r="M54" s="81" t="n"/>
      <c r="N54" s="81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  <c r="AK54" s="81" t="n"/>
      <c r="AL54" s="81" t="n"/>
      <c r="AM54" s="81" t="n"/>
      <c r="AN54" s="81" t="n"/>
      <c r="AO54" s="81" t="n"/>
      <c r="AP54" s="81" t="n"/>
      <c r="AQ54" s="81" t="n"/>
      <c r="AR54" s="81" t="n"/>
      <c r="AS54" s="81" t="n"/>
      <c r="AT54" s="78" t="n"/>
    </row>
    <row r="55" ht="13.5" customHeight="1" s="175" thickBot="1">
      <c r="A55" s="160">
        <f>Beregning!C20*Tabeller!A51</f>
        <v/>
      </c>
      <c r="E55" s="73" t="inlineStr">
        <is>
          <t>Spiralfalsede galvaniserede ventilationskanaler</t>
        </is>
      </c>
      <c r="F55" s="74" t="n">
        <v>1</v>
      </c>
      <c r="G55" s="90" t="inlineStr">
        <is>
          <t>Ø63</t>
        </is>
      </c>
      <c r="H55" s="162" t="n">
        <v>63</v>
      </c>
      <c r="I55" s="90" t="inlineStr">
        <is>
          <t>Ø80</t>
        </is>
      </c>
      <c r="J55" s="162" t="n">
        <v>80</v>
      </c>
      <c r="K55" s="90" t="inlineStr">
        <is>
          <t>Ø100</t>
        </is>
      </c>
      <c r="L55" s="162" t="n">
        <v>100</v>
      </c>
      <c r="M55" s="90" t="inlineStr">
        <is>
          <t>Ø125</t>
        </is>
      </c>
      <c r="N55" s="162" t="n">
        <v>125</v>
      </c>
      <c r="O55" s="90" t="inlineStr">
        <is>
          <t>Ø160</t>
        </is>
      </c>
      <c r="P55" s="162" t="n">
        <v>160</v>
      </c>
      <c r="Q55" s="90" t="inlineStr">
        <is>
          <t>Ø200</t>
        </is>
      </c>
      <c r="R55" s="162" t="n">
        <v>200</v>
      </c>
      <c r="S55" s="90" t="inlineStr">
        <is>
          <t>Ø250</t>
        </is>
      </c>
      <c r="T55" s="162" t="n">
        <v>250</v>
      </c>
      <c r="U55" s="162" t="inlineStr">
        <is>
          <t>Ø315</t>
        </is>
      </c>
      <c r="V55" s="162" t="n">
        <v>315</v>
      </c>
      <c r="W55" s="162" t="inlineStr">
        <is>
          <t>Ø400</t>
        </is>
      </c>
      <c r="X55" s="162" t="n">
        <v>400</v>
      </c>
      <c r="Y55" s="162" t="inlineStr">
        <is>
          <t>Ø450</t>
        </is>
      </c>
      <c r="Z55" s="162" t="n">
        <v>450</v>
      </c>
      <c r="AA55" s="162" t="inlineStr">
        <is>
          <t>Ø500</t>
        </is>
      </c>
      <c r="AB55" s="162" t="n">
        <v>500</v>
      </c>
      <c r="AC55" s="162" t="inlineStr">
        <is>
          <t>Ø560</t>
        </is>
      </c>
      <c r="AD55" s="162" t="n">
        <v>560</v>
      </c>
      <c r="AE55" s="162" t="inlineStr">
        <is>
          <t>Ø630</t>
        </is>
      </c>
      <c r="AF55" s="162" t="n">
        <v>630</v>
      </c>
      <c r="AG55" s="162" t="inlineStr">
        <is>
          <t>Ø710</t>
        </is>
      </c>
      <c r="AH55" s="162" t="n">
        <v>710</v>
      </c>
      <c r="AI55" s="162" t="inlineStr">
        <is>
          <t>Ø800</t>
        </is>
      </c>
      <c r="AJ55" s="162" t="n">
        <v>800</v>
      </c>
      <c r="AK55" s="162" t="inlineStr">
        <is>
          <t>Ø900</t>
        </is>
      </c>
      <c r="AL55" s="162" t="n">
        <v>900</v>
      </c>
      <c r="AM55" s="162" t="inlineStr">
        <is>
          <t>Ø1000</t>
        </is>
      </c>
      <c r="AN55" s="162" t="n">
        <v>1000</v>
      </c>
      <c r="AO55" s="162" t="inlineStr">
        <is>
          <t>Ø1250</t>
        </is>
      </c>
      <c r="AP55" s="162" t="n">
        <v>1250</v>
      </c>
      <c r="AQ55" s="162" t="inlineStr">
        <is>
          <t>Ø1400</t>
        </is>
      </c>
      <c r="AR55" s="162" t="n">
        <v>1400</v>
      </c>
      <c r="AS55" s="162" t="inlineStr">
        <is>
          <t>Ø1500</t>
        </is>
      </c>
      <c r="AT55" s="86" t="n">
        <v>1500</v>
      </c>
    </row>
    <row r="56" ht="13.5" customHeight="1" s="175" thickBot="1">
      <c r="A56" s="160">
        <f>Beregning!C21*Tabeller!A51</f>
        <v/>
      </c>
      <c r="E56" s="67" t="inlineStr">
        <is>
          <t>Betonkanaler (til ventilation)</t>
        </is>
      </c>
      <c r="F56" s="76" t="n">
        <v>2</v>
      </c>
      <c r="G56" s="91" t="inlineStr">
        <is>
          <t>-</t>
        </is>
      </c>
      <c r="H56" s="163" t="inlineStr">
        <is>
          <t>-</t>
        </is>
      </c>
      <c r="I56" s="91" t="inlineStr">
        <is>
          <t>-</t>
        </is>
      </c>
      <c r="J56" s="163" t="inlineStr">
        <is>
          <t>-</t>
        </is>
      </c>
      <c r="K56" s="91" t="inlineStr">
        <is>
          <t>-</t>
        </is>
      </c>
      <c r="L56" s="163" t="inlineStr">
        <is>
          <t>-</t>
        </is>
      </c>
      <c r="M56" s="91" t="inlineStr">
        <is>
          <t>-</t>
        </is>
      </c>
      <c r="N56" s="163" t="inlineStr">
        <is>
          <t>-</t>
        </is>
      </c>
      <c r="O56" s="91" t="inlineStr">
        <is>
          <t>-</t>
        </is>
      </c>
      <c r="P56" s="163" t="inlineStr">
        <is>
          <t>-</t>
        </is>
      </c>
      <c r="Q56" s="91" t="inlineStr">
        <is>
          <t>-</t>
        </is>
      </c>
      <c r="R56" s="163" t="inlineStr">
        <is>
          <t>-</t>
        </is>
      </c>
      <c r="S56" s="91" t="inlineStr">
        <is>
          <t>-</t>
        </is>
      </c>
      <c r="T56" s="163" t="inlineStr">
        <is>
          <t>-</t>
        </is>
      </c>
      <c r="U56" s="163" t="inlineStr">
        <is>
          <t>-</t>
        </is>
      </c>
      <c r="V56" s="163" t="inlineStr">
        <is>
          <t>-</t>
        </is>
      </c>
      <c r="W56" s="163" t="inlineStr">
        <is>
          <t>-</t>
        </is>
      </c>
      <c r="X56" s="163" t="inlineStr">
        <is>
          <t>-</t>
        </is>
      </c>
      <c r="Y56" s="163" t="inlineStr">
        <is>
          <t>-</t>
        </is>
      </c>
      <c r="Z56" s="163" t="inlineStr">
        <is>
          <t>-</t>
        </is>
      </c>
      <c r="AA56" s="163" t="inlineStr">
        <is>
          <t>-</t>
        </is>
      </c>
      <c r="AB56" s="163" t="inlineStr">
        <is>
          <t>-</t>
        </is>
      </c>
      <c r="AC56" s="163" t="inlineStr">
        <is>
          <t>-</t>
        </is>
      </c>
      <c r="AD56" s="163" t="inlineStr">
        <is>
          <t>-</t>
        </is>
      </c>
      <c r="AE56" s="163" t="inlineStr">
        <is>
          <t>-</t>
        </is>
      </c>
      <c r="AF56" s="163" t="inlineStr">
        <is>
          <t>-</t>
        </is>
      </c>
      <c r="AG56" s="163" t="inlineStr">
        <is>
          <t>-</t>
        </is>
      </c>
      <c r="AH56" s="163" t="inlineStr">
        <is>
          <t>-</t>
        </is>
      </c>
      <c r="AI56" s="163" t="inlineStr">
        <is>
          <t>-</t>
        </is>
      </c>
      <c r="AJ56" s="163" t="inlineStr">
        <is>
          <t>-</t>
        </is>
      </c>
      <c r="AK56" s="163" t="inlineStr">
        <is>
          <t>-</t>
        </is>
      </c>
      <c r="AL56" s="163" t="inlineStr">
        <is>
          <t>-</t>
        </is>
      </c>
      <c r="AM56" s="163" t="inlineStr">
        <is>
          <t>-</t>
        </is>
      </c>
      <c r="AN56" s="163" t="inlineStr">
        <is>
          <t>-</t>
        </is>
      </c>
      <c r="AO56" s="163" t="inlineStr">
        <is>
          <t>-</t>
        </is>
      </c>
      <c r="AP56" s="163" t="inlineStr">
        <is>
          <t>-</t>
        </is>
      </c>
      <c r="AQ56" s="163" t="inlineStr">
        <is>
          <t>-</t>
        </is>
      </c>
      <c r="AR56" s="163" t="inlineStr">
        <is>
          <t>-</t>
        </is>
      </c>
      <c r="AS56" s="163" t="inlineStr">
        <is>
          <t>-</t>
        </is>
      </c>
      <c r="AT56" s="88" t="inlineStr">
        <is>
          <t>-</t>
        </is>
      </c>
    </row>
    <row r="57" ht="13.5" customHeight="1" s="175" thickBot="1">
      <c r="A57" s="160">
        <f>Beregning!C22*Tabeller!A51</f>
        <v/>
      </c>
      <c r="E57" s="67" t="inlineStr">
        <is>
          <t>Varmforzinkede stålrør DIN2444 (gevindrør) med afsætning</t>
        </is>
      </c>
      <c r="F57" s="76" t="n">
        <v>3</v>
      </c>
      <c r="G57" s="92" t="n">
        <v>6</v>
      </c>
      <c r="H57" s="164" t="n">
        <v>6.2</v>
      </c>
      <c r="I57" s="92" t="n">
        <v>8</v>
      </c>
      <c r="J57" s="164" t="n">
        <v>8.9</v>
      </c>
      <c r="K57" s="92" t="n">
        <v>10</v>
      </c>
      <c r="L57" s="164" t="n">
        <v>12.4</v>
      </c>
      <c r="M57" s="92" t="n">
        <v>15</v>
      </c>
      <c r="N57" s="164" t="n">
        <v>16</v>
      </c>
      <c r="O57" s="92" t="n">
        <v>20</v>
      </c>
      <c r="P57" s="164" t="n">
        <v>21.7</v>
      </c>
      <c r="Q57" s="92" t="n">
        <v>25</v>
      </c>
      <c r="R57" s="164" t="n">
        <v>27.2</v>
      </c>
      <c r="S57" s="92" t="n">
        <v>32</v>
      </c>
      <c r="T57" s="164" t="n">
        <v>36</v>
      </c>
      <c r="U57" s="164" t="n">
        <v>40</v>
      </c>
      <c r="V57" s="164" t="n">
        <v>42</v>
      </c>
      <c r="W57" s="164" t="n">
        <v>50</v>
      </c>
      <c r="X57" s="164" t="n">
        <v>53</v>
      </c>
      <c r="Y57" s="164" t="n">
        <v>65</v>
      </c>
      <c r="Z57" s="164" t="n">
        <v>69</v>
      </c>
      <c r="AA57" s="164" t="n">
        <v>80</v>
      </c>
      <c r="AB57" s="164" t="n">
        <v>81</v>
      </c>
      <c r="AC57" s="164" t="n">
        <v>100</v>
      </c>
      <c r="AD57" s="164" t="n">
        <v>105</v>
      </c>
      <c r="AE57" s="164" t="n">
        <v>125</v>
      </c>
      <c r="AF57" s="164" t="n">
        <v>130</v>
      </c>
      <c r="AG57" s="164" t="n">
        <v>150</v>
      </c>
      <c r="AH57" s="164" t="n">
        <v>155</v>
      </c>
      <c r="AI57" s="165" t="inlineStr">
        <is>
          <t>-</t>
        </is>
      </c>
      <c r="AJ57" s="165" t="inlineStr">
        <is>
          <t>-</t>
        </is>
      </c>
      <c r="AK57" s="165" t="inlineStr">
        <is>
          <t>-</t>
        </is>
      </c>
      <c r="AL57" s="165" t="inlineStr">
        <is>
          <t>-</t>
        </is>
      </c>
      <c r="AM57" s="165" t="inlineStr">
        <is>
          <t>-</t>
        </is>
      </c>
      <c r="AN57" s="165" t="inlineStr">
        <is>
          <t>-</t>
        </is>
      </c>
      <c r="AO57" s="165" t="inlineStr">
        <is>
          <t>-</t>
        </is>
      </c>
      <c r="AP57" s="165" t="inlineStr">
        <is>
          <t>-</t>
        </is>
      </c>
      <c r="AQ57" s="165" t="inlineStr">
        <is>
          <t>-</t>
        </is>
      </c>
      <c r="AR57" s="165" t="inlineStr">
        <is>
          <t>-</t>
        </is>
      </c>
      <c r="AS57" s="165" t="inlineStr">
        <is>
          <t>-</t>
        </is>
      </c>
      <c r="AT57" s="89" t="inlineStr">
        <is>
          <t>-</t>
        </is>
      </c>
    </row>
    <row r="58" ht="13.5" customHeight="1" s="175" thickBot="1">
      <c r="E58" s="67" t="inlineStr">
        <is>
          <t>Kobberrør med kalkafsætning (DS2110)</t>
        </is>
      </c>
      <c r="F58" s="76" t="n">
        <v>4</v>
      </c>
      <c r="G58" s="92" t="inlineStr">
        <is>
          <t>6x0,8</t>
        </is>
      </c>
      <c r="H58" s="164" t="n">
        <v>4.4</v>
      </c>
      <c r="I58" s="92" t="inlineStr">
        <is>
          <t>8x0,8</t>
        </is>
      </c>
      <c r="J58" s="164" t="n">
        <v>6.4</v>
      </c>
      <c r="K58" s="92" t="inlineStr">
        <is>
          <t>10x0,8</t>
        </is>
      </c>
      <c r="L58" s="164" t="n">
        <v>8.4</v>
      </c>
      <c r="M58" s="92" t="inlineStr">
        <is>
          <t>12x1,0</t>
        </is>
      </c>
      <c r="N58" s="164" t="n">
        <v>10</v>
      </c>
      <c r="O58" s="92" t="inlineStr">
        <is>
          <t>15x1,0</t>
        </is>
      </c>
      <c r="P58" s="164" t="n">
        <v>13</v>
      </c>
      <c r="Q58" s="92" t="inlineStr">
        <is>
          <t>18x1,0</t>
        </is>
      </c>
      <c r="R58" s="164" t="n">
        <v>16</v>
      </c>
      <c r="S58" s="92" t="inlineStr">
        <is>
          <t>22x1,0</t>
        </is>
      </c>
      <c r="T58" s="164" t="n">
        <v>20</v>
      </c>
      <c r="U58" s="164" t="inlineStr">
        <is>
          <t>28x1,2</t>
        </is>
      </c>
      <c r="V58" s="164" t="n">
        <v>25.6</v>
      </c>
      <c r="W58" s="164" t="inlineStr">
        <is>
          <t>35x1,5</t>
        </is>
      </c>
      <c r="X58" s="164" t="n">
        <v>32</v>
      </c>
      <c r="Y58" s="164" t="inlineStr">
        <is>
          <t>42x1,5</t>
        </is>
      </c>
      <c r="Z58" s="164" t="n">
        <v>39</v>
      </c>
      <c r="AA58" s="164" t="inlineStr">
        <is>
          <t>54x1,5</t>
        </is>
      </c>
      <c r="AB58" s="164" t="n">
        <v>51</v>
      </c>
      <c r="AC58" s="165" t="inlineStr">
        <is>
          <t>-</t>
        </is>
      </c>
      <c r="AD58" s="165" t="inlineStr">
        <is>
          <t>-</t>
        </is>
      </c>
      <c r="AE58" s="165" t="inlineStr">
        <is>
          <t>-</t>
        </is>
      </c>
      <c r="AF58" s="165" t="inlineStr">
        <is>
          <t>-</t>
        </is>
      </c>
      <c r="AG58" s="165" t="inlineStr">
        <is>
          <t>-</t>
        </is>
      </c>
      <c r="AH58" s="165" t="inlineStr">
        <is>
          <t>-</t>
        </is>
      </c>
      <c r="AI58" s="165" t="inlineStr">
        <is>
          <t>-</t>
        </is>
      </c>
      <c r="AJ58" s="165" t="inlineStr">
        <is>
          <t>-</t>
        </is>
      </c>
      <c r="AK58" s="165" t="inlineStr">
        <is>
          <t>-</t>
        </is>
      </c>
      <c r="AL58" s="165" t="inlineStr">
        <is>
          <t>-</t>
        </is>
      </c>
      <c r="AM58" s="165" t="inlineStr">
        <is>
          <t>-</t>
        </is>
      </c>
      <c r="AN58" s="165" t="inlineStr">
        <is>
          <t>-</t>
        </is>
      </c>
      <c r="AO58" s="165" t="inlineStr">
        <is>
          <t>-</t>
        </is>
      </c>
      <c r="AP58" s="165" t="inlineStr">
        <is>
          <t>-</t>
        </is>
      </c>
      <c r="AQ58" s="165" t="inlineStr">
        <is>
          <t>-</t>
        </is>
      </c>
      <c r="AR58" s="165" t="inlineStr">
        <is>
          <t>-</t>
        </is>
      </c>
      <c r="AS58" s="165" t="inlineStr">
        <is>
          <t>-</t>
        </is>
      </c>
      <c r="AT58" s="89" t="inlineStr">
        <is>
          <t>-</t>
        </is>
      </c>
    </row>
    <row r="59">
      <c r="A59" s="2" t="inlineStr">
        <is>
          <t>Beregning rørareal [m²]</t>
        </is>
      </c>
      <c r="E59" s="67" t="inlineStr">
        <is>
          <t>Asbest-cementrør (DS160)</t>
        </is>
      </c>
      <c r="F59" s="76" t="n">
        <v>5</v>
      </c>
      <c r="G59" s="92" t="n">
        <v>50</v>
      </c>
      <c r="H59" s="164" t="n">
        <v>50</v>
      </c>
      <c r="I59" s="92" t="n">
        <v>65</v>
      </c>
      <c r="J59" s="164" t="n">
        <v>65</v>
      </c>
      <c r="K59" s="92" t="n">
        <v>80</v>
      </c>
      <c r="L59" s="164" t="n">
        <v>80</v>
      </c>
      <c r="M59" s="92" t="n">
        <v>100</v>
      </c>
      <c r="N59" s="164" t="n">
        <v>100</v>
      </c>
      <c r="O59" s="92" t="n">
        <v>125</v>
      </c>
      <c r="P59" s="164" t="n">
        <v>125</v>
      </c>
      <c r="Q59" s="92" t="n">
        <v>150</v>
      </c>
      <c r="R59" s="164" t="n">
        <v>150</v>
      </c>
      <c r="S59" s="92" t="n">
        <v>200</v>
      </c>
      <c r="T59" s="164" t="n">
        <v>200</v>
      </c>
      <c r="U59" s="164" t="n">
        <v>250</v>
      </c>
      <c r="V59" s="164" t="n">
        <v>250</v>
      </c>
      <c r="W59" s="164" t="n">
        <v>300</v>
      </c>
      <c r="X59" s="164" t="n">
        <v>300</v>
      </c>
      <c r="Y59" s="164" t="n">
        <v>350</v>
      </c>
      <c r="Z59" s="164" t="n">
        <v>350</v>
      </c>
      <c r="AA59" s="164" t="n">
        <v>400</v>
      </c>
      <c r="AB59" s="164" t="n">
        <v>400</v>
      </c>
      <c r="AC59" s="164" t="n">
        <v>450</v>
      </c>
      <c r="AD59" s="164" t="n">
        <v>450</v>
      </c>
      <c r="AE59" s="164" t="n">
        <v>500</v>
      </c>
      <c r="AF59" s="164" t="n">
        <v>500</v>
      </c>
      <c r="AG59" s="164" t="n">
        <v>600</v>
      </c>
      <c r="AH59" s="164" t="n">
        <v>600</v>
      </c>
      <c r="AI59" s="164" t="n">
        <v>700</v>
      </c>
      <c r="AJ59" s="164" t="n">
        <v>700</v>
      </c>
      <c r="AK59" s="164" t="n">
        <v>800</v>
      </c>
      <c r="AL59" s="164" t="n">
        <v>800</v>
      </c>
      <c r="AM59" s="164" t="n">
        <v>900</v>
      </c>
      <c r="AN59" s="164" t="n">
        <v>1000</v>
      </c>
      <c r="AO59" s="164" t="n">
        <v>1000</v>
      </c>
      <c r="AP59" s="165" t="inlineStr">
        <is>
          <t>-</t>
        </is>
      </c>
      <c r="AQ59" s="165" t="inlineStr">
        <is>
          <t>-</t>
        </is>
      </c>
      <c r="AR59" s="165" t="inlineStr">
        <is>
          <t>-</t>
        </is>
      </c>
      <c r="AS59" s="165" t="inlineStr">
        <is>
          <t>-</t>
        </is>
      </c>
      <c r="AT59" s="89" t="inlineStr">
        <is>
          <t>-</t>
        </is>
      </c>
    </row>
    <row r="60" ht="13.5" customHeight="1" s="175" thickBot="1">
      <c r="A60" s="3">
        <f>PI()*(Beregning!C27/2000)^2</f>
        <v/>
      </c>
      <c r="E60" s="67" t="inlineStr">
        <is>
          <t>Kobberrør uden kalkafsætning (DS2110)</t>
        </is>
      </c>
      <c r="F60" s="76" t="n">
        <v>6</v>
      </c>
      <c r="G60" s="92" t="inlineStr">
        <is>
          <t>6x0,8</t>
        </is>
      </c>
      <c r="H60" s="164" t="n">
        <v>4.4</v>
      </c>
      <c r="I60" s="92" t="inlineStr">
        <is>
          <t>8x0,8</t>
        </is>
      </c>
      <c r="J60" s="164" t="n">
        <v>6.4</v>
      </c>
      <c r="K60" s="92" t="inlineStr">
        <is>
          <t>10x0,8</t>
        </is>
      </c>
      <c r="L60" s="164" t="n">
        <v>8.4</v>
      </c>
      <c r="M60" s="92" t="inlineStr">
        <is>
          <t>12x1,0</t>
        </is>
      </c>
      <c r="N60" s="164" t="n">
        <v>10</v>
      </c>
      <c r="O60" s="92" t="inlineStr">
        <is>
          <t>15x1,0</t>
        </is>
      </c>
      <c r="P60" s="164" t="n">
        <v>13</v>
      </c>
      <c r="Q60" s="92" t="inlineStr">
        <is>
          <t>18x1,0</t>
        </is>
      </c>
      <c r="R60" s="164" t="n">
        <v>16</v>
      </c>
      <c r="S60" s="92" t="inlineStr">
        <is>
          <t>22x1,0</t>
        </is>
      </c>
      <c r="T60" s="164" t="n">
        <v>20</v>
      </c>
      <c r="U60" s="164" t="inlineStr">
        <is>
          <t>28x1,2</t>
        </is>
      </c>
      <c r="V60" s="164" t="n">
        <v>25.6</v>
      </c>
      <c r="W60" s="164" t="inlineStr">
        <is>
          <t>35x1,5</t>
        </is>
      </c>
      <c r="X60" s="164" t="n">
        <v>32</v>
      </c>
      <c r="Y60" s="164" t="inlineStr">
        <is>
          <t>42x1,5</t>
        </is>
      </c>
      <c r="Z60" s="164" t="n">
        <v>39</v>
      </c>
      <c r="AA60" s="164" t="inlineStr">
        <is>
          <t>54x1,5</t>
        </is>
      </c>
      <c r="AB60" s="164" t="n">
        <v>51</v>
      </c>
      <c r="AC60" s="165" t="inlineStr">
        <is>
          <t>-</t>
        </is>
      </c>
      <c r="AD60" s="165" t="inlineStr">
        <is>
          <t>-</t>
        </is>
      </c>
      <c r="AE60" s="165" t="inlineStr">
        <is>
          <t>-</t>
        </is>
      </c>
      <c r="AF60" s="165" t="inlineStr">
        <is>
          <t>-</t>
        </is>
      </c>
      <c r="AG60" s="165" t="inlineStr">
        <is>
          <t>-</t>
        </is>
      </c>
      <c r="AH60" s="165" t="inlineStr">
        <is>
          <t>-</t>
        </is>
      </c>
      <c r="AI60" s="165" t="inlineStr">
        <is>
          <t>-</t>
        </is>
      </c>
      <c r="AJ60" s="165" t="inlineStr">
        <is>
          <t>-</t>
        </is>
      </c>
      <c r="AK60" s="165" t="inlineStr">
        <is>
          <t>-</t>
        </is>
      </c>
      <c r="AL60" s="165" t="inlineStr">
        <is>
          <t>-</t>
        </is>
      </c>
      <c r="AM60" s="165" t="inlineStr">
        <is>
          <t>-</t>
        </is>
      </c>
      <c r="AN60" s="165" t="inlineStr">
        <is>
          <t>-</t>
        </is>
      </c>
      <c r="AO60" s="165" t="inlineStr">
        <is>
          <t>-</t>
        </is>
      </c>
      <c r="AP60" s="165" t="inlineStr">
        <is>
          <t>-</t>
        </is>
      </c>
      <c r="AQ60" s="165" t="inlineStr">
        <is>
          <t>-</t>
        </is>
      </c>
      <c r="AR60" s="165" t="inlineStr">
        <is>
          <t>-</t>
        </is>
      </c>
      <c r="AS60" s="165" t="inlineStr">
        <is>
          <t>-</t>
        </is>
      </c>
      <c r="AT60" s="89" t="inlineStr">
        <is>
          <t>-</t>
        </is>
      </c>
    </row>
    <row r="61" ht="13.5" customHeight="1" s="175" thickBot="1">
      <c r="E61" s="67" t="inlineStr">
        <is>
          <t>Rustfri stålrør DIN 10088 (Blücher Mapress)</t>
        </is>
      </c>
      <c r="F61" s="76" t="n">
        <v>7</v>
      </c>
      <c r="G61" s="92" t="inlineStr">
        <is>
          <t>15x1,0</t>
        </is>
      </c>
      <c r="H61" s="163" t="n">
        <v>13</v>
      </c>
      <c r="I61" s="92" t="inlineStr">
        <is>
          <t>18x1,0</t>
        </is>
      </c>
      <c r="J61" s="163" t="n">
        <v>16</v>
      </c>
      <c r="K61" s="92" t="inlineStr">
        <is>
          <t>22x1,2</t>
        </is>
      </c>
      <c r="L61" s="163" t="n">
        <v>19.6</v>
      </c>
      <c r="M61" s="92" t="inlineStr">
        <is>
          <t>28x1,2</t>
        </is>
      </c>
      <c r="N61" s="163" t="n">
        <v>25.6</v>
      </c>
      <c r="O61" s="92" t="inlineStr">
        <is>
          <t>35x1,5</t>
        </is>
      </c>
      <c r="P61" s="163" t="n">
        <v>32</v>
      </c>
      <c r="Q61" s="92" t="inlineStr">
        <is>
          <t>42x1,5</t>
        </is>
      </c>
      <c r="R61" s="163" t="n">
        <v>39</v>
      </c>
      <c r="S61" s="92" t="inlineStr">
        <is>
          <t>54x1,5</t>
        </is>
      </c>
      <c r="T61" s="163" t="n">
        <v>51</v>
      </c>
      <c r="U61" s="164" t="inlineStr">
        <is>
          <t>76,1x2,0</t>
        </is>
      </c>
      <c r="V61" s="163" t="n">
        <v>72.09999999999999</v>
      </c>
      <c r="W61" s="164" t="inlineStr">
        <is>
          <t>88,9x2,0</t>
        </is>
      </c>
      <c r="X61" s="163" t="n">
        <v>84.90000000000001</v>
      </c>
      <c r="Y61" s="164" t="inlineStr">
        <is>
          <t>108x2,0</t>
        </is>
      </c>
      <c r="Z61" s="163" t="n">
        <v>104</v>
      </c>
      <c r="AA61" s="163" t="inlineStr">
        <is>
          <t>-</t>
        </is>
      </c>
      <c r="AB61" s="163" t="inlineStr">
        <is>
          <t>-</t>
        </is>
      </c>
      <c r="AC61" s="163" t="inlineStr">
        <is>
          <t>-</t>
        </is>
      </c>
      <c r="AD61" s="163" t="inlineStr">
        <is>
          <t>-</t>
        </is>
      </c>
      <c r="AE61" s="163" t="inlineStr">
        <is>
          <t>-</t>
        </is>
      </c>
      <c r="AF61" s="163" t="inlineStr">
        <is>
          <t>-</t>
        </is>
      </c>
      <c r="AG61" s="163" t="inlineStr">
        <is>
          <t>-</t>
        </is>
      </c>
      <c r="AH61" s="163" t="inlineStr">
        <is>
          <t>-</t>
        </is>
      </c>
      <c r="AI61" s="163" t="inlineStr">
        <is>
          <t>-</t>
        </is>
      </c>
      <c r="AJ61" s="163" t="inlineStr">
        <is>
          <t>-</t>
        </is>
      </c>
      <c r="AK61" s="163" t="inlineStr">
        <is>
          <t>-</t>
        </is>
      </c>
      <c r="AL61" s="163" t="inlineStr">
        <is>
          <t>-</t>
        </is>
      </c>
      <c r="AM61" s="163" t="inlineStr">
        <is>
          <t>-</t>
        </is>
      </c>
      <c r="AN61" s="163" t="inlineStr">
        <is>
          <t>-</t>
        </is>
      </c>
      <c r="AO61" s="163" t="inlineStr">
        <is>
          <t>-</t>
        </is>
      </c>
      <c r="AP61" s="163" t="inlineStr">
        <is>
          <t>-</t>
        </is>
      </c>
      <c r="AQ61" s="163" t="inlineStr">
        <is>
          <t>-</t>
        </is>
      </c>
      <c r="AR61" s="163" t="inlineStr">
        <is>
          <t>-</t>
        </is>
      </c>
      <c r="AS61" s="163" t="inlineStr">
        <is>
          <t>-</t>
        </is>
      </c>
      <c r="AT61" s="88" t="inlineStr">
        <is>
          <t>-</t>
        </is>
      </c>
    </row>
    <row r="62">
      <c r="A62" s="2" t="inlineStr">
        <is>
          <t>Beregning hastighed [m/s]</t>
        </is>
      </c>
      <c r="E62" s="67" t="inlineStr">
        <is>
          <t>Rustfri stålrør DIN 10088 (Blücher Mapress)</t>
        </is>
      </c>
      <c r="F62" s="76" t="n">
        <v>8</v>
      </c>
      <c r="G62" s="92" t="inlineStr">
        <is>
          <t>15x1,0</t>
        </is>
      </c>
      <c r="H62" s="163" t="n">
        <v>13</v>
      </c>
      <c r="I62" s="92" t="inlineStr">
        <is>
          <t>18x1,0</t>
        </is>
      </c>
      <c r="J62" s="163" t="n">
        <v>16</v>
      </c>
      <c r="K62" s="92" t="inlineStr">
        <is>
          <t>22x1,2</t>
        </is>
      </c>
      <c r="L62" s="163" t="n">
        <v>19.6</v>
      </c>
      <c r="M62" s="92" t="inlineStr">
        <is>
          <t>28x1,2</t>
        </is>
      </c>
      <c r="N62" s="163" t="n">
        <v>25.6</v>
      </c>
      <c r="O62" s="92" t="inlineStr">
        <is>
          <t>35x1,5</t>
        </is>
      </c>
      <c r="P62" s="163" t="n">
        <v>32</v>
      </c>
      <c r="Q62" s="92" t="inlineStr">
        <is>
          <t>42x1,5</t>
        </is>
      </c>
      <c r="R62" s="163" t="n">
        <v>39</v>
      </c>
      <c r="S62" s="92" t="inlineStr">
        <is>
          <t>54x1,5</t>
        </is>
      </c>
      <c r="T62" s="163" t="n">
        <v>51</v>
      </c>
      <c r="U62" s="164" t="inlineStr">
        <is>
          <t>76,1x2,0</t>
        </is>
      </c>
      <c r="V62" s="163" t="n">
        <v>72.09999999999999</v>
      </c>
      <c r="W62" s="164" t="inlineStr">
        <is>
          <t>88,9x2,0</t>
        </is>
      </c>
      <c r="X62" s="163" t="n">
        <v>84.90000000000001</v>
      </c>
      <c r="Y62" s="164" t="inlineStr">
        <is>
          <t>108x2,0</t>
        </is>
      </c>
      <c r="Z62" s="163" t="n">
        <v>104</v>
      </c>
      <c r="AA62" s="163" t="inlineStr">
        <is>
          <t>-</t>
        </is>
      </c>
      <c r="AB62" s="163" t="inlineStr">
        <is>
          <t>-</t>
        </is>
      </c>
      <c r="AC62" s="163" t="inlineStr">
        <is>
          <t>-</t>
        </is>
      </c>
      <c r="AD62" s="163" t="inlineStr">
        <is>
          <t>-</t>
        </is>
      </c>
      <c r="AE62" s="163" t="inlineStr">
        <is>
          <t>-</t>
        </is>
      </c>
      <c r="AF62" s="163" t="inlineStr">
        <is>
          <t>-</t>
        </is>
      </c>
      <c r="AG62" s="163" t="inlineStr">
        <is>
          <t>-</t>
        </is>
      </c>
      <c r="AH62" s="163" t="inlineStr">
        <is>
          <t>-</t>
        </is>
      </c>
      <c r="AI62" s="163" t="inlineStr">
        <is>
          <t>-</t>
        </is>
      </c>
      <c r="AJ62" s="163" t="inlineStr">
        <is>
          <t>-</t>
        </is>
      </c>
      <c r="AK62" s="163" t="inlineStr">
        <is>
          <t>-</t>
        </is>
      </c>
      <c r="AL62" s="163" t="inlineStr">
        <is>
          <t>-</t>
        </is>
      </c>
      <c r="AM62" s="163" t="inlineStr">
        <is>
          <t>-</t>
        </is>
      </c>
      <c r="AN62" s="163" t="inlineStr">
        <is>
          <t>-</t>
        </is>
      </c>
      <c r="AO62" s="163" t="inlineStr">
        <is>
          <t>-</t>
        </is>
      </c>
      <c r="AP62" s="163" t="inlineStr">
        <is>
          <t>-</t>
        </is>
      </c>
      <c r="AQ62" s="163" t="inlineStr">
        <is>
          <t>-</t>
        </is>
      </c>
      <c r="AR62" s="163" t="inlineStr">
        <is>
          <t>-</t>
        </is>
      </c>
      <c r="AS62" s="163" t="inlineStr">
        <is>
          <t>-</t>
        </is>
      </c>
      <c r="AT62" s="88" t="inlineStr">
        <is>
          <t>-</t>
        </is>
      </c>
    </row>
    <row r="63" ht="13.5" customHeight="1" s="175" thickBot="1">
      <c r="A63" s="3">
        <f>A54/A60</f>
        <v/>
      </c>
      <c r="E63" s="67" t="inlineStr">
        <is>
          <t>Støbejernsrør SG-rør klasse K9</t>
        </is>
      </c>
      <c r="F63" s="76" t="n">
        <v>9</v>
      </c>
      <c r="G63" s="92" t="n">
        <v>80</v>
      </c>
      <c r="H63" s="164" t="n">
        <v>86</v>
      </c>
      <c r="I63" s="92" t="n">
        <v>100</v>
      </c>
      <c r="J63" s="164" t="n">
        <v>105.8</v>
      </c>
      <c r="K63" s="92" t="n">
        <v>150</v>
      </c>
      <c r="L63" s="164" t="n">
        <v>157.4</v>
      </c>
      <c r="M63" s="92" t="n">
        <v>200</v>
      </c>
      <c r="N63" s="164" t="n">
        <v>209.2</v>
      </c>
      <c r="O63" s="92" t="n">
        <v>250</v>
      </c>
      <c r="P63" s="164" t="n">
        <v>260.4</v>
      </c>
      <c r="Q63" s="92" t="n">
        <v>300</v>
      </c>
      <c r="R63" s="164" t="n">
        <v>311.8</v>
      </c>
      <c r="S63" s="93" t="inlineStr">
        <is>
          <t>-</t>
        </is>
      </c>
      <c r="T63" s="165" t="inlineStr">
        <is>
          <t>-</t>
        </is>
      </c>
      <c r="U63" s="165" t="inlineStr">
        <is>
          <t>-</t>
        </is>
      </c>
      <c r="V63" s="165" t="inlineStr">
        <is>
          <t>-</t>
        </is>
      </c>
      <c r="W63" s="165" t="inlineStr">
        <is>
          <t>-</t>
        </is>
      </c>
      <c r="X63" s="165" t="inlineStr">
        <is>
          <t>-</t>
        </is>
      </c>
      <c r="Y63" s="165" t="inlineStr">
        <is>
          <t>-</t>
        </is>
      </c>
      <c r="Z63" s="165" t="inlineStr">
        <is>
          <t>-</t>
        </is>
      </c>
      <c r="AA63" s="165" t="inlineStr">
        <is>
          <t>-</t>
        </is>
      </c>
      <c r="AB63" s="165" t="inlineStr">
        <is>
          <t>-</t>
        </is>
      </c>
      <c r="AC63" s="165" t="inlineStr">
        <is>
          <t>-</t>
        </is>
      </c>
      <c r="AD63" s="165" t="inlineStr">
        <is>
          <t>-</t>
        </is>
      </c>
      <c r="AE63" s="165" t="inlineStr">
        <is>
          <t>-</t>
        </is>
      </c>
      <c r="AF63" s="165" t="inlineStr">
        <is>
          <t>-</t>
        </is>
      </c>
      <c r="AG63" s="165" t="inlineStr">
        <is>
          <t>-</t>
        </is>
      </c>
      <c r="AH63" s="165" t="inlineStr">
        <is>
          <t>-</t>
        </is>
      </c>
      <c r="AI63" s="165" t="inlineStr">
        <is>
          <t>-</t>
        </is>
      </c>
      <c r="AJ63" s="165" t="inlineStr">
        <is>
          <t>-</t>
        </is>
      </c>
      <c r="AK63" s="165" t="inlineStr">
        <is>
          <t>-</t>
        </is>
      </c>
      <c r="AL63" s="165" t="inlineStr">
        <is>
          <t>-</t>
        </is>
      </c>
      <c r="AM63" s="165" t="inlineStr">
        <is>
          <t>-</t>
        </is>
      </c>
      <c r="AN63" s="165" t="inlineStr">
        <is>
          <t>-</t>
        </is>
      </c>
      <c r="AO63" s="165" t="inlineStr">
        <is>
          <t>-</t>
        </is>
      </c>
      <c r="AP63" s="165" t="inlineStr">
        <is>
          <t>-</t>
        </is>
      </c>
      <c r="AQ63" s="165" t="inlineStr">
        <is>
          <t>-</t>
        </is>
      </c>
      <c r="AR63" s="165" t="inlineStr">
        <is>
          <t>-</t>
        </is>
      </c>
      <c r="AS63" s="165" t="inlineStr">
        <is>
          <t>-</t>
        </is>
      </c>
      <c r="AT63" s="89" t="inlineStr">
        <is>
          <t>-</t>
        </is>
      </c>
    </row>
    <row r="64" ht="13.5" customHeight="1" s="175" thickBot="1">
      <c r="E64" s="67" t="inlineStr">
        <is>
          <t>Middelsvære gevindrør (stål) DIN2440</t>
        </is>
      </c>
      <c r="F64" s="76" t="n">
        <v>10</v>
      </c>
      <c r="G64" s="92" t="n">
        <v>6</v>
      </c>
      <c r="H64" s="164" t="n">
        <v>6.2</v>
      </c>
      <c r="I64" s="92" t="n">
        <v>8</v>
      </c>
      <c r="J64" s="164" t="n">
        <v>8.9</v>
      </c>
      <c r="K64" s="92" t="n">
        <v>10</v>
      </c>
      <c r="L64" s="164" t="n">
        <v>12.4</v>
      </c>
      <c r="M64" s="92" t="n">
        <v>15</v>
      </c>
      <c r="N64" s="164" t="n">
        <v>16.1</v>
      </c>
      <c r="O64" s="92" t="n">
        <v>20</v>
      </c>
      <c r="P64" s="164" t="n">
        <v>21.7</v>
      </c>
      <c r="Q64" s="92" t="n">
        <v>25</v>
      </c>
      <c r="R64" s="164" t="n">
        <v>27.2</v>
      </c>
      <c r="S64" s="92" t="n">
        <v>32</v>
      </c>
      <c r="T64" s="164" t="n">
        <v>36</v>
      </c>
      <c r="U64" s="164" t="n">
        <v>40</v>
      </c>
      <c r="V64" s="164" t="n">
        <v>42</v>
      </c>
      <c r="W64" s="164" t="n">
        <v>50</v>
      </c>
      <c r="X64" s="164" t="n">
        <v>53</v>
      </c>
      <c r="Y64" s="164" t="n">
        <v>65</v>
      </c>
      <c r="Z64" s="164" t="n">
        <v>69</v>
      </c>
      <c r="AA64" s="164" t="n">
        <v>80</v>
      </c>
      <c r="AB64" s="164" t="n">
        <v>81</v>
      </c>
      <c r="AC64" s="164" t="n">
        <v>100</v>
      </c>
      <c r="AD64" s="164" t="n">
        <v>105</v>
      </c>
      <c r="AE64" s="164" t="n">
        <v>125</v>
      </c>
      <c r="AF64" s="164" t="n">
        <v>130</v>
      </c>
      <c r="AG64" s="164" t="n">
        <v>150</v>
      </c>
      <c r="AH64" s="164" t="n">
        <v>155</v>
      </c>
      <c r="AI64" s="165" t="inlineStr">
        <is>
          <t>-</t>
        </is>
      </c>
      <c r="AJ64" s="165" t="inlineStr">
        <is>
          <t>-</t>
        </is>
      </c>
      <c r="AK64" s="165" t="inlineStr">
        <is>
          <t>-</t>
        </is>
      </c>
      <c r="AL64" s="165" t="inlineStr">
        <is>
          <t>-</t>
        </is>
      </c>
      <c r="AM64" s="165" t="inlineStr">
        <is>
          <t>-</t>
        </is>
      </c>
      <c r="AN64" s="165" t="inlineStr">
        <is>
          <t>-</t>
        </is>
      </c>
      <c r="AO64" s="165" t="inlineStr">
        <is>
          <t>-</t>
        </is>
      </c>
      <c r="AP64" s="165" t="inlineStr">
        <is>
          <t>-</t>
        </is>
      </c>
      <c r="AQ64" s="165" t="inlineStr">
        <is>
          <t>-</t>
        </is>
      </c>
      <c r="AR64" s="165" t="inlineStr">
        <is>
          <t>-</t>
        </is>
      </c>
      <c r="AS64" s="165" t="inlineStr">
        <is>
          <t>-</t>
        </is>
      </c>
      <c r="AT64" s="89" t="inlineStr">
        <is>
          <t>-</t>
        </is>
      </c>
    </row>
    <row r="65">
      <c r="A65" s="2" t="inlineStr">
        <is>
          <t>Beregning Reynolds tal</t>
        </is>
      </c>
      <c r="E65" s="67" t="inlineStr">
        <is>
          <t>Fjernvarmeledninger, glatte sømløse stålrør DIN2448</t>
        </is>
      </c>
      <c r="F65" s="76" t="n">
        <v>11</v>
      </c>
      <c r="G65" s="92" t="inlineStr">
        <is>
          <t>33,7x2,6</t>
        </is>
      </c>
      <c r="H65" s="164" t="n">
        <v>28.5</v>
      </c>
      <c r="I65" s="92" t="inlineStr">
        <is>
          <t>38,0x2,6</t>
        </is>
      </c>
      <c r="J65" s="164" t="n">
        <v>32.8</v>
      </c>
      <c r="K65" s="92" t="inlineStr">
        <is>
          <t>42,4x2,6</t>
        </is>
      </c>
      <c r="L65" s="164" t="n">
        <v>37.2</v>
      </c>
      <c r="M65" s="92" t="inlineStr">
        <is>
          <t>48,3x2,6</t>
        </is>
      </c>
      <c r="N65" s="164" t="n">
        <v>43.1</v>
      </c>
      <c r="O65" s="92" t="inlineStr">
        <is>
          <t>60,3x2,9</t>
        </is>
      </c>
      <c r="P65" s="164" t="n">
        <v>54.5</v>
      </c>
      <c r="Q65" s="92" t="inlineStr">
        <is>
          <t>70,0x2,9</t>
        </is>
      </c>
      <c r="R65" s="164" t="n">
        <v>64.2</v>
      </c>
      <c r="S65" s="92" t="inlineStr">
        <is>
          <t>76,1x2,9</t>
        </is>
      </c>
      <c r="T65" s="164" t="n">
        <v>70.3</v>
      </c>
      <c r="U65" s="164" t="inlineStr">
        <is>
          <t>88,9x3,2</t>
        </is>
      </c>
      <c r="V65" s="164" t="n">
        <v>82.5</v>
      </c>
      <c r="W65" s="164" t="inlineStr">
        <is>
          <t>108,0x3,6</t>
        </is>
      </c>
      <c r="X65" s="164" t="n">
        <v>100.8</v>
      </c>
      <c r="Y65" s="164" t="inlineStr">
        <is>
          <t>114,3x3,6</t>
        </is>
      </c>
      <c r="Z65" s="164" t="n">
        <v>107.1</v>
      </c>
      <c r="AA65" s="164" t="inlineStr">
        <is>
          <t>133,0x4,0</t>
        </is>
      </c>
      <c r="AB65" s="164" t="n">
        <v>125</v>
      </c>
      <c r="AC65" s="164" t="inlineStr">
        <is>
          <t>139,7x4,0</t>
        </is>
      </c>
      <c r="AD65" s="164" t="n">
        <v>131.7</v>
      </c>
      <c r="AE65" s="164" t="inlineStr">
        <is>
          <t>159,0x4,5</t>
        </is>
      </c>
      <c r="AF65" s="164" t="n">
        <v>150</v>
      </c>
      <c r="AG65" s="164" t="inlineStr">
        <is>
          <t>168,3x4,5</t>
        </is>
      </c>
      <c r="AH65" s="164" t="n">
        <v>159.3</v>
      </c>
      <c r="AI65" s="164" t="inlineStr">
        <is>
          <t>193,7x5,4</t>
        </is>
      </c>
      <c r="AJ65" s="164" t="n">
        <v>182.9</v>
      </c>
      <c r="AK65" s="164" t="inlineStr">
        <is>
          <t>219,1x5,9</t>
        </is>
      </c>
      <c r="AL65" s="164" t="n">
        <v>207.3</v>
      </c>
      <c r="AM65" s="164" t="inlineStr">
        <is>
          <t>244,5x6,3</t>
        </is>
      </c>
      <c r="AN65" s="164" t="n">
        <v>231.9</v>
      </c>
      <c r="AO65" s="164" t="inlineStr">
        <is>
          <t>273,0x6,3</t>
        </is>
      </c>
      <c r="AP65" s="164" t="n">
        <v>260.4</v>
      </c>
      <c r="AQ65" s="164" t="inlineStr">
        <is>
          <t>323,9x7,1</t>
        </is>
      </c>
      <c r="AR65" s="164" t="n">
        <v>309.7</v>
      </c>
      <c r="AS65" s="164" t="inlineStr">
        <is>
          <t>355,6x8,0</t>
        </is>
      </c>
      <c r="AT65" s="87" t="n">
        <v>339.6</v>
      </c>
    </row>
    <row r="66" ht="13.5" customHeight="1" s="175" thickBot="1">
      <c r="A66" s="3">
        <f>(A63*(Beregning!C27/1000))/Tabeller!A42</f>
        <v/>
      </c>
      <c r="E66" s="67" t="inlineStr">
        <is>
          <t>PVC-rør (DS972) PN10</t>
        </is>
      </c>
      <c r="F66" s="76" t="n">
        <v>12</v>
      </c>
      <c r="G66" s="92" t="n">
        <v>12</v>
      </c>
      <c r="H66" s="164" t="n">
        <v>10</v>
      </c>
      <c r="I66" s="92" t="n">
        <v>16</v>
      </c>
      <c r="J66" s="164" t="n">
        <v>14</v>
      </c>
      <c r="K66" s="92" t="n">
        <v>20</v>
      </c>
      <c r="L66" s="164" t="n">
        <v>18</v>
      </c>
      <c r="M66" s="92" t="n">
        <v>25</v>
      </c>
      <c r="N66" s="164" t="n">
        <v>22.6</v>
      </c>
      <c r="O66" s="92" t="n">
        <v>32</v>
      </c>
      <c r="P66" s="164" t="n">
        <v>28.8</v>
      </c>
      <c r="Q66" s="92" t="n">
        <v>40</v>
      </c>
      <c r="R66" s="164" t="n">
        <v>36</v>
      </c>
      <c r="S66" s="92" t="n">
        <v>50</v>
      </c>
      <c r="T66" s="164" t="n">
        <v>45.2</v>
      </c>
      <c r="U66" s="164" t="n">
        <v>63</v>
      </c>
      <c r="V66" s="164" t="n">
        <v>57</v>
      </c>
      <c r="W66" s="164" t="n">
        <v>75</v>
      </c>
      <c r="X66" s="164" t="n">
        <v>67.8</v>
      </c>
      <c r="Y66" s="164" t="n">
        <v>90</v>
      </c>
      <c r="Z66" s="164" t="n">
        <v>81.40000000000001</v>
      </c>
      <c r="AA66" s="164" t="n">
        <v>110</v>
      </c>
      <c r="AB66" s="164" t="n">
        <v>99.40000000000001</v>
      </c>
      <c r="AC66" s="164" t="n">
        <v>125</v>
      </c>
      <c r="AD66" s="164" t="n">
        <v>113</v>
      </c>
      <c r="AE66" s="164" t="n">
        <v>140</v>
      </c>
      <c r="AF66" s="164" t="n">
        <v>126.6</v>
      </c>
      <c r="AG66" s="164" t="n">
        <v>160</v>
      </c>
      <c r="AH66" s="164" t="n">
        <v>144.6</v>
      </c>
      <c r="AI66" s="164" t="n">
        <v>180</v>
      </c>
      <c r="AJ66" s="164" t="n">
        <v>162.8</v>
      </c>
      <c r="AK66" s="164" t="n">
        <v>200</v>
      </c>
      <c r="AL66" s="163" t="n">
        <v>180.8</v>
      </c>
      <c r="AM66" s="165" t="inlineStr">
        <is>
          <t>-</t>
        </is>
      </c>
      <c r="AN66" s="165" t="inlineStr">
        <is>
          <t>-</t>
        </is>
      </c>
      <c r="AO66" s="165" t="inlineStr">
        <is>
          <t>-</t>
        </is>
      </c>
      <c r="AP66" s="165" t="inlineStr">
        <is>
          <t>-</t>
        </is>
      </c>
      <c r="AQ66" s="165" t="inlineStr">
        <is>
          <t>-</t>
        </is>
      </c>
      <c r="AR66" s="165" t="inlineStr">
        <is>
          <t>-</t>
        </is>
      </c>
      <c r="AS66" s="165" t="inlineStr">
        <is>
          <t>-</t>
        </is>
      </c>
      <c r="AT66" s="89" t="inlineStr">
        <is>
          <t>-</t>
        </is>
      </c>
    </row>
    <row r="67">
      <c r="E67" s="67" t="inlineStr">
        <is>
          <t>PEL-rør (DS719) PN10</t>
        </is>
      </c>
      <c r="F67" s="76" t="n">
        <v>13</v>
      </c>
      <c r="G67" s="92" t="n">
        <v>12</v>
      </c>
      <c r="H67" s="164" t="n">
        <v>8.6</v>
      </c>
      <c r="I67" s="92" t="n">
        <v>16</v>
      </c>
      <c r="J67" s="164" t="n">
        <v>11.6</v>
      </c>
      <c r="K67" s="92" t="n">
        <v>20</v>
      </c>
      <c r="L67" s="164" t="n">
        <v>14.4</v>
      </c>
      <c r="M67" s="92" t="n">
        <v>25</v>
      </c>
      <c r="N67" s="164" t="n">
        <v>18.2</v>
      </c>
      <c r="O67" s="92" t="n">
        <v>32</v>
      </c>
      <c r="P67" s="164" t="n">
        <v>23.2</v>
      </c>
      <c r="Q67" s="92" t="n">
        <v>40</v>
      </c>
      <c r="R67" s="164" t="n">
        <v>29</v>
      </c>
      <c r="S67" s="92" t="n">
        <v>50</v>
      </c>
      <c r="T67" s="164" t="n">
        <v>36.4</v>
      </c>
      <c r="U67" s="164" t="n">
        <v>63</v>
      </c>
      <c r="V67" s="164" t="n">
        <v>45.8</v>
      </c>
      <c r="W67" s="164" t="n">
        <v>75</v>
      </c>
      <c r="X67" s="164" t="n">
        <v>54.6</v>
      </c>
      <c r="Y67" s="164" t="n">
        <v>90</v>
      </c>
      <c r="Z67" s="164" t="n">
        <v>65.59999999999999</v>
      </c>
      <c r="AA67" s="164" t="n">
        <v>110</v>
      </c>
      <c r="AB67" s="164" t="n">
        <v>80.2</v>
      </c>
      <c r="AC67" s="164" t="n">
        <v>125</v>
      </c>
      <c r="AD67" s="164" t="n">
        <v>91.2</v>
      </c>
      <c r="AE67" s="164" t="n">
        <v>140</v>
      </c>
      <c r="AF67" s="164" t="n">
        <v>102</v>
      </c>
      <c r="AG67" s="165" t="inlineStr">
        <is>
          <t>-</t>
        </is>
      </c>
      <c r="AH67" s="165" t="inlineStr">
        <is>
          <t>-</t>
        </is>
      </c>
      <c r="AI67" s="165" t="inlineStr">
        <is>
          <t>-</t>
        </is>
      </c>
      <c r="AJ67" s="165" t="inlineStr">
        <is>
          <t>-</t>
        </is>
      </c>
      <c r="AK67" s="165" t="inlineStr">
        <is>
          <t>-</t>
        </is>
      </c>
      <c r="AL67" s="165" t="inlineStr">
        <is>
          <t>-</t>
        </is>
      </c>
      <c r="AM67" s="165" t="inlineStr">
        <is>
          <t>-</t>
        </is>
      </c>
      <c r="AN67" s="165" t="inlineStr">
        <is>
          <t>-</t>
        </is>
      </c>
      <c r="AO67" s="165" t="inlineStr">
        <is>
          <t>-</t>
        </is>
      </c>
      <c r="AP67" s="165" t="inlineStr">
        <is>
          <t>-</t>
        </is>
      </c>
      <c r="AQ67" s="165" t="inlineStr">
        <is>
          <t>-</t>
        </is>
      </c>
      <c r="AR67" s="165" t="inlineStr">
        <is>
          <t>-</t>
        </is>
      </c>
      <c r="AS67" s="165" t="inlineStr">
        <is>
          <t>-</t>
        </is>
      </c>
      <c r="AT67" s="89" t="inlineStr">
        <is>
          <t>-</t>
        </is>
      </c>
    </row>
    <row r="68">
      <c r="E68" s="67" t="inlineStr">
        <is>
          <t>PEM- og PEH-rør (DS2129) PN10</t>
        </is>
      </c>
      <c r="F68" s="76" t="n">
        <v>14</v>
      </c>
      <c r="G68" s="92" t="n">
        <v>12</v>
      </c>
      <c r="H68" s="164" t="n">
        <v>8</v>
      </c>
      <c r="I68" s="92" t="n">
        <v>16</v>
      </c>
      <c r="J68" s="164" t="n">
        <v>12</v>
      </c>
      <c r="K68" s="92" t="n">
        <v>20</v>
      </c>
      <c r="L68" s="164" t="n">
        <v>16</v>
      </c>
      <c r="M68" s="92" t="n">
        <v>25</v>
      </c>
      <c r="N68" s="164" t="n">
        <v>20.4</v>
      </c>
      <c r="O68" s="92" t="n">
        <v>32</v>
      </c>
      <c r="P68" s="164" t="n">
        <v>26.2</v>
      </c>
      <c r="Q68" s="92" t="n">
        <v>40</v>
      </c>
      <c r="R68" s="164" t="n">
        <v>32.6</v>
      </c>
      <c r="S68" s="92" t="n">
        <v>50</v>
      </c>
      <c r="T68" s="164" t="n">
        <v>40.8</v>
      </c>
      <c r="U68" s="164" t="n">
        <v>63</v>
      </c>
      <c r="V68" s="164" t="n">
        <v>51.3</v>
      </c>
      <c r="W68" s="164" t="n">
        <v>75</v>
      </c>
      <c r="X68" s="164" t="n">
        <v>61.3</v>
      </c>
      <c r="Y68" s="164" t="n">
        <v>90</v>
      </c>
      <c r="Z68" s="164" t="n">
        <v>73.59999999999999</v>
      </c>
      <c r="AA68" s="164" t="n">
        <v>110</v>
      </c>
      <c r="AB68" s="164" t="n">
        <v>90</v>
      </c>
      <c r="AC68" s="164" t="n">
        <v>125</v>
      </c>
      <c r="AD68" s="164" t="n">
        <v>102.2</v>
      </c>
      <c r="AE68" s="164" t="n">
        <v>140</v>
      </c>
      <c r="AF68" s="164" t="n">
        <v>114.6</v>
      </c>
      <c r="AG68" s="164" t="n">
        <v>160</v>
      </c>
      <c r="AH68" s="164" t="n">
        <v>130.8</v>
      </c>
      <c r="AI68" s="164" t="n">
        <v>180</v>
      </c>
      <c r="AJ68" s="164" t="n">
        <v>147.2</v>
      </c>
      <c r="AK68" s="164" t="n">
        <v>200</v>
      </c>
      <c r="AL68" s="163" t="n">
        <v>163.6</v>
      </c>
      <c r="AM68" s="165" t="inlineStr">
        <is>
          <t>-</t>
        </is>
      </c>
      <c r="AN68" s="165" t="inlineStr">
        <is>
          <t>-</t>
        </is>
      </c>
      <c r="AO68" s="165" t="inlineStr">
        <is>
          <t>-</t>
        </is>
      </c>
      <c r="AP68" s="165" t="inlineStr">
        <is>
          <t>-</t>
        </is>
      </c>
      <c r="AQ68" s="165" t="inlineStr">
        <is>
          <t>-</t>
        </is>
      </c>
      <c r="AR68" s="165" t="inlineStr">
        <is>
          <t>-</t>
        </is>
      </c>
      <c r="AS68" s="165" t="inlineStr">
        <is>
          <t>-</t>
        </is>
      </c>
      <c r="AT68" s="89" t="inlineStr">
        <is>
          <t>-</t>
        </is>
      </c>
    </row>
    <row r="69">
      <c r="E69" s="67" t="inlineStr">
        <is>
          <t>PEX-rør PN10 (Wirsbo-PEX)</t>
        </is>
      </c>
      <c r="F69" s="76" t="n">
        <v>15</v>
      </c>
      <c r="G69" s="92" t="inlineStr">
        <is>
          <t>10x1,8</t>
        </is>
      </c>
      <c r="H69" s="164" t="n">
        <v>6.4</v>
      </c>
      <c r="I69" s="92" t="inlineStr">
        <is>
          <t>12x2,0</t>
        </is>
      </c>
      <c r="J69" s="76" t="n">
        <v>8</v>
      </c>
      <c r="K69" s="92" t="inlineStr">
        <is>
          <t>15x2,5</t>
        </is>
      </c>
      <c r="L69" s="76" t="n">
        <v>10</v>
      </c>
      <c r="M69" s="92" t="inlineStr">
        <is>
          <t>18x2,5</t>
        </is>
      </c>
      <c r="N69" s="76" t="n">
        <v>13</v>
      </c>
      <c r="O69" s="92" t="inlineStr">
        <is>
          <t>22x3,0</t>
        </is>
      </c>
      <c r="P69" s="92" t="n">
        <v>16</v>
      </c>
      <c r="Q69" s="92" t="inlineStr">
        <is>
          <t>28x4,0</t>
        </is>
      </c>
      <c r="R69" s="92" t="n">
        <v>20</v>
      </c>
      <c r="S69" s="92" t="inlineStr">
        <is>
          <t>32x4,4</t>
        </is>
      </c>
      <c r="T69" s="163" t="n">
        <v>23.2</v>
      </c>
      <c r="U69" s="164" t="inlineStr">
        <is>
          <t>40x5,5</t>
        </is>
      </c>
      <c r="V69" s="163" t="n">
        <v>29</v>
      </c>
      <c r="W69" s="164" t="inlineStr">
        <is>
          <t>50x6,9</t>
        </is>
      </c>
      <c r="X69" s="163" t="n">
        <v>36.2</v>
      </c>
      <c r="Y69" s="164" t="inlineStr">
        <is>
          <t>63x8,7</t>
        </is>
      </c>
      <c r="Z69" s="163" t="n">
        <v>45.6</v>
      </c>
      <c r="AA69" s="164" t="inlineStr">
        <is>
          <t>75x10,3</t>
        </is>
      </c>
      <c r="AB69" s="163" t="n">
        <v>54.4</v>
      </c>
      <c r="AC69" s="164" t="inlineStr">
        <is>
          <t>90x12,3</t>
        </is>
      </c>
      <c r="AD69" s="163" t="n">
        <v>65.40000000000001</v>
      </c>
      <c r="AE69" s="164" t="inlineStr">
        <is>
          <t>110x15,1</t>
        </is>
      </c>
      <c r="AF69" s="163" t="n">
        <v>79.8</v>
      </c>
      <c r="AG69" s="165" t="inlineStr">
        <is>
          <t>-</t>
        </is>
      </c>
      <c r="AH69" s="165" t="inlineStr">
        <is>
          <t>-</t>
        </is>
      </c>
      <c r="AI69" s="165" t="inlineStr">
        <is>
          <t>-</t>
        </is>
      </c>
      <c r="AJ69" s="165" t="inlineStr">
        <is>
          <t>-</t>
        </is>
      </c>
      <c r="AK69" s="165" t="inlineStr">
        <is>
          <t>-</t>
        </is>
      </c>
      <c r="AL69" s="165" t="inlineStr">
        <is>
          <t>-</t>
        </is>
      </c>
      <c r="AM69" s="165" t="inlineStr">
        <is>
          <t>-</t>
        </is>
      </c>
      <c r="AN69" s="165" t="inlineStr">
        <is>
          <t>-</t>
        </is>
      </c>
      <c r="AO69" s="165" t="inlineStr">
        <is>
          <t>-</t>
        </is>
      </c>
      <c r="AP69" s="165" t="inlineStr">
        <is>
          <t>-</t>
        </is>
      </c>
      <c r="AQ69" s="165" t="inlineStr">
        <is>
          <t>-</t>
        </is>
      </c>
      <c r="AR69" s="165" t="inlineStr">
        <is>
          <t>-</t>
        </is>
      </c>
      <c r="AS69" s="165" t="inlineStr">
        <is>
          <t>-</t>
        </is>
      </c>
      <c r="AT69" s="89" t="inlineStr">
        <is>
          <t>-</t>
        </is>
      </c>
    </row>
    <row r="70">
      <c r="E70" s="67" t="inlineStr">
        <is>
          <t>PEX-rør PN6 (Wirsbo evalPEX)</t>
        </is>
      </c>
      <c r="F70" s="76" t="n">
        <v>16</v>
      </c>
      <c r="G70" s="92" t="inlineStr">
        <is>
          <t>12x2,0</t>
        </is>
      </c>
      <c r="H70" s="69" t="n">
        <v>8</v>
      </c>
      <c r="I70" s="92" t="inlineStr">
        <is>
          <t>15x2,5</t>
        </is>
      </c>
      <c r="J70" s="69" t="n">
        <v>10</v>
      </c>
      <c r="K70" s="92" t="inlineStr">
        <is>
          <t>18x2,5</t>
        </is>
      </c>
      <c r="L70" s="69" t="n">
        <v>13</v>
      </c>
      <c r="M70" s="92" t="inlineStr">
        <is>
          <t>22x3,0</t>
        </is>
      </c>
      <c r="N70" s="92" t="n">
        <v>16</v>
      </c>
      <c r="O70" s="92" t="inlineStr">
        <is>
          <t>28x4,0</t>
        </is>
      </c>
      <c r="P70" s="92" t="n">
        <v>20</v>
      </c>
      <c r="Q70" s="92" t="inlineStr">
        <is>
          <t>32x3,0</t>
        </is>
      </c>
      <c r="R70" s="92" t="n">
        <v>26</v>
      </c>
      <c r="S70" s="92" t="inlineStr">
        <is>
          <t>32x2,0</t>
        </is>
      </c>
      <c r="T70" s="164" t="n">
        <v>26</v>
      </c>
      <c r="U70" s="164" t="inlineStr">
        <is>
          <t>40x3,7</t>
        </is>
      </c>
      <c r="V70" s="163" t="n">
        <v>32.6</v>
      </c>
      <c r="W70" s="164" t="inlineStr">
        <is>
          <t>50x4,6</t>
        </is>
      </c>
      <c r="X70" s="163" t="n">
        <v>40.8</v>
      </c>
      <c r="Y70" s="164" t="inlineStr">
        <is>
          <t>63x5,8</t>
        </is>
      </c>
      <c r="Z70" s="163" t="n">
        <v>51.4</v>
      </c>
      <c r="AA70" s="164" t="inlineStr">
        <is>
          <t>75x6,9</t>
        </is>
      </c>
      <c r="AB70" s="163" t="n">
        <v>61.2</v>
      </c>
      <c r="AC70" s="164" t="inlineStr">
        <is>
          <t>90x8,2</t>
        </is>
      </c>
      <c r="AD70" s="163" t="n">
        <v>73.59999999999999</v>
      </c>
      <c r="AE70" s="164" t="inlineStr">
        <is>
          <t>110x10</t>
        </is>
      </c>
      <c r="AF70" s="163" t="n">
        <v>90</v>
      </c>
      <c r="AG70" s="165" t="inlineStr">
        <is>
          <t>-</t>
        </is>
      </c>
      <c r="AH70" s="165" t="inlineStr">
        <is>
          <t>-</t>
        </is>
      </c>
      <c r="AI70" s="165" t="inlineStr">
        <is>
          <t>-</t>
        </is>
      </c>
      <c r="AJ70" s="165" t="inlineStr">
        <is>
          <t>-</t>
        </is>
      </c>
      <c r="AK70" s="165" t="inlineStr">
        <is>
          <t>-</t>
        </is>
      </c>
      <c r="AL70" s="165" t="inlineStr">
        <is>
          <t>-</t>
        </is>
      </c>
      <c r="AM70" s="165" t="inlineStr">
        <is>
          <t>-</t>
        </is>
      </c>
      <c r="AN70" s="165" t="inlineStr">
        <is>
          <t>-</t>
        </is>
      </c>
      <c r="AO70" s="165" t="inlineStr">
        <is>
          <t>-</t>
        </is>
      </c>
      <c r="AP70" s="165" t="inlineStr">
        <is>
          <t>-</t>
        </is>
      </c>
      <c r="AQ70" s="165" t="inlineStr">
        <is>
          <t>-</t>
        </is>
      </c>
      <c r="AR70" s="165" t="inlineStr">
        <is>
          <t>-</t>
        </is>
      </c>
      <c r="AS70" s="165" t="inlineStr">
        <is>
          <t>-</t>
        </is>
      </c>
      <c r="AT70" s="89" t="inlineStr">
        <is>
          <t>-</t>
        </is>
      </c>
    </row>
    <row r="71">
      <c r="E71" s="67" t="inlineStr">
        <is>
          <t>AluPEX-rør (Wavin)</t>
        </is>
      </c>
      <c r="F71" s="76" t="n">
        <v>17</v>
      </c>
      <c r="G71" s="92" t="inlineStr">
        <is>
          <t>14x2,0</t>
        </is>
      </c>
      <c r="H71" s="164" t="n">
        <v>10</v>
      </c>
      <c r="I71" s="92" t="inlineStr">
        <is>
          <t>16x2,0</t>
        </is>
      </c>
      <c r="J71" s="92" t="n">
        <v>12</v>
      </c>
      <c r="K71" s="92" t="inlineStr">
        <is>
          <t>18x2,0</t>
        </is>
      </c>
      <c r="L71" s="92" t="n">
        <v>14</v>
      </c>
      <c r="M71" s="92" t="inlineStr">
        <is>
          <t>20x2,25</t>
        </is>
      </c>
      <c r="N71" s="92" t="n">
        <v>15.5</v>
      </c>
      <c r="O71" s="92" t="inlineStr">
        <is>
          <t>25x2,5</t>
        </is>
      </c>
      <c r="P71" s="92" t="n">
        <v>20</v>
      </c>
      <c r="Q71" s="92" t="inlineStr">
        <is>
          <t>32x3,0</t>
        </is>
      </c>
      <c r="R71" s="92" t="n">
        <v>26</v>
      </c>
      <c r="S71" s="92" t="inlineStr">
        <is>
          <t>40x4,0</t>
        </is>
      </c>
      <c r="T71" s="92" t="n">
        <v>32</v>
      </c>
      <c r="U71" s="92" t="inlineStr">
        <is>
          <t>50x4,5</t>
        </is>
      </c>
      <c r="V71" s="92" t="n">
        <v>41</v>
      </c>
      <c r="W71" s="92" t="inlineStr">
        <is>
          <t>63x6,0</t>
        </is>
      </c>
      <c r="X71" s="92" t="n">
        <v>51</v>
      </c>
      <c r="Y71" s="165" t="inlineStr">
        <is>
          <t>-</t>
        </is>
      </c>
      <c r="Z71" s="165" t="inlineStr">
        <is>
          <t>-</t>
        </is>
      </c>
      <c r="AA71" s="165" t="inlineStr">
        <is>
          <t>-</t>
        </is>
      </c>
      <c r="AB71" s="165" t="inlineStr">
        <is>
          <t>-</t>
        </is>
      </c>
      <c r="AC71" s="165" t="inlineStr">
        <is>
          <t>-</t>
        </is>
      </c>
      <c r="AD71" s="165" t="inlineStr">
        <is>
          <t>-</t>
        </is>
      </c>
      <c r="AE71" s="165" t="inlineStr">
        <is>
          <t>-</t>
        </is>
      </c>
      <c r="AF71" s="165" t="inlineStr">
        <is>
          <t>-</t>
        </is>
      </c>
      <c r="AG71" s="165" t="inlineStr">
        <is>
          <t>-</t>
        </is>
      </c>
      <c r="AH71" s="165" t="inlineStr">
        <is>
          <t>-</t>
        </is>
      </c>
      <c r="AI71" s="165" t="inlineStr">
        <is>
          <t>-</t>
        </is>
      </c>
      <c r="AJ71" s="165" t="inlineStr">
        <is>
          <t>-</t>
        </is>
      </c>
      <c r="AK71" s="165" t="inlineStr">
        <is>
          <t>-</t>
        </is>
      </c>
      <c r="AL71" s="165" t="inlineStr">
        <is>
          <t>-</t>
        </is>
      </c>
      <c r="AM71" s="165" t="inlineStr">
        <is>
          <t>-</t>
        </is>
      </c>
      <c r="AN71" s="165" t="inlineStr">
        <is>
          <t>-</t>
        </is>
      </c>
      <c r="AO71" s="165" t="inlineStr">
        <is>
          <t>-</t>
        </is>
      </c>
      <c r="AP71" s="165" t="inlineStr">
        <is>
          <t>-</t>
        </is>
      </c>
      <c r="AQ71" s="165" t="inlineStr">
        <is>
          <t>-</t>
        </is>
      </c>
      <c r="AR71" s="165" t="inlineStr">
        <is>
          <t>-</t>
        </is>
      </c>
      <c r="AS71" s="165" t="inlineStr">
        <is>
          <t>-</t>
        </is>
      </c>
      <c r="AT71" s="89" t="inlineStr">
        <is>
          <t>-</t>
        </is>
      </c>
    </row>
    <row r="72">
      <c r="E72" s="67" t="inlineStr">
        <is>
          <t>Skorsten af svejste stålrør/kanaler</t>
        </is>
      </c>
      <c r="F72" s="76" t="n">
        <v>18</v>
      </c>
      <c r="G72" s="91" t="inlineStr">
        <is>
          <t>-</t>
        </is>
      </c>
      <c r="H72" s="163" t="inlineStr">
        <is>
          <t>-</t>
        </is>
      </c>
      <c r="I72" s="91" t="inlineStr">
        <is>
          <t>-</t>
        </is>
      </c>
      <c r="J72" s="163" t="inlineStr">
        <is>
          <t>-</t>
        </is>
      </c>
      <c r="K72" s="91" t="inlineStr">
        <is>
          <t>-</t>
        </is>
      </c>
      <c r="L72" s="163" t="inlineStr">
        <is>
          <t>-</t>
        </is>
      </c>
      <c r="M72" s="91" t="inlineStr">
        <is>
          <t>-</t>
        </is>
      </c>
      <c r="N72" s="163" t="inlineStr">
        <is>
          <t>-</t>
        </is>
      </c>
      <c r="O72" s="91" t="inlineStr">
        <is>
          <t>-</t>
        </is>
      </c>
      <c r="P72" s="163" t="inlineStr">
        <is>
          <t>-</t>
        </is>
      </c>
      <c r="Q72" s="91" t="inlineStr">
        <is>
          <t>-</t>
        </is>
      </c>
      <c r="R72" s="163" t="inlineStr">
        <is>
          <t>-</t>
        </is>
      </c>
      <c r="S72" s="91" t="inlineStr">
        <is>
          <t>-</t>
        </is>
      </c>
      <c r="T72" s="163" t="inlineStr">
        <is>
          <t>-</t>
        </is>
      </c>
      <c r="U72" s="163" t="inlineStr">
        <is>
          <t>-</t>
        </is>
      </c>
      <c r="V72" s="163" t="inlineStr">
        <is>
          <t>-</t>
        </is>
      </c>
      <c r="W72" s="163" t="inlineStr">
        <is>
          <t>-</t>
        </is>
      </c>
      <c r="X72" s="163" t="inlineStr">
        <is>
          <t>-</t>
        </is>
      </c>
      <c r="Y72" s="163" t="inlineStr">
        <is>
          <t>-</t>
        </is>
      </c>
      <c r="Z72" s="163" t="inlineStr">
        <is>
          <t>-</t>
        </is>
      </c>
      <c r="AA72" s="163" t="inlineStr">
        <is>
          <t>-</t>
        </is>
      </c>
      <c r="AB72" s="163" t="inlineStr">
        <is>
          <t>-</t>
        </is>
      </c>
      <c r="AC72" s="163" t="inlineStr">
        <is>
          <t>-</t>
        </is>
      </c>
      <c r="AD72" s="163" t="inlineStr">
        <is>
          <t>-</t>
        </is>
      </c>
      <c r="AE72" s="163" t="inlineStr">
        <is>
          <t>-</t>
        </is>
      </c>
      <c r="AF72" s="163" t="inlineStr">
        <is>
          <t>-</t>
        </is>
      </c>
      <c r="AG72" s="163" t="inlineStr">
        <is>
          <t>-</t>
        </is>
      </c>
      <c r="AH72" s="163" t="inlineStr">
        <is>
          <t>-</t>
        </is>
      </c>
      <c r="AI72" s="163" t="inlineStr">
        <is>
          <t>-</t>
        </is>
      </c>
      <c r="AJ72" s="163" t="inlineStr">
        <is>
          <t>-</t>
        </is>
      </c>
      <c r="AK72" s="163" t="inlineStr">
        <is>
          <t>-</t>
        </is>
      </c>
      <c r="AL72" s="163" t="inlineStr">
        <is>
          <t>-</t>
        </is>
      </c>
      <c r="AM72" s="163" t="inlineStr">
        <is>
          <t>-</t>
        </is>
      </c>
      <c r="AN72" s="163" t="inlineStr">
        <is>
          <t>-</t>
        </is>
      </c>
      <c r="AO72" s="163" t="inlineStr">
        <is>
          <t>-</t>
        </is>
      </c>
      <c r="AP72" s="163" t="inlineStr">
        <is>
          <t>-</t>
        </is>
      </c>
      <c r="AQ72" s="163" t="inlineStr">
        <is>
          <t>-</t>
        </is>
      </c>
      <c r="AR72" s="163" t="inlineStr">
        <is>
          <t>-</t>
        </is>
      </c>
      <c r="AS72" s="163" t="inlineStr">
        <is>
          <t>-</t>
        </is>
      </c>
      <c r="AT72" s="88" t="inlineStr">
        <is>
          <t>-</t>
        </is>
      </c>
    </row>
    <row r="73">
      <c r="E73" s="67" t="inlineStr">
        <is>
          <t>Skorsten af let rustne svejste stålrør/kanaler</t>
        </is>
      </c>
      <c r="F73" s="76" t="n">
        <v>19</v>
      </c>
      <c r="G73" s="91" t="inlineStr">
        <is>
          <t>-</t>
        </is>
      </c>
      <c r="H73" s="163" t="inlineStr">
        <is>
          <t>-</t>
        </is>
      </c>
      <c r="I73" s="91" t="inlineStr">
        <is>
          <t>-</t>
        </is>
      </c>
      <c r="J73" s="163" t="inlineStr">
        <is>
          <t>-</t>
        </is>
      </c>
      <c r="K73" s="91" t="inlineStr">
        <is>
          <t>-</t>
        </is>
      </c>
      <c r="L73" s="163" t="inlineStr">
        <is>
          <t>-</t>
        </is>
      </c>
      <c r="M73" s="91" t="inlineStr">
        <is>
          <t>-</t>
        </is>
      </c>
      <c r="N73" s="163" t="inlineStr">
        <is>
          <t>-</t>
        </is>
      </c>
      <c r="O73" s="91" t="inlineStr">
        <is>
          <t>-</t>
        </is>
      </c>
      <c r="P73" s="163" t="inlineStr">
        <is>
          <t>-</t>
        </is>
      </c>
      <c r="Q73" s="91" t="inlineStr">
        <is>
          <t>-</t>
        </is>
      </c>
      <c r="R73" s="163" t="inlineStr">
        <is>
          <t>-</t>
        </is>
      </c>
      <c r="S73" s="91" t="inlineStr">
        <is>
          <t>-</t>
        </is>
      </c>
      <c r="T73" s="163" t="inlineStr">
        <is>
          <t>-</t>
        </is>
      </c>
      <c r="U73" s="163" t="inlineStr">
        <is>
          <t>-</t>
        </is>
      </c>
      <c r="V73" s="163" t="inlineStr">
        <is>
          <t>-</t>
        </is>
      </c>
      <c r="W73" s="163" t="inlineStr">
        <is>
          <t>-</t>
        </is>
      </c>
      <c r="X73" s="163" t="inlineStr">
        <is>
          <t>-</t>
        </is>
      </c>
      <c r="Y73" s="163" t="inlineStr">
        <is>
          <t>-</t>
        </is>
      </c>
      <c r="Z73" s="163" t="inlineStr">
        <is>
          <t>-</t>
        </is>
      </c>
      <c r="AA73" s="163" t="inlineStr">
        <is>
          <t>-</t>
        </is>
      </c>
      <c r="AB73" s="163" t="inlineStr">
        <is>
          <t>-</t>
        </is>
      </c>
      <c r="AC73" s="163" t="inlineStr">
        <is>
          <t>-</t>
        </is>
      </c>
      <c r="AD73" s="163" t="inlineStr">
        <is>
          <t>-</t>
        </is>
      </c>
      <c r="AE73" s="163" t="inlineStr">
        <is>
          <t>-</t>
        </is>
      </c>
      <c r="AF73" s="163" t="inlineStr">
        <is>
          <t>-</t>
        </is>
      </c>
      <c r="AG73" s="163" t="inlineStr">
        <is>
          <t>-</t>
        </is>
      </c>
      <c r="AH73" s="163" t="inlineStr">
        <is>
          <t>-</t>
        </is>
      </c>
      <c r="AI73" s="163" t="inlineStr">
        <is>
          <t>-</t>
        </is>
      </c>
      <c r="AJ73" s="163" t="inlineStr">
        <is>
          <t>-</t>
        </is>
      </c>
      <c r="AK73" s="163" t="inlineStr">
        <is>
          <t>-</t>
        </is>
      </c>
      <c r="AL73" s="163" t="inlineStr">
        <is>
          <t>-</t>
        </is>
      </c>
      <c r="AM73" s="163" t="inlineStr">
        <is>
          <t>-</t>
        </is>
      </c>
      <c r="AN73" s="163" t="inlineStr">
        <is>
          <t>-</t>
        </is>
      </c>
      <c r="AO73" s="163" t="inlineStr">
        <is>
          <t>-</t>
        </is>
      </c>
      <c r="AP73" s="163" t="inlineStr">
        <is>
          <t>-</t>
        </is>
      </c>
      <c r="AQ73" s="163" t="inlineStr">
        <is>
          <t>-</t>
        </is>
      </c>
      <c r="AR73" s="163" t="inlineStr">
        <is>
          <t>-</t>
        </is>
      </c>
      <c r="AS73" s="163" t="inlineStr">
        <is>
          <t>-</t>
        </is>
      </c>
      <c r="AT73" s="88" t="inlineStr">
        <is>
          <t>-</t>
        </is>
      </c>
    </row>
    <row r="74" ht="13.5" customHeight="1" s="175" thickBot="1">
      <c r="E74" s="77" t="inlineStr">
        <is>
          <t>Skorsten af belagte rør/kanaler</t>
        </is>
      </c>
      <c r="F74" s="76" t="n">
        <v>20</v>
      </c>
      <c r="G74" s="91" t="inlineStr">
        <is>
          <t>-</t>
        </is>
      </c>
      <c r="H74" s="163" t="inlineStr">
        <is>
          <t>-</t>
        </is>
      </c>
      <c r="I74" s="91" t="inlineStr">
        <is>
          <t>-</t>
        </is>
      </c>
      <c r="J74" s="163" t="inlineStr">
        <is>
          <t>-</t>
        </is>
      </c>
      <c r="K74" s="91" t="inlineStr">
        <is>
          <t>-</t>
        </is>
      </c>
      <c r="L74" s="163" t="inlineStr">
        <is>
          <t>-</t>
        </is>
      </c>
      <c r="M74" s="91" t="inlineStr">
        <is>
          <t>-</t>
        </is>
      </c>
      <c r="N74" s="163" t="inlineStr">
        <is>
          <t>-</t>
        </is>
      </c>
      <c r="O74" s="91" t="inlineStr">
        <is>
          <t>-</t>
        </is>
      </c>
      <c r="P74" s="163" t="inlineStr">
        <is>
          <t>-</t>
        </is>
      </c>
      <c r="Q74" s="91" t="inlineStr">
        <is>
          <t>-</t>
        </is>
      </c>
      <c r="R74" s="163" t="inlineStr">
        <is>
          <t>-</t>
        </is>
      </c>
      <c r="S74" s="91" t="inlineStr">
        <is>
          <t>-</t>
        </is>
      </c>
      <c r="T74" s="163" t="inlineStr">
        <is>
          <t>-</t>
        </is>
      </c>
      <c r="U74" s="163" t="inlineStr">
        <is>
          <t>-</t>
        </is>
      </c>
      <c r="V74" s="163" t="inlineStr">
        <is>
          <t>-</t>
        </is>
      </c>
      <c r="W74" s="163" t="inlineStr">
        <is>
          <t>-</t>
        </is>
      </c>
      <c r="X74" s="163" t="inlineStr">
        <is>
          <t>-</t>
        </is>
      </c>
      <c r="Y74" s="163" t="inlineStr">
        <is>
          <t>-</t>
        </is>
      </c>
      <c r="Z74" s="163" t="inlineStr">
        <is>
          <t>-</t>
        </is>
      </c>
      <c r="AA74" s="163" t="inlineStr">
        <is>
          <t>-</t>
        </is>
      </c>
      <c r="AB74" s="163" t="inlineStr">
        <is>
          <t>-</t>
        </is>
      </c>
      <c r="AC74" s="163" t="inlineStr">
        <is>
          <t>-</t>
        </is>
      </c>
      <c r="AD74" s="163" t="inlineStr">
        <is>
          <t>-</t>
        </is>
      </c>
      <c r="AE74" s="163" t="inlineStr">
        <is>
          <t>-</t>
        </is>
      </c>
      <c r="AF74" s="163" t="inlineStr">
        <is>
          <t>-</t>
        </is>
      </c>
      <c r="AG74" s="163" t="inlineStr">
        <is>
          <t>-</t>
        </is>
      </c>
      <c r="AH74" s="163" t="inlineStr">
        <is>
          <t>-</t>
        </is>
      </c>
      <c r="AI74" s="163" t="inlineStr">
        <is>
          <t>-</t>
        </is>
      </c>
      <c r="AJ74" s="163" t="inlineStr">
        <is>
          <t>-</t>
        </is>
      </c>
      <c r="AK74" s="163" t="inlineStr">
        <is>
          <t>-</t>
        </is>
      </c>
      <c r="AL74" s="163" t="inlineStr">
        <is>
          <t>-</t>
        </is>
      </c>
      <c r="AM74" s="163" t="inlineStr">
        <is>
          <t>-</t>
        </is>
      </c>
      <c r="AN74" s="163" t="inlineStr">
        <is>
          <t>-</t>
        </is>
      </c>
      <c r="AO74" s="163" t="inlineStr">
        <is>
          <t>-</t>
        </is>
      </c>
      <c r="AP74" s="163" t="inlineStr">
        <is>
          <t>-</t>
        </is>
      </c>
      <c r="AQ74" s="163" t="inlineStr">
        <is>
          <t>-</t>
        </is>
      </c>
      <c r="AR74" s="163" t="inlineStr">
        <is>
          <t>-</t>
        </is>
      </c>
      <c r="AS74" s="163" t="inlineStr">
        <is>
          <t>-</t>
        </is>
      </c>
      <c r="AT74" s="88" t="inlineStr">
        <is>
          <t>-</t>
        </is>
      </c>
    </row>
    <row r="78">
      <c r="U78">
        <f>90-2*8.2</f>
        <v/>
      </c>
    </row>
  </sheetData>
  <mergeCells count="8">
    <mergeCell ref="J3:L3"/>
    <mergeCell ref="E1:L2"/>
    <mergeCell ref="A1:C1"/>
    <mergeCell ref="A2:C2"/>
    <mergeCell ref="E50:G50"/>
    <mergeCell ref="E51:G51"/>
    <mergeCell ref="E39:G39"/>
    <mergeCell ref="G3:I3"/>
  </mergeCells>
  <pageMargins left="0.75" right="0.75" top="1" bottom="1" header="0" footer="0"/>
  <pageSetup orientation="portrait" paperSize="9"/>
</worksheet>
</file>

<file path=xl/worksheets/sheet6.xml><?xml version="1.0" encoding="utf-8"?>
<worksheet xmlns="http://schemas.openxmlformats.org/spreadsheetml/2006/main">
  <sheetPr codeName="Ark3">
    <outlinePr summaryBelow="1" summaryRight="1"/>
    <pageSetUpPr/>
  </sheetPr>
  <dimension ref="A2:I41"/>
  <sheetViews>
    <sheetView showGridLines="0" zoomScale="160" zoomScaleNormal="160" workbookViewId="0">
      <selection activeCell="C20" sqref="C20"/>
    </sheetView>
  </sheetViews>
  <sheetFormatPr baseColWidth="8" defaultRowHeight="12.75"/>
  <cols>
    <col width="12.42578125" bestFit="1" customWidth="1" style="175" min="3" max="3"/>
  </cols>
  <sheetData>
    <row r="2">
      <c r="B2" s="53" t="inlineStr">
        <is>
          <t>This sheet gives the value of friction factor f from the Colbrook-White, Moody and Barr formulea</t>
        </is>
      </c>
    </row>
    <row r="3">
      <c r="B3" s="53" t="inlineStr">
        <is>
          <t>Enter the parameters in the coloured boxes</t>
        </is>
      </c>
    </row>
    <row r="5">
      <c r="B5" t="inlineStr">
        <is>
          <t>Colebrook white</t>
        </is>
      </c>
      <c r="G5" t="inlineStr">
        <is>
          <t>Moody</t>
        </is>
      </c>
    </row>
    <row r="10">
      <c r="G10" t="inlineStr">
        <is>
          <t>Barr</t>
        </is>
      </c>
    </row>
    <row r="17">
      <c r="B17" s="53" t="inlineStr">
        <is>
          <t>Enter the parameters here</t>
        </is>
      </c>
    </row>
    <row r="18">
      <c r="B18" t="inlineStr">
        <is>
          <t>ks (mm)</t>
        </is>
      </c>
      <c r="C18" s="1">
        <f>Tabeller!A45</f>
        <v/>
      </c>
    </row>
    <row r="19">
      <c r="B19" t="inlineStr">
        <is>
          <t>d (mm)</t>
        </is>
      </c>
      <c r="C19" s="1">
        <f>Beregning!C27</f>
        <v/>
      </c>
    </row>
    <row r="20">
      <c r="B20" t="inlineStr">
        <is>
          <t>Re</t>
        </is>
      </c>
      <c r="C20" s="1">
        <f>Tabeller!A66</f>
        <v/>
      </c>
    </row>
    <row r="22">
      <c r="B22" s="37" t="inlineStr">
        <is>
          <t>Solution</t>
        </is>
      </c>
      <c r="C22" s="38" t="n"/>
      <c r="D22" s="39" t="inlineStr">
        <is>
          <t>f</t>
        </is>
      </c>
      <c r="E22" s="40" t="inlineStr">
        <is>
          <t>λ</t>
        </is>
      </c>
    </row>
    <row r="23">
      <c r="B23" s="41" t="n"/>
      <c r="C23" s="42" t="inlineStr">
        <is>
          <t>Moody</t>
        </is>
      </c>
      <c r="D23">
        <f>0.001375*(1+(2000*$C$18/$C$19+10^6/$C$20)^(1/3))</f>
        <v/>
      </c>
      <c r="E23" s="43">
        <f>D23*4</f>
        <v/>
      </c>
    </row>
    <row r="24">
      <c r="B24" s="41" t="n"/>
      <c r="C24" s="42" t="inlineStr">
        <is>
          <t>Barr</t>
        </is>
      </c>
      <c r="D24">
        <f>1/(-4*LOG($C$18/3.71/$C$19+5.1286/($C$20)^0.89))^2</f>
        <v/>
      </c>
      <c r="E24" s="43">
        <f>D24*4</f>
        <v/>
      </c>
    </row>
    <row r="25">
      <c r="B25" s="41" t="n"/>
      <c r="C25" s="42" t="inlineStr">
        <is>
          <t>Colebrook-White</t>
        </is>
      </c>
      <c r="D25">
        <f>B41</f>
        <v/>
      </c>
      <c r="E25" s="36">
        <f>D25*4</f>
        <v/>
      </c>
    </row>
    <row r="26">
      <c r="B26" s="44" t="n"/>
      <c r="C26" s="47" t="inlineStr">
        <is>
          <t>Tor Wadmark</t>
        </is>
      </c>
      <c r="D26" s="45" t="n"/>
      <c r="E26" s="46">
        <f>(-2*LOG((C18/(C19*3.71))+(5-0.1*LOG(C18/C19))*C20^-0.9))^-2</f>
        <v/>
      </c>
    </row>
    <row r="27">
      <c r="B27" t="inlineStr">
        <is>
          <t>Colebrook-White iteration</t>
        </is>
      </c>
    </row>
    <row r="28">
      <c r="B28" t="inlineStr">
        <is>
          <t>f(n)</t>
        </is>
      </c>
      <c r="C28" t="inlineStr">
        <is>
          <t>a</t>
        </is>
      </c>
      <c r="D28" t="inlineStr">
        <is>
          <t>b</t>
        </is>
      </c>
      <c r="F28" t="inlineStr">
        <is>
          <t>LHS</t>
        </is>
      </c>
      <c r="G28" t="inlineStr">
        <is>
          <t>RHS</t>
        </is>
      </c>
      <c r="H28" t="inlineStr">
        <is>
          <t>Error</t>
        </is>
      </c>
      <c r="I28" t="inlineStr">
        <is>
          <t>λ</t>
        </is>
      </c>
    </row>
    <row r="29">
      <c r="A29" t="n">
        <v>1</v>
      </c>
      <c r="B29">
        <f>$D$23</f>
        <v/>
      </c>
      <c r="C29">
        <f>$C$18/3.71/$C$19</f>
        <v/>
      </c>
      <c r="D29">
        <f>1.26/$C$20/SQRT(B29)</f>
        <v/>
      </c>
      <c r="F29">
        <f>1/SQRT(B29)</f>
        <v/>
      </c>
      <c r="G29">
        <f>-4*LOG(C29+D29)</f>
        <v/>
      </c>
      <c r="H29">
        <f>F29-G29</f>
        <v/>
      </c>
      <c r="I29">
        <f>B29*4</f>
        <v/>
      </c>
    </row>
    <row r="30">
      <c r="A30" t="n">
        <v>2</v>
      </c>
      <c r="B30">
        <f>1/(-4*LOG(C29+D29))^2</f>
        <v/>
      </c>
      <c r="C30">
        <f>$C$18/3.71/$C$19</f>
        <v/>
      </c>
      <c r="D30">
        <f>1.26/$C$20/SQRT(B30)</f>
        <v/>
      </c>
      <c r="F30">
        <f>1/SQRT(B30)</f>
        <v/>
      </c>
      <c r="G30">
        <f>-4*LOG(C30+D30)</f>
        <v/>
      </c>
      <c r="H30">
        <f>F30-G30</f>
        <v/>
      </c>
      <c r="I30">
        <f>B30*4</f>
        <v/>
      </c>
    </row>
    <row r="31">
      <c r="A31" t="n">
        <v>3</v>
      </c>
      <c r="B31">
        <f>1/(-4*LOG(C30+D30))^2</f>
        <v/>
      </c>
      <c r="C31">
        <f>$C$18/3.71/$C$19</f>
        <v/>
      </c>
      <c r="D31">
        <f>1.26/$C$20/SQRT(B31)</f>
        <v/>
      </c>
      <c r="F31">
        <f>1/SQRT(B31)</f>
        <v/>
      </c>
      <c r="G31">
        <f>-4*LOG(C31+D31)</f>
        <v/>
      </c>
      <c r="H31">
        <f>F31-G31</f>
        <v/>
      </c>
      <c r="I31">
        <f>B31*4</f>
        <v/>
      </c>
    </row>
    <row r="32">
      <c r="A32" t="n">
        <v>4</v>
      </c>
      <c r="B32">
        <f>1/(-4*LOG(C31+D31))^2</f>
        <v/>
      </c>
      <c r="C32">
        <f>$C$18/3.71/$C$19</f>
        <v/>
      </c>
      <c r="D32">
        <f>1.26/$C$20/SQRT(B32)</f>
        <v/>
      </c>
      <c r="F32">
        <f>1/SQRT(B32)</f>
        <v/>
      </c>
      <c r="G32">
        <f>-4*LOG(C32+D32)</f>
        <v/>
      </c>
      <c r="H32">
        <f>F32-G32</f>
        <v/>
      </c>
      <c r="I32">
        <f>B32*4</f>
        <v/>
      </c>
    </row>
    <row r="33">
      <c r="A33" t="n">
        <v>5</v>
      </c>
      <c r="B33">
        <f>1/(-4*LOG(C32+D32))^2</f>
        <v/>
      </c>
      <c r="C33">
        <f>$C$18/3.71/$C$19</f>
        <v/>
      </c>
      <c r="D33">
        <f>1.26/$C$20/SQRT(B33)</f>
        <v/>
      </c>
      <c r="F33">
        <f>1/SQRT(B33)</f>
        <v/>
      </c>
      <c r="G33">
        <f>-4*LOG(C33+D33)</f>
        <v/>
      </c>
      <c r="H33">
        <f>F33-G33</f>
        <v/>
      </c>
      <c r="I33">
        <f>B33*4</f>
        <v/>
      </c>
    </row>
    <row r="34">
      <c r="A34" t="n">
        <v>6</v>
      </c>
      <c r="B34">
        <f>1/(-4*LOG(C33+D33))^2</f>
        <v/>
      </c>
      <c r="C34">
        <f>$C$18/3.71/$C$19</f>
        <v/>
      </c>
      <c r="D34">
        <f>1.26/$C$20/SQRT(B34)</f>
        <v/>
      </c>
      <c r="F34">
        <f>1/SQRT(B34)</f>
        <v/>
      </c>
      <c r="G34">
        <f>-4*LOG(C34+D34)</f>
        <v/>
      </c>
      <c r="H34">
        <f>F34-G34</f>
        <v/>
      </c>
      <c r="I34">
        <f>B34*4</f>
        <v/>
      </c>
    </row>
    <row r="35">
      <c r="A35" t="n">
        <v>7</v>
      </c>
      <c r="B35">
        <f>1/(-4*LOG(C34+D34))^2</f>
        <v/>
      </c>
      <c r="C35">
        <f>$C$18/3.71/$C$19</f>
        <v/>
      </c>
      <c r="D35">
        <f>1.26/$C$20/SQRT(B35)</f>
        <v/>
      </c>
      <c r="F35">
        <f>1/SQRT(B35)</f>
        <v/>
      </c>
      <c r="G35">
        <f>-4*LOG(C35+D35)</f>
        <v/>
      </c>
      <c r="H35">
        <f>F35-G35</f>
        <v/>
      </c>
      <c r="I35">
        <f>B35*4</f>
        <v/>
      </c>
    </row>
    <row r="36">
      <c r="A36" t="n">
        <v>8</v>
      </c>
      <c r="B36">
        <f>1/(-4*LOG(C35+D35))^2</f>
        <v/>
      </c>
      <c r="C36">
        <f>$C$18/3.71/$C$19</f>
        <v/>
      </c>
      <c r="D36">
        <f>1.26/$C$20/SQRT(B36)</f>
        <v/>
      </c>
      <c r="F36">
        <f>1/SQRT(B36)</f>
        <v/>
      </c>
      <c r="G36">
        <f>-4*LOG(C36+D36)</f>
        <v/>
      </c>
      <c r="H36">
        <f>F36-G36</f>
        <v/>
      </c>
      <c r="I36">
        <f>B36*4</f>
        <v/>
      </c>
    </row>
    <row r="37">
      <c r="A37" t="n">
        <v>9</v>
      </c>
      <c r="B37">
        <f>1/(-4*LOG(C36+D36))^2</f>
        <v/>
      </c>
      <c r="C37">
        <f>$C$18/3.71/$C$19</f>
        <v/>
      </c>
      <c r="D37">
        <f>1.26/$C$20/SQRT(B37)</f>
        <v/>
      </c>
      <c r="F37">
        <f>1/SQRT(B37)</f>
        <v/>
      </c>
      <c r="G37">
        <f>-4*LOG(C37+D37)</f>
        <v/>
      </c>
      <c r="H37">
        <f>F37-G37</f>
        <v/>
      </c>
      <c r="I37">
        <f>B37*4</f>
        <v/>
      </c>
    </row>
    <row r="38">
      <c r="A38" t="n">
        <v>10</v>
      </c>
      <c r="B38">
        <f>1/(-4*LOG(C37+D37))^2</f>
        <v/>
      </c>
      <c r="C38">
        <f>$C$18/3.71/$C$19</f>
        <v/>
      </c>
      <c r="D38">
        <f>1.26/$C$20/SQRT(B38)</f>
        <v/>
      </c>
      <c r="F38">
        <f>1/SQRT(B38)</f>
        <v/>
      </c>
      <c r="G38">
        <f>-4*LOG(C38+D38)</f>
        <v/>
      </c>
      <c r="H38">
        <f>F38-G38</f>
        <v/>
      </c>
      <c r="I38">
        <f>B38*4</f>
        <v/>
      </c>
    </row>
    <row r="39">
      <c r="A39" t="n">
        <v>11</v>
      </c>
      <c r="B39">
        <f>1/(-4*LOG(C38+D38))^2</f>
        <v/>
      </c>
      <c r="C39">
        <f>$C$18/3.71/$C$19</f>
        <v/>
      </c>
      <c r="D39">
        <f>1.26/$C$20/SQRT(B39)</f>
        <v/>
      </c>
      <c r="F39">
        <f>1/SQRT(B39)</f>
        <v/>
      </c>
      <c r="G39">
        <f>-4*LOG(C39+D39)</f>
        <v/>
      </c>
      <c r="H39">
        <f>F39-G39</f>
        <v/>
      </c>
      <c r="I39">
        <f>B39*4</f>
        <v/>
      </c>
    </row>
    <row r="40">
      <c r="A40" t="n">
        <v>12</v>
      </c>
      <c r="B40">
        <f>1/(-4*LOG(C39+D39))^2</f>
        <v/>
      </c>
      <c r="C40">
        <f>$C$18/3.71/$C$19</f>
        <v/>
      </c>
      <c r="D40">
        <f>1.26/$C$20/SQRT(B40)</f>
        <v/>
      </c>
      <c r="F40">
        <f>1/SQRT(B40)</f>
        <v/>
      </c>
      <c r="G40">
        <f>-4*LOG(C40+D40)</f>
        <v/>
      </c>
      <c r="H40">
        <f>F40-G40</f>
        <v/>
      </c>
      <c r="I40">
        <f>B40*4</f>
        <v/>
      </c>
    </row>
    <row r="41">
      <c r="A41" t="n">
        <v>13</v>
      </c>
      <c r="B41">
        <f>1/(-4*LOG(C40+D40))^2</f>
        <v/>
      </c>
      <c r="C41">
        <f>$C$18/3.71/$C$19</f>
        <v/>
      </c>
      <c r="D41">
        <f>1.26/$C$20/SQRT(B41)</f>
        <v/>
      </c>
      <c r="F41">
        <f>1/SQRT(B41)</f>
        <v/>
      </c>
      <c r="G41">
        <f>-4*LOG(C41+D41)</f>
        <v/>
      </c>
      <c r="H41">
        <f>F41-G41</f>
        <v/>
      </c>
      <c r="I41">
        <f>B41*4</f>
        <v/>
      </c>
    </row>
  </sheetData>
  <pageMargins left="0.75" right="0.75" top="1" bottom="1" header="0.5" footer="0.5"/>
  <pageSetup orientation="portrait" paperSize="9" horizontalDpi="300" verticalDpi="300"/>
</worksheet>
</file>

<file path=xl/worksheets/sheet7.xml><?xml version="1.0" encoding="utf-8"?>
<worksheet xmlns="http://schemas.openxmlformats.org/spreadsheetml/2006/main">
  <sheetPr codeName="Ark5">
    <outlinePr summaryBelow="1" summaryRight="1"/>
    <pageSetUpPr/>
  </sheetPr>
  <dimension ref="A1:I103"/>
  <sheetViews>
    <sheetView zoomScale="145" zoomScaleNormal="145" workbookViewId="0">
      <selection activeCell="B11" sqref="B11"/>
    </sheetView>
  </sheetViews>
  <sheetFormatPr baseColWidth="8" defaultRowHeight="12.75"/>
  <cols>
    <col width="14.42578125" customWidth="1" style="175" min="1" max="1"/>
    <col width="13.42578125" customWidth="1" style="175" min="2" max="2"/>
    <col width="6.42578125" customWidth="1" style="175" min="3" max="3"/>
    <col width="16.85546875" customWidth="1" style="175" min="4" max="4"/>
    <col width="17" customWidth="1" style="175" min="5" max="5"/>
    <col width="10.140625" customWidth="1" style="175" min="6" max="6"/>
  </cols>
  <sheetData>
    <row r="1" ht="15.75" customHeight="1" s="175">
      <c r="F1" s="56" t="inlineStr">
        <is>
          <t>Tor Wadmarks ligning</t>
        </is>
      </c>
    </row>
    <row r="3">
      <c r="B3" s="53" t="inlineStr">
        <is>
          <t>Densitet</t>
        </is>
      </c>
      <c r="D3">
        <f>Tabeller!A39</f>
        <v/>
      </c>
      <c r="E3" t="inlineStr">
        <is>
          <t>kg/m³</t>
        </is>
      </c>
    </row>
    <row r="4">
      <c r="B4" s="53" t="inlineStr">
        <is>
          <t>Kinematisk viskositet</t>
        </is>
      </c>
      <c r="D4">
        <f>Tabeller!A42</f>
        <v/>
      </c>
      <c r="E4" t="inlineStr">
        <is>
          <t>[m²/s]</t>
        </is>
      </c>
    </row>
    <row r="5">
      <c r="B5" s="53" t="inlineStr">
        <is>
          <t>qv</t>
        </is>
      </c>
      <c r="D5">
        <f>Tabeller!A54</f>
        <v/>
      </c>
      <c r="E5" t="inlineStr">
        <is>
          <t>m³/s</t>
        </is>
      </c>
    </row>
    <row r="6">
      <c r="B6" s="53" t="inlineStr">
        <is>
          <t>qv2</t>
        </is>
      </c>
      <c r="D6">
        <f>Tabeller!A55</f>
        <v/>
      </c>
      <c r="E6" t="inlineStr">
        <is>
          <t>m³/s</t>
        </is>
      </c>
    </row>
    <row r="7">
      <c r="B7" s="53" t="inlineStr">
        <is>
          <t>qv3</t>
        </is>
      </c>
      <c r="D7">
        <f>Tabeller!A56</f>
        <v/>
      </c>
      <c r="E7" t="inlineStr">
        <is>
          <t>m³/s</t>
        </is>
      </c>
    </row>
    <row r="8">
      <c r="B8" s="53" t="inlineStr">
        <is>
          <t>qv4</t>
        </is>
      </c>
      <c r="D8">
        <f>Tabeller!A57</f>
        <v/>
      </c>
      <c r="E8" t="inlineStr">
        <is>
          <t>m³/s</t>
        </is>
      </c>
    </row>
    <row r="9">
      <c r="B9" s="53" t="inlineStr">
        <is>
          <t>Rdisp</t>
        </is>
      </c>
      <c r="D9">
        <f>Beregning!I27</f>
        <v/>
      </c>
      <c r="E9" t="inlineStr">
        <is>
          <t>pa/m</t>
        </is>
      </c>
    </row>
    <row r="10">
      <c r="B10" s="53" t="inlineStr">
        <is>
          <t xml:space="preserve">diameter gæt </t>
        </is>
      </c>
      <c r="D10" t="n">
        <v>0.001</v>
      </c>
      <c r="E10" t="inlineStr">
        <is>
          <t>m</t>
        </is>
      </c>
    </row>
    <row r="11">
      <c r="B11" s="53" t="inlineStr">
        <is>
          <t>ruhed</t>
        </is>
      </c>
      <c r="D11">
        <f>Tabeller!A45/1000</f>
        <v/>
      </c>
      <c r="E11" t="inlineStr">
        <is>
          <t>mm</t>
        </is>
      </c>
    </row>
    <row r="14">
      <c r="H14" s="200" t="n"/>
    </row>
    <row r="15">
      <c r="B15" s="48" t="n"/>
      <c r="C15" s="200" t="n"/>
      <c r="D15" s="200" t="n"/>
      <c r="E15" s="200" t="n"/>
      <c r="F15" s="200" t="n"/>
      <c r="G15" s="200" t="n"/>
      <c r="H15" s="200" t="n"/>
      <c r="I15" s="200" t="n"/>
    </row>
    <row r="17" ht="15.75" customHeight="1" s="175">
      <c r="A17" s="56" t="n"/>
      <c r="B17" s="56" t="n"/>
      <c r="C17" s="56" t="n"/>
      <c r="D17" s="56" t="inlineStr">
        <is>
          <t>Iteration qv</t>
        </is>
      </c>
      <c r="E17" s="56" t="n"/>
      <c r="F17" s="166" t="n"/>
      <c r="G17" s="144" t="n"/>
      <c r="H17" s="144" t="n"/>
    </row>
    <row r="18">
      <c r="E18" s="144" t="n"/>
      <c r="F18" s="144" t="n"/>
      <c r="G18" s="144" t="n"/>
      <c r="H18" s="144" t="n"/>
    </row>
    <row r="19">
      <c r="A19" s="49" t="inlineStr">
        <is>
          <t>Re</t>
        </is>
      </c>
      <c r="B19" s="50" t="inlineStr">
        <is>
          <t>l</t>
        </is>
      </c>
      <c r="C19" s="51" t="n"/>
      <c r="D19" s="49" t="inlineStr">
        <is>
          <t>VS</t>
        </is>
      </c>
      <c r="E19" s="167" t="inlineStr">
        <is>
          <t>HS</t>
        </is>
      </c>
      <c r="F19" s="168" t="inlineStr">
        <is>
          <t>HS*1000</t>
        </is>
      </c>
      <c r="G19" s="144" t="n"/>
      <c r="H19" s="144" t="n"/>
    </row>
    <row r="20">
      <c r="A20">
        <f>$D$5/((PI()/4)*$D$10*$D$4)</f>
        <v/>
      </c>
      <c r="B20">
        <f>(-2*LOG(($D$11/($D$10*3.71))+(5-0.1*LOG($D$11/$D$10))*A20^-0.9))^-2</f>
        <v/>
      </c>
      <c r="D20">
        <f>$D$10</f>
        <v/>
      </c>
      <c r="E20" s="144">
        <f>((0.5*$D$3*$D$5^2*B20)/($D$9*((PI()/4))^2))^0.2</f>
        <v/>
      </c>
      <c r="F20" s="152">
        <f>E20*1000</f>
        <v/>
      </c>
      <c r="G20" s="144" t="n"/>
      <c r="H20" s="144" t="n"/>
    </row>
    <row r="21">
      <c r="A21">
        <f>$D$5/((PI()/4)*E20*$D$4)</f>
        <v/>
      </c>
      <c r="B21">
        <f>(-2*LOG(($D$11/(E20*3.71))+(5-0.1*LOG($D$11/E20))*A21^-0.9))^-2</f>
        <v/>
      </c>
      <c r="D21" s="144">
        <f>E20</f>
        <v/>
      </c>
      <c r="E21" s="144">
        <f>((0.5*$D$3*$D$5^2*B21)/($D$9*((PI()/4))^2))^0.2</f>
        <v/>
      </c>
      <c r="F21" s="152">
        <f>E21*1000</f>
        <v/>
      </c>
      <c r="H21" s="144" t="n"/>
    </row>
    <row r="22">
      <c r="A22">
        <f>$D$5/((PI()/4)*E21*$D$4)</f>
        <v/>
      </c>
      <c r="B22">
        <f>(-2*LOG(($D$11/(E21*3.71))+(5-0.1*LOG($D$11/E21))*A22^-0.9))^-2</f>
        <v/>
      </c>
      <c r="D22" s="144">
        <f>E21</f>
        <v/>
      </c>
      <c r="E22" s="144">
        <f>((0.5*$D$3*$D$5^2*B22)/($D$9*((PI()/4))^2))^0.2</f>
        <v/>
      </c>
      <c r="F22" s="152">
        <f>E22*1000</f>
        <v/>
      </c>
      <c r="H22" s="144" t="n"/>
    </row>
    <row r="23">
      <c r="A23">
        <f>$D$5/((PI()/4)*E22*$D$4)</f>
        <v/>
      </c>
      <c r="B23">
        <f>(-2*LOG(($D$11/(E22*3.71))+(5-0.1*LOG($D$11/E22))*A23^-0.9))^-2</f>
        <v/>
      </c>
      <c r="D23" s="144">
        <f>E22</f>
        <v/>
      </c>
      <c r="E23" s="144">
        <f>((0.5*$D$3*$D$5^2*B23)/($D$9*((PI()/4))^2))^0.2</f>
        <v/>
      </c>
      <c r="F23" s="152">
        <f>E23*1000</f>
        <v/>
      </c>
      <c r="H23" s="144" t="n"/>
    </row>
    <row r="24">
      <c r="A24">
        <f>$D$5/((PI()/4)*E23*$D$4)</f>
        <v/>
      </c>
      <c r="B24">
        <f>(-2*LOG(($D$11/(E23*3.71))+(5-0.1*LOG($D$11/E23))*A24^-0.9))^-2</f>
        <v/>
      </c>
      <c r="D24" s="144">
        <f>E23</f>
        <v/>
      </c>
      <c r="E24" s="144">
        <f>((0.5*$D$3*$D$5^2*B24)/($D$9*((PI()/4))^2))^0.2</f>
        <v/>
      </c>
      <c r="F24" s="152">
        <f>E24*1000</f>
        <v/>
      </c>
      <c r="H24" s="144" t="n"/>
    </row>
    <row r="25">
      <c r="A25">
        <f>$D$5/((PI()/4)*E24*$D$4)</f>
        <v/>
      </c>
      <c r="B25">
        <f>(-2*LOG(($D$11/(E24*3.71))+(5-0.1*LOG($D$11/E24))*A25^-0.9))^-2</f>
        <v/>
      </c>
      <c r="D25" s="144">
        <f>E24</f>
        <v/>
      </c>
      <c r="E25" s="144">
        <f>((0.5*$D$3*$D$5^2*B25)/($D$9*((PI()/4))^2))^0.2</f>
        <v/>
      </c>
      <c r="F25" s="152">
        <f>E25*1000</f>
        <v/>
      </c>
      <c r="H25" s="144" t="n"/>
    </row>
    <row r="26">
      <c r="A26">
        <f>$D$5/((PI()/4)*E25*$D$4)</f>
        <v/>
      </c>
      <c r="B26">
        <f>(-2*LOG(($D$11/(E25*3.71))+(5-0.1*LOG($D$11/E25))*A26^-0.9))^-2</f>
        <v/>
      </c>
      <c r="D26" s="144">
        <f>E25</f>
        <v/>
      </c>
      <c r="E26" s="144">
        <f>((0.5*$D$3*$D$5^2*B26)/($D$9*((PI()/4))^2))^0.2</f>
        <v/>
      </c>
      <c r="F26" s="152">
        <f>E26*1000</f>
        <v/>
      </c>
      <c r="H26" s="144" t="n"/>
    </row>
    <row r="27">
      <c r="A27">
        <f>$D$5/((PI()/4)*E26*$D$4)</f>
        <v/>
      </c>
      <c r="B27">
        <f>(-2*LOG(($D$11/(E26*3.71))+(5-0.1*LOG($D$11/E26))*A27^-0.9))^-2</f>
        <v/>
      </c>
      <c r="D27" s="144">
        <f>E26</f>
        <v/>
      </c>
      <c r="E27" s="144">
        <f>((0.5*$D$3*$D$5^2*B27)/($D$9*((PI()/4))^2))^0.2</f>
        <v/>
      </c>
      <c r="F27" s="152">
        <f>E27*1000</f>
        <v/>
      </c>
      <c r="H27" s="144" t="n"/>
    </row>
    <row r="28">
      <c r="A28">
        <f>$D$5/((PI()/4)*E27*$D$4)</f>
        <v/>
      </c>
      <c r="B28">
        <f>(-2*LOG(($D$11/(E27*3.71))+(5-0.1*LOG($D$11/E27))*A28^-0.9))^-2</f>
        <v/>
      </c>
      <c r="D28" s="144">
        <f>E27</f>
        <v/>
      </c>
      <c r="E28" s="144">
        <f>((0.5*$D$3*$D$5^2*B28)/($D$9*((PI()/4))^2))^0.2</f>
        <v/>
      </c>
      <c r="F28" s="152">
        <f>E28*1000</f>
        <v/>
      </c>
      <c r="H28" s="144" t="n"/>
    </row>
    <row r="29">
      <c r="A29">
        <f>$D$5/((PI()/4)*E28*$D$4)</f>
        <v/>
      </c>
      <c r="B29">
        <f>(-2*LOG(($D$11/(E28*3.71))+(5-0.1*LOG($D$11/E28))*A29^-0.9))^-2</f>
        <v/>
      </c>
      <c r="D29" s="144">
        <f>E28</f>
        <v/>
      </c>
      <c r="E29" s="144">
        <f>((0.5*$D$3*$D$5^2*B29)/($D$9*((PI()/4))^2))^0.2</f>
        <v/>
      </c>
      <c r="F29" s="152">
        <f>E29*1000</f>
        <v/>
      </c>
      <c r="H29" s="144" t="n"/>
    </row>
    <row r="30">
      <c r="A30">
        <f>$D$5/((PI()/4)*E29*$D$4)</f>
        <v/>
      </c>
      <c r="B30">
        <f>(-2*LOG(($D$11/(E29*3.71))+(5-0.1*LOG($D$11/E29))*A30^-0.9))^-2</f>
        <v/>
      </c>
      <c r="D30" s="144">
        <f>E29</f>
        <v/>
      </c>
      <c r="E30" s="144">
        <f>((0.5*$D$3*$D$5^2*B30)/($D$9*((PI()/4))^2))^0.2</f>
        <v/>
      </c>
      <c r="F30" s="152">
        <f>E30*1000</f>
        <v/>
      </c>
      <c r="H30" s="144" t="n"/>
    </row>
    <row r="31">
      <c r="A31">
        <f>$D$5/((PI()/4)*E30*$D$4)</f>
        <v/>
      </c>
      <c r="B31">
        <f>(-2*LOG(($D$11/(E30*3.71))+(5-0.1*LOG($D$11/E30))*A31^-0.9))^-2</f>
        <v/>
      </c>
      <c r="D31" s="144">
        <f>E30</f>
        <v/>
      </c>
      <c r="E31" s="144">
        <f>((0.5*$D$3*$D$5^2*B31)/($D$9*((PI()/4))^2))^0.2</f>
        <v/>
      </c>
      <c r="F31" s="152">
        <f>E31*1000</f>
        <v/>
      </c>
      <c r="H31" s="144" t="n"/>
    </row>
    <row r="32">
      <c r="A32">
        <f>$D$5/((PI()/4)*E31*$D$4)</f>
        <v/>
      </c>
      <c r="B32">
        <f>(-2*LOG(($D$11/(E31*3.71))+(5-0.1*LOG($D$11/E31))*A32^-0.9))^-2</f>
        <v/>
      </c>
      <c r="D32" s="144">
        <f>E31</f>
        <v/>
      </c>
      <c r="E32" s="144">
        <f>((0.5*$D$3*$D$5^2*B32)/($D$9*((PI()/4))^2))^0.2</f>
        <v/>
      </c>
      <c r="F32" s="152">
        <f>E32*1000</f>
        <v/>
      </c>
      <c r="H32" s="144" t="n"/>
    </row>
    <row r="33">
      <c r="A33">
        <f>$D$5/((PI()/4)*E32*$D$4)</f>
        <v/>
      </c>
      <c r="B33">
        <f>(-2*LOG(($D$11/(E32*3.71))+(5-0.1*LOG($D$11/E32))*A33^-0.9))^-2</f>
        <v/>
      </c>
      <c r="D33" s="144">
        <f>E32</f>
        <v/>
      </c>
      <c r="E33" s="144">
        <f>((0.5*$D$3*$D$5^2*B33)/($D$9*((PI()/4))^2))^0.2</f>
        <v/>
      </c>
      <c r="F33" s="152">
        <f>E33*1000</f>
        <v/>
      </c>
      <c r="H33" s="144" t="n"/>
    </row>
    <row r="34">
      <c r="A34">
        <f>$D$5/((PI()/4)*E33*$D$4)</f>
        <v/>
      </c>
      <c r="B34">
        <f>(-2*LOG(($D$11/(E33*3.71))+(5-0.1*LOG($D$11/E33))*A34^-0.9))^-2</f>
        <v/>
      </c>
      <c r="D34" s="144">
        <f>E33</f>
        <v/>
      </c>
      <c r="E34" s="144">
        <f>((0.5*$D$3*$D$5^2*B34)/($D$9*((PI()/4))^2))^0.2</f>
        <v/>
      </c>
      <c r="F34" s="152">
        <f>E34*1000</f>
        <v/>
      </c>
      <c r="H34" s="144" t="n"/>
    </row>
    <row r="35">
      <c r="A35">
        <f>$D$5/((PI()/4)*E34*$D$4)</f>
        <v/>
      </c>
      <c r="B35">
        <f>(-2*LOG(($D$11/(E34*3.71))+(5-0.1*LOG($D$11/E34))*A35^-0.9))^-2</f>
        <v/>
      </c>
      <c r="D35" s="144">
        <f>E34</f>
        <v/>
      </c>
      <c r="E35" s="144">
        <f>((0.5*$D$3*$D$5^2*B35)/($D$9*((PI()/4))^2))^0.2</f>
        <v/>
      </c>
      <c r="F35" s="152">
        <f>E35*1000</f>
        <v/>
      </c>
      <c r="H35" s="144" t="n"/>
    </row>
    <row r="36">
      <c r="A36">
        <f>$D$5/((PI()/4)*E35*$D$4)</f>
        <v/>
      </c>
      <c r="B36">
        <f>(-2*LOG(($D$11/(E35*3.71))+(5-0.1*LOG($D$11/E35))*A36^-0.9))^-2</f>
        <v/>
      </c>
      <c r="D36" s="144">
        <f>E35</f>
        <v/>
      </c>
      <c r="E36" s="144">
        <f>((0.5*$D$3*$D$5^2*B36)/($D$9*((PI()/4))^2))^0.2</f>
        <v/>
      </c>
      <c r="F36" s="152">
        <f>E36*1000</f>
        <v/>
      </c>
      <c r="H36" s="144" t="n"/>
    </row>
    <row r="37">
      <c r="A37">
        <f>$D$5/((PI()/4)*E36*$D$4)</f>
        <v/>
      </c>
      <c r="B37">
        <f>(-2*LOG(($D$11/(E36*3.71))+(5-0.1*LOG($D$11/E36))*A37^-0.9))^-2</f>
        <v/>
      </c>
      <c r="D37" s="144">
        <f>E36</f>
        <v/>
      </c>
      <c r="E37" s="144">
        <f>((0.5*$D$3*$D$5^2*B37)/($D$9*((PI()/4))^2))^0.2</f>
        <v/>
      </c>
      <c r="F37" s="169">
        <f>E37*1000</f>
        <v/>
      </c>
      <c r="H37" s="144" t="n"/>
    </row>
    <row r="39" ht="15.75" customHeight="1" s="175">
      <c r="A39" s="56" t="n"/>
      <c r="B39" s="56" t="n"/>
      <c r="C39" s="56" t="n"/>
      <c r="D39" s="56" t="inlineStr">
        <is>
          <t>Iteration qv2</t>
        </is>
      </c>
      <c r="E39" s="56" t="n"/>
      <c r="F39" s="166" t="n"/>
    </row>
    <row r="40">
      <c r="E40" s="144" t="n"/>
      <c r="F40" s="144" t="n"/>
    </row>
    <row r="41">
      <c r="A41" s="49" t="inlineStr">
        <is>
          <t>Re</t>
        </is>
      </c>
      <c r="B41" s="50" t="inlineStr">
        <is>
          <t>l</t>
        </is>
      </c>
      <c r="C41" s="51" t="n"/>
      <c r="D41" s="49" t="inlineStr">
        <is>
          <t>VS</t>
        </is>
      </c>
      <c r="E41" s="167" t="inlineStr">
        <is>
          <t>HS</t>
        </is>
      </c>
      <c r="F41" s="168" t="inlineStr">
        <is>
          <t>HS*1000</t>
        </is>
      </c>
    </row>
    <row r="42">
      <c r="A42">
        <f>$D$6/((PI()/4)*$D$10*$D$4)</f>
        <v/>
      </c>
      <c r="B42">
        <f>(-2*LOG(($D$11/($D$10*3.71))+(5-0.1*LOG($D$11/$D$10))*A42^-0.9))^-2</f>
        <v/>
      </c>
      <c r="D42" s="144">
        <f>$D$10</f>
        <v/>
      </c>
      <c r="E42" s="144">
        <f>((0.5*$D$3*$D$6^2*B42)/($D$9*((PI()/4))^2))^0.2</f>
        <v/>
      </c>
      <c r="F42" s="152">
        <f>E42*1000</f>
        <v/>
      </c>
    </row>
    <row r="43">
      <c r="A43">
        <f>$D$6/((PI()/4)*E42*$D$4)</f>
        <v/>
      </c>
      <c r="B43">
        <f>(-2*LOG(($D$11/(E42*3.71))+(5-0.1*LOG($D$11/E42))*A43^-0.9))^-2</f>
        <v/>
      </c>
      <c r="D43" s="144">
        <f>E42</f>
        <v/>
      </c>
      <c r="E43" s="144">
        <f>((0.5*$D$3*$D$6^2*B43)/($D$9*((PI()/4))^2))^0.2</f>
        <v/>
      </c>
      <c r="F43" s="152">
        <f>E43*1000</f>
        <v/>
      </c>
    </row>
    <row r="44">
      <c r="A44">
        <f>$D$6/((PI()/4)*E43*$D$4)</f>
        <v/>
      </c>
      <c r="B44">
        <f>(-2*LOG(($D$11/(E43*3.71))+(5-0.1*LOG($D$11/E43))*A44^-0.9))^-2</f>
        <v/>
      </c>
      <c r="D44" s="144">
        <f>E43</f>
        <v/>
      </c>
      <c r="E44" s="144">
        <f>((0.5*$D$3*$D$6^2*B44)/($D$9*((PI()/4))^2))^0.2</f>
        <v/>
      </c>
      <c r="F44" s="152">
        <f>E44*1000</f>
        <v/>
      </c>
    </row>
    <row r="45">
      <c r="A45">
        <f>$D$6/((PI()/4)*E44*$D$4)</f>
        <v/>
      </c>
      <c r="B45">
        <f>(-2*LOG(($D$11/(E44*3.71))+(5-0.1*LOG($D$11/E44))*A45^-0.9))^-2</f>
        <v/>
      </c>
      <c r="D45" s="144">
        <f>E44</f>
        <v/>
      </c>
      <c r="E45" s="144">
        <f>((0.5*$D$3*$D$6^2*B45)/($D$9*((PI()/4))^2))^0.2</f>
        <v/>
      </c>
      <c r="F45" s="152">
        <f>E45*1000</f>
        <v/>
      </c>
    </row>
    <row r="46">
      <c r="A46">
        <f>$D$6/((PI()/4)*E45*$D$4)</f>
        <v/>
      </c>
      <c r="B46">
        <f>(-2*LOG(($D$11/(E45*3.71))+(5-0.1*LOG($D$11/E45))*A46^-0.9))^-2</f>
        <v/>
      </c>
      <c r="D46" s="144">
        <f>E45</f>
        <v/>
      </c>
      <c r="E46" s="144">
        <f>((0.5*$D$3*$D$6^2*B46)/($D$9*((PI()/4))^2))^0.2</f>
        <v/>
      </c>
      <c r="F46" s="152">
        <f>E46*1000</f>
        <v/>
      </c>
    </row>
    <row r="47">
      <c r="A47">
        <f>$D$6/((PI()/4)*E46*$D$4)</f>
        <v/>
      </c>
      <c r="B47">
        <f>(-2*LOG(($D$11/(E46*3.71))+(5-0.1*LOG($D$11/E46))*A47^-0.9))^-2</f>
        <v/>
      </c>
      <c r="D47" s="144">
        <f>E46</f>
        <v/>
      </c>
      <c r="E47" s="144">
        <f>((0.5*$D$3*$D$6^2*B47)/($D$9*((PI()/4))^2))^0.2</f>
        <v/>
      </c>
      <c r="F47" s="152">
        <f>E47*1000</f>
        <v/>
      </c>
    </row>
    <row r="48">
      <c r="A48">
        <f>$D$6/((PI()/4)*E47*$D$4)</f>
        <v/>
      </c>
      <c r="B48">
        <f>(-2*LOG(($D$11/(E47*3.71))+(5-0.1*LOG($D$11/E47))*A48^-0.9))^-2</f>
        <v/>
      </c>
      <c r="D48" s="144">
        <f>E47</f>
        <v/>
      </c>
      <c r="E48" s="144">
        <f>((0.5*$D$3*$D$6^2*B48)/($D$9*((PI()/4))^2))^0.2</f>
        <v/>
      </c>
      <c r="F48" s="152">
        <f>E48*1000</f>
        <v/>
      </c>
    </row>
    <row r="49">
      <c r="A49">
        <f>$D$6/((PI()/4)*E48*$D$4)</f>
        <v/>
      </c>
      <c r="B49">
        <f>(-2*LOG(($D$11/(E48*3.71))+(5-0.1*LOG($D$11/E48))*A49^-0.9))^-2</f>
        <v/>
      </c>
      <c r="D49" s="144">
        <f>E48</f>
        <v/>
      </c>
      <c r="E49" s="144">
        <f>((0.5*$D$3*$D$6^2*B49)/($D$9*((PI()/4))^2))^0.2</f>
        <v/>
      </c>
      <c r="F49" s="152">
        <f>E49*1000</f>
        <v/>
      </c>
    </row>
    <row r="50">
      <c r="A50">
        <f>$D$6/((PI()/4)*E49*$D$4)</f>
        <v/>
      </c>
      <c r="B50">
        <f>(-2*LOG(($D$11/(E49*3.71))+(5-0.1*LOG($D$11/E49))*A50^-0.9))^-2</f>
        <v/>
      </c>
      <c r="D50" s="144">
        <f>E49</f>
        <v/>
      </c>
      <c r="E50" s="144">
        <f>((0.5*$D$3*$D$6^2*B50)/($D$9*((PI()/4))^2))^0.2</f>
        <v/>
      </c>
      <c r="F50" s="152">
        <f>E50*1000</f>
        <v/>
      </c>
    </row>
    <row r="51">
      <c r="A51">
        <f>$D$6/((PI()/4)*E50*$D$4)</f>
        <v/>
      </c>
      <c r="B51">
        <f>(-2*LOG(($D$11/(E50*3.71))+(5-0.1*LOG($D$11/E50))*A51^-0.9))^-2</f>
        <v/>
      </c>
      <c r="D51" s="144">
        <f>E50</f>
        <v/>
      </c>
      <c r="E51" s="144">
        <f>((0.5*$D$3*$D$6^2*B51)/($D$9*((PI()/4))^2))^0.2</f>
        <v/>
      </c>
      <c r="F51" s="152">
        <f>E51*1000</f>
        <v/>
      </c>
    </row>
    <row r="52">
      <c r="A52">
        <f>$D$6/((PI()/4)*E51*$D$4)</f>
        <v/>
      </c>
      <c r="B52">
        <f>(-2*LOG(($D$11/(E51*3.71))+(5-0.1*LOG($D$11/E51))*A52^-0.9))^-2</f>
        <v/>
      </c>
      <c r="D52" s="144">
        <f>E51</f>
        <v/>
      </c>
      <c r="E52" s="144">
        <f>((0.5*$D$3*$D$6^2*B52)/($D$9*((PI()/4))^2))^0.2</f>
        <v/>
      </c>
      <c r="F52" s="152">
        <f>E52*1000</f>
        <v/>
      </c>
    </row>
    <row r="53">
      <c r="A53">
        <f>$D$6/((PI()/4)*E52*$D$4)</f>
        <v/>
      </c>
      <c r="B53">
        <f>(-2*LOG(($D$11/(E52*3.71))+(5-0.1*LOG($D$11/E52))*A53^-0.9))^-2</f>
        <v/>
      </c>
      <c r="D53" s="144">
        <f>E52</f>
        <v/>
      </c>
      <c r="E53" s="144">
        <f>((0.5*$D$3*$D$6^2*B53)/($D$9*((PI()/4))^2))^0.2</f>
        <v/>
      </c>
      <c r="F53" s="152">
        <f>E53*1000</f>
        <v/>
      </c>
    </row>
    <row r="54">
      <c r="A54">
        <f>$D$6/((PI()/4)*E53*$D$4)</f>
        <v/>
      </c>
      <c r="B54">
        <f>(-2*LOG(($D$11/(E53*3.71))+(5-0.1*LOG($D$11/E53))*A54^-0.9))^-2</f>
        <v/>
      </c>
      <c r="D54" s="144">
        <f>E53</f>
        <v/>
      </c>
      <c r="E54" s="144">
        <f>((0.5*$D$3*$D$6^2*B54)/($D$9*((PI()/4))^2))^0.2</f>
        <v/>
      </c>
      <c r="F54" s="152">
        <f>E54*1000</f>
        <v/>
      </c>
    </row>
    <row r="55">
      <c r="A55">
        <f>$D$6/((PI()/4)*E54*$D$4)</f>
        <v/>
      </c>
      <c r="B55">
        <f>(-2*LOG(($D$11/(E54*3.71))+(5-0.1*LOG($D$11/E54))*A55^-0.9))^-2</f>
        <v/>
      </c>
      <c r="D55" s="144">
        <f>E54</f>
        <v/>
      </c>
      <c r="E55" s="144">
        <f>((0.5*$D$3*$D$6^2*B55)/($D$9*((PI()/4))^2))^0.2</f>
        <v/>
      </c>
      <c r="F55" s="152">
        <f>E55*1000</f>
        <v/>
      </c>
    </row>
    <row r="56">
      <c r="A56">
        <f>$D$6/((PI()/4)*E55*$D$4)</f>
        <v/>
      </c>
      <c r="B56">
        <f>(-2*LOG(($D$11/(E55*3.71))+(5-0.1*LOG($D$11/E55))*A56^-0.9))^-2</f>
        <v/>
      </c>
      <c r="D56" s="144">
        <f>E55</f>
        <v/>
      </c>
      <c r="E56" s="144">
        <f>((0.5*$D$3*$D$6^2*B56)/($D$9*((PI()/4))^2))^0.2</f>
        <v/>
      </c>
      <c r="F56" s="152">
        <f>E56*1000</f>
        <v/>
      </c>
    </row>
    <row r="57">
      <c r="A57">
        <f>$D$6/((PI()/4)*E56*$D$4)</f>
        <v/>
      </c>
      <c r="B57">
        <f>(-2*LOG(($D$11/(E56*3.71))+(5-0.1*LOG($D$11/E56))*A57^-0.9))^-2</f>
        <v/>
      </c>
      <c r="D57" s="144">
        <f>E56</f>
        <v/>
      </c>
      <c r="E57" s="144">
        <f>((0.5*$D$3*$D$6^2*B57)/($D$9*((PI()/4))^2))^0.2</f>
        <v/>
      </c>
      <c r="F57" s="152">
        <f>E57*1000</f>
        <v/>
      </c>
    </row>
    <row r="58">
      <c r="A58">
        <f>$D$6/((PI()/4)*E57*$D$4)</f>
        <v/>
      </c>
      <c r="B58">
        <f>(-2*LOG(($D$11/(E57*3.71))+(5-0.1*LOG($D$11/E57))*A58^-0.9))^-2</f>
        <v/>
      </c>
      <c r="D58" s="144">
        <f>E57</f>
        <v/>
      </c>
      <c r="E58" s="144">
        <f>((0.5*$D$3*$D$6^2*B58)/($D$9*((PI()/4))^2))^0.2</f>
        <v/>
      </c>
      <c r="F58" s="152">
        <f>E58*1000</f>
        <v/>
      </c>
    </row>
    <row r="59">
      <c r="A59">
        <f>$D$6/((PI()/4)*E58*$D$4)</f>
        <v/>
      </c>
      <c r="B59">
        <f>(-2*LOG(($D$11/(E58*3.71))+(5-0.1*LOG($D$11/E58))*A59^-0.9))^-2</f>
        <v/>
      </c>
      <c r="D59" s="144">
        <f>E58</f>
        <v/>
      </c>
      <c r="E59" s="144">
        <f>((0.5*$D$3*$D$6^2*B59)/($D$9*((PI()/4))^2))^0.2</f>
        <v/>
      </c>
      <c r="F59" s="169">
        <f>E59*1000</f>
        <v/>
      </c>
    </row>
    <row r="61" ht="15.75" customHeight="1" s="175">
      <c r="A61" s="56" t="n"/>
      <c r="B61" s="56" t="n"/>
      <c r="C61" s="56" t="n"/>
      <c r="D61" s="56" t="inlineStr">
        <is>
          <t>Iteration qv3</t>
        </is>
      </c>
      <c r="E61" s="56" t="n"/>
      <c r="F61" s="166" t="n"/>
    </row>
    <row r="62">
      <c r="E62" s="144" t="n"/>
      <c r="F62" s="144" t="n"/>
    </row>
    <row r="63">
      <c r="A63" s="49" t="inlineStr">
        <is>
          <t>Re</t>
        </is>
      </c>
      <c r="B63" s="50" t="inlineStr">
        <is>
          <t>l</t>
        </is>
      </c>
      <c r="C63" s="51" t="n"/>
      <c r="D63" s="49" t="inlineStr">
        <is>
          <t>VS</t>
        </is>
      </c>
      <c r="E63" s="167" t="inlineStr">
        <is>
          <t>HS</t>
        </is>
      </c>
      <c r="F63" s="168" t="inlineStr">
        <is>
          <t>HS*1000</t>
        </is>
      </c>
    </row>
    <row r="64">
      <c r="A64">
        <f>$D$7/((PI()/4)*$D$10*$D$4)</f>
        <v/>
      </c>
      <c r="B64">
        <f>(-2*LOG(($D$11/($D$10*3.71))+(5-0.1*LOG($D$11/$D$10))*A64^-0.9))^-2</f>
        <v/>
      </c>
      <c r="D64" s="144">
        <f>$D$10</f>
        <v/>
      </c>
      <c r="E64" s="144">
        <f>((0.5*$D$3*$D$7^2*B64)/($D$9*((PI()/4))^2))^0.2</f>
        <v/>
      </c>
      <c r="F64" s="152">
        <f>E64*1000</f>
        <v/>
      </c>
    </row>
    <row r="65">
      <c r="A65">
        <f>$D$7/((PI()/4)*E64*$D$4)</f>
        <v/>
      </c>
      <c r="B65">
        <f>(-2*LOG(($D$11/(E64*3.71))+(5-0.1*LOG($D$11/E64))*A65^-0.9))^-2</f>
        <v/>
      </c>
      <c r="D65" s="144">
        <f>E64</f>
        <v/>
      </c>
      <c r="E65" s="144">
        <f>((0.5*$D$3*$D$7^2*B65)/($D$9*((PI()/4))^2))^0.2</f>
        <v/>
      </c>
      <c r="F65" s="152">
        <f>E65*1000</f>
        <v/>
      </c>
    </row>
    <row r="66">
      <c r="A66">
        <f>$D$7/((PI()/4)*E65*$D$4)</f>
        <v/>
      </c>
      <c r="B66">
        <f>(-2*LOG(($D$11/(E65*3.71))+(5-0.1*LOG($D$11/E65))*A66^-0.9))^-2</f>
        <v/>
      </c>
      <c r="D66" s="144">
        <f>E65</f>
        <v/>
      </c>
      <c r="E66" s="144">
        <f>((0.5*$D$3*$D$7^2*B66)/($D$9*((PI()/4))^2))^0.2</f>
        <v/>
      </c>
      <c r="F66" s="152">
        <f>E66*1000</f>
        <v/>
      </c>
    </row>
    <row r="67">
      <c r="A67">
        <f>$D$7/((PI()/4)*E66*$D$4)</f>
        <v/>
      </c>
      <c r="B67">
        <f>(-2*LOG(($D$11/(E66*3.71))+(5-0.1*LOG($D$11/E66))*A67^-0.9))^-2</f>
        <v/>
      </c>
      <c r="D67" s="144">
        <f>E66</f>
        <v/>
      </c>
      <c r="E67" s="144">
        <f>((0.5*$D$3*$D$7^2*B67)/($D$9*((PI()/4))^2))^0.2</f>
        <v/>
      </c>
      <c r="F67" s="152">
        <f>E67*1000</f>
        <v/>
      </c>
    </row>
    <row r="68">
      <c r="A68">
        <f>$D$7/((PI()/4)*E67*$D$4)</f>
        <v/>
      </c>
      <c r="B68">
        <f>(-2*LOG(($D$11/(E67*3.71))+(5-0.1*LOG($D$11/E67))*A68^-0.9))^-2</f>
        <v/>
      </c>
      <c r="D68" s="144">
        <f>E67</f>
        <v/>
      </c>
      <c r="E68" s="144">
        <f>((0.5*$D$3*$D$7^2*B68)/($D$9*((PI()/4))^2))^0.2</f>
        <v/>
      </c>
      <c r="F68" s="152">
        <f>E68*1000</f>
        <v/>
      </c>
    </row>
    <row r="69">
      <c r="A69">
        <f>$D$7/((PI()/4)*E68*$D$4)</f>
        <v/>
      </c>
      <c r="B69">
        <f>(-2*LOG(($D$11/(E68*3.71))+(5-0.1*LOG($D$11/E68))*A69^-0.9))^-2</f>
        <v/>
      </c>
      <c r="D69" s="144">
        <f>E68</f>
        <v/>
      </c>
      <c r="E69" s="144">
        <f>((0.5*$D$3*$D$7^2*B69)/($D$9*((PI()/4))^2))^0.2</f>
        <v/>
      </c>
      <c r="F69" s="152">
        <f>E69*1000</f>
        <v/>
      </c>
    </row>
    <row r="70">
      <c r="A70">
        <f>$D$7/((PI()/4)*E69*$D$4)</f>
        <v/>
      </c>
      <c r="B70">
        <f>(-2*LOG(($D$11/(E69*3.71))+(5-0.1*LOG($D$11/E69))*A70^-0.9))^-2</f>
        <v/>
      </c>
      <c r="D70" s="144">
        <f>E69</f>
        <v/>
      </c>
      <c r="E70" s="144">
        <f>((0.5*$D$3*$D$7^2*B70)/($D$9*((PI()/4))^2))^0.2</f>
        <v/>
      </c>
      <c r="F70" s="152">
        <f>E70*1000</f>
        <v/>
      </c>
    </row>
    <row r="71">
      <c r="A71">
        <f>$D$7/((PI()/4)*E70*$D$4)</f>
        <v/>
      </c>
      <c r="B71">
        <f>(-2*LOG(($D$11/(E70*3.71))+(5-0.1*LOG($D$11/E70))*A71^-0.9))^-2</f>
        <v/>
      </c>
      <c r="D71" s="144">
        <f>E70</f>
        <v/>
      </c>
      <c r="E71" s="144">
        <f>((0.5*$D$3*$D$7^2*B71)/($D$9*((PI()/4))^2))^0.2</f>
        <v/>
      </c>
      <c r="F71" s="152">
        <f>E71*1000</f>
        <v/>
      </c>
    </row>
    <row r="72">
      <c r="A72">
        <f>$D$7/((PI()/4)*E71*$D$4)</f>
        <v/>
      </c>
      <c r="B72">
        <f>(-2*LOG(($D$11/(E71*3.71))+(5-0.1*LOG($D$11/E71))*A72^-0.9))^-2</f>
        <v/>
      </c>
      <c r="D72" s="144">
        <f>E71</f>
        <v/>
      </c>
      <c r="E72" s="144">
        <f>((0.5*$D$3*$D$7^2*B72)/($D$9*((PI()/4))^2))^0.2</f>
        <v/>
      </c>
      <c r="F72" s="152">
        <f>E72*1000</f>
        <v/>
      </c>
    </row>
    <row r="73">
      <c r="A73">
        <f>$D$7/((PI()/4)*E72*$D$4)</f>
        <v/>
      </c>
      <c r="B73">
        <f>(-2*LOG(($D$11/(E72*3.71))+(5-0.1*LOG($D$11/E72))*A73^-0.9))^-2</f>
        <v/>
      </c>
      <c r="D73" s="144">
        <f>E72</f>
        <v/>
      </c>
      <c r="E73" s="144">
        <f>((0.5*$D$3*$D$7^2*B73)/($D$9*((PI()/4))^2))^0.2</f>
        <v/>
      </c>
      <c r="F73" s="152">
        <f>E73*1000</f>
        <v/>
      </c>
    </row>
    <row r="74">
      <c r="A74">
        <f>$D$7/((PI()/4)*E73*$D$4)</f>
        <v/>
      </c>
      <c r="B74">
        <f>(-2*LOG(($D$11/(E73*3.71))+(5-0.1*LOG($D$11/E73))*A74^-0.9))^-2</f>
        <v/>
      </c>
      <c r="D74" s="144">
        <f>E73</f>
        <v/>
      </c>
      <c r="E74" s="144">
        <f>((0.5*$D$3*$D$7^2*B74)/($D$9*((PI()/4))^2))^0.2</f>
        <v/>
      </c>
      <c r="F74" s="152">
        <f>E74*1000</f>
        <v/>
      </c>
    </row>
    <row r="75">
      <c r="A75">
        <f>$D$7/((PI()/4)*E74*$D$4)</f>
        <v/>
      </c>
      <c r="B75">
        <f>(-2*LOG(($D$11/(E74*3.71))+(5-0.1*LOG($D$11/E74))*A75^-0.9))^-2</f>
        <v/>
      </c>
      <c r="D75" s="144">
        <f>E74</f>
        <v/>
      </c>
      <c r="E75" s="144">
        <f>((0.5*$D$3*$D$7^2*B75)/($D$9*((PI()/4))^2))^0.2</f>
        <v/>
      </c>
      <c r="F75" s="152">
        <f>E75*1000</f>
        <v/>
      </c>
    </row>
    <row r="76">
      <c r="A76">
        <f>$D$7/((PI()/4)*E75*$D$4)</f>
        <v/>
      </c>
      <c r="B76">
        <f>(-2*LOG(($D$11/(E75*3.71))+(5-0.1*LOG($D$11/E75))*A76^-0.9))^-2</f>
        <v/>
      </c>
      <c r="D76" s="144">
        <f>E75</f>
        <v/>
      </c>
      <c r="E76" s="144">
        <f>((0.5*$D$3*$D$7^2*B76)/($D$9*((PI()/4))^2))^0.2</f>
        <v/>
      </c>
      <c r="F76" s="152">
        <f>E76*1000</f>
        <v/>
      </c>
    </row>
    <row r="77">
      <c r="A77">
        <f>$D$7/((PI()/4)*E76*$D$4)</f>
        <v/>
      </c>
      <c r="B77">
        <f>(-2*LOG(($D$11/(E76*3.71))+(5-0.1*LOG($D$11/E76))*A77^-0.9))^-2</f>
        <v/>
      </c>
      <c r="D77" s="144">
        <f>E76</f>
        <v/>
      </c>
      <c r="E77" s="144">
        <f>((0.5*$D$3*$D$7^2*B77)/($D$9*((PI()/4))^2))^0.2</f>
        <v/>
      </c>
      <c r="F77" s="152">
        <f>E77*1000</f>
        <v/>
      </c>
    </row>
    <row r="78">
      <c r="A78">
        <f>$D$7/((PI()/4)*E77*$D$4)</f>
        <v/>
      </c>
      <c r="B78">
        <f>(-2*LOG(($D$11/(E77*3.71))+(5-0.1*LOG($D$11/E77))*A78^-0.9))^-2</f>
        <v/>
      </c>
      <c r="D78" s="144">
        <f>E77</f>
        <v/>
      </c>
      <c r="E78" s="144">
        <f>((0.5*$D$3*$D$7^2*B78)/($D$9*((PI()/4))^2))^0.2</f>
        <v/>
      </c>
      <c r="F78" s="152">
        <f>E78*1000</f>
        <v/>
      </c>
    </row>
    <row r="79">
      <c r="A79">
        <f>$D$7/((PI()/4)*E78*$D$4)</f>
        <v/>
      </c>
      <c r="B79">
        <f>(-2*LOG(($D$11/(E78*3.71))+(5-0.1*LOG($D$11/E78))*A79^-0.9))^-2</f>
        <v/>
      </c>
      <c r="D79" s="144">
        <f>E78</f>
        <v/>
      </c>
      <c r="E79" s="144">
        <f>((0.5*$D$3*$D$7^2*B79)/($D$9*((PI()/4))^2))^0.2</f>
        <v/>
      </c>
      <c r="F79" s="152">
        <f>E79*1000</f>
        <v/>
      </c>
    </row>
    <row r="80">
      <c r="A80">
        <f>$D$7/((PI()/4)*E79*$D$4)</f>
        <v/>
      </c>
      <c r="B80">
        <f>(-2*LOG(($D$11/(E79*3.71))+(5-0.1*LOG($D$11/E79))*A80^-0.9))^-2</f>
        <v/>
      </c>
      <c r="D80" s="144">
        <f>E79</f>
        <v/>
      </c>
      <c r="E80" s="144">
        <f>((0.5*$D$3*$D$7^2*B80)/($D$9*((PI()/4))^2))^0.2</f>
        <v/>
      </c>
      <c r="F80" s="152">
        <f>E80*1000</f>
        <v/>
      </c>
    </row>
    <row r="81">
      <c r="A81">
        <f>$D$7/((PI()/4)*E80*$D$4)</f>
        <v/>
      </c>
      <c r="B81">
        <f>(-2*LOG(($D$11/(E80*3.71))+(5-0.1*LOG($D$11/E80))*A81^-0.9))^-2</f>
        <v/>
      </c>
      <c r="D81" s="144">
        <f>E80</f>
        <v/>
      </c>
      <c r="E81" s="144">
        <f>((0.5*$D$3*$D$7^2*B81)/($D$9*((PI()/4))^2))^0.2</f>
        <v/>
      </c>
      <c r="F81" s="169">
        <f>E81*1000</f>
        <v/>
      </c>
    </row>
    <row r="83" ht="15.75" customHeight="1" s="175">
      <c r="A83" s="56" t="n"/>
      <c r="B83" s="56" t="n"/>
      <c r="C83" s="56" t="n"/>
      <c r="D83" s="56" t="inlineStr">
        <is>
          <t>Iteration qv4</t>
        </is>
      </c>
      <c r="E83" s="56" t="n"/>
      <c r="F83" s="166" t="n"/>
    </row>
    <row r="84">
      <c r="E84" s="144" t="n"/>
      <c r="F84" s="144" t="n"/>
    </row>
    <row r="85">
      <c r="A85" s="49" t="inlineStr">
        <is>
          <t>Re</t>
        </is>
      </c>
      <c r="B85" s="50" t="inlineStr">
        <is>
          <t>l</t>
        </is>
      </c>
      <c r="C85" s="51" t="n"/>
      <c r="D85" s="49" t="inlineStr">
        <is>
          <t>VS</t>
        </is>
      </c>
      <c r="E85" s="167" t="inlineStr">
        <is>
          <t>HS</t>
        </is>
      </c>
      <c r="F85" s="168" t="inlineStr">
        <is>
          <t>HS*1000</t>
        </is>
      </c>
    </row>
    <row r="86">
      <c r="A86">
        <f>$D$8/((PI()/4)*$D$10*$D$4)</f>
        <v/>
      </c>
      <c r="B86">
        <f>(-2*LOG(($D$11/($D$10*3.71))+(5-0.1*LOG($D$11/$D$10))*A86^-0.9))^-2</f>
        <v/>
      </c>
      <c r="D86" s="144">
        <f>$D$10</f>
        <v/>
      </c>
      <c r="E86" s="144">
        <f>((0.5*$D$3*$D$8^2*B86)/($D$9*((PI()/4))^2))^0.2</f>
        <v/>
      </c>
      <c r="F86" s="152">
        <f>E86*1000</f>
        <v/>
      </c>
    </row>
    <row r="87">
      <c r="A87">
        <f>$D$8/((PI()/4)*E86*$D$4)</f>
        <v/>
      </c>
      <c r="B87">
        <f>(-2*LOG(($D$11/(E86*3.71))+(5-0.1*LOG($D$11/E86))*A87^-0.9))^-2</f>
        <v/>
      </c>
      <c r="D87" s="144">
        <f>E86</f>
        <v/>
      </c>
      <c r="E87" s="144">
        <f>((0.5*$D$3*$D$8^2*B87)/($D$9*((PI()/4))^2))^0.2</f>
        <v/>
      </c>
      <c r="F87" s="152">
        <f>E87*1000</f>
        <v/>
      </c>
    </row>
    <row r="88">
      <c r="A88">
        <f>$D$8/((PI()/4)*E87*$D$4)</f>
        <v/>
      </c>
      <c r="B88">
        <f>(-2*LOG(($D$11/(E87*3.71))+(5-0.1*LOG($D$11/E87))*A88^-0.9))^-2</f>
        <v/>
      </c>
      <c r="D88" s="144">
        <f>E87</f>
        <v/>
      </c>
      <c r="E88" s="144">
        <f>((0.5*$D$3*$D$8^2*B88)/($D$9*((PI()/4))^2))^0.2</f>
        <v/>
      </c>
      <c r="F88" s="152">
        <f>E88*1000</f>
        <v/>
      </c>
    </row>
    <row r="89">
      <c r="A89">
        <f>$D$8/((PI()/4)*E88*$D$4)</f>
        <v/>
      </c>
      <c r="B89">
        <f>(-2*LOG(($D$11/(E88*3.71))+(5-0.1*LOG($D$11/E88))*A89^-0.9))^-2</f>
        <v/>
      </c>
      <c r="D89" s="144">
        <f>E88</f>
        <v/>
      </c>
      <c r="E89" s="144">
        <f>((0.5*$D$3*$D$8^2*B89)/($D$9*((PI()/4))^2))^0.2</f>
        <v/>
      </c>
      <c r="F89" s="152">
        <f>E89*1000</f>
        <v/>
      </c>
    </row>
    <row r="90">
      <c r="A90">
        <f>$D$8/((PI()/4)*E89*$D$4)</f>
        <v/>
      </c>
      <c r="B90">
        <f>(-2*LOG(($D$11/(E89*3.71))+(5-0.1*LOG($D$11/E89))*A90^-0.9))^-2</f>
        <v/>
      </c>
      <c r="D90" s="144">
        <f>E89</f>
        <v/>
      </c>
      <c r="E90" s="144">
        <f>((0.5*$D$3*$D$8^2*B90)/($D$9*((PI()/4))^2))^0.2</f>
        <v/>
      </c>
      <c r="F90" s="152">
        <f>E90*1000</f>
        <v/>
      </c>
    </row>
    <row r="91">
      <c r="A91">
        <f>$D$8/((PI()/4)*E90*$D$4)</f>
        <v/>
      </c>
      <c r="B91">
        <f>(-2*LOG(($D$11/(E90*3.71))+(5-0.1*LOG($D$11/E90))*A91^-0.9))^-2</f>
        <v/>
      </c>
      <c r="D91" s="144">
        <f>E90</f>
        <v/>
      </c>
      <c r="E91" s="144">
        <f>((0.5*$D$3*$D$8^2*B91)/($D$9*((PI()/4))^2))^0.2</f>
        <v/>
      </c>
      <c r="F91" s="152">
        <f>E91*1000</f>
        <v/>
      </c>
    </row>
    <row r="92">
      <c r="A92">
        <f>$D$8/((PI()/4)*E91*$D$4)</f>
        <v/>
      </c>
      <c r="B92">
        <f>(-2*LOG(($D$11/(E91*3.71))+(5-0.1*LOG($D$11/E91))*A92^-0.9))^-2</f>
        <v/>
      </c>
      <c r="D92" s="144">
        <f>E91</f>
        <v/>
      </c>
      <c r="E92" s="144">
        <f>((0.5*$D$3*$D$8^2*B92)/($D$9*((PI()/4))^2))^0.2</f>
        <v/>
      </c>
      <c r="F92" s="152">
        <f>E92*1000</f>
        <v/>
      </c>
    </row>
    <row r="93">
      <c r="A93">
        <f>$D$8/((PI()/4)*E92*$D$4)</f>
        <v/>
      </c>
      <c r="B93">
        <f>(-2*LOG(($D$11/(E92*3.71))+(5-0.1*LOG($D$11/E92))*A93^-0.9))^-2</f>
        <v/>
      </c>
      <c r="D93" s="144">
        <f>E92</f>
        <v/>
      </c>
      <c r="E93" s="144">
        <f>((0.5*$D$3*$D$8^2*B93)/($D$9*((PI()/4))^2))^0.2</f>
        <v/>
      </c>
      <c r="F93" s="152">
        <f>E93*1000</f>
        <v/>
      </c>
    </row>
    <row r="94">
      <c r="A94">
        <f>$D$8/((PI()/4)*E93*$D$4)</f>
        <v/>
      </c>
      <c r="B94">
        <f>(-2*LOG(($D$11/(E93*3.71))+(5-0.1*LOG($D$11/E93))*A94^-0.9))^-2</f>
        <v/>
      </c>
      <c r="D94" s="144">
        <f>E93</f>
        <v/>
      </c>
      <c r="E94" s="144">
        <f>((0.5*$D$3*$D$8^2*B94)/($D$9*((PI()/4))^2))^0.2</f>
        <v/>
      </c>
      <c r="F94" s="152">
        <f>E94*1000</f>
        <v/>
      </c>
    </row>
    <row r="95">
      <c r="A95">
        <f>$D$8/((PI()/4)*E94*$D$4)</f>
        <v/>
      </c>
      <c r="B95">
        <f>(-2*LOG(($D$11/(E94*3.71))+(5-0.1*LOG($D$11/E94))*A95^-0.9))^-2</f>
        <v/>
      </c>
      <c r="D95" s="144">
        <f>E94</f>
        <v/>
      </c>
      <c r="E95" s="144">
        <f>((0.5*$D$3*$D$8^2*B95)/($D$9*((PI()/4))^2))^0.2</f>
        <v/>
      </c>
      <c r="F95" s="152">
        <f>E95*1000</f>
        <v/>
      </c>
    </row>
    <row r="96">
      <c r="A96">
        <f>$D$8/((PI()/4)*E95*$D$4)</f>
        <v/>
      </c>
      <c r="B96">
        <f>(-2*LOG(($D$11/(E95*3.71))+(5-0.1*LOG($D$11/E95))*A96^-0.9))^-2</f>
        <v/>
      </c>
      <c r="D96" s="144">
        <f>E95</f>
        <v/>
      </c>
      <c r="E96" s="144">
        <f>((0.5*$D$3*$D$8^2*B96)/($D$9*((PI()/4))^2))^0.2</f>
        <v/>
      </c>
      <c r="F96" s="152">
        <f>E96*1000</f>
        <v/>
      </c>
    </row>
    <row r="97">
      <c r="A97">
        <f>$D$8/((PI()/4)*E96*$D$4)</f>
        <v/>
      </c>
      <c r="B97">
        <f>(-2*LOG(($D$11/(E96*3.71))+(5-0.1*LOG($D$11/E96))*A97^-0.9))^-2</f>
        <v/>
      </c>
      <c r="D97" s="144">
        <f>E96</f>
        <v/>
      </c>
      <c r="E97" s="144">
        <f>((0.5*$D$3*$D$8^2*B97)/($D$9*((PI()/4))^2))^0.2</f>
        <v/>
      </c>
      <c r="F97" s="152">
        <f>E97*1000</f>
        <v/>
      </c>
    </row>
    <row r="98">
      <c r="A98">
        <f>$D$8/((PI()/4)*E97*$D$4)</f>
        <v/>
      </c>
      <c r="B98">
        <f>(-2*LOG(($D$11/(E97*3.71))+(5-0.1*LOG($D$11/E97))*A98^-0.9))^-2</f>
        <v/>
      </c>
      <c r="D98" s="144">
        <f>E97</f>
        <v/>
      </c>
      <c r="E98" s="144">
        <f>((0.5*$D$3*$D$8^2*B98)/($D$9*((PI()/4))^2))^0.2</f>
        <v/>
      </c>
      <c r="F98" s="152">
        <f>E98*1000</f>
        <v/>
      </c>
    </row>
    <row r="99">
      <c r="A99">
        <f>$D$8/((PI()/4)*E98*$D$4)</f>
        <v/>
      </c>
      <c r="B99">
        <f>(-2*LOG(($D$11/(E98*3.71))+(5-0.1*LOG($D$11/E98))*A99^-0.9))^-2</f>
        <v/>
      </c>
      <c r="D99" s="144">
        <f>E98</f>
        <v/>
      </c>
      <c r="E99" s="144">
        <f>((0.5*$D$3*$D$8^2*B99)/($D$9*((PI()/4))^2))^0.2</f>
        <v/>
      </c>
      <c r="F99" s="152">
        <f>E99*1000</f>
        <v/>
      </c>
    </row>
    <row r="100">
      <c r="A100">
        <f>$D$8/((PI()/4)*E99*$D$4)</f>
        <v/>
      </c>
      <c r="B100">
        <f>(-2*LOG(($D$11/(E99*3.71))+(5-0.1*LOG($D$11/E99))*A100^-0.9))^-2</f>
        <v/>
      </c>
      <c r="D100" s="144">
        <f>E99</f>
        <v/>
      </c>
      <c r="E100" s="144">
        <f>((0.5*$D$3*$D$8^2*B100)/($D$9*((PI()/4))^2))^0.2</f>
        <v/>
      </c>
      <c r="F100" s="152">
        <f>E100*1000</f>
        <v/>
      </c>
    </row>
    <row r="101">
      <c r="A101">
        <f>$D$8/((PI()/4)*E100*$D$4)</f>
        <v/>
      </c>
      <c r="B101">
        <f>(-2*LOG(($D$11/(E100*3.71))+(5-0.1*LOG($D$11/E100))*A101^-0.9))^-2</f>
        <v/>
      </c>
      <c r="D101" s="144">
        <f>E100</f>
        <v/>
      </c>
      <c r="E101" s="144">
        <f>((0.5*$D$3*$D$8^2*B101)/($D$9*((PI()/4))^2))^0.2</f>
        <v/>
      </c>
      <c r="F101" s="152">
        <f>E101*1000</f>
        <v/>
      </c>
    </row>
    <row r="102">
      <c r="A102">
        <f>$D$8/((PI()/4)*E101*$D$4)</f>
        <v/>
      </c>
      <c r="B102">
        <f>(-2*LOG(($D$11/(E101*3.71))+(5-0.1*LOG($D$11/E101))*A102^-0.9))^-2</f>
        <v/>
      </c>
      <c r="D102" s="144">
        <f>E101</f>
        <v/>
      </c>
      <c r="E102" s="144">
        <f>((0.5*$D$3*$D$8^2*B102)/($D$9*((PI()/4))^2))^0.2</f>
        <v/>
      </c>
      <c r="F102" s="152">
        <f>E102*1000</f>
        <v/>
      </c>
    </row>
    <row r="103">
      <c r="A103">
        <f>$D$8/((PI()/4)*E102*$D$4)</f>
        <v/>
      </c>
      <c r="B103">
        <f>(-2*LOG(($D$11/(E102*3.71))+(5-0.1*LOG($D$11/E102))*A103^-0.9))^-2</f>
        <v/>
      </c>
      <c r="D103" s="144">
        <f>E102</f>
        <v/>
      </c>
      <c r="E103" s="144">
        <f>((0.5*$D$3*$D$8^2*B103)/($D$9*((PI()/4))^2))^0.2</f>
        <v/>
      </c>
      <c r="F103" s="169">
        <f>E103*1000</f>
        <v/>
      </c>
    </row>
  </sheetData>
  <mergeCells count="1">
    <mergeCell ref="H14:I14"/>
  </mergeCells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Thomas Kjems Lyngvad</dc:creator>
  <dc:title xmlns:dc="http://purl.org/dc/elements/1.1/">Tryktabsnomogrammer</dc:title>
  <dc:description xmlns:dc="http://purl.org/dc/elements/1.1/">Colebrook-White iterationen er_x000d_
udviklet af Andrew Sleigh</dc:description>
  <dcterms:created xmlns:dcterms="http://purl.org/dc/terms/" xmlns:xsi="http://www.w3.org/2001/XMLSchema-instance" xsi:type="dcterms:W3CDTF">2002-03-06T10:31:42Z</dcterms:created>
  <dcterms:modified xmlns:dcterms="http://purl.org/dc/terms/" xmlns:xsi="http://www.w3.org/2001/XMLSchema-instance" xsi:type="dcterms:W3CDTF">2020-12-08T20:10:47Z</dcterms:modified>
  <cp:lastModifiedBy>TurboNotik-PC</cp:lastModifiedBy>
  <cp:lastPrinted>2004-03-21T14:09:39Z</cp:lastPrinted>
</cp:coreProperties>
</file>