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</sheets>
  <definedNames>
    <definedName name="_xlnm._FilterDatabase" localSheetId="0" hidden="1">기본정보!#REF!</definedName>
    <definedName name="B_Tag" localSheetId="2">'교정결과-E'!$E$17:$H$17</definedName>
    <definedName name="B_Tag" localSheetId="3">'교정결과-HY'!$B$16:$Q$16</definedName>
    <definedName name="B_Tag">교정결과!$E$16:$H$16</definedName>
    <definedName name="B_Tag_2" localSheetId="4">판정결과!$C$10:$I$10</definedName>
    <definedName name="B_Tag_3" localSheetId="5">부록!$B$11:$K$11</definedName>
    <definedName name="Length_7_CMC" localSheetId="10">Length_7!$C$4:$E$23</definedName>
    <definedName name="Length_7_Condition" localSheetId="10">Length_7!$A$4:$B$23</definedName>
    <definedName name="Length_7_Resolution">Length_7!$F$4:$I$23</definedName>
    <definedName name="Length_7_Result" localSheetId="10">Length_7!$M$4:$Q$23</definedName>
    <definedName name="Length_7_Spec" localSheetId="10">Length_7!$J$4:$L$23</definedName>
    <definedName name="Length_7_STD1" localSheetId="10">Length_7!$A$27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47" i="21" l="1"/>
  <c r="I47" i="21"/>
  <c r="J47" i="21" s="1"/>
  <c r="M47" i="21" s="1"/>
  <c r="K47" i="21"/>
  <c r="T24" i="21" l="1"/>
  <c r="T19" i="21"/>
  <c r="O30" i="21" l="1"/>
  <c r="M30" i="21"/>
  <c r="G15" i="32" l="1"/>
  <c r="A4" i="32"/>
  <c r="F9" i="32" l="1"/>
  <c r="F8" i="32"/>
  <c r="F7" i="32"/>
  <c r="F6" i="32"/>
  <c r="V20" i="21" l="1"/>
  <c r="V21" i="21"/>
  <c r="V22" i="21"/>
  <c r="V23" i="21"/>
  <c r="V24" i="21"/>
  <c r="U19" i="21" l="1"/>
  <c r="U18" i="21"/>
  <c r="G22" i="21"/>
  <c r="J22" i="21" s="1"/>
  <c r="G20" i="21"/>
  <c r="J20" i="21" s="1"/>
  <c r="F8" i="21" l="1"/>
  <c r="G8" i="21" s="1"/>
  <c r="H8" i="21" s="1"/>
  <c r="I8" i="21" s="1"/>
  <c r="J8" i="21" s="1"/>
  <c r="G23" i="21" l="1"/>
  <c r="G21" i="21"/>
  <c r="J21" i="21" s="1"/>
  <c r="N128" i="23" l="1"/>
  <c r="S128" i="23" s="1"/>
  <c r="J23" i="21"/>
  <c r="AM47" i="23"/>
  <c r="M47" i="23"/>
  <c r="AP46" i="23"/>
  <c r="S162" i="23" s="1"/>
  <c r="AM46" i="23"/>
  <c r="AA46" i="23"/>
  <c r="O144" i="23" s="1"/>
  <c r="L146" i="23" s="1"/>
  <c r="V46" i="23"/>
  <c r="I143" i="23" s="1"/>
  <c r="S46" i="23"/>
  <c r="M46" i="23"/>
  <c r="H46" i="23"/>
  <c r="AM45" i="23"/>
  <c r="AE45" i="23"/>
  <c r="V45" i="23"/>
  <c r="I130" i="23" s="1"/>
  <c r="S45" i="23"/>
  <c r="M45" i="23"/>
  <c r="AM44" i="23"/>
  <c r="AE44" i="23"/>
  <c r="V44" i="23"/>
  <c r="I114" i="23" s="1"/>
  <c r="S44" i="23"/>
  <c r="M44" i="23"/>
  <c r="AM43" i="23"/>
  <c r="AE43" i="23"/>
  <c r="V43" i="23"/>
  <c r="I100" i="23" s="1"/>
  <c r="S43" i="23"/>
  <c r="M43" i="23"/>
  <c r="AM42" i="23"/>
  <c r="AE42" i="23"/>
  <c r="V42" i="23"/>
  <c r="I84" i="23" s="1"/>
  <c r="S42" i="23"/>
  <c r="M42" i="23"/>
  <c r="AP41" i="23"/>
  <c r="AM41" i="23"/>
  <c r="AA41" i="23"/>
  <c r="V41" i="23"/>
  <c r="I68" i="23" s="1"/>
  <c r="S41" i="23"/>
  <c r="M41" i="23"/>
  <c r="AP40" i="23"/>
  <c r="M160" i="23" s="1"/>
  <c r="AM40" i="23"/>
  <c r="AA40" i="23"/>
  <c r="V40" i="23"/>
  <c r="I57" i="23" s="1"/>
  <c r="S40" i="23"/>
  <c r="M40" i="23"/>
  <c r="M65" i="23" s="1"/>
  <c r="R160" i="23"/>
  <c r="R146" i="23"/>
  <c r="Y146" i="23" s="1"/>
  <c r="B124" i="23"/>
  <c r="C108" i="23"/>
  <c r="B107" i="23"/>
  <c r="B94" i="23"/>
  <c r="C75" i="23"/>
  <c r="B74" i="23"/>
  <c r="R71" i="23"/>
  <c r="Y71" i="23" s="1"/>
  <c r="C64" i="23"/>
  <c r="B63" i="23"/>
  <c r="R60" i="23"/>
  <c r="Y60" i="23" s="1"/>
  <c r="G26" i="23"/>
  <c r="G25" i="23"/>
  <c r="G24" i="23"/>
  <c r="G23" i="23"/>
  <c r="G22" i="23"/>
  <c r="G21" i="23"/>
  <c r="G19" i="23"/>
  <c r="L60" i="23" l="1"/>
  <c r="M69" i="23"/>
  <c r="L71" i="23"/>
  <c r="M58" i="23"/>
  <c r="S133" i="23"/>
  <c r="C125" i="23"/>
  <c r="L53" i="23"/>
  <c r="D3" i="21"/>
  <c r="F3" i="21"/>
  <c r="D30" i="21" s="1"/>
  <c r="N5" i="23" l="1"/>
  <c r="C138" i="23" s="1"/>
  <c r="E6" i="21"/>
  <c r="E15" i="11"/>
  <c r="G13" i="11"/>
  <c r="G27" i="23" l="1"/>
  <c r="G20" i="23"/>
  <c r="B50" i="23"/>
  <c r="B137" i="23"/>
  <c r="G8" i="23"/>
  <c r="C7" i="3"/>
  <c r="G24" i="21"/>
  <c r="J24" i="21" s="1"/>
  <c r="B13" i="21"/>
  <c r="B12" i="21"/>
  <c r="B11" i="21"/>
  <c r="B10" i="21"/>
  <c r="B9" i="21"/>
  <c r="AE9" i="21" s="1"/>
  <c r="G3" i="21"/>
  <c r="F30" i="21" s="1"/>
  <c r="E3" i="21"/>
  <c r="C30" i="21" s="1"/>
  <c r="C3" i="21"/>
  <c r="B3" i="21" s="1"/>
  <c r="L47" i="21"/>
  <c r="F29" i="21"/>
  <c r="S23" i="21"/>
  <c r="AP45" i="23" s="1"/>
  <c r="N162" i="23" s="1"/>
  <c r="O45" i="23"/>
  <c r="S21" i="21"/>
  <c r="AP43" i="23" s="1"/>
  <c r="AB160" i="23" s="1"/>
  <c r="W11" i="21" l="1"/>
  <c r="AE11" i="21"/>
  <c r="W13" i="21"/>
  <c r="AE13" i="21"/>
  <c r="W10" i="21"/>
  <c r="AE10" i="21"/>
  <c r="W12" i="21"/>
  <c r="AE12" i="21"/>
  <c r="L9" i="21"/>
  <c r="AP10" i="23" s="1"/>
  <c r="W9" i="21"/>
  <c r="L13" i="21"/>
  <c r="AP14" i="23" s="1"/>
  <c r="O13" i="21"/>
  <c r="L10" i="21"/>
  <c r="AP11" i="23" s="1"/>
  <c r="O10" i="21"/>
  <c r="L11" i="21"/>
  <c r="AP12" i="23" s="1"/>
  <c r="O11" i="21"/>
  <c r="L12" i="21"/>
  <c r="AP13" i="23" s="1"/>
  <c r="O12" i="21"/>
  <c r="K10" i="21"/>
  <c r="AK11" i="23" s="1"/>
  <c r="Q12" i="21"/>
  <c r="P140" i="23"/>
  <c r="O141" i="23" s="1"/>
  <c r="T141" i="23" s="1"/>
  <c r="O146" i="23" s="1"/>
  <c r="V146" i="23" s="1"/>
  <c r="P10" i="21"/>
  <c r="AP44" i="23"/>
  <c r="AG160" i="23" s="1"/>
  <c r="O44" i="23"/>
  <c r="I29" i="21"/>
  <c r="L29" i="21" s="1"/>
  <c r="Q29" i="21" s="1"/>
  <c r="V12" i="21"/>
  <c r="I12" i="21"/>
  <c r="AA13" i="23" s="1"/>
  <c r="S10" i="21"/>
  <c r="I10" i="21"/>
  <c r="AA11" i="23" s="1"/>
  <c r="U10" i="21"/>
  <c r="AU11" i="23" s="1"/>
  <c r="I9" i="21"/>
  <c r="AA10" i="23" s="1"/>
  <c r="D12" i="21"/>
  <c r="O42" i="23"/>
  <c r="D9" i="21"/>
  <c r="J3" i="21" s="1"/>
  <c r="D10" i="21"/>
  <c r="G11" i="21"/>
  <c r="Q12" i="23" s="1"/>
  <c r="Y11" i="21"/>
  <c r="G13" i="21"/>
  <c r="Q14" i="23" s="1"/>
  <c r="Y13" i="21"/>
  <c r="M10" i="21"/>
  <c r="T10" i="21"/>
  <c r="R12" i="21"/>
  <c r="E9" i="21"/>
  <c r="G10" i="23" s="1"/>
  <c r="O9" i="21"/>
  <c r="E10" i="21"/>
  <c r="G11" i="23" s="1"/>
  <c r="C11" i="21"/>
  <c r="B12" i="23" s="1"/>
  <c r="H11" i="21"/>
  <c r="V12" i="23" s="1"/>
  <c r="Z11" i="21"/>
  <c r="E12" i="21"/>
  <c r="G13" i="23" s="1"/>
  <c r="C13" i="21"/>
  <c r="B14" i="23" s="1"/>
  <c r="H13" i="21"/>
  <c r="V14" i="23" s="1"/>
  <c r="Z13" i="21"/>
  <c r="G9" i="21"/>
  <c r="Q10" i="23" s="1"/>
  <c r="Y9" i="21"/>
  <c r="G12" i="21"/>
  <c r="Q13" i="23" s="1"/>
  <c r="Y12" i="21"/>
  <c r="D13" i="21"/>
  <c r="I13" i="21"/>
  <c r="AA14" i="23" s="1"/>
  <c r="G10" i="21"/>
  <c r="Q11" i="23" s="1"/>
  <c r="Y10" i="21"/>
  <c r="D11" i="21"/>
  <c r="I11" i="21"/>
  <c r="AA12" i="23" s="1"/>
  <c r="Q10" i="21"/>
  <c r="K12" i="21"/>
  <c r="AK13" i="23" s="1"/>
  <c r="C9" i="21"/>
  <c r="B10" i="23" s="1"/>
  <c r="H9" i="21"/>
  <c r="V10" i="23" s="1"/>
  <c r="Z9" i="21"/>
  <c r="C10" i="21"/>
  <c r="B11" i="23" s="1"/>
  <c r="H10" i="21"/>
  <c r="V11" i="23" s="1"/>
  <c r="Z10" i="21"/>
  <c r="E11" i="21"/>
  <c r="G12" i="23" s="1"/>
  <c r="C12" i="21"/>
  <c r="B13" i="23" s="1"/>
  <c r="H12" i="21"/>
  <c r="V13" i="23" s="1"/>
  <c r="Z12" i="21"/>
  <c r="E13" i="21"/>
  <c r="G14" i="23" s="1"/>
  <c r="F9" i="21"/>
  <c r="L10" i="23" s="1"/>
  <c r="F10" i="21"/>
  <c r="L11" i="23" s="1"/>
  <c r="F11" i="21"/>
  <c r="L12" i="23" s="1"/>
  <c r="F12" i="21"/>
  <c r="L13" i="23" s="1"/>
  <c r="F13" i="21"/>
  <c r="L14" i="23" s="1"/>
  <c r="S9" i="21"/>
  <c r="E23" i="21" s="1"/>
  <c r="S11" i="21"/>
  <c r="K11" i="21"/>
  <c r="AK12" i="23" s="1"/>
  <c r="U11" i="21"/>
  <c r="AU12" i="23" s="1"/>
  <c r="P11" i="21"/>
  <c r="J11" i="21"/>
  <c r="AF12" i="23" s="1"/>
  <c r="T11" i="21"/>
  <c r="N11" i="21"/>
  <c r="M11" i="21"/>
  <c r="U13" i="21"/>
  <c r="AU14" i="23" s="1"/>
  <c r="Q13" i="21"/>
  <c r="M13" i="21"/>
  <c r="T13" i="21"/>
  <c r="J13" i="21"/>
  <c r="AF14" i="23" s="1"/>
  <c r="S13" i="21"/>
  <c r="N13" i="21"/>
  <c r="N9" i="21"/>
  <c r="Q11" i="21"/>
  <c r="P13" i="21"/>
  <c r="P9" i="21"/>
  <c r="T9" i="21" s="1"/>
  <c r="R11" i="21"/>
  <c r="T12" i="21"/>
  <c r="P12" i="21"/>
  <c r="U12" i="21"/>
  <c r="AU13" i="23" s="1"/>
  <c r="J12" i="21"/>
  <c r="AF13" i="23" s="1"/>
  <c r="S12" i="21"/>
  <c r="N12" i="21"/>
  <c r="M12" i="21"/>
  <c r="R13" i="21"/>
  <c r="R9" i="21"/>
  <c r="K9" i="21"/>
  <c r="AK10" i="23" s="1"/>
  <c r="Q9" i="21"/>
  <c r="E21" i="21" s="1"/>
  <c r="V11" i="21"/>
  <c r="K13" i="21"/>
  <c r="AK14" i="23" s="1"/>
  <c r="V13" i="21"/>
  <c r="J10" i="21"/>
  <c r="AF11" i="23" s="1"/>
  <c r="N10" i="21"/>
  <c r="R10" i="21"/>
  <c r="V10" i="21"/>
  <c r="AE8" i="21" l="1"/>
  <c r="L3" i="21" s="1"/>
  <c r="AP42" i="23"/>
  <c r="W160" i="23" s="1"/>
  <c r="E12" i="3"/>
  <c r="D11" i="3"/>
  <c r="F10" i="3"/>
  <c r="G13" i="3"/>
  <c r="C10" i="3"/>
  <c r="D13" i="3"/>
  <c r="F12" i="3"/>
  <c r="C12" i="3"/>
  <c r="E11" i="3"/>
  <c r="C9" i="3"/>
  <c r="G11" i="3"/>
  <c r="M22" i="21"/>
  <c r="H45" i="23"/>
  <c r="F9" i="3"/>
  <c r="G9" i="3"/>
  <c r="G10" i="3"/>
  <c r="D9" i="3"/>
  <c r="D10" i="3"/>
  <c r="E13" i="3"/>
  <c r="G12" i="3"/>
  <c r="D12" i="3"/>
  <c r="N98" i="23"/>
  <c r="C95" i="23" s="1"/>
  <c r="H43" i="23"/>
  <c r="H97" i="23" s="1"/>
  <c r="F11" i="3"/>
  <c r="C11" i="3"/>
  <c r="E9" i="3"/>
  <c r="E10" i="3"/>
  <c r="F13" i="3"/>
  <c r="C13" i="3"/>
  <c r="Q24" i="21"/>
  <c r="O46" i="23"/>
  <c r="G18" i="21"/>
  <c r="J18" i="21" s="1"/>
  <c r="J9" i="21"/>
  <c r="O43" i="23"/>
  <c r="M20" i="21"/>
  <c r="R85" i="23" s="1"/>
  <c r="H3" i="21"/>
  <c r="I3" i="21"/>
  <c r="E30" i="21" s="1"/>
  <c r="G30" i="21" s="1"/>
  <c r="AH46" i="23" l="1"/>
  <c r="S161" i="23" s="1"/>
  <c r="U24" i="21"/>
  <c r="I19" i="21"/>
  <c r="Q67" i="23" s="1"/>
  <c r="AH67" i="23" s="1"/>
  <c r="H19" i="21"/>
  <c r="AA64" i="23" s="1"/>
  <c r="U66" i="23" s="1"/>
  <c r="G19" i="21"/>
  <c r="E19" i="21"/>
  <c r="H41" i="23" s="1"/>
  <c r="H65" i="23" s="1"/>
  <c r="E18" i="21"/>
  <c r="H40" i="23" s="1"/>
  <c r="H53" i="23" s="1"/>
  <c r="E22" i="21"/>
  <c r="E20" i="21"/>
  <c r="Q54" i="23"/>
  <c r="Q55" i="23" s="1"/>
  <c r="W55" i="23" s="1"/>
  <c r="O60" i="23" s="1"/>
  <c r="V60" i="23" s="1"/>
  <c r="S98" i="23"/>
  <c r="S103" i="23" s="1"/>
  <c r="Y66" i="23"/>
  <c r="M9" i="21"/>
  <c r="U9" i="21" s="1"/>
  <c r="AU10" i="23" s="1"/>
  <c r="AF10" i="23"/>
  <c r="S115" i="23"/>
  <c r="H127" i="23"/>
  <c r="X64" i="23"/>
  <c r="R66" i="23" s="1"/>
  <c r="N21" i="21"/>
  <c r="Z101" i="23" s="1"/>
  <c r="N20" i="21"/>
  <c r="N22" i="21"/>
  <c r="N23" i="21"/>
  <c r="AA131" i="23" s="1"/>
  <c r="N47" i="21" l="1"/>
  <c r="O47" i="21" s="1"/>
  <c r="A48" i="13" s="1"/>
  <c r="J19" i="21"/>
  <c r="O152" i="23"/>
  <c r="AH66" i="23"/>
  <c r="AN66" i="23" s="1"/>
  <c r="AT66" i="23" s="1"/>
  <c r="O71" i="23" s="1"/>
  <c r="V71" i="23" s="1"/>
  <c r="O22" i="21"/>
  <c r="W115" i="23"/>
  <c r="AC115" i="23" s="1"/>
  <c r="L117" i="23" s="1"/>
  <c r="AA117" i="23" s="1"/>
  <c r="O20" i="21"/>
  <c r="V85" i="23"/>
  <c r="AB85" i="23" s="1"/>
  <c r="Q18" i="21"/>
  <c r="T18" i="21" s="1"/>
  <c r="O40" i="23"/>
  <c r="M23" i="21"/>
  <c r="O23" i="21" s="1"/>
  <c r="H44" i="23"/>
  <c r="M21" i="21"/>
  <c r="O21" i="21" s="1"/>
  <c r="H42" i="23"/>
  <c r="E25" i="21"/>
  <c r="H47" i="23" s="1"/>
  <c r="AH40" i="23" l="1"/>
  <c r="F151" i="23" s="1"/>
  <c r="V18" i="21"/>
  <c r="Q20" i="21"/>
  <c r="T20" i="21" s="1"/>
  <c r="AA42" i="23"/>
  <c r="L87" i="23"/>
  <c r="AA87" i="23" s="1"/>
  <c r="Q19" i="21"/>
  <c r="Q25" i="21" s="1"/>
  <c r="AH47" i="23" s="1"/>
  <c r="O41" i="23"/>
  <c r="Q22" i="21"/>
  <c r="T22" i="21" s="1"/>
  <c r="AA44" i="23"/>
  <c r="Q21" i="21"/>
  <c r="T21" i="21" s="1"/>
  <c r="AA43" i="23"/>
  <c r="Q23" i="21"/>
  <c r="T23" i="21" s="1"/>
  <c r="AA45" i="23"/>
  <c r="T25" i="21" l="1"/>
  <c r="S25" i="21" s="1"/>
  <c r="U20" i="21"/>
  <c r="U23" i="21"/>
  <c r="AH41" i="23"/>
  <c r="M151" i="23" s="1"/>
  <c r="V19" i="21"/>
  <c r="M159" i="23"/>
  <c r="AH44" i="23"/>
  <c r="AH151" i="23" s="1"/>
  <c r="U22" i="21"/>
  <c r="AH43" i="23"/>
  <c r="U21" i="21"/>
  <c r="AH42" i="23"/>
  <c r="AH45" i="23"/>
  <c r="V25" i="21" l="1"/>
  <c r="F34" i="21" s="1"/>
  <c r="C40" i="21"/>
  <c r="C41" i="21"/>
  <c r="C38" i="21"/>
  <c r="C39" i="21"/>
  <c r="C36" i="21"/>
  <c r="C37" i="21"/>
  <c r="C35" i="21"/>
  <c r="AP47" i="23"/>
  <c r="U25" i="21"/>
  <c r="E34" i="21" s="1"/>
  <c r="G34" i="21" s="1"/>
  <c r="AG159" i="23"/>
  <c r="R159" i="23"/>
  <c r="W159" i="23"/>
  <c r="T151" i="23"/>
  <c r="E35" i="21" l="1"/>
  <c r="F36" i="21"/>
  <c r="F38" i="21" s="1"/>
  <c r="E36" i="21"/>
  <c r="E38" i="21" s="1"/>
  <c r="G35" i="21" l="1"/>
  <c r="E39" i="21" s="1"/>
  <c r="E40" i="21" s="1"/>
  <c r="H15" i="32" s="1"/>
  <c r="G38" i="21"/>
  <c r="V9" i="21"/>
  <c r="C29" i="21" l="1"/>
  <c r="G29" i="21" s="1"/>
  <c r="H29" i="21" s="1"/>
  <c r="F15" i="11"/>
  <c r="G15" i="24"/>
  <c r="I175" i="23"/>
  <c r="L13" i="32"/>
  <c r="J29" i="21" l="1"/>
  <c r="R29" i="21"/>
  <c r="A50" i="13"/>
  <c r="H4" i="3"/>
  <c r="E4" i="3"/>
  <c r="C4" i="3"/>
  <c r="H3" i="3"/>
  <c r="E3" i="3"/>
  <c r="C3" i="3"/>
  <c r="M29" i="21" l="1"/>
  <c r="O29" i="21" s="1"/>
  <c r="K3" i="21"/>
  <c r="C43" i="13" s="1"/>
  <c r="E16" i="24"/>
  <c r="F15" i="24"/>
  <c r="B8" i="3"/>
  <c r="B13" i="3"/>
  <c r="B9" i="3"/>
  <c r="B10" i="3"/>
  <c r="B11" i="3"/>
  <c r="B12" i="3"/>
  <c r="K29" i="21" l="1"/>
  <c r="P29" i="21" s="1"/>
  <c r="AB12" i="21" s="1"/>
  <c r="N29" i="21"/>
  <c r="H9" i="30"/>
  <c r="AD13" i="21" l="1"/>
  <c r="AD10" i="21"/>
  <c r="AA9" i="21"/>
  <c r="F13" i="32" s="1"/>
  <c r="AC9" i="21"/>
  <c r="K13" i="32" s="1"/>
  <c r="AA12" i="21"/>
  <c r="AB13" i="21"/>
  <c r="AD11" i="21"/>
  <c r="AA10" i="21"/>
  <c r="AA11" i="21"/>
  <c r="AD9" i="21"/>
  <c r="H13" i="32" s="1"/>
  <c r="AD12" i="21"/>
  <c r="AC13" i="21"/>
  <c r="AC12" i="21"/>
  <c r="AC10" i="21"/>
  <c r="AC11" i="21"/>
  <c r="AA13" i="21"/>
  <c r="AB10" i="21"/>
  <c r="AB9" i="21"/>
  <c r="J13" i="32" s="1"/>
  <c r="AB11" i="21"/>
  <c r="T29" i="21"/>
  <c r="S29" i="21"/>
  <c r="C9" i="25"/>
  <c r="C8" i="25"/>
  <c r="C7" i="25"/>
  <c r="C6" i="25"/>
  <c r="E14" i="11" l="1"/>
  <c r="E14" i="24"/>
  <c r="F14" i="11"/>
  <c r="F14" i="24"/>
  <c r="AF10" i="21"/>
  <c r="AF13" i="21"/>
  <c r="AF9" i="21"/>
  <c r="Q13" i="32" s="1"/>
  <c r="AF11" i="21"/>
  <c r="AF12" i="21"/>
  <c r="G14" i="24"/>
  <c r="G14" i="11"/>
  <c r="U29" i="21"/>
  <c r="G9" i="30"/>
  <c r="F9" i="30" l="1"/>
  <c r="E9" i="30"/>
  <c r="E9" i="24"/>
  <c r="E8" i="24"/>
  <c r="E7" i="24"/>
  <c r="E6" i="24"/>
  <c r="A4" i="24"/>
  <c r="E9" i="11" l="1"/>
  <c r="E8" i="11"/>
  <c r="E7" i="11"/>
  <c r="E6" i="11"/>
  <c r="A4" i="11" l="1"/>
  <c r="S131" i="23" l="1"/>
  <c r="AG131" i="23" s="1"/>
  <c r="L133" i="23" s="1"/>
  <c r="Y133" i="23" s="1"/>
  <c r="H109" i="23"/>
  <c r="H76" i="23"/>
  <c r="R101" i="23"/>
  <c r="AF101" i="23" s="1"/>
  <c r="L103" i="23" s="1"/>
  <c r="Y103" i="23" s="1"/>
  <c r="N161" i="23" l="1"/>
  <c r="H152" i="23"/>
  <c r="AA151" i="23"/>
  <c r="AB159" i="23"/>
  <c r="F153" i="23" l="1"/>
  <c r="F155" i="23" s="1"/>
  <c r="M175" i="23" s="1"/>
  <c r="L158" i="23"/>
  <c r="AM158" i="23" l="1"/>
  <c r="S175" i="23"/>
  <c r="X175" i="23" s="1"/>
</calcChain>
</file>

<file path=xl/sharedStrings.xml><?xml version="1.0" encoding="utf-8"?>
<sst xmlns="http://schemas.openxmlformats.org/spreadsheetml/2006/main" count="672" uniqueCount="537">
  <si>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3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</si>
  <si>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3" type="noConversion"/>
  </si>
  <si>
    <t>등록번호</t>
    <phoneticPr fontId="3" type="noConversion"/>
  </si>
  <si>
    <r>
      <rPr>
        <sz val="8"/>
        <rFont val="맑은 고딕"/>
        <family val="3"/>
        <charset val="129"/>
      </rPr>
      <t>접수번호</t>
    </r>
    <phoneticPr fontId="3" type="noConversion"/>
  </si>
  <si>
    <r>
      <rPr>
        <sz val="8"/>
        <rFont val="맑은 고딕"/>
        <family val="3"/>
        <charset val="129"/>
      </rPr>
      <t>의뢰기관</t>
    </r>
    <phoneticPr fontId="3" type="noConversion"/>
  </si>
  <si>
    <r>
      <rPr>
        <sz val="8"/>
        <rFont val="맑은 고딕"/>
        <family val="3"/>
        <charset val="129"/>
      </rPr>
      <t>교정일자</t>
    </r>
    <phoneticPr fontId="3" type="noConversion"/>
  </si>
  <si>
    <r>
      <rPr>
        <sz val="8"/>
        <rFont val="맑은 고딕"/>
        <family val="3"/>
        <charset val="129"/>
      </rPr>
      <t>기기명</t>
    </r>
    <phoneticPr fontId="3" type="noConversion"/>
  </si>
  <si>
    <t>교정절차서1</t>
    <phoneticPr fontId="3" type="noConversion"/>
  </si>
  <si>
    <r>
      <rPr>
        <sz val="8"/>
        <rFont val="맑은 고딕"/>
        <family val="3"/>
        <charset val="129"/>
      </rPr>
      <t>제작회사</t>
    </r>
    <phoneticPr fontId="3" type="noConversion"/>
  </si>
  <si>
    <t>교정절차서2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</si>
  <si>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</si>
  <si>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접수확인자</t>
    <phoneticPr fontId="3" type="noConversion"/>
  </si>
  <si>
    <r>
      <rPr>
        <sz val="8"/>
        <rFont val="맑은 고딕"/>
        <family val="3"/>
        <charset val="129"/>
      </rPr>
      <t>기기번호</t>
    </r>
    <phoneticPr fontId="3" type="noConversion"/>
  </si>
  <si>
    <t>인증교정자</t>
    <phoneticPr fontId="3" type="noConversion"/>
  </si>
  <si>
    <t>기술책임자</t>
    <phoneticPr fontId="3" type="noConversion"/>
  </si>
  <si>
    <r>
      <rPr>
        <sz val="8"/>
        <rFont val="맑은 고딕"/>
        <family val="3"/>
        <charset val="129"/>
      </rPr>
      <t>교정주기</t>
    </r>
    <phoneticPr fontId="3" type="noConversion"/>
  </si>
  <si>
    <r>
      <t>KOLAS</t>
    </r>
    <r>
      <rPr>
        <sz val="8"/>
        <rFont val="맑은 고딕"/>
        <family val="3"/>
        <charset val="129"/>
      </rPr>
      <t>유무</t>
    </r>
    <phoneticPr fontId="3" type="noConversion"/>
  </si>
  <si>
    <t>1: KOLAS 성적서
0: 비공인성적서</t>
    <phoneticPr fontId="3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</si>
  <si>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</si>
  <si>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최저온도</t>
    </r>
    <phoneticPr fontId="3" type="noConversion"/>
  </si>
  <si>
    <t>최저습도</t>
    <phoneticPr fontId="3" type="noConversion"/>
  </si>
  <si>
    <t>최저기압</t>
    <phoneticPr fontId="3" type="noConversion"/>
  </si>
  <si>
    <t>교정장소</t>
    <phoneticPr fontId="3" type="noConversion"/>
  </si>
  <si>
    <t>0: KC00-011 고정표준실
1: 현장교정
4: KC10-244 고정표준실</t>
    <phoneticPr fontId="3" type="noConversion"/>
  </si>
  <si>
    <r>
      <rPr>
        <sz val="8"/>
        <rFont val="맑은 고딕"/>
        <family val="3"/>
        <charset val="129"/>
      </rPr>
      <t>최고온도</t>
    </r>
    <phoneticPr fontId="3" type="noConversion"/>
  </si>
  <si>
    <r>
      <rPr>
        <sz val="8"/>
        <rFont val="맑은 고딕"/>
        <family val="3"/>
        <charset val="129"/>
      </rPr>
      <t>최고습도</t>
    </r>
    <phoneticPr fontId="3" type="noConversion"/>
  </si>
  <si>
    <t>최고기압</t>
    <phoneticPr fontId="3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</si>
  <si>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3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</si>
  <si>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</si>
  <si>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등록번호</t>
    </r>
    <phoneticPr fontId="3" type="noConversion"/>
  </si>
  <si>
    <t>기기명</t>
    <phoneticPr fontId="3" type="noConversion"/>
  </si>
  <si>
    <t>제작회사</t>
    <phoneticPr fontId="3" type="noConversion"/>
  </si>
  <si>
    <t>기기번호</t>
    <phoneticPr fontId="3" type="noConversion"/>
  </si>
  <si>
    <t>차기교정예정일자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</si>
  <si>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</si>
  <si>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>세부분류코드</t>
    <phoneticPr fontId="3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</si>
  <si>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3" type="noConversion"/>
  </si>
  <si>
    <t>전체</t>
    <phoneticPr fontId="3" type="noConversion"/>
  </si>
  <si>
    <t>특이사항</t>
    <phoneticPr fontId="3" type="noConversion"/>
  </si>
  <si>
    <t>PASS</t>
    <phoneticPr fontId="3" type="noConversion"/>
  </si>
  <si>
    <t>FIAL</t>
    <phoneticPr fontId="3" type="noConversion"/>
  </si>
  <si>
    <t>교정자 확인</t>
    <phoneticPr fontId="3" type="noConversion"/>
  </si>
  <si>
    <t>확인전</t>
  </si>
  <si>
    <t>CONDITION</t>
    <phoneticPr fontId="3" type="noConversion"/>
  </si>
  <si>
    <t>SPEC</t>
    <phoneticPr fontId="3" type="noConversion"/>
  </si>
  <si>
    <t>MEASURED VALUE</t>
    <phoneticPr fontId="3" type="noConversion"/>
  </si>
  <si>
    <t>MIN</t>
    <phoneticPr fontId="3" type="noConversion"/>
  </si>
  <si>
    <t>MAX</t>
    <phoneticPr fontId="3" type="noConversion"/>
  </si>
  <si>
    <t>UNIT</t>
    <phoneticPr fontId="3" type="noConversion"/>
  </si>
  <si>
    <t>CMC_UNIT</t>
    <phoneticPr fontId="3" type="noConversion"/>
  </si>
  <si>
    <t>CMC 검토</t>
    <phoneticPr fontId="3" type="noConversion"/>
  </si>
  <si>
    <t>자유도</t>
  </si>
  <si>
    <t>∞</t>
  </si>
  <si>
    <t>CMC_1</t>
    <phoneticPr fontId="3" type="noConversion"/>
  </si>
  <si>
    <t>CMC_2</t>
  </si>
  <si>
    <t xml:space="preserve"> 성적서발급번호(Certificate No) :</t>
    <phoneticPr fontId="3" type="noConversion"/>
  </si>
  <si>
    <t>CALIBRATION Result</t>
    <phoneticPr fontId="3" type="noConversion"/>
  </si>
  <si>
    <t>부록</t>
    <phoneticPr fontId="3" type="noConversion"/>
  </si>
  <si>
    <t>단위</t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</si>
  <si>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3" type="noConversion"/>
  </si>
  <si>
    <t>CMC</t>
    <phoneticPr fontId="3" type="noConversion"/>
  </si>
  <si>
    <t>1st</t>
    <phoneticPr fontId="3" type="noConversion"/>
  </si>
  <si>
    <t>2nd</t>
    <phoneticPr fontId="3" type="noConversion"/>
  </si>
  <si>
    <t>등록번호</t>
    <phoneticPr fontId="75" type="noConversion"/>
  </si>
  <si>
    <t>기기명(종류)</t>
    <phoneticPr fontId="75" type="noConversion"/>
  </si>
  <si>
    <t>측정값</t>
    <phoneticPr fontId="75" type="noConversion"/>
  </si>
  <si>
    <t>단위</t>
    <phoneticPr fontId="75" type="noConversion"/>
  </si>
  <si>
    <t>보정값</t>
    <phoneticPr fontId="75" type="noConversion"/>
  </si>
  <si>
    <t>불확도 1</t>
    <phoneticPr fontId="75" type="noConversion"/>
  </si>
  <si>
    <t>불확도 단위</t>
    <phoneticPr fontId="75" type="noConversion"/>
  </si>
  <si>
    <t>포함인자</t>
    <phoneticPr fontId="75" type="noConversion"/>
  </si>
  <si>
    <t>판정결과</t>
    <phoneticPr fontId="3" type="noConversion"/>
  </si>
  <si>
    <t>2회</t>
  </si>
  <si>
    <t>3회</t>
  </si>
  <si>
    <t>|</t>
    <phoneticPr fontId="3" type="noConversion"/>
  </si>
  <si>
    <t>×</t>
    <phoneticPr fontId="3" type="noConversion"/>
  </si>
  <si>
    <t>+</t>
    <phoneticPr fontId="3" type="noConversion"/>
  </si>
  <si>
    <t>1회</t>
    <phoneticPr fontId="3" type="noConversion"/>
  </si>
  <si>
    <t xml:space="preserve"> 성적서발급번호(Certificate No) :</t>
    <phoneticPr fontId="3" type="noConversion"/>
  </si>
  <si>
    <t>교정번호</t>
    <phoneticPr fontId="3" type="noConversion"/>
  </si>
  <si>
    <t>교정일자</t>
    <phoneticPr fontId="3" type="noConversion"/>
  </si>
  <si>
    <t>○ 측정데이터</t>
    <phoneticPr fontId="3" type="noConversion"/>
  </si>
  <si>
    <t>교정자</t>
    <phoneticPr fontId="3" type="noConversion"/>
  </si>
  <si>
    <t>Spec</t>
    <phoneticPr fontId="3" type="noConversion"/>
  </si>
  <si>
    <t>교정값</t>
    <phoneticPr fontId="3" type="noConversion"/>
  </si>
  <si>
    <t>Decision</t>
    <phoneticPr fontId="3" type="noConversion"/>
  </si>
  <si>
    <t>[Length Calibration]</t>
    <phoneticPr fontId="3" type="noConversion"/>
  </si>
  <si>
    <t>3rd</t>
    <phoneticPr fontId="3" type="noConversion"/>
  </si>
  <si>
    <t>4th</t>
    <phoneticPr fontId="3" type="noConversion"/>
  </si>
  <si>
    <t>5th</t>
    <phoneticPr fontId="3" type="noConversion"/>
  </si>
  <si>
    <t>기준기 교정데이터</t>
    <phoneticPr fontId="3" type="noConversion"/>
  </si>
  <si>
    <t>번호</t>
    <phoneticPr fontId="75" type="noConversion"/>
  </si>
  <si>
    <t>명목값</t>
    <phoneticPr fontId="75" type="noConversion"/>
  </si>
  <si>
    <t>기준값</t>
    <phoneticPr fontId="75" type="noConversion"/>
  </si>
  <si>
    <t>불확도 2</t>
  </si>
  <si>
    <t>비고</t>
    <phoneticPr fontId="3" type="noConversion"/>
  </si>
  <si>
    <t>교정일자</t>
    <phoneticPr fontId="75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</si>
  <si>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</si>
  <si>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</si>
  <si>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</si>
  <si>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</si>
  <si>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</si>
  <si>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4회</t>
  </si>
  <si>
    <t>5회</t>
  </si>
  <si>
    <t>×</t>
  </si>
  <si>
    <t>사용중지?</t>
  </si>
  <si>
    <t>COID</t>
    <phoneticPr fontId="3" type="noConversion"/>
  </si>
  <si>
    <r>
      <t>U+</t>
    </r>
    <r>
      <rPr>
        <sz val="9"/>
        <rFont val="돋움"/>
        <family val="3"/>
        <charset val="129"/>
      </rPr>
      <t>α</t>
    </r>
    <phoneticPr fontId="3" type="noConversion"/>
  </si>
  <si>
    <t>호칭</t>
    <phoneticPr fontId="3" type="noConversion"/>
  </si>
  <si>
    <t>평행도</t>
    <phoneticPr fontId="3" type="noConversion"/>
  </si>
  <si>
    <t>(μm)</t>
    <phoneticPr fontId="3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</si>
  <si>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</si>
  <si>
    <t>=</t>
  </si>
  <si>
    <t>+</t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</si>
  <si>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</si>
  <si>
    <t>μm</t>
  </si>
  <si>
    <t>fees</t>
    <phoneticPr fontId="3" type="noConversion"/>
  </si>
  <si>
    <t>P/F</t>
    <phoneticPr fontId="3" type="noConversion"/>
  </si>
  <si>
    <t>명목값</t>
    <phoneticPr fontId="3" type="noConversion"/>
  </si>
  <si>
    <t>Resolution</t>
    <phoneticPr fontId="3" type="noConversion"/>
  </si>
  <si>
    <t>Display</t>
    <phoneticPr fontId="3" type="noConversion"/>
  </si>
  <si>
    <t>Division</t>
    <phoneticPr fontId="3" type="noConversion"/>
  </si>
  <si>
    <t>Resolution</t>
    <phoneticPr fontId="3" type="noConversion"/>
  </si>
  <si>
    <t>Unit</t>
    <phoneticPr fontId="3" type="noConversion"/>
  </si>
  <si>
    <t>분해능</t>
    <phoneticPr fontId="75" type="noConversion"/>
  </si>
  <si>
    <t>1. 교정결과</t>
    <phoneticPr fontId="3" type="noConversion"/>
  </si>
  <si>
    <t>Calibration Value</t>
    <phoneticPr fontId="3" type="noConversion"/>
  </si>
  <si>
    <t>Nominal Value</t>
    <phoneticPr fontId="3" type="noConversion"/>
  </si>
  <si>
    <t>1. Thickness Calibration Result</t>
    <phoneticPr fontId="3" type="noConversion"/>
  </si>
  <si>
    <t>● 교정결과</t>
    <phoneticPr fontId="3" type="noConversion"/>
  </si>
  <si>
    <t>평균값
(μm)</t>
    <phoneticPr fontId="3" type="noConversion"/>
  </si>
  <si>
    <t>등록번호</t>
    <phoneticPr fontId="3" type="noConversion"/>
  </si>
  <si>
    <t>명목값</t>
    <phoneticPr fontId="3" type="noConversion"/>
  </si>
  <si>
    <t>단위</t>
    <phoneticPr fontId="3" type="noConversion"/>
  </si>
  <si>
    <t>교정값</t>
    <phoneticPr fontId="3" type="noConversion"/>
  </si>
  <si>
    <t>측정불확도</t>
    <phoneticPr fontId="3" type="noConversion"/>
  </si>
  <si>
    <t>측정불확도</t>
    <phoneticPr fontId="3" type="noConversion"/>
  </si>
  <si>
    <t>단위</t>
    <phoneticPr fontId="3" type="noConversion"/>
  </si>
  <si>
    <t>k</t>
    <phoneticPr fontId="3" type="noConversion"/>
  </si>
  <si>
    <t>0점블록</t>
    <phoneticPr fontId="3" type="noConversion"/>
  </si>
  <si>
    <t>사용블록 #1</t>
    <phoneticPr fontId="3" type="noConversion"/>
  </si>
  <si>
    <t>사용블록 #2</t>
  </si>
  <si>
    <t>사용블록 #3</t>
  </si>
  <si>
    <t>사용블록 #4</t>
  </si>
  <si>
    <t>0점블록교정값</t>
    <phoneticPr fontId="3" type="noConversion"/>
  </si>
  <si>
    <t>블록교정값 #1</t>
    <phoneticPr fontId="3" type="noConversion"/>
  </si>
  <si>
    <t>블록교정값 #2</t>
  </si>
  <si>
    <t>블록교정값 #3</t>
  </si>
  <si>
    <t>블록교정값 #4</t>
  </si>
  <si>
    <t>열팽창계수</t>
    <phoneticPr fontId="3" type="noConversion"/>
  </si>
  <si>
    <t>α_avr</t>
  </si>
  <si>
    <t>Δt</t>
  </si>
  <si>
    <t>Δα</t>
  </si>
  <si>
    <t>t_avr-20</t>
  </si>
  <si>
    <t>δt</t>
  </si>
  <si>
    <t>mm</t>
    <phoneticPr fontId="3" type="noConversion"/>
  </si>
  <si>
    <t>성적서</t>
    <phoneticPr fontId="3" type="noConversion"/>
  </si>
  <si>
    <t>기기명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</si>
  <si>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</si>
  <si>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:</t>
    <phoneticPr fontId="3" type="noConversion"/>
  </si>
  <si>
    <t>δt</t>
    <phoneticPr fontId="3" type="noConversion"/>
  </si>
  <si>
    <t>nm</t>
    <phoneticPr fontId="3" type="noConversion"/>
  </si>
  <si>
    <t>※ 표준불확도 성분은 우연효과로 인한 불확도로써 A형 평가를 통하여 구한다.</t>
    <phoneticPr fontId="3" type="noConversion"/>
  </si>
  <si>
    <t>B4. 감도계수 :</t>
    <phoneticPr fontId="3" type="noConversion"/>
  </si>
  <si>
    <t>B5. 불확도 기여도 :</t>
    <phoneticPr fontId="3" type="noConversion"/>
  </si>
  <si>
    <t>최대범위</t>
    <phoneticPr fontId="3" type="noConversion"/>
  </si>
  <si>
    <t>호칭치수</t>
    <phoneticPr fontId="3" type="noConversion"/>
  </si>
  <si>
    <t>(mm)</t>
    <phoneticPr fontId="3" type="noConversion"/>
  </si>
  <si>
    <t>측정불확도</t>
    <phoneticPr fontId="3" type="noConversion"/>
  </si>
  <si>
    <t>1. 교정조건</t>
    <phoneticPr fontId="3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</si>
  <si>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3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</si>
  <si>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</si>
  <si>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t>CMC단위</t>
    <phoneticPr fontId="3" type="noConversion"/>
  </si>
  <si>
    <t>최소범위</t>
    <phoneticPr fontId="3" type="noConversion"/>
  </si>
  <si>
    <t>단위</t>
    <phoneticPr fontId="3" type="noConversion"/>
  </si>
  <si>
    <t>2. 교정결과</t>
    <phoneticPr fontId="3" type="noConversion"/>
  </si>
  <si>
    <t>4. 성적서용</t>
    <phoneticPr fontId="3" type="noConversion"/>
  </si>
  <si>
    <t>사용?</t>
    <phoneticPr fontId="3" type="noConversion"/>
  </si>
  <si>
    <t>명목값</t>
    <phoneticPr fontId="3" type="noConversion"/>
  </si>
  <si>
    <t>기준기교정값</t>
    <phoneticPr fontId="3" type="noConversion"/>
  </si>
  <si>
    <t>지시값평균</t>
    <phoneticPr fontId="3" type="noConversion"/>
  </si>
  <si>
    <t>열팽창계수</t>
    <phoneticPr fontId="3" type="noConversion"/>
  </si>
  <si>
    <t>온도차</t>
    <phoneticPr fontId="3" type="noConversion"/>
  </si>
  <si>
    <t>열팽창계수차</t>
    <phoneticPr fontId="3" type="noConversion"/>
  </si>
  <si>
    <t>t_avr-20</t>
    <phoneticPr fontId="3" type="noConversion"/>
  </si>
  <si>
    <t>열팽창보정</t>
    <phoneticPr fontId="3" type="noConversion"/>
  </si>
  <si>
    <t>교정값</t>
    <phoneticPr fontId="3" type="noConversion"/>
  </si>
  <si>
    <t>자리수 맞춤</t>
    <phoneticPr fontId="3" type="noConversion"/>
  </si>
  <si>
    <t>Spec</t>
    <phoneticPr fontId="3" type="noConversion"/>
  </si>
  <si>
    <t>Pass/Fail</t>
    <phoneticPr fontId="3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</si>
  <si>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3" type="noConversion"/>
  </si>
  <si>
    <t>1회</t>
    <phoneticPr fontId="3" type="noConversion"/>
  </si>
  <si>
    <t>2회</t>
    <phoneticPr fontId="3" type="noConversion"/>
  </si>
  <si>
    <t>평균</t>
    <phoneticPr fontId="3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</si>
  <si>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</si>
  <si>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t>d</t>
    <phoneticPr fontId="3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</si>
  <si>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3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</si>
  <si>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</si>
  <si>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t>α_avr</t>
    <phoneticPr fontId="3" type="noConversion"/>
  </si>
  <si>
    <t>Δt</t>
    <phoneticPr fontId="3" type="noConversion"/>
  </si>
  <si>
    <t>Δα</t>
    <phoneticPr fontId="3" type="noConversion"/>
  </si>
  <si>
    <t>δt</t>
    <phoneticPr fontId="3" type="noConversion"/>
  </si>
  <si>
    <t>Δl</t>
    <phoneticPr fontId="3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</si>
  <si>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3" type="noConversion"/>
  </si>
  <si>
    <t>Min</t>
    <phoneticPr fontId="3" type="noConversion"/>
  </si>
  <si>
    <t>Max</t>
    <phoneticPr fontId="3" type="noConversion"/>
  </si>
  <si>
    <t>3. 불확도 계산</t>
    <phoneticPr fontId="3" type="noConversion"/>
  </si>
  <si>
    <t>요인</t>
    <phoneticPr fontId="3" type="noConversion"/>
  </si>
  <si>
    <t>입력량</t>
    <phoneticPr fontId="3" type="noConversion"/>
  </si>
  <si>
    <t>추정값</t>
    <phoneticPr fontId="3" type="noConversion"/>
  </si>
  <si>
    <t>단위</t>
    <phoneticPr fontId="3" type="noConversion"/>
  </si>
  <si>
    <t>요인(값)</t>
    <phoneticPr fontId="3" type="noConversion"/>
  </si>
  <si>
    <t>표준불확도</t>
    <phoneticPr fontId="3" type="noConversion"/>
  </si>
  <si>
    <t>확률분포</t>
    <phoneticPr fontId="3" type="noConversion"/>
  </si>
  <si>
    <t>감도계수</t>
    <phoneticPr fontId="3" type="noConversion"/>
  </si>
  <si>
    <t>불확도기여량</t>
    <phoneticPr fontId="3" type="noConversion"/>
  </si>
  <si>
    <t>자유도</t>
    <phoneticPr fontId="3" type="noConversion"/>
  </si>
  <si>
    <t>A</t>
    <phoneticPr fontId="3" type="noConversion"/>
  </si>
  <si>
    <t>우연</t>
    <phoneticPr fontId="3" type="noConversion"/>
  </si>
  <si>
    <t>d</t>
    <phoneticPr fontId="3" type="noConversion"/>
  </si>
  <si>
    <t>mm</t>
    <phoneticPr fontId="3" type="noConversion"/>
  </si>
  <si>
    <t>μm</t>
    <phoneticPr fontId="3" type="noConversion"/>
  </si>
  <si>
    <t>t</t>
    <phoneticPr fontId="3" type="noConversion"/>
  </si>
  <si>
    <t>μm</t>
    <phoneticPr fontId="3" type="noConversion"/>
  </si>
  <si>
    <t>B</t>
    <phoneticPr fontId="3" type="noConversion"/>
  </si>
  <si>
    <t>기준기</t>
    <phoneticPr fontId="3" type="noConversion"/>
  </si>
  <si>
    <t>정규</t>
    <phoneticPr fontId="3" type="noConversion"/>
  </si>
  <si>
    <t>∞</t>
    <phoneticPr fontId="3" type="noConversion"/>
  </si>
  <si>
    <t>C</t>
    <phoneticPr fontId="3" type="noConversion"/>
  </si>
  <si>
    <t>평균열팽창계수</t>
    <phoneticPr fontId="3" type="noConversion"/>
  </si>
  <si>
    <t>/℃</t>
    <phoneticPr fontId="3" type="noConversion"/>
  </si>
  <si>
    <t>/℃</t>
    <phoneticPr fontId="3" type="noConversion"/>
  </si>
  <si>
    <t>삼각형</t>
    <phoneticPr fontId="3" type="noConversion"/>
  </si>
  <si>
    <t>℃·μm</t>
    <phoneticPr fontId="3" type="noConversion"/>
  </si>
  <si>
    <t>D</t>
    <phoneticPr fontId="3" type="noConversion"/>
  </si>
  <si>
    <t>온도차</t>
    <phoneticPr fontId="3" type="noConversion"/>
  </si>
  <si>
    <t>℃</t>
    <phoneticPr fontId="3" type="noConversion"/>
  </si>
  <si>
    <t>℃</t>
    <phoneticPr fontId="3" type="noConversion"/>
  </si>
  <si>
    <t>직사각형</t>
    <phoneticPr fontId="3" type="noConversion"/>
  </si>
  <si>
    <t>/℃·μm</t>
    <phoneticPr fontId="3" type="noConversion"/>
  </si>
  <si>
    <t>μm</t>
    <phoneticPr fontId="3" type="noConversion"/>
  </si>
  <si>
    <t>E</t>
    <phoneticPr fontId="3" type="noConversion"/>
  </si>
  <si>
    <t>열팽창계수차</t>
    <phoneticPr fontId="3" type="noConversion"/>
  </si>
  <si>
    <t>/℃</t>
    <phoneticPr fontId="3" type="noConversion"/>
  </si>
  <si>
    <t>/℃</t>
    <phoneticPr fontId="3" type="noConversion"/>
  </si>
  <si>
    <t>℃·μm</t>
    <phoneticPr fontId="3" type="noConversion"/>
  </si>
  <si>
    <t>μm</t>
    <phoneticPr fontId="3" type="noConversion"/>
  </si>
  <si>
    <t>F</t>
    <phoneticPr fontId="3" type="noConversion"/>
  </si>
  <si>
    <t>℃</t>
    <phoneticPr fontId="3" type="noConversion"/>
  </si>
  <si>
    <t>직사각형</t>
    <phoneticPr fontId="3" type="noConversion"/>
  </si>
  <si>
    <t>/℃·μm</t>
    <phoneticPr fontId="3" type="noConversion"/>
  </si>
  <si>
    <t>G</t>
    <phoneticPr fontId="3" type="noConversion"/>
  </si>
  <si>
    <t>분해능</t>
    <phoneticPr fontId="3" type="noConversion"/>
  </si>
  <si>
    <t>직사각형</t>
    <phoneticPr fontId="3" type="noConversion"/>
  </si>
  <si>
    <t>∞</t>
    <phoneticPr fontId="3" type="noConversion"/>
  </si>
  <si>
    <t>H</t>
    <phoneticPr fontId="3" type="noConversion"/>
  </si>
  <si>
    <t>합성표준</t>
    <phoneticPr fontId="3" type="noConversion"/>
  </si>
  <si>
    <t>mm</t>
    <phoneticPr fontId="3" type="noConversion"/>
  </si>
  <si>
    <t>※ 직사각형 확률분포가 합성표준불확도에 미치는 영향</t>
    <phoneticPr fontId="3" type="noConversion"/>
  </si>
  <si>
    <t>측정불확도</t>
    <phoneticPr fontId="3" type="noConversion"/>
  </si>
  <si>
    <t>선택</t>
    <phoneticPr fontId="3" type="noConversion"/>
  </si>
  <si>
    <t>5% rule</t>
    <phoneticPr fontId="3" type="noConversion"/>
  </si>
  <si>
    <t>Number Format</t>
    <phoneticPr fontId="3" type="noConversion"/>
  </si>
  <si>
    <t>CMC초과?</t>
    <phoneticPr fontId="3" type="noConversion"/>
  </si>
  <si>
    <t>계산(μm)</t>
    <phoneticPr fontId="3" type="noConversion"/>
  </si>
  <si>
    <t>분해능</t>
    <phoneticPr fontId="3" type="noConversion"/>
  </si>
  <si>
    <t>불확도</t>
    <phoneticPr fontId="3" type="noConversion"/>
  </si>
  <si>
    <t>성적서</t>
    <phoneticPr fontId="3" type="noConversion"/>
  </si>
  <si>
    <t>Rawdata</t>
    <phoneticPr fontId="3" type="noConversion"/>
  </si>
  <si>
    <t>측정불확도</t>
    <phoneticPr fontId="3" type="noConversion"/>
  </si>
  <si>
    <t>CMC</t>
    <phoneticPr fontId="3" type="noConversion"/>
  </si>
  <si>
    <t>신뢰수준(%)</t>
    <phoneticPr fontId="3" type="noConversion"/>
  </si>
  <si>
    <t>소수점</t>
    <phoneticPr fontId="3" type="noConversion"/>
  </si>
  <si>
    <t>Number</t>
    <phoneticPr fontId="3" type="noConversion"/>
  </si>
  <si>
    <t>자리수</t>
    <phoneticPr fontId="3" type="noConversion"/>
  </si>
  <si>
    <t>Format</t>
    <phoneticPr fontId="3" type="noConversion"/>
  </si>
  <si>
    <t>0</t>
    <phoneticPr fontId="3" type="noConversion"/>
  </si>
  <si>
    <t>0.0</t>
    <phoneticPr fontId="3" type="noConversion"/>
  </si>
  <si>
    <t>0.00</t>
    <phoneticPr fontId="3" type="noConversion"/>
  </si>
  <si>
    <t>0.000</t>
    <phoneticPr fontId="3" type="noConversion"/>
  </si>
  <si>
    <t>0.000 0</t>
    <phoneticPr fontId="3" type="noConversion"/>
  </si>
  <si>
    <t>0.000 00</t>
    <phoneticPr fontId="3" type="noConversion"/>
  </si>
  <si>
    <t>0.000 000</t>
    <phoneticPr fontId="3" type="noConversion"/>
  </si>
  <si>
    <t>0.000 000 0</t>
    <phoneticPr fontId="3" type="noConversion"/>
  </si>
  <si>
    <t>0.000 000 00</t>
    <phoneticPr fontId="3" type="noConversion"/>
  </si>
  <si>
    <t>0.000 000 000</t>
    <phoneticPr fontId="3" type="noConversion"/>
  </si>
  <si>
    <t>● 교정료 계산</t>
    <phoneticPr fontId="3" type="noConversion"/>
  </si>
  <si>
    <t>기본수수료</t>
    <phoneticPr fontId="3" type="noConversion"/>
  </si>
  <si>
    <t>소계</t>
    <phoneticPr fontId="3" type="noConversion"/>
  </si>
  <si>
    <t>합계</t>
    <phoneticPr fontId="3" type="noConversion"/>
  </si>
  <si>
    <t>Measurement uncertainty (μm)</t>
    <phoneticPr fontId="3" type="noConversion"/>
  </si>
  <si>
    <t>CMC1</t>
    <phoneticPr fontId="3" type="noConversion"/>
  </si>
  <si>
    <t>CMC2</t>
  </si>
  <si>
    <t>비교기</t>
    <phoneticPr fontId="3" type="noConversion"/>
  </si>
  <si>
    <t>◆ 측정불확도 추정보고서 ◆</t>
    <phoneticPr fontId="3" type="noConversion"/>
  </si>
  <si>
    <t>■ 측정기본정보</t>
    <phoneticPr fontId="3" type="noConversion"/>
  </si>
  <si>
    <t>기준기명</t>
    <phoneticPr fontId="3" type="noConversion"/>
  </si>
  <si>
    <t>비교기명</t>
    <phoneticPr fontId="3" type="noConversion"/>
  </si>
  <si>
    <t>엔드바</t>
    <phoneticPr fontId="3" type="noConversion"/>
  </si>
  <si>
    <t>게이지 블록</t>
    <phoneticPr fontId="3" type="noConversion"/>
  </si>
  <si>
    <t>■ 두께 반복 측정 결과</t>
    <phoneticPr fontId="3" type="noConversion"/>
  </si>
  <si>
    <t>명목값
(μm)</t>
    <phoneticPr fontId="3" type="noConversion"/>
  </si>
  <si>
    <t>표준편차
(μm)</t>
    <phoneticPr fontId="3" type="noConversion"/>
  </si>
  <si>
    <t>게이지 블록 교정값 (mm)</t>
    <phoneticPr fontId="3" type="noConversion"/>
  </si>
  <si>
    <t>교정값
(mm)</t>
    <phoneticPr fontId="3" type="noConversion"/>
  </si>
  <si>
    <t>2회</t>
    <phoneticPr fontId="3" type="noConversion"/>
  </si>
  <si>
    <t>3회</t>
    <phoneticPr fontId="3" type="noConversion"/>
  </si>
  <si>
    <t>4회</t>
    <phoneticPr fontId="3" type="noConversion"/>
  </si>
  <si>
    <t>5회</t>
    <phoneticPr fontId="3" type="noConversion"/>
  </si>
  <si>
    <t>■ 수학적 모델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</si>
  <si>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</si>
  <si>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:</t>
    <phoneticPr fontId="3" type="noConversion"/>
  </si>
  <si>
    <t>d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</si>
  <si>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</si>
  <si>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:</t>
    <phoneticPr fontId="3" type="noConversion"/>
  </si>
  <si>
    <r>
      <t>l</t>
    </r>
    <r>
      <rPr>
        <vertAlign val="subscript"/>
        <sz val="10"/>
        <rFont val="Times New Roman"/>
        <family val="1"/>
      </rPr>
      <t>0</t>
    </r>
    <phoneticPr fontId="3" type="noConversion"/>
  </si>
  <si>
    <t>Δt</t>
    <phoneticPr fontId="3" type="noConversion"/>
  </si>
  <si>
    <t>Δα</t>
    <phoneticPr fontId="3" type="noConversion"/>
  </si>
  <si>
    <t>■ 합성표준불확도 관계식</t>
    <phoneticPr fontId="3" type="noConversion"/>
  </si>
  <si>
    <t>※ 감도계수</t>
    <phoneticPr fontId="3" type="noConversion"/>
  </si>
  <si>
    <t>■ 불확도 총괄표</t>
    <phoneticPr fontId="3" type="noConversion"/>
  </si>
  <si>
    <t>입력량</t>
    <phoneticPr fontId="3" type="noConversion"/>
  </si>
  <si>
    <t>추정값</t>
    <phoneticPr fontId="3" type="noConversion"/>
  </si>
  <si>
    <t>표준불확도</t>
    <phoneticPr fontId="3" type="noConversion"/>
  </si>
  <si>
    <t>확률분포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</si>
  <si>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</si>
  <si>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</si>
  <si>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</si>
  <si>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</si>
  <si>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</si>
  <si>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</si>
  <si>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</si>
  <si>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</si>
  <si>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t>A</t>
    <phoneticPr fontId="3" type="noConversion"/>
  </si>
  <si>
    <t>d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</si>
  <si>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</si>
  <si>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</si>
  <si>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</si>
  <si>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Δα</t>
    <phoneticPr fontId="3" type="noConversion"/>
  </si>
  <si>
    <t>G</t>
    <phoneticPr fontId="3" type="noConversion"/>
  </si>
  <si>
    <t>H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</si>
  <si>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</si>
  <si>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-</t>
    <phoneticPr fontId="3" type="noConversion"/>
  </si>
  <si>
    <t>■ 표준불확도 성분의 계산</t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</si>
  <si>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3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</si>
  <si>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3" type="noConversion"/>
  </si>
  <si>
    <t>A1. 추정값 :</t>
    <phoneticPr fontId="3" type="noConversion"/>
  </si>
  <si>
    <t>A2. 표준불확도 :</t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</si>
  <si>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3" type="noConversion"/>
  </si>
  <si>
    <t>s</t>
    <phoneticPr fontId="3" type="noConversion"/>
  </si>
  <si>
    <t>=</t>
    <phoneticPr fontId="3" type="noConversion"/>
  </si>
  <si>
    <t>=</t>
    <phoneticPr fontId="3" type="noConversion"/>
  </si>
  <si>
    <t>A3. 확률분포 :</t>
    <phoneticPr fontId="3" type="noConversion"/>
  </si>
  <si>
    <t>A4. 감도계수 :</t>
    <phoneticPr fontId="3" type="noConversion"/>
  </si>
  <si>
    <t>A5. 불확도 기여도 :</t>
    <phoneticPr fontId="3" type="noConversion"/>
  </si>
  <si>
    <t>|</t>
    <phoneticPr fontId="3" type="noConversion"/>
  </si>
  <si>
    <t>A6.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</si>
  <si>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</si>
  <si>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3" type="noConversion"/>
  </si>
  <si>
    <t>B1. 추정값 :</t>
    <phoneticPr fontId="3" type="noConversion"/>
  </si>
  <si>
    <t>B2. 표준불확도 :</t>
    <phoneticPr fontId="3" type="noConversion"/>
  </si>
  <si>
    <t>U</t>
    <phoneticPr fontId="3" type="noConversion"/>
  </si>
  <si>
    <t>mm</t>
    <phoneticPr fontId="3" type="noConversion"/>
  </si>
  <si>
    <t>=</t>
    <phoneticPr fontId="3" type="noConversion"/>
  </si>
  <si>
    <t>nm</t>
    <phoneticPr fontId="3" type="noConversion"/>
  </si>
  <si>
    <t>B3. 확률분포 :</t>
    <phoneticPr fontId="3" type="noConversion"/>
  </si>
  <si>
    <t>×</t>
    <phoneticPr fontId="3" type="noConversion"/>
  </si>
  <si>
    <t>B6.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</si>
  <si>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3" type="noConversion"/>
  </si>
  <si>
    <t>C1. 추정값 :</t>
    <phoneticPr fontId="3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</si>
  <si>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</si>
  <si>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C2. 표준불확도 :</t>
    <phoneticPr fontId="3" type="noConversion"/>
  </si>
  <si>
    <t>※ 불확도 전파법칙에 의한 수식 :</t>
    <phoneticPr fontId="3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</si>
  <si>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3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</si>
  <si>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</si>
  <si>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</si>
  <si>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불확도 전파법칙에 의한 수식에 열팽창계수의 불확도 값을 대입하여 계산하면</t>
    <phoneticPr fontId="3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</si>
  <si>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</si>
  <si>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C3. 확률분포 :</t>
    <phoneticPr fontId="3" type="noConversion"/>
  </si>
  <si>
    <t>C4. 감도계수 :</t>
    <phoneticPr fontId="3" type="noConversion"/>
  </si>
  <si>
    <t>℃×</t>
    <phoneticPr fontId="3" type="noConversion"/>
  </si>
  <si>
    <t>℃·μm</t>
    <phoneticPr fontId="3" type="noConversion"/>
  </si>
  <si>
    <t>C5. 불확도 기여량 :</t>
    <phoneticPr fontId="3" type="noConversion"/>
  </si>
  <si>
    <t>｜</t>
    <phoneticPr fontId="3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</si>
  <si>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</si>
  <si>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μm</t>
    <phoneticPr fontId="3" type="noConversion"/>
  </si>
  <si>
    <t>C6.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</si>
  <si>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</si>
  <si>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3" type="noConversion"/>
  </si>
  <si>
    <t>D1. 추정값 :</t>
    <phoneticPr fontId="3" type="noConversion"/>
  </si>
  <si>
    <t>D2. 표준불확도 :</t>
    <phoneticPr fontId="3" type="noConversion"/>
  </si>
  <si>
    <t>D3. 확률분포 :</t>
    <phoneticPr fontId="3" type="noConversion"/>
  </si>
  <si>
    <t>D4. 감도계수 :</t>
    <phoneticPr fontId="3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</si>
  <si>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</si>
  <si>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D5. 불확도 기여량 :</t>
    <phoneticPr fontId="3" type="noConversion"/>
  </si>
  <si>
    <t>｜</t>
    <phoneticPr fontId="3" type="noConversion"/>
  </si>
  <si>
    <t>/℃·μm</t>
    <phoneticPr fontId="3" type="noConversion"/>
  </si>
  <si>
    <t>｜</t>
    <phoneticPr fontId="3" type="noConversion"/>
  </si>
  <si>
    <t>D6.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</si>
  <si>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</si>
  <si>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3" type="noConversion"/>
  </si>
  <si>
    <t>E1. 추정값 :</t>
    <phoneticPr fontId="3" type="noConversion"/>
  </si>
  <si>
    <t>E2. 표준불확도 :</t>
    <phoneticPr fontId="3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</si>
  <si>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3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</si>
  <si>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</si>
  <si>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</si>
  <si>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E3. 확률분포 :</t>
    <phoneticPr fontId="3" type="noConversion"/>
  </si>
  <si>
    <t>E4. 감도계수 :</t>
    <phoneticPr fontId="3" type="noConversion"/>
  </si>
  <si>
    <t>℃×</t>
    <phoneticPr fontId="3" type="noConversion"/>
  </si>
  <si>
    <t>℃·μm</t>
    <phoneticPr fontId="3" type="noConversion"/>
  </si>
  <si>
    <t>E5. 불확도 기여량 :</t>
    <phoneticPr fontId="3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</si>
  <si>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3" type="noConversion"/>
  </si>
  <si>
    <t>μm</t>
    <phoneticPr fontId="3" type="noConversion"/>
  </si>
  <si>
    <t>E6.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</si>
  <si>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</si>
  <si>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3" type="noConversion"/>
  </si>
  <si>
    <t>F1. 추정값 :</t>
    <phoneticPr fontId="3" type="noConversion"/>
  </si>
  <si>
    <t>F2. 표준불확도 :</t>
    <phoneticPr fontId="3" type="noConversion"/>
  </si>
  <si>
    <t>=</t>
    <phoneticPr fontId="3" type="noConversion"/>
  </si>
  <si>
    <t>F3. 확률분포 :</t>
    <phoneticPr fontId="3" type="noConversion"/>
  </si>
  <si>
    <t>F4. 감도계수 :</t>
    <phoneticPr fontId="3" type="noConversion"/>
  </si>
  <si>
    <t>×</t>
    <phoneticPr fontId="3" type="noConversion"/>
  </si>
  <si>
    <t>/℃·μm</t>
    <phoneticPr fontId="3" type="noConversion"/>
  </si>
  <si>
    <t>F5. 불확도 기여량 :</t>
    <phoneticPr fontId="3" type="noConversion"/>
  </si>
  <si>
    <t>=</t>
    <phoneticPr fontId="3" type="noConversion"/>
  </si>
  <si>
    <t>F6. 자유도 :</t>
    <phoneticPr fontId="3" type="noConversion"/>
  </si>
  <si>
    <t>G1. 추정값 : 0</t>
    <phoneticPr fontId="3" type="noConversion"/>
  </si>
  <si>
    <t>G2. 표준불확도 :</t>
    <phoneticPr fontId="3" type="noConversion"/>
  </si>
  <si>
    <t>G3. 확률분포 :</t>
    <phoneticPr fontId="3" type="noConversion"/>
  </si>
  <si>
    <t>G4. 감도계수 :</t>
    <phoneticPr fontId="3" type="noConversion"/>
  </si>
  <si>
    <t>G5. 불확도 기여도 :</t>
    <phoneticPr fontId="3" type="noConversion"/>
  </si>
  <si>
    <t>×</t>
    <phoneticPr fontId="3" type="noConversion"/>
  </si>
  <si>
    <t>|</t>
    <phoneticPr fontId="3" type="noConversion"/>
  </si>
  <si>
    <t>G6.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</si>
  <si>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3" type="noConversion"/>
  </si>
  <si>
    <t>■ 합성표준불확도 계산</t>
    <phoneticPr fontId="3" type="noConversion"/>
  </si>
  <si>
    <t>=</t>
    <phoneticPr fontId="3" type="noConversion"/>
  </si>
  <si>
    <t>μm</t>
    <phoneticPr fontId="3" type="noConversion"/>
  </si>
  <si>
    <t>+</t>
    <phoneticPr fontId="3" type="noConversion"/>
  </si>
  <si>
    <t>+</t>
    <phoneticPr fontId="3" type="noConversion"/>
  </si>
  <si>
    <t>μm</t>
    <phoneticPr fontId="3" type="noConversion"/>
  </si>
  <si>
    <t>μm</t>
    <phoneticPr fontId="3" type="noConversion"/>
  </si>
  <si>
    <t>■ 유효자유도</t>
    <phoneticPr fontId="3" type="noConversion"/>
  </si>
  <si>
    <t>■ 측정불확도</t>
    <phoneticPr fontId="3" type="noConversion"/>
  </si>
  <si>
    <t>※ 합성표준불확도를 구성하는 입력변수 중에서 직사각형 확률분포를 가지는 한 개 또는 두 개의 표준불확도 성분이</t>
    <phoneticPr fontId="3" type="noConversion"/>
  </si>
  <si>
    <t>전체의 대부분을 차지하는 경우가 아닌 경우, 유효자유도 계산 결과 값을 이용하여 t 분포표에서 신뢰수준 약 95%에</t>
    <phoneticPr fontId="3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</si>
  <si>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3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</si>
  <si>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3" type="noConversion"/>
  </si>
  <si>
    <t>전체의 대부분을 차지하는 경우, 주된 성분에 대한 잔여 성분의 크기가 0.3보다 작은지 점검한다.</t>
    <phoneticPr fontId="3" type="noConversion"/>
  </si>
  <si>
    <t>비율이 0.3보다 작으면 직사각형 확률분포를 적용하여 반너비의 비율을 구하고 사다리꼴 분포에 해당하는</t>
    <phoneticPr fontId="3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</si>
  <si>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3" type="noConversion"/>
  </si>
  <si>
    <t>≒</t>
    <phoneticPr fontId="3" type="noConversion"/>
  </si>
  <si>
    <t>μm</t>
    <phoneticPr fontId="3" type="noConversion"/>
  </si>
  <si>
    <t>mm</t>
    <phoneticPr fontId="3" type="noConversion"/>
  </si>
  <si>
    <t>/℃</t>
    <phoneticPr fontId="3" type="noConversion"/>
  </si>
  <si>
    <t>℃</t>
    <phoneticPr fontId="3" type="noConversion"/>
  </si>
  <si>
    <t>℃</t>
    <phoneticPr fontId="3" type="noConversion"/>
  </si>
  <si>
    <t>mm</t>
    <phoneticPr fontId="3" type="noConversion"/>
  </si>
  <si>
    <t>추정하여 직사각형 확률분포를 적용하여 계산하면</t>
    <phoneticPr fontId="3" type="noConversion"/>
  </si>
  <si>
    <t>여기에 직사각형 확률분포를 적용하여 계산하면</t>
    <phoneticPr fontId="3" type="noConversion"/>
  </si>
  <si>
    <t>℃</t>
    <phoneticPr fontId="3" type="noConversion"/>
  </si>
  <si>
    <t>℃</t>
    <phoneticPr fontId="3" type="noConversion"/>
  </si>
  <si>
    <t>℃</t>
    <phoneticPr fontId="3" type="noConversion"/>
  </si>
  <si>
    <t>℃</t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</si>
  <si>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</si>
  <si>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</si>
  <si>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</si>
  <si>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</si>
  <si>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3" type="noConversion"/>
  </si>
  <si>
    <t>표기용</t>
    <phoneticPr fontId="3" type="noConversion"/>
  </si>
  <si>
    <t>눈금값</t>
    <phoneticPr fontId="3" type="noConversion"/>
  </si>
  <si>
    <t>교정값</t>
    <phoneticPr fontId="3" type="noConversion"/>
  </si>
  <si>
    <t>Spec</t>
    <phoneticPr fontId="3" type="noConversion"/>
  </si>
  <si>
    <t>표준편차</t>
    <phoneticPr fontId="3" type="noConversion"/>
  </si>
  <si>
    <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3" type="noConversion"/>
  </si>
  <si>
    <t>=</t>
    <phoneticPr fontId="3" type="noConversion"/>
  </si>
  <si>
    <t>비고</t>
    <phoneticPr fontId="3" type="noConversion"/>
  </si>
  <si>
    <t>나눔수</t>
    <phoneticPr fontId="3" type="noConversion"/>
  </si>
  <si>
    <t>분모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</si>
  <si>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</si>
  <si>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>Unit</t>
    <phoneticPr fontId="3" type="noConversion"/>
  </si>
  <si>
    <t>조정 전</t>
    <phoneticPr fontId="3" type="noConversion"/>
  </si>
  <si>
    <t>조정 후</t>
    <phoneticPr fontId="3" type="noConversion"/>
  </si>
  <si>
    <t>Measurement Uncertainty</t>
    <phoneticPr fontId="3" type="noConversion"/>
  </si>
  <si>
    <t>mm</t>
    <phoneticPr fontId="3" type="noConversion"/>
  </si>
  <si>
    <t>불확도</t>
    <phoneticPr fontId="3" type="noConversion"/>
  </si>
  <si>
    <t>Nominal Value</t>
    <phoneticPr fontId="3" type="noConversion"/>
  </si>
  <si>
    <t>보정값</t>
    <phoneticPr fontId="3" type="noConversion"/>
  </si>
  <si>
    <t>보정값</t>
    <phoneticPr fontId="3" type="noConversion"/>
  </si>
  <si>
    <t>Measured
Value</t>
    <phoneticPr fontId="3" type="noConversion"/>
  </si>
  <si>
    <t>Correction
Value</t>
    <phoneticPr fontId="3" type="noConversion"/>
  </si>
  <si>
    <t>Pass
/Fail</t>
    <phoneticPr fontId="3" type="noConversion"/>
  </si>
  <si>
    <t>U &amp; r</t>
  </si>
  <si>
    <t>U+α</t>
    <phoneticPr fontId="3" type="noConversion"/>
  </si>
  <si>
    <t>U&amp;r</t>
    <phoneticPr fontId="3" type="noConversion"/>
  </si>
  <si>
    <t>HCT</t>
    <phoneticPr fontId="3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</si>
  <si>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3" type="noConversion"/>
  </si>
  <si>
    <t>소수점 자리수</t>
    <phoneticPr fontId="3" type="noConversion"/>
  </si>
  <si>
    <t>확률분포</t>
    <phoneticPr fontId="3" type="noConversion"/>
  </si>
  <si>
    <t>직사각형분포</t>
    <phoneticPr fontId="3" type="noConversion"/>
  </si>
  <si>
    <t>직사각형</t>
    <phoneticPr fontId="3" type="noConversion"/>
  </si>
  <si>
    <t>기타</t>
    <phoneticPr fontId="3" type="noConversion"/>
  </si>
  <si>
    <t>번호</t>
    <phoneticPr fontId="3" type="noConversion"/>
  </si>
  <si>
    <t>크기순</t>
    <phoneticPr fontId="3" type="noConversion"/>
  </si>
  <si>
    <t>확률분포별 불확도기여량</t>
    <phoneticPr fontId="3" type="noConversion"/>
  </si>
  <si>
    <t>비율</t>
    <phoneticPr fontId="3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</si>
  <si>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3" type="noConversion"/>
  </si>
  <si>
    <t>영향</t>
    <phoneticPr fontId="3" type="noConversion"/>
  </si>
  <si>
    <t>기타</t>
    <phoneticPr fontId="3" type="noConversion"/>
  </si>
  <si>
    <t>잔여 기여량</t>
    <phoneticPr fontId="3" type="noConversion"/>
  </si>
  <si>
    <t>주 기여량</t>
    <phoneticPr fontId="3" type="noConversion"/>
  </si>
  <si>
    <t>직사각형
분포 성분</t>
    <phoneticPr fontId="3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</si>
  <si>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3" type="noConversion"/>
  </si>
  <si>
    <t>β</t>
    <phoneticPr fontId="3" type="noConversion"/>
  </si>
  <si>
    <t>k</t>
    <phoneticPr fontId="3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</si>
  <si>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3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</si>
  <si>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3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</si>
  <si>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3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</si>
  <si>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3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</si>
  <si>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</si>
  <si>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3" type="noConversion"/>
  </si>
  <si>
    <t>불확도표기</t>
    <phoneticPr fontId="3" type="noConversion"/>
  </si>
  <si>
    <t>단위포함</t>
    <phoneticPr fontId="3" type="noConversion"/>
  </si>
  <si>
    <t>mm</t>
    <phoneticPr fontId="3" type="noConversion"/>
  </si>
  <si>
    <t>선택</t>
    <phoneticPr fontId="3" type="noConversion"/>
  </si>
  <si>
    <t>조건</t>
    <phoneticPr fontId="3" type="noConversion"/>
  </si>
  <si>
    <t>기본수수료</t>
    <phoneticPr fontId="3" type="noConversion"/>
  </si>
  <si>
    <t>추가수수료</t>
    <phoneticPr fontId="3" type="noConversion"/>
  </si>
  <si>
    <t>mm 기준</t>
    <phoneticPr fontId="3" type="noConversion"/>
  </si>
  <si>
    <t>추가</t>
    <phoneticPr fontId="3" type="noConversion"/>
  </si>
  <si>
    <t>mm마다</t>
    <phoneticPr fontId="3" type="noConversion"/>
  </si>
  <si>
    <t>추가</t>
    <phoneticPr fontId="3" type="noConversion"/>
  </si>
  <si>
    <t>최대범위</t>
    <phoneticPr fontId="3" type="noConversion"/>
  </si>
  <si>
    <t>추가범위</t>
    <phoneticPr fontId="3" type="noConversion"/>
  </si>
  <si>
    <t>추가</t>
    <phoneticPr fontId="3" type="noConversion"/>
  </si>
  <si>
    <t>인치?</t>
    <phoneticPr fontId="3" type="noConversion"/>
  </si>
  <si>
    <t>추가수수료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</si>
</sst>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#\ ##0.0\ &quot;m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0.00\ &quot;μm&quot;"/>
    <numFmt numFmtId="205" formatCode="0.000\ 00"/>
    <numFmt numFmtId="206" formatCode="0.000\ &quot;μm&quot;"/>
    <numFmt numFmtId="207" formatCode="_-* #,##0_-;\-* #,##0_-;_-* &quot;-&quot;??_-;_-@_-"/>
    <numFmt numFmtId="208" formatCode="0\ &quot;nm&quot;"/>
    <numFmt numFmtId="209" formatCode="0.000000"/>
    <numFmt numFmtId="210" formatCode="\(0.00\ &quot;μm&quot;\)"/>
    <numFmt numFmtId="211" formatCode="0.0\ \℃"/>
    <numFmt numFmtId="212" formatCode="0.000\ \℃"/>
    <numFmt numFmtId="213" formatCode="&quot;0.58 ℃×( -&quot;0.00"/>
    <numFmt numFmtId="214" formatCode="0.00\ \℃"/>
    <numFmt numFmtId="215" formatCode="0_ "/>
    <numFmt numFmtId="216" formatCode="0.0E+00"/>
  </numFmts>
  <fonts count="107">
    <font>
      <sz val="11"/>
      <name val="돋움"/>
      <family val="3"/>
      <charset val="129"/>
    </font>
    <font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i/>
      <sz val="10"/>
      <name val="times"/>
      <family val="1"/>
    </font>
    <font>
      <sz val="10"/>
      <name val="바탕"/>
      <family val="1"/>
      <charset val="129"/>
    </font>
    <font>
      <sz val="9"/>
      <color rgb="FFFF0000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i/>
      <vertAlign val="subscript"/>
      <sz val="10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3">
    <xf numFmtId="0" fontId="0" fillId="0" borderId="0">
      <alignment vertical="center"/>
    </xf>
    <xf numFmtId="0" fontId="12" fillId="0" borderId="0"/>
    <xf numFmtId="0" fontId="12" fillId="0" borderId="0"/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6" fillId="0" borderId="0"/>
    <xf numFmtId="0" fontId="36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3" fillId="0" borderId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38" fontId="34" fillId="16" borderId="0" applyNumberFormat="0" applyBorder="0" applyAlignment="0" applyProtection="0"/>
    <xf numFmtId="10" fontId="34" fillId="17" borderId="1" applyNumberFormat="0" applyBorder="0" applyAlignment="0" applyProtection="0"/>
    <xf numFmtId="0" fontId="35" fillId="0" borderId="0"/>
    <xf numFmtId="0" fontId="5" fillId="0" borderId="0"/>
    <xf numFmtId="10" fontId="5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" fillId="23" borderId="3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1" fillId="0" borderId="0"/>
    <xf numFmtId="0" fontId="20" fillId="0" borderId="0" applyNumberFormat="0" applyFill="0" applyBorder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5" fillId="0" borderId="0"/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2" borderId="10" applyNumberFormat="0" applyAlignment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2" fillId="0" borderId="0">
      <alignment vertical="center"/>
    </xf>
    <xf numFmtId="0" fontId="2" fillId="0" borderId="0">
      <alignment vertical="center"/>
    </xf>
    <xf numFmtId="0" fontId="2" fillId="0" borderId="0"/>
    <xf numFmtId="0" fontId="50" fillId="0" borderId="0">
      <alignment vertical="center"/>
    </xf>
    <xf numFmtId="0" fontId="13" fillId="0" borderId="0">
      <alignment vertical="center"/>
    </xf>
    <xf numFmtId="0" fontId="2" fillId="0" borderId="0"/>
    <xf numFmtId="0" fontId="4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16" fillId="22" borderId="55" applyNumberFormat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7" borderId="55" applyNumberFormat="0" applyAlignment="0" applyProtection="0">
      <alignment vertical="center"/>
    </xf>
    <xf numFmtId="0" fontId="30" fillId="22" borderId="5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16" fillId="22" borderId="55" applyNumberFormat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7" borderId="55" applyNumberFormat="0" applyAlignment="0" applyProtection="0">
      <alignment vertical="center"/>
    </xf>
    <xf numFmtId="0" fontId="30" fillId="22" borderId="5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2" fillId="23" borderId="52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16" fillId="22" borderId="55" applyNumberFormat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7" borderId="55" applyNumberFormat="0" applyAlignment="0" applyProtection="0">
      <alignment vertical="center"/>
    </xf>
    <xf numFmtId="0" fontId="30" fillId="22" borderId="5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2" fillId="23" borderId="52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0" fontId="16" fillId="22" borderId="55" applyNumberFormat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7" borderId="55" applyNumberFormat="0" applyAlignment="0" applyProtection="0">
      <alignment vertical="center"/>
    </xf>
    <xf numFmtId="0" fontId="30" fillId="22" borderId="5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4" applyNumberFormat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3" borderId="52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47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0" fillId="0" borderId="1" xfId="0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 shrinkToFit="1"/>
    </xf>
    <xf numFmtId="0" fontId="43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40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0" xfId="0" applyFont="1" applyAlignment="1">
      <alignment horizontal="center" vertical="center"/>
    </xf>
    <xf numFmtId="0" fontId="52" fillId="26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Font="1" applyAlignment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Border="1" applyAlignment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47" fillId="0" borderId="0" xfId="79" applyNumberFormat="1" applyFont="1"/>
    <xf numFmtId="0" fontId="54" fillId="0" borderId="25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0" xfId="0" applyNumberFormat="1" applyFont="1" applyBorder="1" applyAlignment="1">
      <alignment horizontal="center" vertical="center"/>
    </xf>
    <xf numFmtId="49" fontId="54" fillId="0" borderId="25" xfId="0" applyNumberFormat="1" applyFont="1" applyBorder="1" applyAlignment="1">
      <alignment horizontal="center" vertical="center"/>
    </xf>
    <xf numFmtId="0" fontId="7" fillId="29" borderId="11" xfId="0" applyFont="1" applyFill="1" applyBorder="1" applyAlignment="1" applyProtection="1">
      <alignment horizontal="center" vertical="center"/>
      <protection locked="0"/>
    </xf>
    <xf numFmtId="0" fontId="7" fillId="29" borderId="1" xfId="0" applyFont="1" applyFill="1" applyBorder="1" applyAlignment="1" applyProtection="1">
      <alignment horizontal="center" vertical="center" shrinkToFit="1"/>
      <protection locked="0"/>
    </xf>
    <xf numFmtId="0" fontId="47" fillId="0" borderId="0" xfId="79" applyNumberFormat="1" applyFont="1" applyFill="1" applyBorder="1" applyAlignment="1">
      <alignment vertical="center"/>
    </xf>
    <xf numFmtId="0" fontId="47" fillId="0" borderId="0" xfId="79" applyNumberFormat="1" applyFont="1" applyFill="1" applyAlignment="1">
      <alignment horizontal="center" vertical="center"/>
    </xf>
    <xf numFmtId="0" fontId="47" fillId="0" borderId="0" xfId="79" applyNumberFormat="1" applyFont="1" applyFill="1" applyAlignment="1">
      <alignment vertical="center"/>
    </xf>
    <xf numFmtId="0" fontId="10" fillId="0" borderId="0" xfId="0" applyFont="1" applyFill="1" applyBorder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2" fillId="26" borderId="33" xfId="0" applyFont="1" applyFill="1" applyBorder="1" applyAlignment="1">
      <alignment horizontal="center" vertical="center" wrapText="1"/>
    </xf>
    <xf numFmtId="0" fontId="54" fillId="0" borderId="33" xfId="0" applyFont="1" applyBorder="1" applyAlignment="1">
      <alignment horizontal="center" vertical="center"/>
    </xf>
    <xf numFmtId="0" fontId="63" fillId="0" borderId="0" xfId="79" applyNumberFormat="1" applyFont="1" applyFill="1" applyAlignment="1">
      <alignment horizontal="left" vertical="center"/>
    </xf>
    <xf numFmtId="0" fontId="63" fillId="0" borderId="0" xfId="79" applyNumberFormat="1" applyFont="1" applyFill="1" applyAlignment="1">
      <alignment vertical="center"/>
    </xf>
    <xf numFmtId="0" fontId="8" fillId="0" borderId="0" xfId="0" applyNumberFormat="1" applyFont="1" applyFill="1">
      <alignment vertical="center"/>
    </xf>
    <xf numFmtId="0" fontId="60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7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7" fillId="0" borderId="0" xfId="79" applyNumberFormat="1" applyFont="1" applyFill="1" applyAlignment="1">
      <alignment horizontal="left" vertical="center"/>
    </xf>
    <xf numFmtId="0" fontId="47" fillId="0" borderId="0" xfId="79" applyNumberFormat="1" applyFont="1" applyFill="1" applyBorder="1" applyAlignment="1">
      <alignment horizontal="center" vertical="center"/>
    </xf>
    <xf numFmtId="3" fontId="47" fillId="0" borderId="0" xfId="79" applyNumberFormat="1" applyFont="1" applyFill="1" applyBorder="1" applyAlignment="1">
      <alignment horizontal="center" vertical="center"/>
    </xf>
    <xf numFmtId="0" fontId="47" fillId="0" borderId="0" xfId="79" applyNumberFormat="1" applyFont="1" applyFill="1" applyAlignment="1">
      <alignment horizontal="right" vertical="center"/>
    </xf>
    <xf numFmtId="0" fontId="47" fillId="0" borderId="0" xfId="0" applyNumberFormat="1" applyFont="1" applyBorder="1" applyAlignment="1">
      <alignment vertical="center"/>
    </xf>
    <xf numFmtId="0" fontId="54" fillId="0" borderId="35" xfId="0" applyFont="1" applyBorder="1" applyAlignment="1">
      <alignment horizontal="center" vertical="center"/>
    </xf>
    <xf numFmtId="0" fontId="66" fillId="0" borderId="0" xfId="0" applyFont="1">
      <alignment vertical="center"/>
    </xf>
    <xf numFmtId="0" fontId="66" fillId="0" borderId="0" xfId="0" applyFont="1" applyBorder="1">
      <alignment vertical="center"/>
    </xf>
    <xf numFmtId="0" fontId="67" fillId="0" borderId="0" xfId="0" applyFont="1" applyBorder="1" applyAlignment="1">
      <alignment vertical="center"/>
    </xf>
    <xf numFmtId="0" fontId="66" fillId="0" borderId="0" xfId="0" applyFont="1" applyAlignment="1">
      <alignment vertical="center"/>
    </xf>
    <xf numFmtId="0" fontId="64" fillId="0" borderId="0" xfId="0" applyFont="1" applyBorder="1" applyAlignme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>
      <alignment vertical="center"/>
    </xf>
    <xf numFmtId="0" fontId="37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2" fillId="0" borderId="0" xfId="0" applyNumberFormat="1" applyFont="1" applyAlignment="1">
      <alignment vertical="center"/>
    </xf>
    <xf numFmtId="0" fontId="51" fillId="0" borderId="0" xfId="0" applyNumberFormat="1" applyFont="1" applyAlignment="1">
      <alignment vertical="center"/>
    </xf>
    <xf numFmtId="0" fontId="67" fillId="0" borderId="0" xfId="0" applyFont="1" applyBorder="1" applyAlignment="1">
      <alignment horizontal="left" vertical="center" indent="1"/>
    </xf>
    <xf numFmtId="0" fontId="51" fillId="0" borderId="0" xfId="0" applyNumberFormat="1" applyFont="1" applyFill="1" applyBorder="1" applyAlignment="1">
      <alignment vertical="center"/>
    </xf>
    <xf numFmtId="191" fontId="66" fillId="0" borderId="0" xfId="0" applyNumberFormat="1" applyFont="1" applyBorder="1" applyAlignment="1">
      <alignment horizontal="center" vertical="center"/>
    </xf>
    <xf numFmtId="0" fontId="47" fillId="31" borderId="0" xfId="79" applyNumberFormat="1" applyFont="1" applyFill="1" applyAlignment="1">
      <alignment horizontal="center" vertical="center"/>
    </xf>
    <xf numFmtId="0" fontId="59" fillId="31" borderId="0" xfId="0" applyNumberFormat="1" applyFont="1" applyFill="1" applyBorder="1" applyAlignment="1">
      <alignment horizontal="left" vertical="center"/>
    </xf>
    <xf numFmtId="0" fontId="47" fillId="0" borderId="36" xfId="79" applyNumberFormat="1" applyFont="1" applyFill="1" applyBorder="1" applyAlignment="1">
      <alignment horizontal="center" vertical="center"/>
    </xf>
    <xf numFmtId="0" fontId="49" fillId="0" borderId="36" xfId="80" applyNumberFormat="1" applyFont="1" applyFill="1" applyBorder="1" applyAlignment="1">
      <alignment horizontal="right" vertical="center"/>
    </xf>
    <xf numFmtId="0" fontId="47" fillId="0" borderId="36" xfId="79" applyNumberFormat="1" applyFont="1" applyFill="1" applyBorder="1" applyAlignment="1">
      <alignment horizontal="left" vertical="center"/>
    </xf>
    <xf numFmtId="0" fontId="47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7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7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5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7" fillId="17" borderId="1" xfId="0" applyNumberFormat="1" applyFont="1" applyFill="1" applyBorder="1" applyAlignment="1" applyProtection="1">
      <alignment horizontal="center" vertical="center" shrinkToFit="1"/>
    </xf>
    <xf numFmtId="186" fontId="7" fillId="17" borderId="1" xfId="0" applyNumberFormat="1" applyFont="1" applyFill="1" applyBorder="1" applyAlignment="1" applyProtection="1">
      <alignment horizontal="center" vertical="center" shrinkToFit="1"/>
    </xf>
    <xf numFmtId="187" fontId="7" fillId="0" borderId="1" xfId="0" applyNumberFormat="1" applyFont="1" applyFill="1" applyBorder="1" applyAlignment="1" applyProtection="1">
      <alignment horizontal="center" vertical="center" shrinkToFit="1"/>
    </xf>
    <xf numFmtId="0" fontId="47" fillId="0" borderId="38" xfId="79" applyNumberFormat="1" applyFont="1" applyFill="1" applyBorder="1" applyAlignment="1">
      <alignment vertical="center"/>
    </xf>
    <xf numFmtId="0" fontId="47" fillId="0" borderId="38" xfId="79" applyNumberFormat="1" applyFont="1" applyFill="1" applyBorder="1" applyAlignment="1">
      <alignment horizontal="left" vertical="center"/>
    </xf>
    <xf numFmtId="0" fontId="47" fillId="0" borderId="38" xfId="79" applyNumberFormat="1" applyFont="1" applyFill="1" applyBorder="1" applyAlignment="1">
      <alignment horizontal="right" vertical="center"/>
    </xf>
    <xf numFmtId="49" fontId="47" fillId="0" borderId="0" xfId="79" applyNumberFormat="1" applyFont="1" applyFill="1" applyAlignment="1">
      <alignment horizontal="center" vertical="center"/>
    </xf>
    <xf numFmtId="0" fontId="63" fillId="0" borderId="0" xfId="79" applyNumberFormat="1" applyFont="1" applyFill="1" applyAlignment="1">
      <alignment horizontal="center" vertical="center"/>
    </xf>
    <xf numFmtId="0" fontId="76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51" fillId="0" borderId="37" xfId="0" applyNumberFormat="1" applyFont="1" applyBorder="1" applyAlignment="1">
      <alignment horizontal="center" vertical="center"/>
    </xf>
    <xf numFmtId="0" fontId="77" fillId="0" borderId="0" xfId="0" applyFont="1" applyBorder="1">
      <alignment vertical="center"/>
    </xf>
    <xf numFmtId="0" fontId="47" fillId="0" borderId="38" xfId="79" applyNumberFormat="1" applyFont="1" applyFill="1" applyBorder="1" applyAlignment="1">
      <alignment horizontal="center" vertical="center"/>
    </xf>
    <xf numFmtId="0" fontId="49" fillId="0" borderId="38" xfId="80" applyNumberFormat="1" applyFont="1" applyFill="1" applyBorder="1" applyAlignment="1">
      <alignment horizontal="right" vertical="center"/>
    </xf>
    <xf numFmtId="0" fontId="60" fillId="0" borderId="0" xfId="0" applyNumberFormat="1" applyFont="1" applyFill="1" applyAlignment="1">
      <alignment vertical="center"/>
    </xf>
    <xf numFmtId="0" fontId="47" fillId="0" borderId="0" xfId="0" applyFont="1" applyBorder="1">
      <alignment vertical="center"/>
    </xf>
    <xf numFmtId="49" fontId="47" fillId="0" borderId="0" xfId="79" applyNumberFormat="1" applyFont="1" applyFill="1" applyBorder="1" applyAlignment="1">
      <alignment horizontal="center" vertical="center"/>
    </xf>
    <xf numFmtId="0" fontId="47" fillId="31" borderId="39" xfId="79" applyNumberFormat="1" applyFont="1" applyFill="1" applyBorder="1" applyAlignment="1">
      <alignment horizontal="center" vertical="center"/>
    </xf>
    <xf numFmtId="0" fontId="59" fillId="31" borderId="39" xfId="0" applyNumberFormat="1" applyFont="1" applyFill="1" applyBorder="1" applyAlignment="1">
      <alignment horizontal="left" vertical="center"/>
    </xf>
    <xf numFmtId="0" fontId="68" fillId="0" borderId="0" xfId="0" applyFont="1" applyBorder="1" applyAlignment="1">
      <alignment vertical="center"/>
    </xf>
    <xf numFmtId="0" fontId="66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4" fillId="0" borderId="40" xfId="0" applyNumberFormat="1" applyFont="1" applyBorder="1" applyAlignment="1">
      <alignment horizontal="center" vertical="center"/>
    </xf>
    <xf numFmtId="0" fontId="52" fillId="26" borderId="40" xfId="0" applyFont="1" applyFill="1" applyBorder="1" applyAlignment="1">
      <alignment horizontal="center" vertical="center" wrapText="1"/>
    </xf>
    <xf numFmtId="0" fontId="54" fillId="0" borderId="40" xfId="0" applyFont="1" applyBorder="1" applyAlignment="1">
      <alignment horizontal="center" vertical="center"/>
    </xf>
    <xf numFmtId="0" fontId="51" fillId="0" borderId="40" xfId="0" applyFont="1" applyBorder="1" applyAlignment="1">
      <alignment horizontal="center" vertical="center"/>
    </xf>
    <xf numFmtId="0" fontId="58" fillId="27" borderId="42" xfId="81" applyFont="1" applyFill="1" applyBorder="1" applyAlignment="1">
      <alignment horizontal="center" vertical="center"/>
    </xf>
    <xf numFmtId="0" fontId="51" fillId="0" borderId="40" xfId="0" applyNumberFormat="1" applyFont="1" applyBorder="1" applyAlignment="1">
      <alignment horizontal="center" vertical="center"/>
    </xf>
    <xf numFmtId="0" fontId="74" fillId="33" borderId="40" xfId="0" applyFont="1" applyFill="1" applyBorder="1">
      <alignment vertical="center"/>
    </xf>
    <xf numFmtId="0" fontId="78" fillId="0" borderId="0" xfId="0" applyNumberFormat="1" applyFont="1" applyFill="1" applyAlignment="1">
      <alignment horizontal="left" vertical="center" indent="1"/>
    </xf>
    <xf numFmtId="0" fontId="79" fillId="0" borderId="0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Border="1" applyAlignment="1">
      <alignment horizontal="left" vertical="center"/>
    </xf>
    <xf numFmtId="0" fontId="79" fillId="0" borderId="0" xfId="0" applyNumberFormat="1" applyFo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79" fillId="0" borderId="0" xfId="0" applyNumberFormat="1" applyFont="1" applyFill="1" applyAlignment="1">
      <alignment vertical="center"/>
    </xf>
    <xf numFmtId="0" fontId="78" fillId="0" borderId="0" xfId="0" applyNumberFormat="1" applyFont="1" applyFill="1" applyBorder="1" applyAlignment="1">
      <alignment vertical="center"/>
    </xf>
    <xf numFmtId="197" fontId="79" fillId="29" borderId="44" xfId="0" applyNumberFormat="1" applyFont="1" applyFill="1" applyBorder="1" applyAlignment="1">
      <alignment horizontal="center" vertical="center"/>
    </xf>
    <xf numFmtId="198" fontId="79" fillId="0" borderId="43" xfId="0" applyNumberFormat="1" applyFont="1" applyFill="1" applyBorder="1" applyAlignment="1">
      <alignment horizontal="center" vertical="center"/>
    </xf>
    <xf numFmtId="0" fontId="79" fillId="35" borderId="43" xfId="0" applyNumberFormat="1" applyFont="1" applyFill="1" applyBorder="1" applyAlignment="1">
      <alignment horizontal="center" vertical="center"/>
    </xf>
    <xf numFmtId="0" fontId="78" fillId="0" borderId="0" xfId="0" applyNumberFormat="1" applyFont="1" applyFill="1" applyAlignment="1">
      <alignment vertical="center"/>
    </xf>
    <xf numFmtId="0" fontId="78" fillId="0" borderId="0" xfId="0" applyNumberFormat="1" applyFont="1" applyFill="1" applyAlignment="1">
      <alignment horizontal="left" vertical="center"/>
    </xf>
    <xf numFmtId="199" fontId="79" fillId="0" borderId="45" xfId="0" applyNumberFormat="1" applyFont="1" applyFill="1" applyBorder="1" applyAlignment="1">
      <alignment horizontal="center" vertical="center"/>
    </xf>
    <xf numFmtId="0" fontId="79" fillId="35" borderId="45" xfId="0" applyNumberFormat="1" applyFont="1" applyFill="1" applyBorder="1" applyAlignment="1">
      <alignment horizontal="center" vertical="center"/>
    </xf>
    <xf numFmtId="0" fontId="47" fillId="0" borderId="40" xfId="79" applyNumberFormat="1" applyFont="1" applyFill="1" applyBorder="1" applyAlignment="1">
      <alignment horizontal="center" vertical="center"/>
    </xf>
    <xf numFmtId="204" fontId="66" fillId="0" borderId="0" xfId="0" applyNumberFormat="1" applyFont="1" applyBorder="1" applyAlignment="1">
      <alignment vertical="center"/>
    </xf>
    <xf numFmtId="0" fontId="66" fillId="0" borderId="0" xfId="0" applyFont="1" applyBorder="1" applyAlignment="1">
      <alignment horizontal="right" vertical="center"/>
    </xf>
    <xf numFmtId="205" fontId="66" fillId="0" borderId="0" xfId="0" applyNumberFormat="1" applyFont="1" applyBorder="1" applyAlignment="1">
      <alignment vertical="center"/>
    </xf>
    <xf numFmtId="206" fontId="66" fillId="0" borderId="0" xfId="0" applyNumberFormat="1" applyFont="1" applyBorder="1" applyAlignment="1">
      <alignment vertical="center"/>
    </xf>
    <xf numFmtId="0" fontId="53" fillId="0" borderId="0" xfId="0" applyNumberFormat="1" applyFont="1">
      <alignment vertical="center"/>
    </xf>
    <xf numFmtId="0" fontId="51" fillId="0" borderId="0" xfId="0" applyNumberFormat="1" applyFont="1">
      <alignment vertical="center"/>
    </xf>
    <xf numFmtId="0" fontId="51" fillId="0" borderId="0" xfId="78" applyNumberFormat="1" applyFont="1" applyFill="1" applyBorder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85" fillId="0" borderId="0" xfId="0" applyNumberFormat="1" applyFont="1" applyAlignment="1">
      <alignment horizontal="left" vertical="center" indent="1"/>
    </xf>
    <xf numFmtId="0" fontId="79" fillId="32" borderId="53" xfId="0" applyNumberFormat="1" applyFont="1" applyFill="1" applyBorder="1" applyAlignment="1">
      <alignment horizontal="center" vertical="center" wrapText="1"/>
    </xf>
    <xf numFmtId="0" fontId="79" fillId="0" borderId="52" xfId="0" applyNumberFormat="1" applyFont="1" applyFill="1" applyBorder="1" applyAlignment="1">
      <alignment horizontal="center" vertical="center"/>
    </xf>
    <xf numFmtId="0" fontId="79" fillId="36" borderId="52" xfId="0" applyNumberFormat="1" applyFont="1" applyFill="1" applyBorder="1" applyAlignment="1">
      <alignment horizontal="center" vertical="center"/>
    </xf>
    <xf numFmtId="0" fontId="79" fillId="0" borderId="45" xfId="0" applyNumberFormat="1" applyFont="1" applyFill="1" applyBorder="1" applyAlignment="1">
      <alignment horizontal="center" vertical="center"/>
    </xf>
    <xf numFmtId="0" fontId="79" fillId="34" borderId="52" xfId="0" applyNumberFormat="1" applyFont="1" applyFill="1" applyBorder="1" applyAlignment="1">
      <alignment horizontal="center" vertical="center"/>
    </xf>
    <xf numFmtId="0" fontId="80" fillId="28" borderId="52" xfId="0" applyNumberFormat="1" applyFont="1" applyFill="1" applyBorder="1" applyAlignment="1">
      <alignment horizontal="center" vertical="center"/>
    </xf>
    <xf numFmtId="0" fontId="86" fillId="28" borderId="52" xfId="0" applyNumberFormat="1" applyFont="1" applyFill="1" applyBorder="1" applyAlignment="1">
      <alignment horizontal="center" vertical="center"/>
    </xf>
    <xf numFmtId="0" fontId="4" fillId="28" borderId="53" xfId="0" applyNumberFormat="1" applyFont="1" applyFill="1" applyBorder="1" applyAlignment="1">
      <alignment horizontal="center" vertical="center"/>
    </xf>
    <xf numFmtId="49" fontId="80" fillId="28" borderId="52" xfId="0" applyNumberFormat="1" applyFont="1" applyFill="1" applyBorder="1" applyAlignment="1">
      <alignment horizontal="center" vertical="center"/>
    </xf>
    <xf numFmtId="190" fontId="80" fillId="28" borderId="52" xfId="0" applyNumberFormat="1" applyFont="1" applyFill="1" applyBorder="1" applyAlignment="1">
      <alignment horizontal="center" vertical="center"/>
    </xf>
    <xf numFmtId="0" fontId="79" fillId="0" borderId="52" xfId="78" applyNumberFormat="1" applyFont="1" applyFill="1" applyBorder="1" applyAlignment="1">
      <alignment horizontal="center" vertical="center"/>
    </xf>
    <xf numFmtId="0" fontId="79" fillId="32" borderId="52" xfId="0" applyNumberFormat="1" applyFont="1" applyFill="1" applyBorder="1" applyAlignment="1">
      <alignment horizontal="center" vertical="center" wrapText="1"/>
    </xf>
    <xf numFmtId="0" fontId="79" fillId="0" borderId="52" xfId="0" applyNumberFormat="1" applyFont="1" applyFill="1" applyBorder="1" applyAlignment="1">
      <alignment horizontal="center" vertical="center" wrapText="1"/>
    </xf>
    <xf numFmtId="0" fontId="79" fillId="0" borderId="52" xfId="0" applyNumberFormat="1" applyFont="1" applyBorder="1" applyAlignment="1">
      <alignment horizontal="center" vertical="center"/>
    </xf>
    <xf numFmtId="193" fontId="79" fillId="0" borderId="52" xfId="0" applyNumberFormat="1" applyFont="1" applyFill="1" applyBorder="1" applyAlignment="1">
      <alignment horizontal="center" vertical="center"/>
    </xf>
    <xf numFmtId="201" fontId="79" fillId="0" borderId="52" xfId="0" applyNumberFormat="1" applyFont="1" applyFill="1" applyBorder="1" applyAlignment="1">
      <alignment horizontal="center" vertical="center"/>
    </xf>
    <xf numFmtId="0" fontId="79" fillId="29" borderId="52" xfId="0" applyNumberFormat="1" applyFont="1" applyFill="1" applyBorder="1" applyAlignment="1">
      <alignment horizontal="center" vertical="center"/>
    </xf>
    <xf numFmtId="200" fontId="79" fillId="0" borderId="52" xfId="0" applyNumberFormat="1" applyFont="1" applyFill="1" applyBorder="1" applyAlignment="1">
      <alignment horizontal="center" vertical="center"/>
    </xf>
    <xf numFmtId="202" fontId="79" fillId="0" borderId="52" xfId="0" applyNumberFormat="1" applyFont="1" applyFill="1" applyBorder="1" applyAlignment="1">
      <alignment horizontal="center" vertical="center"/>
    </xf>
    <xf numFmtId="203" fontId="79" fillId="0" borderId="52" xfId="0" applyNumberFormat="1" applyFont="1" applyFill="1" applyBorder="1" applyAlignment="1">
      <alignment horizontal="center" vertical="center"/>
    </xf>
    <xf numFmtId="0" fontId="79" fillId="0" borderId="52" xfId="0" applyNumberFormat="1" applyFont="1" applyFill="1" applyBorder="1" applyAlignment="1">
      <alignment horizontal="left" vertical="center"/>
    </xf>
    <xf numFmtId="49" fontId="79" fillId="0" borderId="52" xfId="0" applyNumberFormat="1" applyFont="1" applyFill="1" applyBorder="1" applyAlignment="1">
      <alignment horizontal="left" vertical="center"/>
    </xf>
    <xf numFmtId="195" fontId="79" fillId="29" borderId="52" xfId="0" applyNumberFormat="1" applyFont="1" applyFill="1" applyBorder="1" applyAlignment="1">
      <alignment horizontal="center" vertical="center"/>
    </xf>
    <xf numFmtId="195" fontId="79" fillId="0" borderId="52" xfId="0" applyNumberFormat="1" applyFont="1" applyFill="1" applyBorder="1" applyAlignment="1">
      <alignment horizontal="center" vertical="center"/>
    </xf>
    <xf numFmtId="195" fontId="79" fillId="32" borderId="52" xfId="0" applyNumberFormat="1" applyFont="1" applyFill="1" applyBorder="1" applyAlignment="1">
      <alignment horizontal="center" vertical="center"/>
    </xf>
    <xf numFmtId="189" fontId="79" fillId="0" borderId="45" xfId="0" applyNumberFormat="1" applyFont="1" applyFill="1" applyBorder="1" applyAlignment="1">
      <alignment horizontal="center" vertical="center"/>
    </xf>
    <xf numFmtId="41" fontId="51" fillId="0" borderId="40" xfId="87" applyFont="1" applyBorder="1" applyAlignment="1">
      <alignment horizontal="center" vertical="center"/>
    </xf>
    <xf numFmtId="0" fontId="51" fillId="0" borderId="40" xfId="87" applyNumberFormat="1" applyFont="1" applyBorder="1" applyAlignment="1">
      <alignment horizontal="center" vertical="center"/>
    </xf>
    <xf numFmtId="207" fontId="51" fillId="0" borderId="40" xfId="87" applyNumberFormat="1" applyFont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2" fontId="79" fillId="32" borderId="52" xfId="86" applyNumberFormat="1" applyFont="1" applyFill="1" applyBorder="1" applyAlignment="1">
      <alignment horizontal="center" vertical="center" wrapText="1"/>
    </xf>
    <xf numFmtId="0" fontId="79" fillId="35" borderId="52" xfId="0" applyNumberFormat="1" applyFont="1" applyFill="1" applyBorder="1" applyAlignment="1">
      <alignment horizontal="center" vertical="center"/>
    </xf>
    <xf numFmtId="0" fontId="47" fillId="0" borderId="41" xfId="79" applyNumberFormat="1" applyFont="1" applyFill="1" applyBorder="1" applyAlignment="1">
      <alignment horizontal="center" vertical="center"/>
    </xf>
    <xf numFmtId="0" fontId="47" fillId="0" borderId="62" xfId="79" applyNumberFormat="1" applyFont="1" applyFill="1" applyBorder="1" applyAlignment="1">
      <alignment horizontal="center" vertical="center"/>
    </xf>
    <xf numFmtId="0" fontId="47" fillId="31" borderId="0" xfId="79" applyNumberFormat="1" applyFont="1" applyFill="1" applyBorder="1" applyAlignment="1">
      <alignment horizontal="center" vertical="center"/>
    </xf>
    <xf numFmtId="0" fontId="66" fillId="0" borderId="0" xfId="0" applyFont="1" applyBorder="1" applyAlignment="1">
      <alignment vertical="center" shrinkToFit="1"/>
    </xf>
    <xf numFmtId="0" fontId="6" fillId="28" borderId="53" xfId="0" applyNumberFormat="1" applyFont="1" applyFill="1" applyBorder="1" applyAlignment="1">
      <alignment horizontal="center" vertical="center"/>
    </xf>
    <xf numFmtId="0" fontId="1" fillId="0" borderId="52" xfId="78" applyNumberFormat="1" applyFont="1" applyFill="1" applyBorder="1" applyAlignment="1">
      <alignment horizontal="center" vertical="center"/>
    </xf>
    <xf numFmtId="196" fontId="1" fillId="0" borderId="52" xfId="78" applyNumberFormat="1" applyFont="1" applyFill="1" applyBorder="1" applyAlignment="1">
      <alignment horizontal="center" vertical="center"/>
    </xf>
    <xf numFmtId="49" fontId="1" fillId="0" borderId="52" xfId="78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vertical="center"/>
    </xf>
    <xf numFmtId="0" fontId="91" fillId="35" borderId="52" xfId="0" applyNumberFormat="1" applyFont="1" applyFill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0" fontId="79" fillId="37" borderId="52" xfId="0" applyNumberFormat="1" applyFont="1" applyFill="1" applyBorder="1" applyAlignment="1">
      <alignment horizontal="center" vertical="center"/>
    </xf>
    <xf numFmtId="0" fontId="79" fillId="32" borderId="52" xfId="0" applyNumberFormat="1" applyFont="1" applyFill="1" applyBorder="1" applyAlignment="1">
      <alignment horizontal="center" vertical="center"/>
    </xf>
    <xf numFmtId="0" fontId="6" fillId="28" borderId="53" xfId="0" applyNumberFormat="1" applyFont="1" applyFill="1" applyBorder="1" applyAlignment="1">
      <alignment horizontal="center" vertical="center" wrapText="1"/>
    </xf>
    <xf numFmtId="0" fontId="47" fillId="0" borderId="64" xfId="79" applyNumberFormat="1" applyFont="1" applyFill="1" applyBorder="1" applyAlignment="1">
      <alignment horizontal="right" vertical="center"/>
    </xf>
    <xf numFmtId="0" fontId="47" fillId="0" borderId="64" xfId="79" applyNumberFormat="1" applyFont="1" applyFill="1" applyBorder="1" applyAlignment="1">
      <alignment horizontal="left" vertical="center"/>
    </xf>
    <xf numFmtId="195" fontId="66" fillId="0" borderId="0" xfId="0" applyNumberFormat="1" applyFont="1" applyBorder="1" applyAlignment="1">
      <alignment horizontal="left" vertical="center"/>
    </xf>
    <xf numFmtId="0" fontId="66" fillId="0" borderId="0" xfId="0" applyFont="1" applyAlignment="1">
      <alignment horizontal="center" vertical="center"/>
    </xf>
    <xf numFmtId="208" fontId="66" fillId="0" borderId="0" xfId="0" applyNumberFormat="1" applyFont="1" applyBorder="1" applyAlignment="1">
      <alignment vertical="center"/>
    </xf>
    <xf numFmtId="208" fontId="66" fillId="0" borderId="64" xfId="0" applyNumberFormat="1" applyFont="1" applyBorder="1" applyAlignment="1">
      <alignment vertical="center"/>
    </xf>
    <xf numFmtId="194" fontId="66" fillId="0" borderId="64" xfId="0" applyNumberFormat="1" applyFont="1" applyBorder="1" applyAlignment="1">
      <alignment vertical="center"/>
    </xf>
    <xf numFmtId="0" fontId="66" fillId="0" borderId="39" xfId="0" applyNumberFormat="1" applyFont="1" applyBorder="1" applyAlignment="1">
      <alignment vertical="center"/>
    </xf>
    <xf numFmtId="0" fontId="66" fillId="0" borderId="64" xfId="0" applyFont="1" applyBorder="1">
      <alignment vertical="center"/>
    </xf>
    <xf numFmtId="0" fontId="47" fillId="0" borderId="47" xfId="79" applyNumberFormat="1" applyFont="1" applyFill="1" applyBorder="1" applyAlignment="1">
      <alignment horizontal="center" vertical="center"/>
    </xf>
    <xf numFmtId="0" fontId="47" fillId="0" borderId="41" xfId="79" applyNumberFormat="1" applyFont="1" applyFill="1" applyBorder="1" applyAlignment="1">
      <alignment horizontal="center" vertical="center"/>
    </xf>
    <xf numFmtId="0" fontId="47" fillId="0" borderId="63" xfId="79" applyNumberFormat="1" applyFont="1" applyFill="1" applyBorder="1" applyAlignment="1">
      <alignment horizontal="center" vertical="center"/>
    </xf>
    <xf numFmtId="0" fontId="80" fillId="28" borderId="52" xfId="0" applyNumberFormat="1" applyFont="1" applyFill="1" applyBorder="1" applyAlignment="1">
      <alignment horizontal="center" vertical="center" shrinkToFit="1"/>
    </xf>
    <xf numFmtId="0" fontId="82" fillId="35" borderId="66" xfId="78" applyNumberFormat="1" applyFont="1" applyFill="1" applyBorder="1" applyAlignment="1">
      <alignment horizontal="center" vertical="center"/>
    </xf>
    <xf numFmtId="0" fontId="94" fillId="0" borderId="52" xfId="0" applyNumberFormat="1" applyFont="1" applyFill="1" applyBorder="1" applyAlignment="1">
      <alignment horizontal="center" vertical="center"/>
    </xf>
    <xf numFmtId="0" fontId="53" fillId="0" borderId="0" xfId="0" applyNumberFormat="1" applyFont="1" applyBorder="1" applyAlignment="1">
      <alignment vertical="center"/>
    </xf>
    <xf numFmtId="0" fontId="83" fillId="0" borderId="0" xfId="0" applyFont="1" applyBorder="1">
      <alignment vertical="center"/>
    </xf>
    <xf numFmtId="0" fontId="7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64" fillId="0" borderId="0" xfId="0" quotePrefix="1" applyFont="1" applyBorder="1" applyAlignment="1">
      <alignment vertical="center"/>
    </xf>
    <xf numFmtId="210" fontId="66" fillId="0" borderId="0" xfId="0" applyNumberFormat="1" applyFont="1" applyBorder="1" applyAlignment="1">
      <alignment vertical="center"/>
    </xf>
    <xf numFmtId="213" fontId="66" fillId="0" borderId="0" xfId="0" applyNumberFormat="1" applyFont="1" applyBorder="1" applyAlignment="1"/>
    <xf numFmtId="0" fontId="66" fillId="0" borderId="0" xfId="0" applyNumberFormat="1" applyFont="1" applyBorder="1" applyAlignment="1"/>
    <xf numFmtId="0" fontId="97" fillId="0" borderId="0" xfId="0" applyFont="1" applyBorder="1" applyAlignment="1">
      <alignment vertical="center"/>
    </xf>
    <xf numFmtId="185" fontId="66" fillId="0" borderId="0" xfId="0" applyNumberFormat="1" applyFont="1" applyBorder="1" applyAlignment="1">
      <alignment vertical="center"/>
    </xf>
    <xf numFmtId="214" fontId="66" fillId="0" borderId="0" xfId="0" applyNumberFormat="1" applyFont="1" applyBorder="1" applyAlignment="1">
      <alignment vertical="center"/>
    </xf>
    <xf numFmtId="0" fontId="47" fillId="0" borderId="50" xfId="79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80" fillId="28" borderId="53" xfId="0" applyNumberFormat="1" applyFont="1" applyFill="1" applyBorder="1" applyAlignment="1">
      <alignment horizontal="center" vertical="center" wrapText="1"/>
    </xf>
    <xf numFmtId="0" fontId="80" fillId="28" borderId="66" xfId="0" applyNumberFormat="1" applyFont="1" applyFill="1" applyBorder="1" applyAlignment="1">
      <alignment horizontal="center" vertical="center"/>
    </xf>
    <xf numFmtId="0" fontId="80" fillId="28" borderId="52" xfId="0" applyNumberFormat="1" applyFont="1" applyFill="1" applyBorder="1" applyAlignment="1">
      <alignment horizontal="center" vertical="center" wrapText="1"/>
    </xf>
    <xf numFmtId="189" fontId="79" fillId="0" borderId="52" xfId="0" applyNumberFormat="1" applyFont="1" applyFill="1" applyBorder="1" applyAlignment="1">
      <alignment horizontal="center" vertical="center"/>
    </xf>
    <xf numFmtId="0" fontId="51" fillId="29" borderId="61" xfId="87" applyNumberFormat="1" applyFont="1" applyFill="1" applyBorder="1" applyAlignment="1">
      <alignment horizontal="center" vertical="center" wrapText="1"/>
    </xf>
    <xf numFmtId="0" fontId="80" fillId="28" borderId="52" xfId="0" applyNumberFormat="1" applyFont="1" applyFill="1" applyBorder="1" applyAlignment="1">
      <alignment horizontal="center" vertical="center" wrapText="1"/>
    </xf>
    <xf numFmtId="0" fontId="47" fillId="0" borderId="0" xfId="79" applyNumberFormat="1" applyFont="1" applyFill="1" applyAlignment="1">
      <alignment horizontal="left" vertical="center" indent="2"/>
    </xf>
    <xf numFmtId="0" fontId="79" fillId="0" borderId="46" xfId="0" applyNumberFormat="1" applyFont="1" applyFill="1" applyBorder="1" applyAlignment="1">
      <alignment horizontal="center" vertical="center"/>
    </xf>
    <xf numFmtId="0" fontId="66" fillId="0" borderId="0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0" fontId="64" fillId="0" borderId="0" xfId="0" applyFont="1" applyBorder="1" applyAlignment="1">
      <alignment horizontal="right" vertical="center"/>
    </xf>
    <xf numFmtId="0" fontId="66" fillId="0" borderId="0" xfId="0" applyNumberFormat="1" applyFont="1" applyBorder="1" applyAlignment="1">
      <alignment vertical="center" shrinkToFit="1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39" xfId="0" applyFont="1" applyBorder="1" applyAlignment="1">
      <alignment horizontal="center" vertical="center"/>
    </xf>
    <xf numFmtId="192" fontId="66" fillId="0" borderId="0" xfId="0" applyNumberFormat="1" applyFont="1" applyBorder="1" applyAlignment="1">
      <alignment vertical="center"/>
    </xf>
    <xf numFmtId="195" fontId="66" fillId="0" borderId="0" xfId="0" applyNumberFormat="1" applyFont="1" applyBorder="1" applyAlignment="1">
      <alignment vertical="center"/>
    </xf>
    <xf numFmtId="0" fontId="66" fillId="0" borderId="64" xfId="0" applyNumberFormat="1" applyFont="1" applyBorder="1" applyAlignment="1">
      <alignment vertical="center"/>
    </xf>
    <xf numFmtId="195" fontId="66" fillId="0" borderId="0" xfId="0" applyNumberFormat="1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205" fontId="66" fillId="0" borderId="0" xfId="0" applyNumberFormat="1" applyFont="1" applyBorder="1" applyAlignment="1">
      <alignment horizontal="center" vertical="center"/>
    </xf>
    <xf numFmtId="204" fontId="66" fillId="0" borderId="0" xfId="0" applyNumberFormat="1" applyFont="1" applyBorder="1" applyAlignment="1">
      <alignment horizontal="center" vertical="center"/>
    </xf>
    <xf numFmtId="0" fontId="79" fillId="0" borderId="52" xfId="0" applyNumberFormat="1" applyFont="1" applyFill="1" applyBorder="1" applyAlignment="1">
      <alignment horizontal="center" vertical="center" shrinkToFit="1"/>
    </xf>
    <xf numFmtId="0" fontId="80" fillId="28" borderId="66" xfId="0" applyNumberFormat="1" applyFont="1" applyFill="1" applyBorder="1" applyAlignment="1">
      <alignment horizontal="center" vertical="center" wrapText="1"/>
    </xf>
    <xf numFmtId="0" fontId="80" fillId="28" borderId="52" xfId="0" applyNumberFormat="1" applyFont="1" applyFill="1" applyBorder="1" applyAlignment="1">
      <alignment horizontal="center" vertical="center" wrapText="1"/>
    </xf>
    <xf numFmtId="0" fontId="66" fillId="0" borderId="0" xfId="0" applyFont="1" applyBorder="1" applyAlignment="1">
      <alignment vertical="center"/>
    </xf>
    <xf numFmtId="0" fontId="66" fillId="0" borderId="39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Border="1" applyAlignment="1">
      <alignment vertical="center"/>
    </xf>
    <xf numFmtId="211" fontId="66" fillId="0" borderId="64" xfId="0" applyNumberFormat="1" applyFont="1" applyBorder="1" applyAlignment="1">
      <alignment horizontal="center"/>
    </xf>
    <xf numFmtId="211" fontId="66" fillId="0" borderId="64" xfId="0" applyNumberFormat="1" applyFont="1" applyBorder="1" applyAlignment="1">
      <alignment vertical="center"/>
    </xf>
    <xf numFmtId="212" fontId="66" fillId="0" borderId="0" xfId="0" applyNumberFormat="1" applyFont="1" applyBorder="1" applyAlignment="1">
      <alignment vertical="center"/>
    </xf>
    <xf numFmtId="211" fontId="66" fillId="0" borderId="64" xfId="0" applyNumberFormat="1" applyFont="1" applyBorder="1" applyAlignment="1">
      <alignment horizontal="center" vertical="center"/>
    </xf>
    <xf numFmtId="0" fontId="66" fillId="0" borderId="0" xfId="0" applyFont="1" applyBorder="1" applyAlignment="1">
      <alignment vertical="center"/>
    </xf>
    <xf numFmtId="190" fontId="80" fillId="28" borderId="52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189" fontId="79" fillId="0" borderId="52" xfId="0" applyNumberFormat="1" applyFont="1" applyFill="1" applyBorder="1" applyAlignment="1">
      <alignment horizontal="center" vertical="center"/>
    </xf>
    <xf numFmtId="209" fontId="79" fillId="31" borderId="52" xfId="0" applyNumberFormat="1" applyFont="1" applyFill="1" applyBorder="1" applyAlignment="1">
      <alignment horizontal="center" vertical="center"/>
    </xf>
    <xf numFmtId="195" fontId="79" fillId="31" borderId="52" xfId="0" applyNumberFormat="1" applyFont="1" applyFill="1" applyBorder="1" applyAlignment="1">
      <alignment horizontal="center" vertical="center"/>
    </xf>
    <xf numFmtId="0" fontId="47" fillId="0" borderId="64" xfId="79" applyNumberFormat="1" applyFont="1" applyFill="1" applyBorder="1" applyAlignment="1">
      <alignment vertical="center"/>
    </xf>
    <xf numFmtId="0" fontId="49" fillId="0" borderId="64" xfId="80" applyNumberFormat="1" applyFont="1" applyFill="1" applyBorder="1" applyAlignment="1">
      <alignment horizontal="right" vertical="center"/>
    </xf>
    <xf numFmtId="0" fontId="47" fillId="0" borderId="64" xfId="79" applyNumberFormat="1" applyFont="1" applyFill="1" applyBorder="1" applyAlignment="1">
      <alignment horizontal="center" vertical="center"/>
    </xf>
    <xf numFmtId="49" fontId="59" fillId="0" borderId="0" xfId="79" applyNumberFormat="1" applyFont="1" applyFill="1" applyBorder="1" applyAlignment="1">
      <alignment vertical="center"/>
    </xf>
    <xf numFmtId="49" fontId="59" fillId="0" borderId="0" xfId="79" applyNumberFormat="1" applyFont="1" applyFill="1" applyBorder="1" applyAlignment="1">
      <alignment horizontal="center" vertical="center"/>
    </xf>
    <xf numFmtId="0" fontId="80" fillId="28" borderId="66" xfId="0" applyNumberFormat="1" applyFont="1" applyFill="1" applyBorder="1" applyAlignment="1">
      <alignment horizontal="center" vertical="center" wrapText="1"/>
    </xf>
    <xf numFmtId="215" fontId="100" fillId="38" borderId="64" xfId="107" applyNumberFormat="1" applyFont="1" applyFill="1" applyBorder="1" applyAlignment="1">
      <alignment horizontal="center" vertical="center" wrapText="1"/>
    </xf>
    <xf numFmtId="49" fontId="59" fillId="38" borderId="64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101" fillId="28" borderId="52" xfId="0" applyNumberFormat="1" applyFont="1" applyFill="1" applyBorder="1" applyAlignment="1">
      <alignment horizontal="center" vertical="center" wrapText="1"/>
    </xf>
    <xf numFmtId="0" fontId="102" fillId="0" borderId="52" xfId="0" applyNumberFormat="1" applyFont="1" applyFill="1" applyBorder="1" applyAlignment="1">
      <alignment horizontal="center" vertical="center"/>
    </xf>
    <xf numFmtId="189" fontId="79" fillId="0" borderId="52" xfId="0" applyNumberFormat="1" applyFont="1" applyFill="1" applyBorder="1" applyAlignment="1">
      <alignment horizontal="center" vertical="center"/>
    </xf>
    <xf numFmtId="0" fontId="103" fillId="28" borderId="52" xfId="0" applyNumberFormat="1" applyFont="1" applyFill="1" applyBorder="1" applyAlignment="1">
      <alignment horizontal="center" vertical="center" wrapText="1"/>
    </xf>
    <xf numFmtId="0" fontId="105" fillId="28" borderId="52" xfId="0" applyNumberFormat="1" applyFont="1" applyFill="1" applyBorder="1" applyAlignment="1">
      <alignment horizontal="center" vertical="center"/>
    </xf>
    <xf numFmtId="216" fontId="79" fillId="31" borderId="52" xfId="0" applyNumberFormat="1" applyFont="1" applyFill="1" applyBorder="1" applyAlignment="1">
      <alignment horizontal="center" vertical="center"/>
    </xf>
    <xf numFmtId="189" fontId="79" fillId="0" borderId="52" xfId="0" applyNumberFormat="1" applyFont="1" applyFill="1" applyBorder="1" applyAlignment="1">
      <alignment horizontal="center" vertical="center"/>
    </xf>
    <xf numFmtId="0" fontId="80" fillId="28" borderId="52" xfId="0" applyNumberFormat="1" applyFont="1" applyFill="1" applyBorder="1" applyAlignment="1">
      <alignment horizontal="center" vertical="center" wrapText="1"/>
    </xf>
    <xf numFmtId="0" fontId="80" fillId="28" borderId="5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vertical="center" shrinkToFit="1"/>
    </xf>
    <xf numFmtId="0" fontId="40" fillId="0" borderId="1" xfId="0" applyFont="1" applyFill="1" applyBorder="1" applyAlignment="1" applyProtection="1">
      <alignment horizontal="center" vertical="center" shrinkToFit="1"/>
    </xf>
    <xf numFmtId="0" fontId="7" fillId="29" borderId="1" xfId="0" applyFont="1" applyFill="1" applyBorder="1" applyAlignment="1" applyProtection="1">
      <alignment horizontal="center" vertical="center" shrinkToFit="1"/>
      <protection locked="0"/>
    </xf>
    <xf numFmtId="0" fontId="7" fillId="29" borderId="1" xfId="0" applyFont="1" applyFill="1" applyBorder="1" applyAlignment="1" applyProtection="1">
      <alignment vertical="center" shrinkToFit="1"/>
      <protection locked="0"/>
    </xf>
    <xf numFmtId="0" fontId="37" fillId="0" borderId="11" xfId="0" applyFont="1" applyFill="1" applyBorder="1" applyAlignment="1" applyProtection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left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49" fontId="7" fillId="0" borderId="1" xfId="0" applyNumberFormat="1" applyFont="1" applyFill="1" applyBorder="1" applyAlignment="1" applyProtection="1">
      <alignment horizontal="center" vertical="center" shrinkToFit="1"/>
    </xf>
    <xf numFmtId="49" fontId="7" fillId="0" borderId="1" xfId="0" applyNumberFormat="1" applyFont="1" applyFill="1" applyBorder="1" applyAlignment="1" applyProtection="1">
      <alignment vertical="center" shrinkToFit="1"/>
    </xf>
    <xf numFmtId="184" fontId="7" fillId="0" borderId="1" xfId="0" applyNumberFormat="1" applyFont="1" applyFill="1" applyBorder="1" applyAlignment="1" applyProtection="1">
      <alignment horizontal="center" vertical="center" shrinkToFit="1"/>
    </xf>
    <xf numFmtId="0" fontId="44" fillId="0" borderId="1" xfId="0" applyFont="1" applyFill="1" applyBorder="1" applyAlignment="1" applyProtection="1">
      <alignment horizontal="center" vertical="center" shrinkToFit="1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7" fillId="17" borderId="1" xfId="0" applyFont="1" applyFill="1" applyBorder="1" applyAlignment="1" applyProtection="1">
      <alignment horizontal="center" vertical="center" shrinkToFit="1"/>
      <protection locked="0"/>
    </xf>
    <xf numFmtId="0" fontId="7" fillId="29" borderId="11" xfId="0" applyFont="1" applyFill="1" applyBorder="1" applyAlignment="1" applyProtection="1">
      <alignment horizontal="left" vertical="center" wrapText="1"/>
    </xf>
    <xf numFmtId="0" fontId="7" fillId="29" borderId="14" xfId="0" applyFont="1" applyFill="1" applyBorder="1" applyAlignment="1" applyProtection="1">
      <alignment horizontal="left" vertical="center" wrapText="1"/>
    </xf>
    <xf numFmtId="0" fontId="7" fillId="29" borderId="16" xfId="0" applyFont="1" applyFill="1" applyBorder="1" applyAlignment="1" applyProtection="1">
      <alignment horizontal="left" vertical="center" wrapText="1"/>
    </xf>
    <xf numFmtId="0" fontId="7" fillId="0" borderId="21" xfId="0" applyNumberFormat="1" applyFont="1" applyFill="1" applyBorder="1" applyAlignment="1" applyProtection="1">
      <alignment horizontal="center" vertical="center" shrinkToFit="1"/>
    </xf>
    <xf numFmtId="0" fontId="7" fillId="0" borderId="18" xfId="0" applyNumberFormat="1" applyFont="1" applyFill="1" applyBorder="1" applyAlignment="1" applyProtection="1">
      <alignment horizontal="center" vertical="center" shrinkToFit="1"/>
    </xf>
    <xf numFmtId="0" fontId="40" fillId="29" borderId="22" xfId="0" applyFont="1" applyFill="1" applyBorder="1" applyAlignment="1" applyProtection="1">
      <alignment horizontal="left" vertical="center" wrapText="1"/>
    </xf>
    <xf numFmtId="0" fontId="40" fillId="29" borderId="16" xfId="0" applyFont="1" applyFill="1" applyBorder="1" applyAlignment="1" applyProtection="1">
      <alignment horizontal="left" vertical="center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13" xfId="0" applyFont="1" applyFill="1" applyBorder="1" applyAlignment="1" applyProtection="1">
      <alignment horizontal="center" vertical="center"/>
    </xf>
    <xf numFmtId="0" fontId="40" fillId="0" borderId="23" xfId="0" applyFont="1" applyFill="1" applyBorder="1" applyAlignment="1" applyProtection="1">
      <alignment horizontal="left" vertical="center" wrapText="1"/>
    </xf>
    <xf numFmtId="0" fontId="40" fillId="0" borderId="15" xfId="0" applyFont="1" applyFill="1" applyBorder="1" applyAlignment="1" applyProtection="1">
      <alignment horizontal="left" vertical="center"/>
    </xf>
    <xf numFmtId="0" fontId="40" fillId="0" borderId="24" xfId="0" applyFont="1" applyFill="1" applyBorder="1" applyAlignment="1" applyProtection="1">
      <alignment horizontal="left" vertical="center"/>
    </xf>
    <xf numFmtId="0" fontId="40" fillId="0" borderId="20" xfId="0" applyFont="1" applyFill="1" applyBorder="1" applyAlignment="1" applyProtection="1">
      <alignment horizontal="left" vertical="center"/>
    </xf>
    <xf numFmtId="0" fontId="62" fillId="0" borderId="28" xfId="0" applyFont="1" applyFill="1" applyBorder="1" applyAlignment="1" applyProtection="1">
      <alignment horizontal="left" vertical="center" wrapText="1"/>
      <protection locked="0"/>
    </xf>
    <xf numFmtId="0" fontId="62" fillId="0" borderId="29" xfId="0" applyFont="1" applyFill="1" applyBorder="1" applyAlignment="1" applyProtection="1">
      <alignment horizontal="left" vertical="center" wrapText="1"/>
      <protection locked="0"/>
    </xf>
    <xf numFmtId="0" fontId="62" fillId="0" borderId="30" xfId="0" applyFont="1" applyFill="1" applyBorder="1" applyAlignment="1" applyProtection="1">
      <alignment horizontal="left" vertical="center" wrapText="1"/>
      <protection locked="0"/>
    </xf>
    <xf numFmtId="0" fontId="62" fillId="0" borderId="31" xfId="0" applyFont="1" applyFill="1" applyBorder="1" applyAlignment="1" applyProtection="1">
      <alignment horizontal="left" vertical="center" wrapText="1"/>
      <protection locked="0"/>
    </xf>
    <xf numFmtId="0" fontId="62" fillId="0" borderId="0" xfId="0" applyFont="1" applyFill="1" applyBorder="1" applyAlignment="1" applyProtection="1">
      <alignment horizontal="left" vertical="center" wrapText="1"/>
      <protection locked="0"/>
    </xf>
    <xf numFmtId="0" fontId="62" fillId="0" borderId="32" xfId="0" applyFont="1" applyFill="1" applyBorder="1" applyAlignment="1" applyProtection="1">
      <alignment horizontal="left" vertical="center" wrapText="1"/>
      <protection locked="0"/>
    </xf>
    <xf numFmtId="0" fontId="62" fillId="0" borderId="18" xfId="0" applyFont="1" applyFill="1" applyBorder="1" applyAlignment="1" applyProtection="1">
      <alignment horizontal="left" vertical="center" wrapText="1"/>
      <protection locked="0"/>
    </xf>
    <xf numFmtId="0" fontId="62" fillId="0" borderId="19" xfId="0" applyFont="1" applyFill="1" applyBorder="1" applyAlignment="1" applyProtection="1">
      <alignment horizontal="left" vertical="center" wrapText="1"/>
      <protection locked="0"/>
    </xf>
    <xf numFmtId="0" fontId="62" fillId="0" borderId="20" xfId="0" applyFont="1" applyFill="1" applyBorder="1" applyAlignment="1" applyProtection="1">
      <alignment horizontal="left" vertical="center" wrapText="1"/>
      <protection locked="0"/>
    </xf>
    <xf numFmtId="0" fontId="62" fillId="0" borderId="26" xfId="0" applyFont="1" applyFill="1" applyBorder="1" applyAlignment="1">
      <alignment horizontal="center" vertical="center"/>
    </xf>
    <xf numFmtId="0" fontId="62" fillId="30" borderId="34" xfId="0" applyFont="1" applyFill="1" applyBorder="1" applyAlignment="1" applyProtection="1">
      <alignment horizontal="center" vertical="center"/>
      <protection locked="0"/>
    </xf>
    <xf numFmtId="0" fontId="62" fillId="0" borderId="35" xfId="0" applyFont="1" applyFill="1" applyBorder="1" applyAlignment="1">
      <alignment horizontal="center" vertical="center"/>
    </xf>
    <xf numFmtId="0" fontId="62" fillId="0" borderId="27" xfId="0" applyFont="1" applyFill="1" applyBorder="1" applyAlignment="1">
      <alignment horizontal="center" vertical="center" wrapText="1"/>
    </xf>
    <xf numFmtId="0" fontId="62" fillId="0" borderId="17" xfId="0" applyFont="1" applyFill="1" applyBorder="1" applyAlignment="1">
      <alignment horizontal="center" vertical="center" wrapText="1"/>
    </xf>
    <xf numFmtId="0" fontId="62" fillId="0" borderId="13" xfId="0" applyFont="1" applyFill="1" applyBorder="1" applyAlignment="1">
      <alignment horizontal="center" vertical="center" wrapText="1"/>
    </xf>
    <xf numFmtId="0" fontId="46" fillId="0" borderId="0" xfId="79" applyNumberFormat="1" applyFont="1" applyAlignment="1">
      <alignment horizontal="center" wrapText="1"/>
    </xf>
    <xf numFmtId="0" fontId="47" fillId="0" borderId="49" xfId="79" applyNumberFormat="1" applyFont="1" applyFill="1" applyBorder="1" applyAlignment="1">
      <alignment horizontal="center" vertical="center" wrapText="1"/>
    </xf>
    <xf numFmtId="0" fontId="47" fillId="0" borderId="50" xfId="79" applyNumberFormat="1" applyFont="1" applyFill="1" applyBorder="1" applyAlignment="1">
      <alignment horizontal="center" vertical="center" wrapText="1"/>
    </xf>
    <xf numFmtId="49" fontId="73" fillId="0" borderId="0" xfId="82" applyNumberFormat="1" applyFont="1" applyFill="1" applyBorder="1" applyAlignment="1">
      <alignment horizontal="center" vertical="center" wrapText="1"/>
    </xf>
    <xf numFmtId="0" fontId="59" fillId="38" borderId="0" xfId="0" applyNumberFormat="1" applyFont="1" applyFill="1" applyAlignment="1">
      <alignment horizontal="center" vertical="center"/>
    </xf>
    <xf numFmtId="49" fontId="59" fillId="38" borderId="0" xfId="79" applyNumberFormat="1" applyFont="1" applyFill="1" applyBorder="1" applyAlignment="1">
      <alignment horizontal="center" vertical="center"/>
    </xf>
    <xf numFmtId="49" fontId="59" fillId="38" borderId="64" xfId="79" applyNumberFormat="1" applyFont="1" applyFill="1" applyBorder="1" applyAlignment="1">
      <alignment horizontal="center" vertical="center"/>
    </xf>
    <xf numFmtId="215" fontId="59" fillId="38" borderId="0" xfId="0" applyNumberFormat="1" applyFont="1" applyFill="1" applyBorder="1" applyAlignment="1">
      <alignment horizontal="center" vertical="center" wrapText="1"/>
    </xf>
    <xf numFmtId="215" fontId="59" fillId="38" borderId="64" xfId="0" applyNumberFormat="1" applyFont="1" applyFill="1" applyBorder="1" applyAlignment="1">
      <alignment horizontal="center" vertical="center" wrapText="1"/>
    </xf>
    <xf numFmtId="49" fontId="59" fillId="38" borderId="0" xfId="0" applyNumberFormat="1" applyFont="1" applyFill="1" applyBorder="1" applyAlignment="1">
      <alignment horizontal="center" vertical="center"/>
    </xf>
    <xf numFmtId="49" fontId="59" fillId="38" borderId="64" xfId="0" applyNumberFormat="1" applyFont="1" applyFill="1" applyBorder="1" applyAlignment="1">
      <alignment horizontal="center" vertical="center"/>
    </xf>
    <xf numFmtId="215" fontId="47" fillId="38" borderId="0" xfId="0" applyNumberFormat="1" applyFont="1" applyFill="1" applyAlignment="1">
      <alignment horizontal="center" vertical="center"/>
    </xf>
    <xf numFmtId="215" fontId="47" fillId="38" borderId="64" xfId="0" applyNumberFormat="1" applyFont="1" applyFill="1" applyBorder="1" applyAlignment="1">
      <alignment horizontal="center" vertical="center"/>
    </xf>
    <xf numFmtId="215" fontId="100" fillId="38" borderId="0" xfId="107" applyNumberFormat="1" applyFont="1" applyFill="1" applyBorder="1" applyAlignment="1">
      <alignment horizontal="center" vertical="center" wrapText="1"/>
    </xf>
    <xf numFmtId="215" fontId="100" fillId="38" borderId="64" xfId="107" applyNumberFormat="1" applyFont="1" applyFill="1" applyBorder="1" applyAlignment="1">
      <alignment horizontal="center" vertical="center" wrapText="1"/>
    </xf>
    <xf numFmtId="215" fontId="100" fillId="38" borderId="0" xfId="107" applyNumberFormat="1" applyFont="1" applyFill="1" applyBorder="1" applyAlignment="1">
      <alignment horizontal="center" vertical="center"/>
    </xf>
    <xf numFmtId="215" fontId="100" fillId="38" borderId="64" xfId="107" applyNumberFormat="1" applyFont="1" applyFill="1" applyBorder="1" applyAlignment="1">
      <alignment horizontal="center" vertical="center"/>
    </xf>
    <xf numFmtId="0" fontId="59" fillId="38" borderId="0" xfId="0" applyNumberFormat="1" applyFont="1" applyFill="1" applyBorder="1" applyAlignment="1">
      <alignment horizontal="center" vertical="center"/>
    </xf>
    <xf numFmtId="0" fontId="59" fillId="38" borderId="64" xfId="0" applyNumberFormat="1" applyFont="1" applyFill="1" applyBorder="1" applyAlignment="1">
      <alignment horizontal="center" vertical="center"/>
    </xf>
    <xf numFmtId="215" fontId="47" fillId="38" borderId="0" xfId="0" applyNumberFormat="1" applyFont="1" applyFill="1" applyBorder="1" applyAlignment="1">
      <alignment horizontal="center" vertical="center"/>
    </xf>
    <xf numFmtId="215" fontId="59" fillId="38" borderId="0" xfId="0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47" fillId="0" borderId="50" xfId="79" applyNumberFormat="1" applyFont="1" applyFill="1" applyBorder="1" applyAlignment="1">
      <alignment horizontal="center" vertical="center"/>
    </xf>
    <xf numFmtId="0" fontId="46" fillId="0" borderId="0" xfId="79" applyFont="1" applyAlignment="1">
      <alignment horizontal="center" wrapText="1"/>
    </xf>
    <xf numFmtId="196" fontId="1" fillId="0" borderId="58" xfId="78" applyNumberFormat="1" applyFont="1" applyFill="1" applyBorder="1" applyAlignment="1">
      <alignment horizontal="center" vertical="center"/>
    </xf>
    <xf numFmtId="196" fontId="1" fillId="0" borderId="60" xfId="78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0" fontId="6" fillId="28" borderId="58" xfId="0" applyNumberFormat="1" applyFont="1" applyFill="1" applyBorder="1" applyAlignment="1">
      <alignment horizontal="center" vertical="center"/>
    </xf>
    <xf numFmtId="0" fontId="6" fillId="28" borderId="59" xfId="0" applyNumberFormat="1" applyFont="1" applyFill="1" applyBorder="1" applyAlignment="1">
      <alignment horizontal="center" vertical="center"/>
    </xf>
    <xf numFmtId="0" fontId="6" fillId="28" borderId="60" xfId="0" applyNumberFormat="1" applyFont="1" applyFill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206" fontId="66" fillId="0" borderId="0" xfId="0" applyNumberFormat="1" applyFont="1" applyBorder="1" applyAlignment="1">
      <alignment horizontal="center" vertical="center"/>
    </xf>
    <xf numFmtId="206" fontId="66" fillId="0" borderId="0" xfId="0" applyNumberFormat="1" applyFont="1" applyBorder="1" applyAlignment="1">
      <alignment horizontal="center" vertical="center" shrinkToFit="1"/>
    </xf>
    <xf numFmtId="204" fontId="66" fillId="0" borderId="0" xfId="0" applyNumberFormat="1" applyFont="1" applyBorder="1" applyAlignment="1">
      <alignment horizontal="center" vertical="center"/>
    </xf>
    <xf numFmtId="195" fontId="66" fillId="0" borderId="64" xfId="0" applyNumberFormat="1" applyFont="1" applyBorder="1" applyAlignment="1">
      <alignment horizontal="center" vertical="center"/>
    </xf>
    <xf numFmtId="195" fontId="66" fillId="0" borderId="0" xfId="0" applyNumberFormat="1" applyFont="1" applyBorder="1" applyAlignment="1">
      <alignment vertical="center"/>
    </xf>
    <xf numFmtId="205" fontId="66" fillId="0" borderId="0" xfId="0" applyNumberFormat="1" applyFont="1" applyBorder="1" applyAlignment="1">
      <alignment horizontal="center" vertical="center"/>
    </xf>
    <xf numFmtId="195" fontId="66" fillId="0" borderId="64" xfId="0" applyNumberFormat="1" applyFont="1" applyBorder="1" applyAlignment="1">
      <alignment vertical="center"/>
    </xf>
    <xf numFmtId="0" fontId="66" fillId="0" borderId="39" xfId="0" applyFont="1" applyBorder="1" applyAlignment="1">
      <alignment horizontal="center" vertical="center"/>
    </xf>
    <xf numFmtId="0" fontId="66" fillId="0" borderId="0" xfId="0" applyNumberFormat="1" applyFont="1" applyBorder="1" applyAlignment="1">
      <alignment horizontal="center" vertical="center"/>
    </xf>
    <xf numFmtId="0" fontId="64" fillId="0" borderId="39" xfId="0" applyFont="1" applyBorder="1" applyAlignment="1">
      <alignment horizontal="center" vertical="center"/>
    </xf>
    <xf numFmtId="0" fontId="64" fillId="0" borderId="64" xfId="0" applyFont="1" applyBorder="1" applyAlignment="1">
      <alignment horizontal="center" vertical="center"/>
    </xf>
    <xf numFmtId="0" fontId="66" fillId="0" borderId="0" xfId="0" applyFont="1" applyBorder="1" applyAlignment="1">
      <alignment vertical="center"/>
    </xf>
    <xf numFmtId="0" fontId="66" fillId="0" borderId="0" xfId="0" applyFont="1" applyBorder="1" applyAlignment="1">
      <alignment horizontal="center" vertical="center" shrinkToFit="1"/>
    </xf>
    <xf numFmtId="0" fontId="66" fillId="0" borderId="0" xfId="0" applyNumberFormat="1" applyFont="1" applyBorder="1" applyAlignment="1">
      <alignment vertical="center"/>
    </xf>
    <xf numFmtId="0" fontId="66" fillId="0" borderId="0" xfId="0" applyFont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0" fontId="66" fillId="0" borderId="0" xfId="0" applyNumberFormat="1" applyFont="1" applyBorder="1" applyAlignment="1">
      <alignment vertical="center" shrinkToFit="1"/>
    </xf>
    <xf numFmtId="212" fontId="66" fillId="0" borderId="0" xfId="0" applyNumberFormat="1" applyFont="1" applyBorder="1" applyAlignment="1">
      <alignment horizontal="center" vertical="center"/>
    </xf>
    <xf numFmtId="0" fontId="66" fillId="0" borderId="0" xfId="0" applyNumberFormat="1" applyFont="1" applyBorder="1" applyAlignment="1">
      <alignment horizontal="right" vertical="center"/>
    </xf>
    <xf numFmtId="0" fontId="66" fillId="0" borderId="0" xfId="0" applyFont="1" applyBorder="1" applyAlignment="1">
      <alignment horizontal="left" vertical="center"/>
    </xf>
    <xf numFmtId="0" fontId="66" fillId="0" borderId="64" xfId="0" applyNumberFormat="1" applyFont="1" applyBorder="1" applyAlignment="1">
      <alignment vertical="center"/>
    </xf>
    <xf numFmtId="212" fontId="66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185" fontId="66" fillId="0" borderId="0" xfId="0" applyNumberFormat="1" applyFont="1" applyBorder="1" applyAlignment="1">
      <alignment horizontal="left" vertical="center"/>
    </xf>
    <xf numFmtId="0" fontId="66" fillId="0" borderId="64" xfId="0" applyNumberFormat="1" applyFont="1" applyBorder="1" applyAlignment="1">
      <alignment horizontal="center" vertical="center"/>
    </xf>
    <xf numFmtId="0" fontId="66" fillId="0" borderId="64" xfId="0" applyFont="1" applyBorder="1" applyAlignment="1">
      <alignment horizontal="center"/>
    </xf>
    <xf numFmtId="0" fontId="66" fillId="0" borderId="41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62" xfId="0" applyFont="1" applyBorder="1" applyAlignment="1">
      <alignment horizontal="center" vertical="center"/>
    </xf>
    <xf numFmtId="0" fontId="66" fillId="0" borderId="32" xfId="0" applyFont="1" applyBorder="1" applyAlignment="1">
      <alignment horizontal="center" vertical="center"/>
    </xf>
    <xf numFmtId="0" fontId="66" fillId="0" borderId="63" xfId="0" applyFont="1" applyBorder="1" applyAlignment="1">
      <alignment horizontal="center" vertical="center"/>
    </xf>
    <xf numFmtId="0" fontId="66" fillId="0" borderId="65" xfId="0" applyFont="1" applyBorder="1" applyAlignment="1">
      <alignment horizontal="center" vertical="center"/>
    </xf>
    <xf numFmtId="0" fontId="66" fillId="0" borderId="47" xfId="0" applyFont="1" applyBorder="1" applyAlignment="1">
      <alignment horizontal="center" vertical="center"/>
    </xf>
    <xf numFmtId="0" fontId="66" fillId="0" borderId="51" xfId="0" applyFont="1" applyBorder="1" applyAlignment="1">
      <alignment horizontal="center" vertical="center"/>
    </xf>
    <xf numFmtId="0" fontId="66" fillId="0" borderId="48" xfId="0" applyFont="1" applyBorder="1" applyAlignment="1">
      <alignment horizontal="center" vertical="center"/>
    </xf>
    <xf numFmtId="0" fontId="66" fillId="0" borderId="40" xfId="0" applyFont="1" applyBorder="1" applyAlignment="1">
      <alignment horizontal="center" vertical="center"/>
    </xf>
    <xf numFmtId="0" fontId="66" fillId="0" borderId="49" xfId="0" applyFont="1" applyBorder="1" applyAlignment="1">
      <alignment horizontal="center" vertical="center"/>
    </xf>
    <xf numFmtId="0" fontId="64" fillId="0" borderId="47" xfId="0" applyFont="1" applyBorder="1" applyAlignment="1">
      <alignment horizontal="center" vertical="center"/>
    </xf>
    <xf numFmtId="0" fontId="64" fillId="0" borderId="51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/>
    </xf>
    <xf numFmtId="0" fontId="66" fillId="0" borderId="47" xfId="0" applyNumberFormat="1" applyFont="1" applyBorder="1" applyAlignment="1">
      <alignment horizontal="right" vertical="center"/>
    </xf>
    <xf numFmtId="0" fontId="66" fillId="0" borderId="51" xfId="0" applyNumberFormat="1" applyFont="1" applyBorder="1" applyAlignment="1">
      <alignment horizontal="right" vertical="center"/>
    </xf>
    <xf numFmtId="0" fontId="66" fillId="0" borderId="51" xfId="0" applyNumberFormat="1" applyFont="1" applyBorder="1" applyAlignment="1">
      <alignment vertical="center"/>
    </xf>
    <xf numFmtId="0" fontId="66" fillId="0" borderId="48" xfId="0" applyNumberFormat="1" applyFont="1" applyBorder="1" applyAlignment="1">
      <alignment vertical="center"/>
    </xf>
    <xf numFmtId="195" fontId="66" fillId="0" borderId="47" xfId="0" applyNumberFormat="1" applyFont="1" applyBorder="1" applyAlignment="1">
      <alignment vertical="center"/>
    </xf>
    <xf numFmtId="195" fontId="66" fillId="0" borderId="51" xfId="0" applyNumberFormat="1" applyFont="1" applyBorder="1" applyAlignment="1">
      <alignment vertical="center"/>
    </xf>
    <xf numFmtId="192" fontId="66" fillId="0" borderId="51" xfId="0" applyNumberFormat="1" applyFont="1" applyBorder="1" applyAlignment="1">
      <alignment vertical="center"/>
    </xf>
    <xf numFmtId="0" fontId="66" fillId="0" borderId="47" xfId="0" applyNumberFormat="1" applyFont="1" applyBorder="1" applyAlignment="1">
      <alignment horizontal="center" vertical="center"/>
    </xf>
    <xf numFmtId="0" fontId="66" fillId="0" borderId="51" xfId="0" applyNumberFormat="1" applyFont="1" applyBorder="1" applyAlignment="1">
      <alignment horizontal="center" vertical="center"/>
    </xf>
    <xf numFmtId="0" fontId="66" fillId="0" borderId="48" xfId="0" applyNumberFormat="1" applyFont="1" applyBorder="1" applyAlignment="1">
      <alignment horizontal="center" vertical="center"/>
    </xf>
    <xf numFmtId="192" fontId="66" fillId="0" borderId="48" xfId="0" applyNumberFormat="1" applyFont="1" applyBorder="1" applyAlignment="1">
      <alignment vertical="center"/>
    </xf>
    <xf numFmtId="0" fontId="66" fillId="0" borderId="47" xfId="0" applyNumberFormat="1" applyFont="1" applyBorder="1" applyAlignment="1">
      <alignment horizontal="center" vertical="center" shrinkToFit="1"/>
    </xf>
    <xf numFmtId="0" fontId="66" fillId="0" borderId="51" xfId="0" applyNumberFormat="1" applyFont="1" applyBorder="1" applyAlignment="1">
      <alignment horizontal="center" vertical="center" shrinkToFit="1"/>
    </xf>
    <xf numFmtId="0" fontId="66" fillId="0" borderId="48" xfId="0" applyNumberFormat="1" applyFont="1" applyBorder="1" applyAlignment="1">
      <alignment horizontal="center" vertical="center" shrinkToFit="1"/>
    </xf>
    <xf numFmtId="195" fontId="66" fillId="0" borderId="47" xfId="0" applyNumberFormat="1" applyFont="1" applyBorder="1" applyAlignment="1">
      <alignment horizontal="center" vertical="center"/>
    </xf>
    <xf numFmtId="195" fontId="66" fillId="0" borderId="51" xfId="0" applyNumberFormat="1" applyFont="1" applyBorder="1" applyAlignment="1">
      <alignment horizontal="center" vertical="center"/>
    </xf>
    <xf numFmtId="195" fontId="66" fillId="0" borderId="48" xfId="0" applyNumberFormat="1" applyFont="1" applyBorder="1" applyAlignment="1">
      <alignment horizontal="center" vertical="center"/>
    </xf>
    <xf numFmtId="0" fontId="66" fillId="32" borderId="47" xfId="0" applyFont="1" applyFill="1" applyBorder="1" applyAlignment="1">
      <alignment horizontal="center" vertical="center" wrapText="1"/>
    </xf>
    <xf numFmtId="0" fontId="66" fillId="32" borderId="51" xfId="0" applyFont="1" applyFill="1" applyBorder="1" applyAlignment="1">
      <alignment horizontal="center" vertical="center" wrapText="1"/>
    </xf>
    <xf numFmtId="0" fontId="66" fillId="32" borderId="48" xfId="0" applyFont="1" applyFill="1" applyBorder="1" applyAlignment="1">
      <alignment horizontal="center" vertical="center" wrapText="1"/>
    </xf>
    <xf numFmtId="0" fontId="66" fillId="32" borderId="41" xfId="0" applyFont="1" applyFill="1" applyBorder="1" applyAlignment="1">
      <alignment horizontal="center" vertical="center" wrapText="1"/>
    </xf>
    <xf numFmtId="0" fontId="66" fillId="32" borderId="39" xfId="0" applyFont="1" applyFill="1" applyBorder="1" applyAlignment="1">
      <alignment horizontal="center" vertical="center" wrapText="1"/>
    </xf>
    <xf numFmtId="0" fontId="66" fillId="32" borderId="42" xfId="0" applyFont="1" applyFill="1" applyBorder="1" applyAlignment="1">
      <alignment horizontal="center" vertical="center" wrapText="1"/>
    </xf>
    <xf numFmtId="0" fontId="66" fillId="32" borderId="63" xfId="0" applyFont="1" applyFill="1" applyBorder="1" applyAlignment="1">
      <alignment horizontal="center" vertical="center" wrapText="1"/>
    </xf>
    <xf numFmtId="0" fontId="66" fillId="32" borderId="64" xfId="0" applyFont="1" applyFill="1" applyBorder="1" applyAlignment="1">
      <alignment horizontal="center" vertical="center" wrapText="1"/>
    </xf>
    <xf numFmtId="0" fontId="66" fillId="32" borderId="65" xfId="0" applyFont="1" applyFill="1" applyBorder="1" applyAlignment="1">
      <alignment horizontal="center" vertical="center" wrapText="1"/>
    </xf>
    <xf numFmtId="0" fontId="51" fillId="32" borderId="54" xfId="0" applyNumberFormat="1" applyFont="1" applyFill="1" applyBorder="1" applyAlignment="1">
      <alignment horizontal="center" vertical="center" shrinkToFit="1"/>
    </xf>
    <xf numFmtId="0" fontId="66" fillId="0" borderId="54" xfId="0" applyNumberFormat="1" applyFont="1" applyBorder="1" applyAlignment="1">
      <alignment horizontal="center" vertical="center" shrinkToFit="1"/>
    </xf>
    <xf numFmtId="0" fontId="64" fillId="0" borderId="63" xfId="0" applyFont="1" applyBorder="1" applyAlignment="1">
      <alignment horizontal="center" vertical="center"/>
    </xf>
    <xf numFmtId="0" fontId="64" fillId="0" borderId="65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68" fillId="0" borderId="64" xfId="0" applyFont="1" applyBorder="1" applyAlignment="1">
      <alignment horizontal="center" vertical="center"/>
    </xf>
    <xf numFmtId="0" fontId="68" fillId="0" borderId="65" xfId="0" applyFont="1" applyBorder="1" applyAlignment="1">
      <alignment horizontal="center" vertical="center"/>
    </xf>
    <xf numFmtId="0" fontId="66" fillId="0" borderId="47" xfId="0" applyNumberFormat="1" applyFont="1" applyBorder="1" applyAlignment="1">
      <alignment vertical="center"/>
    </xf>
    <xf numFmtId="0" fontId="66" fillId="0" borderId="47" xfId="0" applyFont="1" applyBorder="1" applyAlignment="1">
      <alignment vertical="center"/>
    </xf>
    <xf numFmtId="0" fontId="66" fillId="0" borderId="51" xfId="0" applyFont="1" applyBorder="1" applyAlignment="1">
      <alignment vertical="center"/>
    </xf>
    <xf numFmtId="0" fontId="66" fillId="0" borderId="51" xfId="0" applyFont="1" applyBorder="1" applyAlignment="1">
      <alignment horizontal="left" vertical="center"/>
    </xf>
    <xf numFmtId="0" fontId="66" fillId="0" borderId="48" xfId="0" applyFont="1" applyBorder="1" applyAlignment="1">
      <alignment horizontal="left" vertical="center"/>
    </xf>
    <xf numFmtId="195" fontId="66" fillId="0" borderId="0" xfId="0" applyNumberFormat="1" applyFont="1" applyBorder="1" applyAlignment="1">
      <alignment horizontal="center" vertical="center"/>
    </xf>
    <xf numFmtId="192" fontId="66" fillId="0" borderId="0" xfId="0" applyNumberFormat="1" applyFont="1" applyBorder="1" applyAlignment="1">
      <alignment vertical="center"/>
    </xf>
    <xf numFmtId="0" fontId="51" fillId="0" borderId="39" xfId="0" applyFont="1" applyBorder="1" applyAlignment="1">
      <alignment horizontal="center" vertical="center"/>
    </xf>
    <xf numFmtId="0" fontId="66" fillId="0" borderId="0" xfId="0" applyFont="1" applyBorder="1">
      <alignment vertical="center"/>
    </xf>
    <xf numFmtId="201" fontId="66" fillId="0" borderId="0" xfId="0" applyNumberFormat="1" applyFont="1" applyBorder="1" applyAlignment="1">
      <alignment horizontal="center" vertical="center"/>
    </xf>
    <xf numFmtId="195" fontId="66" fillId="0" borderId="0" xfId="0" applyNumberFormat="1" applyFont="1" applyBorder="1" applyAlignment="1">
      <alignment horizontal="right" vertical="center"/>
    </xf>
    <xf numFmtId="0" fontId="80" fillId="28" borderId="52" xfId="0" applyNumberFormat="1" applyFont="1" applyFill="1" applyBorder="1" applyAlignment="1">
      <alignment horizontal="center" vertical="center" wrapText="1"/>
    </xf>
    <xf numFmtId="0" fontId="80" fillId="28" borderId="58" xfId="0" applyNumberFormat="1" applyFont="1" applyFill="1" applyBorder="1" applyAlignment="1">
      <alignment horizontal="center" vertical="center" wrapText="1"/>
    </xf>
    <xf numFmtId="0" fontId="80" fillId="28" borderId="60" xfId="0" applyNumberFormat="1" applyFont="1" applyFill="1" applyBorder="1" applyAlignment="1">
      <alignment horizontal="center" vertical="center" wrapText="1"/>
    </xf>
    <xf numFmtId="0" fontId="80" fillId="28" borderId="53" xfId="0" applyNumberFormat="1" applyFont="1" applyFill="1" applyBorder="1" applyAlignment="1">
      <alignment horizontal="center" vertical="center" wrapText="1"/>
    </xf>
    <xf numFmtId="0" fontId="80" fillId="28" borderId="66" xfId="0" applyNumberFormat="1" applyFont="1" applyFill="1" applyBorder="1" applyAlignment="1">
      <alignment horizontal="center" vertical="center" wrapText="1"/>
    </xf>
    <xf numFmtId="190" fontId="80" fillId="28" borderId="53" xfId="0" applyNumberFormat="1" applyFont="1" applyFill="1" applyBorder="1" applyAlignment="1">
      <alignment horizontal="center" vertical="center" wrapText="1"/>
    </xf>
    <xf numFmtId="190" fontId="80" fillId="28" borderId="66" xfId="0" applyNumberFormat="1" applyFont="1" applyFill="1" applyBorder="1" applyAlignment="1">
      <alignment horizontal="center" vertical="center" wrapText="1"/>
    </xf>
    <xf numFmtId="0" fontId="80" fillId="28" borderId="58" xfId="0" applyNumberFormat="1" applyFont="1" applyFill="1" applyBorder="1" applyAlignment="1">
      <alignment horizontal="center" vertical="center"/>
    </xf>
    <xf numFmtId="0" fontId="80" fillId="28" borderId="59" xfId="0" applyNumberFormat="1" applyFont="1" applyFill="1" applyBorder="1" applyAlignment="1">
      <alignment horizontal="center" vertical="center"/>
    </xf>
    <xf numFmtId="0" fontId="80" fillId="28" borderId="60" xfId="0" applyNumberFormat="1" applyFont="1" applyFill="1" applyBorder="1" applyAlignment="1">
      <alignment horizontal="center" vertical="center"/>
    </xf>
    <xf numFmtId="0" fontId="80" fillId="28" borderId="59" xfId="0" applyNumberFormat="1" applyFont="1" applyFill="1" applyBorder="1" applyAlignment="1">
      <alignment horizontal="center" vertical="center" wrapText="1"/>
    </xf>
    <xf numFmtId="0" fontId="80" fillId="28" borderId="53" xfId="0" applyNumberFormat="1" applyFont="1" applyFill="1" applyBorder="1" applyAlignment="1">
      <alignment horizontal="center" vertical="center"/>
    </xf>
    <xf numFmtId="0" fontId="80" fillId="28" borderId="67" xfId="0" applyNumberFormat="1" applyFont="1" applyFill="1" applyBorder="1" applyAlignment="1">
      <alignment horizontal="center" vertical="center"/>
    </xf>
    <xf numFmtId="0" fontId="80" fillId="28" borderId="66" xfId="0" applyNumberFormat="1" applyFont="1" applyFill="1" applyBorder="1" applyAlignment="1">
      <alignment horizontal="center" vertical="center"/>
    </xf>
    <xf numFmtId="189" fontId="79" fillId="0" borderId="52" xfId="0" applyNumberFormat="1" applyFont="1" applyFill="1" applyBorder="1" applyAlignment="1">
      <alignment horizontal="center" vertical="center"/>
    </xf>
    <xf numFmtId="188" fontId="79" fillId="32" borderId="53" xfId="86" applyNumberFormat="1" applyFont="1" applyFill="1" applyBorder="1" applyAlignment="1">
      <alignment horizontal="center" vertical="center" wrapText="1"/>
    </xf>
    <xf numFmtId="188" fontId="79" fillId="32" borderId="66" xfId="86" applyNumberFormat="1" applyFont="1" applyFill="1" applyBorder="1" applyAlignment="1">
      <alignment horizontal="center" vertical="center" wrapText="1"/>
    </xf>
    <xf numFmtId="0" fontId="80" fillId="28" borderId="67" xfId="0" applyNumberFormat="1" applyFont="1" applyFill="1" applyBorder="1" applyAlignment="1">
      <alignment horizontal="center" vertical="center" wrapText="1"/>
    </xf>
    <xf numFmtId="193" fontId="79" fillId="0" borderId="58" xfId="0" applyNumberFormat="1" applyFont="1" applyFill="1" applyBorder="1" applyAlignment="1">
      <alignment horizontal="center" vertical="center"/>
    </xf>
    <xf numFmtId="193" fontId="79" fillId="0" borderId="59" xfId="0" applyNumberFormat="1" applyFont="1" applyFill="1" applyBorder="1" applyAlignment="1">
      <alignment horizontal="center" vertical="center"/>
    </xf>
    <xf numFmtId="193" fontId="79" fillId="0" borderId="60" xfId="0" applyNumberFormat="1" applyFont="1" applyFill="1" applyBorder="1" applyAlignment="1">
      <alignment horizontal="center" vertical="center"/>
    </xf>
    <xf numFmtId="207" fontId="51" fillId="0" borderId="49" xfId="87" applyNumberFormat="1" applyFont="1" applyBorder="1" applyAlignment="1">
      <alignment horizontal="center" vertical="center"/>
    </xf>
    <xf numFmtId="207" fontId="51" fillId="0" borderId="61" xfId="87" applyNumberFormat="1" applyFont="1" applyBorder="1" applyAlignment="1">
      <alignment horizontal="center" vertical="center"/>
    </xf>
    <xf numFmtId="207" fontId="51" fillId="0" borderId="50" xfId="87" applyNumberFormat="1" applyFont="1" applyBorder="1" applyAlignment="1">
      <alignment horizontal="center" vertical="center"/>
    </xf>
    <xf numFmtId="190" fontId="80" fillId="28" borderId="58" xfId="0" applyNumberFormat="1" applyFont="1" applyFill="1" applyBorder="1" applyAlignment="1">
      <alignment horizontal="center" vertical="center" wrapText="1"/>
    </xf>
    <xf numFmtId="190" fontId="80" fillId="28" borderId="60" xfId="0" applyNumberFormat="1" applyFont="1" applyFill="1" applyBorder="1" applyAlignment="1">
      <alignment horizontal="center" vertical="center" wrapText="1"/>
    </xf>
    <xf numFmtId="0" fontId="80" fillId="28" borderId="68" xfId="0" applyNumberFormat="1" applyFont="1" applyFill="1" applyBorder="1" applyAlignment="1">
      <alignment horizontal="center" vertical="center" wrapText="1"/>
    </xf>
    <xf numFmtId="0" fontId="51" fillId="0" borderId="69" xfId="0" applyNumberFormat="1" applyFont="1" applyBorder="1" applyAlignment="1">
      <alignment vertical="center"/>
    </xf>
    <xf numFmtId="0" fontId="51" fillId="0" borderId="61" xfId="87" applyNumberFormat="1" applyFont="1" applyBorder="1" applyAlignment="1">
      <alignment horizontal="center" vertical="center" wrapText="1"/>
    </xf>
    <xf numFmtId="9" fontId="51" fillId="29" borderId="61" xfId="86" applyFont="1" applyFill="1" applyBorder="1" applyAlignment="1">
      <alignment horizontal="center" vertical="center" wrapText="1"/>
    </xf>
    <xf numFmtId="0" fontId="51" fillId="0" borderId="71" xfId="87" applyNumberFormat="1" applyFont="1" applyBorder="1" applyAlignment="1">
      <alignment horizontal="center" vertical="center" wrapText="1"/>
    </xf>
    <xf numFmtId="0" fontId="51" fillId="0" borderId="72" xfId="0" applyNumberFormat="1" applyFont="1" applyBorder="1" applyAlignment="1">
      <alignment horizontal="center" vertical="center"/>
    </xf>
    <xf numFmtId="0" fontId="51" fillId="0" borderId="69" xfId="0" applyNumberFormat="1" applyFont="1" applyBorder="1" applyAlignment="1">
      <alignment horizontal="center" vertical="center"/>
    </xf>
    <xf numFmtId="0" fontId="51" fillId="0" borderId="54" xfId="0" applyNumberFormat="1" applyFont="1" applyBorder="1" applyAlignment="1">
      <alignment horizontal="center" vertical="center"/>
    </xf>
    <xf numFmtId="0" fontId="51" fillId="29" borderId="72" xfId="0" applyNumberFormat="1" applyFont="1" applyFill="1" applyBorder="1" applyAlignment="1">
      <alignment vertical="center"/>
    </xf>
    <xf numFmtId="41" fontId="51" fillId="0" borderId="54" xfId="87" applyFont="1" applyBorder="1" applyAlignment="1">
      <alignment horizontal="center" vertical="center"/>
    </xf>
    <xf numFmtId="0" fontId="51" fillId="0" borderId="70" xfId="87" applyNumberFormat="1" applyFont="1" applyBorder="1" applyAlignment="1">
      <alignment horizontal="center" vertical="center" wrapText="1"/>
    </xf>
    <xf numFmtId="0" fontId="51" fillId="0" borderId="72" xfId="0" applyNumberFormat="1" applyFont="1" applyBorder="1" applyAlignment="1">
      <alignment vertical="center"/>
    </xf>
    <xf numFmtId="0" fontId="51" fillId="0" borderId="69" xfId="0" applyNumberFormat="1" applyFont="1" applyBorder="1" applyAlignment="1">
      <alignment horizontal="left" vertical="center"/>
    </xf>
    <xf numFmtId="0" fontId="51" fillId="0" borderId="54" xfId="0" applyNumberFormat="1" applyFont="1" applyBorder="1" applyAlignment="1">
      <alignment horizontal="center" vertical="center" shrinkToFit="1"/>
    </xf>
    <xf numFmtId="41" fontId="51" fillId="0" borderId="54" xfId="0" applyNumberFormat="1" applyFont="1" applyBorder="1" applyAlignment="1">
      <alignment horizontal="center" vertical="center"/>
    </xf>
    <xf numFmtId="41" fontId="51" fillId="0" borderId="54" xfId="87" applyNumberFormat="1" applyFont="1" applyBorder="1" applyAlignment="1">
      <alignment horizontal="center" vertical="center"/>
    </xf>
  </cellXfs>
  <cellStyles count="15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27"/>
    <cellStyle name="Input [yellow] 2 3" xfId="115"/>
    <cellStyle name="Input [yellow] 2 3 2" xfId="143"/>
    <cellStyle name="Input [yellow] 3" xfId="97"/>
    <cellStyle name="Input [yellow] 3 2" xfId="124"/>
    <cellStyle name="Input [yellow] 4" xfId="112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28"/>
    <cellStyle name="계산 2 3" xfId="116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29"/>
    <cellStyle name="메모 2 2 2" xfId="149"/>
    <cellStyle name="메모 2 3" xfId="117"/>
    <cellStyle name="메모 3" xfId="99"/>
    <cellStyle name="메모 3 2" xfId="125"/>
    <cellStyle name="메모 3 2 2" xfId="147"/>
    <cellStyle name="메모 3 3" xfId="140"/>
    <cellStyle name="메모 4" xfId="113"/>
    <cellStyle name="메모 4 2" xfId="14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2 2 2" xfId="152"/>
    <cellStyle name="쉼표 [0] 2 2 2 3" xfId="135"/>
    <cellStyle name="쉼표 [0] 2 2 3" xfId="123"/>
    <cellStyle name="쉼표 [0] 2 2 3 2" xfId="146"/>
    <cellStyle name="쉼표 [0] 2 2 4" xfId="139"/>
    <cellStyle name="쉼표 [0] 2 2 5" xfId="111"/>
    <cellStyle name="쉼표 [0] 2 3" xfId="104"/>
    <cellStyle name="쉼표 [0] 2 3 2" xfId="150"/>
    <cellStyle name="쉼표 [0] 2 3 3" xfId="133"/>
    <cellStyle name="쉼표 [0] 2 4" xfId="121"/>
    <cellStyle name="쉼표 [0] 2 4 2" xfId="144"/>
    <cellStyle name="쉼표 [0] 2 5" xfId="137"/>
    <cellStyle name="쉼표 [0] 2 6" xfId="109"/>
    <cellStyle name="쉼표 [0] 3" xfId="95"/>
    <cellStyle name="쉼표 [0] 3 2" xfId="105"/>
    <cellStyle name="쉼표 [0] 3 2 2" xfId="151"/>
    <cellStyle name="쉼표 [0] 3 2 3" xfId="134"/>
    <cellStyle name="쉼표 [0] 3 3" xfId="122"/>
    <cellStyle name="쉼표 [0] 3 3 2" xfId="145"/>
    <cellStyle name="쉼표 [0] 3 4" xfId="138"/>
    <cellStyle name="쉼표 [0] 3 5" xfId="110"/>
    <cellStyle name="쉼표 [0] 4" xfId="103"/>
    <cellStyle name="쉼표 [0] 4 2" xfId="148"/>
    <cellStyle name="쉼표 [0] 4 3" xfId="126"/>
    <cellStyle name="쉼표 [0] 5" xfId="114"/>
    <cellStyle name="쉼표 [0] 5 2" xfId="142"/>
    <cellStyle name="쉼표 [0] 6" xfId="136"/>
    <cellStyle name="쉼표 [0] 7" xfId="108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30"/>
    <cellStyle name="요약 2 3" xfId="118"/>
    <cellStyle name="요약 3" xfId="100"/>
    <cellStyle name="입력" xfId="59" builtinId="20" customBuiltin="1"/>
    <cellStyle name="입력 2" xfId="92"/>
    <cellStyle name="입력 2 2" xfId="131"/>
    <cellStyle name="입력 2 3" xfId="119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32"/>
    <cellStyle name="출력 2 3" xfId="120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14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57475" y="3090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57475" y="3090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14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57475" y="3090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57475" y="3090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14</xdr:row>
      <xdr:rowOff>9525</xdr:rowOff>
    </xdr:from>
    <xdr:to>
      <xdr:col>7</xdr:col>
      <xdr:colOff>267929</xdr:colOff>
      <xdr:row>14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68</xdr:row>
      <xdr:rowOff>61912</xdr:rowOff>
    </xdr:from>
    <xdr:ext cx="70602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1228725" y="16416337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1228725" y="16416337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38100</xdr:colOff>
      <xdr:row>55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019300" y="1685448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019300" y="1685448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55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14625" y="1685448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14625" y="1685448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150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4381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4381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152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428625" y="399621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428625" y="399621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158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1838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1838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157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3371850" y="4115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3371850" y="4115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57</xdr:row>
      <xdr:rowOff>61912</xdr:rowOff>
    </xdr:from>
    <xdr:ext cx="692626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228725" y="13796962"/>
              <a:ext cx="692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228725" y="13796962"/>
              <a:ext cx="692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𝑐_𝑑=(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66675</xdr:colOff>
      <xdr:row>63</xdr:row>
      <xdr:rowOff>4762</xdr:rowOff>
    </xdr:from>
    <xdr:ext cx="160242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3419475" y="1874043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b>
                            <m:sSub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3419475" y="1874043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66675</xdr:colOff>
      <xdr:row>65</xdr:row>
      <xdr:rowOff>4762</xdr:rowOff>
    </xdr:from>
    <xdr:ext cx="2345579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2352675" y="1921668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                        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2352675" y="1921668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  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141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2000250" y="373332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2000250" y="373332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61912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1228725" y="34275712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1228725" y="34275712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150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15049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15049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150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25717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25717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150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36385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36385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150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47053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47053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158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2600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2600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158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3362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3362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158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4124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4124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158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4886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4886325" y="4139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16</xdr:row>
      <xdr:rowOff>76200</xdr:rowOff>
    </xdr:from>
    <xdr:ext cx="437607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161925" y="4048125"/>
              <a:ext cx="437607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161925" y="4048125"/>
              <a:ext cx="437607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𝑙_𝑥=𝑑+𝑙_𝑠−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22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485775" y="90106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485775" y="90106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29</xdr:row>
      <xdr:rowOff>19050</xdr:rowOff>
    </xdr:from>
    <xdr:ext cx="6367384" cy="205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309562" y="7086600"/>
              <a:ext cx="636738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309562" y="7086600"/>
              <a:ext cx="636738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)=𝑐_𝑑^2∙𝑢^2 (𝑑)+𝑐_(𝑙_𝑠)^2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31</xdr:row>
      <xdr:rowOff>52394</xdr:rowOff>
    </xdr:from>
    <xdr:ext cx="6646499" cy="711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/>
            <xdr:cNvSpPr txBox="1"/>
          </xdr:nvSpPr>
          <xdr:spPr>
            <a:xfrm>
              <a:off x="461962" y="11168069"/>
              <a:ext cx="6646499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/>
            <xdr:cNvSpPr txBox="1"/>
          </xdr:nvSpPr>
          <xdr:spPr>
            <a:xfrm>
              <a:off x="461962" y="11168069"/>
              <a:ext cx="6646499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𝑐_𝑑=(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=1,  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41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704850" y="1352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704850" y="1352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</xdr:colOff>
      <xdr:row>73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3971925" y="2114550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3971925" y="2114550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74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4124325" y="21631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4124325" y="21631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76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3514725" y="2190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3514725" y="2190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79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5"/>
            <xdr:cNvSpPr txBox="1"/>
          </xdr:nvSpPr>
          <xdr:spPr>
            <a:xfrm>
              <a:off x="4181474" y="2256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5"/>
            <xdr:cNvSpPr txBox="1"/>
          </xdr:nvSpPr>
          <xdr:spPr>
            <a:xfrm>
              <a:off x="4181474" y="2256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80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1381124" y="2298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1381124" y="2298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84</xdr:row>
      <xdr:rowOff>57150</xdr:rowOff>
    </xdr:from>
    <xdr:ext cx="137108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228725" y="23793450"/>
              <a:ext cx="13710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228725" y="23793450"/>
              <a:ext cx="13710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87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1076324" y="2446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1076324" y="2446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114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23975" y="3093720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23975" y="3093720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100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2760345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2760345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130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333500" y="3474720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333500" y="3474720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89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5"/>
            <xdr:cNvSpPr txBox="1"/>
          </xdr:nvSpPr>
          <xdr:spPr>
            <a:xfrm>
              <a:off x="1076324" y="2497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3" name="TextBox 5"/>
            <xdr:cNvSpPr txBox="1"/>
          </xdr:nvSpPr>
          <xdr:spPr>
            <a:xfrm>
              <a:off x="1076324" y="2497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112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4"/>
            <xdr:cNvSpPr txBox="1"/>
          </xdr:nvSpPr>
          <xdr:spPr>
            <a:xfrm>
              <a:off x="1381124" y="30416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4"/>
            <xdr:cNvSpPr txBox="1"/>
          </xdr:nvSpPr>
          <xdr:spPr>
            <a:xfrm>
              <a:off x="1381124" y="304165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123824</xdr:colOff>
      <xdr:row>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5"/>
            <xdr:cNvSpPr txBox="1"/>
          </xdr:nvSpPr>
          <xdr:spPr>
            <a:xfrm>
              <a:off x="2105024" y="235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5"/>
            <xdr:cNvSpPr txBox="1"/>
          </xdr:nvSpPr>
          <xdr:spPr>
            <a:xfrm>
              <a:off x="2105024" y="23526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117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1076324" y="3160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1076324" y="3160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119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5"/>
            <xdr:cNvSpPr txBox="1"/>
          </xdr:nvSpPr>
          <xdr:spPr>
            <a:xfrm>
              <a:off x="1076325" y="3211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7" name="TextBox 5"/>
            <xdr:cNvSpPr txBox="1"/>
          </xdr:nvSpPr>
          <xdr:spPr>
            <a:xfrm>
              <a:off x="1076325" y="3211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128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2114549" y="3067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2114549" y="3067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103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5"/>
            <xdr:cNvSpPr txBox="1"/>
          </xdr:nvSpPr>
          <xdr:spPr>
            <a:xfrm>
              <a:off x="1076325" y="2827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9" name="TextBox 5"/>
            <xdr:cNvSpPr txBox="1"/>
          </xdr:nvSpPr>
          <xdr:spPr>
            <a:xfrm>
              <a:off x="1076325" y="2827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133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1076325" y="3541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1076325" y="3541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149</xdr:row>
      <xdr:rowOff>19050</xdr:rowOff>
    </xdr:from>
    <xdr:ext cx="439107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247650" y="35661600"/>
              <a:ext cx="43910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247650" y="35661600"/>
              <a:ext cx="439107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(𝐶)=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(𝑙_𝑥 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151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57721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5772150" y="39485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151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742950" y="397240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742950" y="397240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157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161925" y="4116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161925" y="4116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158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685924" y="4140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685924" y="414099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160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1990725" y="4186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1990725" y="4186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160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2752725" y="4186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2752725" y="418671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5" t="s">
        <v>0</v>
      </c>
      <c r="B1" s="276"/>
      <c r="C1" s="276"/>
      <c r="D1" s="276"/>
      <c r="E1" s="276"/>
      <c r="F1" s="276"/>
      <c r="G1" s="276"/>
      <c r="H1" s="277"/>
      <c r="I1" s="278"/>
      <c r="J1" s="279"/>
    </row>
    <row r="2" spans="1:13" ht="12.95" customHeight="1">
      <c r="A2" s="280" t="s">
        <v>1</v>
      </c>
      <c r="B2" s="280"/>
      <c r="C2" s="280"/>
      <c r="D2" s="280"/>
      <c r="E2" s="280"/>
      <c r="F2" s="280"/>
      <c r="G2" s="280"/>
      <c r="H2" s="280"/>
      <c r="I2" s="280"/>
      <c r="J2" s="280"/>
    </row>
    <row r="3" spans="1:13" ht="12.95" customHeight="1">
      <c r="A3" s="272" t="s">
        <v>2</v>
      </c>
      <c r="B3" s="269"/>
      <c r="C3" s="281"/>
      <c r="D3" s="281"/>
      <c r="E3" s="281"/>
      <c r="F3" s="269" t="s">
        <v>3</v>
      </c>
      <c r="G3" s="269"/>
      <c r="H3" s="282"/>
      <c r="I3" s="271"/>
      <c r="J3" s="271"/>
    </row>
    <row r="4" spans="1:13" ht="12.95" customHeight="1">
      <c r="A4" s="269" t="s">
        <v>4</v>
      </c>
      <c r="B4" s="269"/>
      <c r="C4" s="270"/>
      <c r="D4" s="269"/>
      <c r="E4" s="269"/>
      <c r="F4" s="269" t="s">
        <v>5</v>
      </c>
      <c r="G4" s="269"/>
      <c r="H4" s="269"/>
      <c r="I4" s="271"/>
      <c r="J4" s="271"/>
    </row>
    <row r="5" spans="1:13" ht="12.95" customHeight="1">
      <c r="A5" s="269" t="s">
        <v>6</v>
      </c>
      <c r="B5" s="269"/>
      <c r="C5" s="269"/>
      <c r="D5" s="271"/>
      <c r="E5" s="271"/>
      <c r="F5" s="272" t="s">
        <v>7</v>
      </c>
      <c r="G5" s="269"/>
      <c r="H5" s="273"/>
      <c r="I5" s="274"/>
      <c r="J5" s="274"/>
    </row>
    <row r="6" spans="1:13" ht="12.95" customHeight="1">
      <c r="A6" s="269" t="s">
        <v>8</v>
      </c>
      <c r="B6" s="269"/>
      <c r="C6" s="269"/>
      <c r="D6" s="271"/>
      <c r="E6" s="271"/>
      <c r="F6" s="272" t="s">
        <v>9</v>
      </c>
      <c r="G6" s="269"/>
      <c r="H6" s="273"/>
      <c r="I6" s="274"/>
      <c r="J6" s="274"/>
    </row>
    <row r="7" spans="1:13" ht="12.95" customHeight="1">
      <c r="A7" s="269" t="s">
        <v>10</v>
      </c>
      <c r="B7" s="269"/>
      <c r="C7" s="284"/>
      <c r="D7" s="271"/>
      <c r="E7" s="271"/>
      <c r="F7" s="272" t="s">
        <v>11</v>
      </c>
      <c r="G7" s="269"/>
      <c r="H7" s="269"/>
      <c r="I7" s="271"/>
      <c r="J7" s="271"/>
    </row>
    <row r="8" spans="1:13" ht="12.95" customHeight="1">
      <c r="A8" s="269" t="s">
        <v>12</v>
      </c>
      <c r="B8" s="269"/>
      <c r="C8" s="282"/>
      <c r="D8" s="283"/>
      <c r="E8" s="283"/>
      <c r="F8" s="272" t="s">
        <v>13</v>
      </c>
      <c r="G8" s="269"/>
      <c r="H8" s="269"/>
      <c r="I8" s="271"/>
      <c r="J8" s="271"/>
    </row>
    <row r="9" spans="1:13" ht="12.95" customHeight="1">
      <c r="A9" s="272" t="s">
        <v>35</v>
      </c>
      <c r="B9" s="269"/>
      <c r="C9" s="273"/>
      <c r="D9" s="274"/>
      <c r="E9" s="274"/>
      <c r="F9" s="285" t="s">
        <v>14</v>
      </c>
      <c r="G9" s="285"/>
      <c r="H9" s="273"/>
      <c r="I9" s="274"/>
      <c r="J9" s="274"/>
    </row>
    <row r="10" spans="1:13" ht="23.25" customHeight="1">
      <c r="A10" s="269" t="s">
        <v>15</v>
      </c>
      <c r="B10" s="269"/>
      <c r="C10" s="273"/>
      <c r="D10" s="274"/>
      <c r="E10" s="274"/>
      <c r="F10" s="269" t="s">
        <v>16</v>
      </c>
      <c r="G10" s="269"/>
      <c r="H10" s="34"/>
      <c r="I10" s="293" t="s">
        <v>17</v>
      </c>
      <c r="J10" s="294"/>
      <c r="K10" s="4"/>
    </row>
    <row r="11" spans="1:13" ht="12.95" customHeight="1">
      <c r="A11" s="280" t="s">
        <v>18</v>
      </c>
      <c r="B11" s="280"/>
      <c r="C11" s="280"/>
      <c r="D11" s="280"/>
      <c r="E11" s="280"/>
      <c r="F11" s="280"/>
      <c r="G11" s="280"/>
      <c r="H11" s="280"/>
      <c r="I11" s="280"/>
      <c r="J11" s="280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295" t="s">
        <v>22</v>
      </c>
      <c r="H12" s="291"/>
      <c r="I12" s="297" t="s">
        <v>23</v>
      </c>
      <c r="J12" s="298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296"/>
      <c r="H13" s="292"/>
      <c r="I13" s="299"/>
      <c r="J13" s="300"/>
      <c r="K13" s="5"/>
    </row>
    <row r="14" spans="1:13" ht="12.95" customHeight="1">
      <c r="A14" s="280" t="s">
        <v>27</v>
      </c>
      <c r="B14" s="280"/>
      <c r="C14" s="280"/>
      <c r="D14" s="280"/>
      <c r="E14" s="280"/>
      <c r="F14" s="280"/>
      <c r="G14" s="280"/>
      <c r="H14" s="280"/>
      <c r="I14" s="280"/>
      <c r="J14" s="280"/>
      <c r="K14" s="5"/>
    </row>
    <row r="15" spans="1:13" ht="39" customHeight="1">
      <c r="A15" s="288"/>
      <c r="B15" s="289"/>
      <c r="C15" s="289"/>
      <c r="D15" s="289"/>
      <c r="E15" s="289"/>
      <c r="F15" s="289"/>
      <c r="G15" s="289"/>
      <c r="H15" s="289"/>
      <c r="I15" s="289"/>
      <c r="J15" s="290"/>
    </row>
    <row r="16" spans="1:13" ht="12.95" customHeight="1">
      <c r="A16" s="280" t="s">
        <v>28</v>
      </c>
      <c r="B16" s="280"/>
      <c r="C16" s="280"/>
      <c r="D16" s="280"/>
      <c r="E16" s="280"/>
      <c r="F16" s="280"/>
      <c r="G16" s="280"/>
      <c r="H16" s="280"/>
      <c r="I16" s="280"/>
      <c r="J16" s="280"/>
    </row>
    <row r="17" spans="1:12" ht="12.95" customHeight="1">
      <c r="A17" s="3" t="s">
        <v>29</v>
      </c>
      <c r="B17" s="272" t="s">
        <v>30</v>
      </c>
      <c r="C17" s="269"/>
      <c r="D17" s="269"/>
      <c r="E17" s="269"/>
      <c r="F17" s="272" t="s">
        <v>31</v>
      </c>
      <c r="G17" s="26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86"/>
      <c r="C18" s="287"/>
      <c r="D18" s="287"/>
      <c r="E18" s="287"/>
      <c r="F18" s="286"/>
      <c r="G18" s="287"/>
      <c r="H18" s="40"/>
      <c r="I18" s="17"/>
      <c r="J18" s="84"/>
      <c r="L18" s="5"/>
    </row>
    <row r="19" spans="1:12" ht="12.95" customHeight="1">
      <c r="A19" s="35"/>
      <c r="B19" s="286"/>
      <c r="C19" s="287"/>
      <c r="D19" s="287"/>
      <c r="E19" s="287"/>
      <c r="F19" s="286"/>
      <c r="G19" s="287"/>
      <c r="H19" s="20"/>
      <c r="I19" s="20"/>
      <c r="J19" s="84"/>
      <c r="L19" s="5"/>
    </row>
    <row r="20" spans="1:12" ht="12.95" customHeight="1">
      <c r="A20" s="35"/>
      <c r="B20" s="286"/>
      <c r="C20" s="287"/>
      <c r="D20" s="287"/>
      <c r="E20" s="287"/>
      <c r="F20" s="286"/>
      <c r="G20" s="287"/>
      <c r="H20" s="31"/>
      <c r="I20" s="31"/>
      <c r="J20" s="84"/>
      <c r="L20" s="5"/>
    </row>
    <row r="21" spans="1:12" ht="12.95" customHeight="1">
      <c r="A21" s="35"/>
      <c r="B21" s="286"/>
      <c r="C21" s="287"/>
      <c r="D21" s="287"/>
      <c r="E21" s="287"/>
      <c r="F21" s="286"/>
      <c r="G21" s="287"/>
      <c r="H21" s="31"/>
      <c r="I21" s="9"/>
      <c r="J21" s="84"/>
      <c r="L21" s="5"/>
    </row>
    <row r="22" spans="1:12" ht="12.95" customHeight="1">
      <c r="A22" s="35"/>
      <c r="B22" s="286"/>
      <c r="C22" s="287"/>
      <c r="D22" s="287"/>
      <c r="E22" s="287"/>
      <c r="F22" s="286"/>
      <c r="G22" s="287"/>
      <c r="H22" s="19"/>
      <c r="I22" s="11"/>
      <c r="J22" s="84"/>
      <c r="L22" s="5"/>
    </row>
    <row r="23" spans="1:12" ht="12.95" customHeight="1">
      <c r="A23" s="35"/>
      <c r="B23" s="286"/>
      <c r="C23" s="287"/>
      <c r="D23" s="287"/>
      <c r="E23" s="287"/>
      <c r="F23" s="286"/>
      <c r="G23" s="287"/>
      <c r="H23" s="11"/>
      <c r="I23" s="9"/>
      <c r="J23" s="84"/>
      <c r="L23" s="5"/>
    </row>
    <row r="24" spans="1:12" ht="12.95" customHeight="1">
      <c r="A24" s="35"/>
      <c r="B24" s="286"/>
      <c r="C24" s="287"/>
      <c r="D24" s="287"/>
      <c r="E24" s="287"/>
      <c r="F24" s="286"/>
      <c r="G24" s="287"/>
      <c r="H24" s="15"/>
      <c r="I24" s="9"/>
      <c r="J24" s="84"/>
      <c r="L24" s="5"/>
    </row>
    <row r="25" spans="1:12" ht="12.95" customHeight="1">
      <c r="A25" s="35"/>
      <c r="B25" s="286"/>
      <c r="C25" s="287"/>
      <c r="D25" s="287"/>
      <c r="E25" s="287"/>
      <c r="F25" s="286"/>
      <c r="G25" s="287"/>
      <c r="H25" s="15"/>
      <c r="I25" s="9"/>
      <c r="J25" s="84"/>
      <c r="L25" s="5"/>
    </row>
    <row r="26" spans="1:12" ht="12.95" customHeight="1">
      <c r="A26" s="35"/>
      <c r="B26" s="286"/>
      <c r="C26" s="287"/>
      <c r="D26" s="287"/>
      <c r="E26" s="287"/>
      <c r="F26" s="286"/>
      <c r="G26" s="287"/>
      <c r="H26" s="15"/>
      <c r="I26" s="9"/>
      <c r="J26" s="84"/>
      <c r="L26" s="5"/>
    </row>
    <row r="27" spans="1:12" ht="12.95" customHeight="1">
      <c r="A27" s="35"/>
      <c r="B27" s="286"/>
      <c r="C27" s="287"/>
      <c r="D27" s="287"/>
      <c r="E27" s="287"/>
      <c r="F27" s="286"/>
      <c r="G27" s="287"/>
      <c r="H27" s="9"/>
      <c r="I27" s="9"/>
      <c r="J27" s="84"/>
    </row>
    <row r="28" spans="1:12" ht="12.95" customHeight="1">
      <c r="A28" s="35"/>
      <c r="B28" s="286"/>
      <c r="C28" s="287"/>
      <c r="D28" s="287"/>
      <c r="E28" s="287"/>
      <c r="F28" s="286"/>
      <c r="G28" s="287"/>
      <c r="H28" s="9"/>
      <c r="I28" s="9"/>
      <c r="J28" s="84"/>
    </row>
    <row r="29" spans="1:12" ht="12.95" customHeight="1">
      <c r="A29" s="35"/>
      <c r="B29" s="286"/>
      <c r="C29" s="287"/>
      <c r="D29" s="287"/>
      <c r="E29" s="287"/>
      <c r="F29" s="286"/>
      <c r="G29" s="287"/>
      <c r="H29" s="9"/>
      <c r="I29" s="9"/>
      <c r="J29" s="84"/>
    </row>
    <row r="30" spans="1:12" ht="12.95" customHeight="1">
      <c r="A30" s="35"/>
      <c r="B30" s="286"/>
      <c r="C30" s="287"/>
      <c r="D30" s="287"/>
      <c r="E30" s="287"/>
      <c r="F30" s="286"/>
      <c r="G30" s="287"/>
      <c r="H30" s="9"/>
      <c r="I30" s="9"/>
      <c r="J30" s="84"/>
    </row>
    <row r="31" spans="1:12" ht="12.95" customHeight="1">
      <c r="A31" s="35"/>
      <c r="B31" s="286"/>
      <c r="C31" s="287"/>
      <c r="D31" s="287"/>
      <c r="E31" s="287"/>
      <c r="F31" s="286"/>
      <c r="G31" s="287"/>
      <c r="H31" s="9"/>
      <c r="I31" s="9"/>
      <c r="J31" s="84"/>
    </row>
    <row r="32" spans="1:12" ht="12.95" customHeight="1">
      <c r="A32" s="35"/>
      <c r="B32" s="286"/>
      <c r="C32" s="287"/>
      <c r="D32" s="287"/>
      <c r="E32" s="287"/>
      <c r="F32" s="286"/>
      <c r="G32" s="287"/>
      <c r="H32" s="9"/>
      <c r="I32" s="9"/>
      <c r="J32" s="84"/>
    </row>
    <row r="33" spans="1:10" ht="12.95" customHeight="1">
      <c r="A33" s="35"/>
      <c r="B33" s="286"/>
      <c r="C33" s="287"/>
      <c r="D33" s="287"/>
      <c r="E33" s="287"/>
      <c r="F33" s="286"/>
      <c r="G33" s="287"/>
      <c r="H33" s="9"/>
      <c r="I33" s="9"/>
      <c r="J33" s="84"/>
    </row>
    <row r="34" spans="1:10" ht="12.95" customHeight="1">
      <c r="A34" s="35"/>
      <c r="B34" s="286"/>
      <c r="C34" s="287"/>
      <c r="D34" s="287"/>
      <c r="E34" s="287"/>
      <c r="F34" s="286"/>
      <c r="G34" s="287"/>
      <c r="H34" s="9"/>
      <c r="I34" s="9"/>
      <c r="J34" s="84"/>
    </row>
    <row r="35" spans="1:10" ht="12.95" customHeight="1">
      <c r="A35" s="35"/>
      <c r="B35" s="286"/>
      <c r="C35" s="287"/>
      <c r="D35" s="287"/>
      <c r="E35" s="287"/>
      <c r="F35" s="286"/>
      <c r="G35" s="287"/>
      <c r="H35" s="9"/>
      <c r="I35" s="9"/>
      <c r="J35" s="84"/>
    </row>
    <row r="36" spans="1:10" ht="12.95" customHeight="1">
      <c r="A36" s="35"/>
      <c r="B36" s="286"/>
      <c r="C36" s="287"/>
      <c r="D36" s="287"/>
      <c r="E36" s="287"/>
      <c r="F36" s="286"/>
      <c r="G36" s="287"/>
      <c r="H36" s="9"/>
      <c r="I36" s="9"/>
      <c r="J36" s="84"/>
    </row>
    <row r="37" spans="1:10" ht="12.95" customHeight="1">
      <c r="A37" s="35"/>
      <c r="B37" s="286"/>
      <c r="C37" s="287"/>
      <c r="D37" s="287"/>
      <c r="E37" s="287"/>
      <c r="F37" s="286"/>
      <c r="G37" s="287"/>
      <c r="H37" s="9"/>
      <c r="I37" s="9"/>
      <c r="J37" s="84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10" t="s">
        <v>37</v>
      </c>
      <c r="B39" s="310"/>
      <c r="C39" s="310"/>
      <c r="D39" s="310"/>
      <c r="E39" s="310"/>
      <c r="F39" s="313" t="s">
        <v>38</v>
      </c>
      <c r="G39" s="301"/>
      <c r="H39" s="302"/>
      <c r="I39" s="302"/>
      <c r="J39" s="303"/>
    </row>
    <row r="40" spans="1:10" ht="12.95" customHeight="1">
      <c r="A40" s="310" t="s">
        <v>39</v>
      </c>
      <c r="B40" s="310"/>
      <c r="C40" s="310"/>
      <c r="D40" s="310"/>
      <c r="E40" s="310"/>
      <c r="F40" s="314"/>
      <c r="G40" s="304"/>
      <c r="H40" s="305"/>
      <c r="I40" s="305"/>
      <c r="J40" s="306"/>
    </row>
    <row r="41" spans="1:10" ht="12.95" customHeight="1">
      <c r="A41" s="310" t="s">
        <v>40</v>
      </c>
      <c r="B41" s="310"/>
      <c r="C41" s="310"/>
      <c r="D41" s="310"/>
      <c r="E41" s="310"/>
      <c r="F41" s="314"/>
      <c r="G41" s="304"/>
      <c r="H41" s="305"/>
      <c r="I41" s="305"/>
      <c r="J41" s="306"/>
    </row>
    <row r="42" spans="1:10" ht="12.95" customHeight="1">
      <c r="A42" s="310" t="s">
        <v>41</v>
      </c>
      <c r="B42" s="310"/>
      <c r="C42" s="311" t="s">
        <v>42</v>
      </c>
      <c r="D42" s="311"/>
      <c r="E42" s="311"/>
      <c r="F42" s="315"/>
      <c r="G42" s="307"/>
      <c r="H42" s="308"/>
      <c r="I42" s="308"/>
      <c r="J42" s="309"/>
    </row>
    <row r="43" spans="1:10" ht="12.95" customHeight="1">
      <c r="A43" s="312" t="s">
        <v>50</v>
      </c>
      <c r="B43" s="312"/>
      <c r="C43" s="312" t="e">
        <f ca="1">Calcu!K3</f>
        <v>#N/A</v>
      </c>
      <c r="D43" s="312"/>
      <c r="E43" s="312"/>
    </row>
    <row r="46" spans="1:10" ht="12.95" customHeight="1">
      <c r="B46" s="1" t="s">
        <v>106</v>
      </c>
    </row>
    <row r="47" spans="1:10" ht="12.95" customHeight="1">
      <c r="B47" s="1" t="s">
        <v>107</v>
      </c>
    </row>
    <row r="48" spans="1:10" ht="12.95" customHeight="1">
      <c r="A48" s="1">
        <f>Calcu!O47</f>
        <v>20400</v>
      </c>
      <c r="B48" s="1" t="s">
        <v>116</v>
      </c>
    </row>
    <row r="49" spans="1:2" ht="12.95" customHeight="1">
      <c r="A49" s="106"/>
    </row>
    <row r="50" spans="1:2" ht="12.95" customHeight="1">
      <c r="A50" s="1" t="str">
        <f>Calcu!L3</f>
        <v>PASS</v>
      </c>
      <c r="B50" s="1" t="s">
        <v>117</v>
      </c>
    </row>
    <row r="52" spans="1:2" ht="12.95" customHeight="1">
      <c r="B52" s="259" t="s">
        <v>492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3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93" bestFit="1" customWidth="1"/>
    <col min="2" max="2" width="6.6640625" style="93" bestFit="1" customWidth="1"/>
    <col min="3" max="3" width="19.77734375" style="93" bestFit="1" customWidth="1"/>
    <col min="4" max="13" width="1.77734375" style="93" customWidth="1"/>
    <col min="14" max="15" width="5.33203125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6" width="5.33203125" style="93" bestFit="1" customWidth="1"/>
    <col min="27" max="34" width="1.77734375" style="93" customWidth="1"/>
    <col min="35" max="35" width="7.5546875" style="93" bestFit="1" customWidth="1"/>
    <col min="36" max="36" width="7.21875" style="93" bestFit="1" customWidth="1"/>
    <col min="37" max="16384" width="8.88671875" style="93"/>
  </cols>
  <sheetData>
    <row r="1" spans="1:36">
      <c r="A1" s="113" t="s">
        <v>91</v>
      </c>
      <c r="B1" s="113" t="s">
        <v>63</v>
      </c>
      <c r="C1" s="113" t="s">
        <v>64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 t="s">
        <v>92</v>
      </c>
      <c r="O1" s="113" t="s">
        <v>93</v>
      </c>
      <c r="P1" s="113" t="s">
        <v>65</v>
      </c>
      <c r="Q1" s="113" t="s">
        <v>66</v>
      </c>
      <c r="R1" s="113" t="s">
        <v>67</v>
      </c>
      <c r="S1" s="113" t="s">
        <v>66</v>
      </c>
      <c r="T1" s="113" t="s">
        <v>68</v>
      </c>
      <c r="U1" s="113" t="s">
        <v>94</v>
      </c>
      <c r="V1" s="113" t="s">
        <v>69</v>
      </c>
      <c r="W1" s="113" t="s">
        <v>70</v>
      </c>
      <c r="X1" s="113" t="s">
        <v>95</v>
      </c>
      <c r="Y1" s="113" t="s">
        <v>124</v>
      </c>
      <c r="Z1" s="113" t="s">
        <v>109</v>
      </c>
      <c r="AA1" s="113"/>
      <c r="AB1" s="113"/>
      <c r="AC1" s="113"/>
      <c r="AD1" s="113"/>
      <c r="AE1" s="113"/>
      <c r="AF1" s="113"/>
      <c r="AG1" s="113"/>
      <c r="AH1" s="113"/>
      <c r="AI1" s="113" t="s">
        <v>96</v>
      </c>
      <c r="AJ1" s="113" t="s">
        <v>105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7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17" s="12" customFormat="1" ht="33" customHeight="1">
      <c r="A1" s="14" t="s">
        <v>86</v>
      </c>
    </row>
    <row r="2" spans="1:17" s="12" customFormat="1" ht="17.100000000000001" customHeight="1">
      <c r="A2" s="16" t="s">
        <v>43</v>
      </c>
      <c r="B2" s="16"/>
      <c r="C2" s="94" t="s">
        <v>60</v>
      </c>
      <c r="F2" s="94" t="s">
        <v>119</v>
      </c>
      <c r="J2" s="16" t="s">
        <v>44</v>
      </c>
      <c r="M2" s="16" t="s">
        <v>45</v>
      </c>
    </row>
    <row r="3" spans="1:17" s="12" customFormat="1" ht="13.5">
      <c r="A3" s="13" t="s">
        <v>118</v>
      </c>
      <c r="B3" s="13" t="s">
        <v>58</v>
      </c>
      <c r="C3" s="13" t="s">
        <v>53</v>
      </c>
      <c r="D3" s="13" t="s">
        <v>54</v>
      </c>
      <c r="E3" s="13" t="s">
        <v>49</v>
      </c>
      <c r="F3" s="13" t="s">
        <v>120</v>
      </c>
      <c r="G3" s="13" t="s">
        <v>121</v>
      </c>
      <c r="H3" s="13" t="s">
        <v>122</v>
      </c>
      <c r="I3" s="13" t="s">
        <v>123</v>
      </c>
      <c r="J3" s="13" t="s">
        <v>46</v>
      </c>
      <c r="K3" s="41" t="s">
        <v>47</v>
      </c>
      <c r="L3" s="41" t="s">
        <v>48</v>
      </c>
      <c r="M3" s="41" t="s">
        <v>61</v>
      </c>
      <c r="N3" s="41" t="s">
        <v>62</v>
      </c>
      <c r="O3" s="108" t="s">
        <v>87</v>
      </c>
      <c r="P3" s="108" t="s">
        <v>88</v>
      </c>
      <c r="Q3" s="41" t="s">
        <v>89</v>
      </c>
    </row>
    <row r="4" spans="1:17" s="12" customFormat="1" ht="17.100000000000001" customHeight="1">
      <c r="A4" s="33"/>
      <c r="B4" s="107"/>
      <c r="C4" s="22"/>
      <c r="D4" s="55"/>
      <c r="E4" s="42"/>
      <c r="F4" s="180"/>
      <c r="G4" s="180"/>
      <c r="H4" s="180"/>
      <c r="I4" s="180"/>
      <c r="J4" s="22"/>
      <c r="K4" s="22"/>
      <c r="L4" s="22"/>
      <c r="M4" s="22"/>
      <c r="N4" s="22"/>
      <c r="O4" s="109"/>
      <c r="P4" s="109"/>
      <c r="Q4" s="22"/>
    </row>
    <row r="5" spans="1:17" s="12" customFormat="1" ht="17.100000000000001" customHeight="1">
      <c r="A5" s="33"/>
      <c r="B5" s="107"/>
      <c r="C5" s="22"/>
      <c r="D5" s="55"/>
      <c r="E5" s="42"/>
      <c r="F5" s="180"/>
      <c r="G5" s="180"/>
      <c r="H5" s="180"/>
      <c r="I5" s="180"/>
      <c r="J5" s="22"/>
      <c r="K5" s="23"/>
      <c r="L5" s="23"/>
      <c r="M5" s="23"/>
      <c r="N5" s="23"/>
      <c r="O5" s="110"/>
      <c r="P5" s="110"/>
      <c r="Q5" s="23"/>
    </row>
    <row r="6" spans="1:17" s="12" customFormat="1" ht="17.100000000000001" customHeight="1">
      <c r="A6" s="33"/>
      <c r="B6" s="107"/>
      <c r="C6" s="22"/>
      <c r="D6" s="55"/>
      <c r="E6" s="42"/>
      <c r="F6" s="180"/>
      <c r="G6" s="180"/>
      <c r="H6" s="180"/>
      <c r="I6" s="180"/>
      <c r="J6" s="22"/>
      <c r="K6" s="23"/>
      <c r="L6" s="23"/>
      <c r="M6" s="23"/>
      <c r="N6" s="23"/>
      <c r="O6" s="110"/>
      <c r="P6" s="110"/>
      <c r="Q6" s="23"/>
    </row>
    <row r="7" spans="1:17" s="12" customFormat="1" ht="17.100000000000001" customHeight="1">
      <c r="A7" s="33"/>
      <c r="B7" s="107"/>
      <c r="C7" s="22"/>
      <c r="D7" s="55"/>
      <c r="E7" s="42"/>
      <c r="F7" s="180"/>
      <c r="G7" s="180"/>
      <c r="H7" s="180"/>
      <c r="I7" s="180"/>
      <c r="J7" s="22"/>
      <c r="K7" s="23"/>
      <c r="L7" s="23"/>
      <c r="M7" s="23"/>
      <c r="N7" s="23"/>
      <c r="O7" s="110"/>
      <c r="P7" s="110"/>
      <c r="Q7" s="23"/>
    </row>
    <row r="8" spans="1:17" s="12" customFormat="1" ht="17.100000000000001" customHeight="1">
      <c r="A8" s="33"/>
      <c r="B8" s="107"/>
      <c r="C8" s="22"/>
      <c r="D8" s="55"/>
      <c r="E8" s="42"/>
      <c r="F8" s="180"/>
      <c r="G8" s="180"/>
      <c r="H8" s="180"/>
      <c r="I8" s="180"/>
      <c r="J8" s="22"/>
      <c r="K8" s="23"/>
      <c r="L8" s="23"/>
      <c r="M8" s="23"/>
      <c r="N8" s="23"/>
      <c r="O8" s="110"/>
      <c r="P8" s="110"/>
      <c r="Q8" s="23"/>
    </row>
    <row r="9" spans="1:17" s="12" customFormat="1" ht="17.100000000000001" customHeight="1">
      <c r="A9" s="33"/>
      <c r="B9" s="107"/>
      <c r="C9" s="22"/>
      <c r="D9" s="55"/>
      <c r="E9" s="42"/>
      <c r="F9" s="180"/>
      <c r="G9" s="180"/>
      <c r="H9" s="180"/>
      <c r="I9" s="180"/>
      <c r="J9" s="22"/>
      <c r="K9" s="23"/>
      <c r="L9" s="23"/>
      <c r="M9" s="23"/>
      <c r="N9" s="23"/>
      <c r="O9" s="110"/>
      <c r="P9" s="110"/>
      <c r="Q9" s="23"/>
    </row>
    <row r="10" spans="1:17" s="12" customFormat="1" ht="17.100000000000001" customHeight="1">
      <c r="A10" s="33"/>
      <c r="B10" s="107"/>
      <c r="C10" s="22"/>
      <c r="D10" s="55"/>
      <c r="E10" s="42"/>
      <c r="F10" s="180"/>
      <c r="G10" s="180"/>
      <c r="H10" s="180"/>
      <c r="I10" s="180"/>
      <c r="J10" s="22"/>
      <c r="K10" s="23"/>
      <c r="L10" s="23"/>
      <c r="M10" s="23"/>
      <c r="N10" s="23"/>
      <c r="O10" s="110"/>
      <c r="P10" s="110"/>
      <c r="Q10" s="23"/>
    </row>
    <row r="11" spans="1:17" s="12" customFormat="1" ht="17.100000000000001" customHeight="1">
      <c r="A11" s="33"/>
      <c r="B11" s="107"/>
      <c r="C11" s="22"/>
      <c r="D11" s="55"/>
      <c r="E11" s="42"/>
      <c r="F11" s="180"/>
      <c r="G11" s="180"/>
      <c r="H11" s="180"/>
      <c r="I11" s="180"/>
      <c r="J11" s="22"/>
      <c r="K11" s="23"/>
      <c r="L11" s="23"/>
      <c r="M11" s="23"/>
      <c r="N11" s="23"/>
      <c r="O11" s="110"/>
      <c r="P11" s="110"/>
      <c r="Q11" s="23"/>
    </row>
    <row r="12" spans="1:17" s="12" customFormat="1" ht="17.100000000000001" customHeight="1">
      <c r="A12" s="33"/>
      <c r="B12" s="107"/>
      <c r="C12" s="22"/>
      <c r="D12" s="55"/>
      <c r="E12" s="42"/>
      <c r="F12" s="180"/>
      <c r="G12" s="180"/>
      <c r="H12" s="180"/>
      <c r="I12" s="180"/>
      <c r="J12" s="22"/>
      <c r="K12" s="23"/>
      <c r="L12" s="23"/>
      <c r="M12" s="23"/>
      <c r="N12" s="23"/>
      <c r="O12" s="110"/>
      <c r="P12" s="110"/>
      <c r="Q12" s="23"/>
    </row>
    <row r="13" spans="1:17" s="12" customFormat="1" ht="17.100000000000001" customHeight="1">
      <c r="A13" s="33"/>
      <c r="B13" s="107"/>
      <c r="C13" s="22"/>
      <c r="D13" s="55"/>
      <c r="E13" s="42"/>
      <c r="F13" s="180"/>
      <c r="G13" s="180"/>
      <c r="H13" s="180"/>
      <c r="I13" s="180"/>
      <c r="J13" s="22"/>
      <c r="K13" s="23"/>
      <c r="L13" s="23"/>
      <c r="M13" s="23"/>
      <c r="N13" s="23"/>
      <c r="O13" s="110"/>
      <c r="P13" s="110"/>
      <c r="Q13" s="23"/>
    </row>
    <row r="14" spans="1:17" s="12" customFormat="1" ht="17.100000000000001" customHeight="1">
      <c r="A14" s="33"/>
      <c r="B14" s="107"/>
      <c r="C14" s="22"/>
      <c r="D14" s="55"/>
      <c r="E14" s="42"/>
      <c r="F14" s="180"/>
      <c r="G14" s="180"/>
      <c r="H14" s="180"/>
      <c r="I14" s="180"/>
      <c r="J14" s="22"/>
      <c r="K14" s="23"/>
      <c r="L14" s="23"/>
      <c r="M14" s="23"/>
      <c r="N14" s="23"/>
      <c r="O14" s="110"/>
      <c r="P14" s="110"/>
      <c r="Q14" s="23"/>
    </row>
    <row r="15" spans="1:17" s="12" customFormat="1" ht="17.100000000000001" customHeight="1">
      <c r="A15" s="33"/>
      <c r="B15" s="107"/>
      <c r="C15" s="22"/>
      <c r="D15" s="55"/>
      <c r="E15" s="42"/>
      <c r="F15" s="180"/>
      <c r="G15" s="180"/>
      <c r="H15" s="180"/>
      <c r="I15" s="180"/>
      <c r="J15" s="23"/>
      <c r="K15" s="23"/>
      <c r="L15" s="23"/>
      <c r="M15" s="23"/>
      <c r="N15" s="23"/>
      <c r="O15" s="110"/>
      <c r="P15" s="110"/>
      <c r="Q15" s="23"/>
    </row>
    <row r="16" spans="1:17" s="12" customFormat="1" ht="17.100000000000001" customHeight="1">
      <c r="A16" s="33"/>
      <c r="B16" s="107"/>
      <c r="C16" s="22"/>
      <c r="D16" s="55"/>
      <c r="E16" s="42"/>
      <c r="F16" s="180"/>
      <c r="G16" s="180"/>
      <c r="H16" s="180"/>
      <c r="I16" s="180"/>
      <c r="J16" s="23"/>
      <c r="K16" s="23"/>
      <c r="L16" s="23"/>
      <c r="M16" s="23"/>
      <c r="N16" s="23"/>
      <c r="O16" s="110"/>
      <c r="P16" s="110"/>
      <c r="Q16" s="23"/>
    </row>
    <row r="17" spans="1:27" s="12" customFormat="1" ht="17.100000000000001" customHeight="1">
      <c r="A17" s="33"/>
      <c r="B17" s="107"/>
      <c r="C17" s="22"/>
      <c r="D17" s="55"/>
      <c r="E17" s="42"/>
      <c r="F17" s="180"/>
      <c r="G17" s="180"/>
      <c r="H17" s="180"/>
      <c r="I17" s="180"/>
      <c r="J17" s="23"/>
      <c r="K17" s="23"/>
      <c r="L17" s="23"/>
      <c r="M17" s="23"/>
      <c r="N17" s="23"/>
      <c r="O17" s="110"/>
      <c r="P17" s="110"/>
      <c r="Q17" s="23"/>
    </row>
    <row r="18" spans="1:27" s="12" customFormat="1" ht="17.100000000000001" customHeight="1">
      <c r="A18" s="33"/>
      <c r="B18" s="107"/>
      <c r="C18" s="22"/>
      <c r="D18" s="55"/>
      <c r="E18" s="42"/>
      <c r="F18" s="180"/>
      <c r="G18" s="180"/>
      <c r="H18" s="180"/>
      <c r="I18" s="180"/>
      <c r="J18" s="23"/>
      <c r="K18" s="23"/>
      <c r="L18" s="23"/>
      <c r="M18" s="23"/>
      <c r="N18" s="23"/>
      <c r="O18" s="110"/>
      <c r="P18" s="110"/>
      <c r="Q18" s="23"/>
    </row>
    <row r="19" spans="1:27" s="12" customFormat="1" ht="17.100000000000001" customHeight="1">
      <c r="A19" s="107"/>
      <c r="B19" s="107"/>
      <c r="C19" s="109"/>
      <c r="D19" s="109"/>
      <c r="E19" s="109"/>
      <c r="F19" s="180"/>
      <c r="G19" s="180"/>
      <c r="H19" s="180"/>
      <c r="I19" s="180"/>
      <c r="J19" s="110"/>
      <c r="K19" s="110"/>
      <c r="L19" s="110"/>
      <c r="M19" s="110"/>
      <c r="N19" s="110"/>
      <c r="O19" s="110"/>
      <c r="P19" s="110"/>
      <c r="Q19" s="110"/>
    </row>
    <row r="20" spans="1:27" s="12" customFormat="1" ht="17.100000000000001" customHeight="1">
      <c r="A20" s="107"/>
      <c r="B20" s="107"/>
      <c r="C20" s="109"/>
      <c r="D20" s="109"/>
      <c r="E20" s="109"/>
      <c r="F20" s="180"/>
      <c r="G20" s="180"/>
      <c r="H20" s="180"/>
      <c r="I20" s="180"/>
      <c r="J20" s="110"/>
      <c r="K20" s="110"/>
      <c r="L20" s="110"/>
      <c r="M20" s="110"/>
      <c r="N20" s="110"/>
      <c r="O20" s="110"/>
      <c r="P20" s="110"/>
      <c r="Q20" s="110"/>
    </row>
    <row r="21" spans="1:27" s="12" customFormat="1" ht="17.100000000000001" customHeight="1">
      <c r="A21" s="107"/>
      <c r="B21" s="107"/>
      <c r="C21" s="109"/>
      <c r="D21" s="109"/>
      <c r="E21" s="109"/>
      <c r="F21" s="180"/>
      <c r="G21" s="180"/>
      <c r="H21" s="180"/>
      <c r="I21" s="180"/>
      <c r="J21" s="110"/>
      <c r="K21" s="110"/>
      <c r="L21" s="110"/>
      <c r="M21" s="110"/>
      <c r="N21" s="110"/>
      <c r="O21" s="110"/>
      <c r="P21" s="110"/>
      <c r="Q21" s="110"/>
    </row>
    <row r="22" spans="1:27" s="12" customFormat="1" ht="17.100000000000001" customHeight="1">
      <c r="A22" s="107"/>
      <c r="B22" s="107"/>
      <c r="C22" s="109"/>
      <c r="D22" s="109"/>
      <c r="E22" s="109"/>
      <c r="F22" s="180"/>
      <c r="G22" s="180"/>
      <c r="H22" s="180"/>
      <c r="I22" s="180"/>
      <c r="J22" s="110"/>
      <c r="K22" s="110"/>
      <c r="L22" s="110"/>
      <c r="M22" s="110"/>
      <c r="N22" s="110"/>
      <c r="O22" s="110"/>
      <c r="P22" s="110"/>
      <c r="Q22" s="110"/>
    </row>
    <row r="23" spans="1:27" s="12" customFormat="1" ht="17.100000000000001" customHeight="1">
      <c r="A23" s="107"/>
      <c r="B23" s="107"/>
      <c r="C23" s="109"/>
      <c r="D23" s="109"/>
      <c r="E23" s="109"/>
      <c r="F23" s="180"/>
      <c r="G23" s="180"/>
      <c r="H23" s="180"/>
      <c r="I23" s="180"/>
      <c r="J23" s="110"/>
      <c r="K23" s="110"/>
      <c r="L23" s="110"/>
      <c r="M23" s="110"/>
      <c r="N23" s="110"/>
      <c r="O23" s="110"/>
      <c r="P23" s="110"/>
      <c r="Q23" s="110"/>
    </row>
    <row r="24" spans="1:27" s="12" customFormat="1" ht="17.100000000000001" customHeight="1"/>
    <row r="25" spans="1:27" s="12" customFormat="1" ht="17.100000000000001" customHeight="1">
      <c r="A25" s="16" t="s">
        <v>90</v>
      </c>
    </row>
    <row r="26" spans="1:27" s="18" customFormat="1" ht="18" customHeight="1">
      <c r="A26" s="111" t="s">
        <v>131</v>
      </c>
      <c r="B26" s="111" t="s">
        <v>132</v>
      </c>
      <c r="C26" s="111" t="s">
        <v>133</v>
      </c>
      <c r="D26" s="111" t="s">
        <v>134</v>
      </c>
      <c r="E26" s="111" t="s">
        <v>476</v>
      </c>
      <c r="F26" s="111" t="s">
        <v>149</v>
      </c>
      <c r="G26" s="111" t="s">
        <v>139</v>
      </c>
      <c r="H26" s="111" t="s">
        <v>140</v>
      </c>
      <c r="I26" s="111" t="s">
        <v>141</v>
      </c>
      <c r="J26" s="111" t="s">
        <v>142</v>
      </c>
      <c r="K26" s="111" t="s">
        <v>143</v>
      </c>
      <c r="L26" s="111" t="s">
        <v>144</v>
      </c>
      <c r="M26" s="111" t="s">
        <v>145</v>
      </c>
      <c r="N26" s="111" t="s">
        <v>146</v>
      </c>
      <c r="O26" s="111" t="s">
        <v>147</v>
      </c>
      <c r="P26" s="111" t="s">
        <v>148</v>
      </c>
      <c r="Q26" s="111" t="s">
        <v>135</v>
      </c>
      <c r="R26" s="111" t="s">
        <v>136</v>
      </c>
      <c r="S26" s="111" t="s">
        <v>137</v>
      </c>
      <c r="T26" s="111" t="s">
        <v>138</v>
      </c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95"/>
      <c r="B27" s="95"/>
      <c r="C27" s="95"/>
      <c r="D27" s="95"/>
      <c r="E27" s="112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95"/>
      <c r="B28" s="95"/>
      <c r="C28" s="95"/>
      <c r="D28" s="95"/>
      <c r="E28" s="112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95"/>
      <c r="B29" s="95"/>
      <c r="C29" s="95"/>
      <c r="D29" s="95"/>
      <c r="E29" s="112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95"/>
      <c r="B30" s="95"/>
      <c r="C30" s="95"/>
      <c r="D30" s="95"/>
      <c r="E30" s="112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95"/>
      <c r="B31" s="95"/>
      <c r="C31" s="95"/>
      <c r="D31" s="95"/>
      <c r="E31" s="112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95"/>
      <c r="B32" s="95"/>
      <c r="C32" s="95"/>
      <c r="D32" s="95"/>
      <c r="E32" s="112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12"/>
      <c r="V32" s="12"/>
      <c r="W32" s="12"/>
      <c r="X32" s="12"/>
      <c r="Y32" s="12"/>
      <c r="Z32" s="12"/>
      <c r="AA32" s="12"/>
    </row>
    <row r="33" spans="1:36" ht="17.100000000000001" customHeight="1">
      <c r="A33" s="95"/>
      <c r="B33" s="95"/>
      <c r="C33" s="95"/>
      <c r="D33" s="95"/>
      <c r="E33" s="112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12"/>
      <c r="V33" s="12"/>
      <c r="W33" s="12"/>
      <c r="X33" s="12"/>
      <c r="Y33" s="12"/>
      <c r="Z33" s="12"/>
      <c r="AA33" s="12"/>
    </row>
    <row r="34" spans="1:36" ht="17.100000000000001" customHeight="1">
      <c r="A34" s="95"/>
      <c r="B34" s="95"/>
      <c r="C34" s="95"/>
      <c r="D34" s="95"/>
      <c r="E34" s="112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12"/>
      <c r="V34" s="12"/>
      <c r="W34" s="12"/>
      <c r="X34" s="12"/>
      <c r="Y34" s="12"/>
      <c r="Z34" s="12"/>
      <c r="AA34" s="12"/>
    </row>
    <row r="35" spans="1:36" ht="17.100000000000001" customHeight="1">
      <c r="A35" s="95"/>
      <c r="B35" s="95"/>
      <c r="C35" s="95"/>
      <c r="D35" s="95"/>
      <c r="E35" s="112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12"/>
      <c r="V35" s="12"/>
      <c r="W35" s="12"/>
      <c r="X35" s="12"/>
      <c r="Y35" s="12"/>
      <c r="Z35" s="12"/>
      <c r="AA35" s="12"/>
    </row>
    <row r="36" spans="1:36" ht="17.100000000000001" customHeight="1">
      <c r="A36" s="95"/>
      <c r="B36" s="95"/>
      <c r="C36" s="95"/>
      <c r="D36" s="95"/>
      <c r="E36" s="112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12"/>
      <c r="V36" s="12"/>
      <c r="W36" s="12"/>
      <c r="X36" s="12"/>
      <c r="Y36" s="12"/>
      <c r="Z36" s="12"/>
      <c r="AA36" s="12"/>
    </row>
    <row r="37" spans="1:36" ht="17.100000000000001" customHeight="1">
      <c r="A37" s="95"/>
      <c r="B37" s="95"/>
      <c r="C37" s="95"/>
      <c r="D37" s="95"/>
      <c r="E37" s="112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12"/>
      <c r="V37" s="12"/>
      <c r="W37" s="12"/>
      <c r="X37" s="12"/>
      <c r="Y37" s="12"/>
      <c r="Z37" s="12"/>
      <c r="AA37" s="12"/>
    </row>
    <row r="38" spans="1:36" ht="17.100000000000001" customHeight="1">
      <c r="A38" s="95"/>
      <c r="B38" s="95"/>
      <c r="C38" s="95"/>
      <c r="D38" s="95"/>
      <c r="E38" s="112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12"/>
      <c r="V38" s="12"/>
      <c r="W38" s="12"/>
      <c r="X38" s="12"/>
      <c r="Y38" s="12"/>
      <c r="Z38" s="12"/>
      <c r="AA38" s="12"/>
    </row>
    <row r="39" spans="1:36" ht="17.100000000000001" customHeight="1">
      <c r="A39" s="95"/>
      <c r="B39" s="95"/>
      <c r="C39" s="95"/>
      <c r="D39" s="95"/>
      <c r="E39" s="112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12"/>
      <c r="V39" s="12"/>
      <c r="W39" s="12"/>
      <c r="X39" s="12"/>
      <c r="Y39" s="12"/>
      <c r="Z39" s="12"/>
      <c r="AA39" s="12"/>
    </row>
    <row r="40" spans="1:36" ht="17.100000000000001" customHeight="1">
      <c r="A40" s="95"/>
      <c r="B40" s="95"/>
      <c r="C40" s="95"/>
      <c r="D40" s="95"/>
      <c r="E40" s="112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12"/>
      <c r="V40" s="12"/>
      <c r="W40" s="12"/>
      <c r="X40" s="12"/>
      <c r="Y40" s="12"/>
      <c r="Z40" s="12"/>
      <c r="AA40" s="12"/>
    </row>
    <row r="41" spans="1:36" ht="17.100000000000001" customHeight="1">
      <c r="A41" s="95"/>
      <c r="B41" s="95"/>
      <c r="C41" s="95"/>
      <c r="D41" s="95"/>
      <c r="E41" s="112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2"/>
      <c r="V41" s="12"/>
      <c r="W41" s="12"/>
      <c r="X41" s="12"/>
      <c r="Y41" s="12"/>
      <c r="Z41" s="12"/>
      <c r="AA41" s="12"/>
    </row>
    <row r="42" spans="1:36" ht="17.100000000000001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2"/>
      <c r="V42" s="12"/>
      <c r="W42" s="12"/>
      <c r="X42" s="12"/>
      <c r="Y42" s="12"/>
      <c r="Z42" s="12"/>
      <c r="AA42" s="12"/>
    </row>
    <row r="43" spans="1:36" ht="17.100000000000001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2"/>
      <c r="V43" s="12"/>
      <c r="W43" s="12"/>
      <c r="X43" s="12"/>
      <c r="Y43" s="12"/>
      <c r="Z43" s="12"/>
      <c r="AA43" s="12"/>
    </row>
    <row r="44" spans="1:36" ht="17.100000000000001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2"/>
      <c r="V44" s="12"/>
      <c r="W44" s="12"/>
      <c r="X44" s="12"/>
      <c r="Y44" s="12"/>
      <c r="Z44" s="12"/>
      <c r="AA44" s="12"/>
    </row>
    <row r="45" spans="1:36" ht="17.100000000000001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2"/>
      <c r="V45" s="12"/>
      <c r="W45" s="12"/>
      <c r="X45" s="12"/>
      <c r="Y45" s="12"/>
      <c r="Z45" s="12"/>
      <c r="AA45" s="12"/>
    </row>
    <row r="46" spans="1:36" ht="17.100000000000001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2"/>
      <c r="V46" s="12"/>
      <c r="W46" s="12"/>
      <c r="X46" s="12"/>
      <c r="Y46" s="12"/>
      <c r="Z46" s="12"/>
      <c r="AA46" s="12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47" customFormat="1" ht="33" customHeight="1">
      <c r="A1" s="316" t="s">
        <v>34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</row>
    <row r="2" spans="1:11" s="47" customFormat="1" ht="33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</row>
    <row r="3" spans="1:11" s="47" customFormat="1" ht="12.75" customHeight="1">
      <c r="A3" s="48" t="s">
        <v>78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9"/>
      <c r="D4" s="185"/>
      <c r="E4" s="89"/>
      <c r="F4" s="89"/>
      <c r="G4" s="89"/>
      <c r="H4" s="97"/>
      <c r="I4" s="90"/>
      <c r="J4" s="184"/>
      <c r="K4" s="97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</row>
    <row r="7" spans="1:11" ht="15" customHeight="1">
      <c r="E7" s="54" t="str">
        <f>"○ 제작회사 : "&amp;기본정보!C$6</f>
        <v xml:space="preserve">○ 제작회사 : </v>
      </c>
    </row>
    <row r="8" spans="1:11" ht="15" customHeight="1">
      <c r="E8" s="54" t="str">
        <f>"○ 형식 : "&amp;기본정보!C$7</f>
        <v xml:space="preserve">○ 형식 : </v>
      </c>
    </row>
    <row r="9" spans="1:11" ht="15" customHeight="1">
      <c r="E9" s="54" t="str">
        <f>"○ 기기번호 : "&amp;기본정보!C$8</f>
        <v xml:space="preserve">○ 기기번호 : </v>
      </c>
    </row>
    <row r="11" spans="1:11" ht="15" customHeight="1">
      <c r="E11" s="38" t="s">
        <v>125</v>
      </c>
    </row>
    <row r="12" spans="1:11" ht="15" customHeight="1">
      <c r="A12" s="44"/>
      <c r="B12" s="43"/>
      <c r="E12" s="194" t="s">
        <v>166</v>
      </c>
      <c r="F12" s="194" t="s">
        <v>84</v>
      </c>
      <c r="G12" s="211" t="s">
        <v>168</v>
      </c>
    </row>
    <row r="13" spans="1:11" ht="15" customHeight="1">
      <c r="A13" s="44"/>
      <c r="B13" s="43"/>
      <c r="E13" s="195" t="s">
        <v>167</v>
      </c>
      <c r="F13" s="195" t="s">
        <v>167</v>
      </c>
      <c r="G13" s="210" t="str">
        <f>"("&amp;Calcu!H28&amp;")"</f>
        <v>(μm)</v>
      </c>
    </row>
    <row r="14" spans="1:11" ht="15" customHeight="1">
      <c r="A14" s="44"/>
      <c r="B14" s="43"/>
      <c r="E14" s="193" t="e">
        <f ca="1">Calcu!AA9</f>
        <v>#N/A</v>
      </c>
      <c r="F14" s="193" t="e">
        <f ca="1">Calcu!AB9</f>
        <v>#N/A</v>
      </c>
      <c r="G14" s="128" t="e">
        <f ca="1">Calcu!S29</f>
        <v>#N/A</v>
      </c>
    </row>
    <row r="15" spans="1:11" ht="15" customHeight="1">
      <c r="A15" s="44"/>
      <c r="E15" s="53" t="str">
        <f>IF(Calcu!C31="사다리꼴","※ 신뢰수준 95 %,","※ 신뢰수준 약 95 %,")</f>
        <v>※ 신뢰수준 약 95 %,</v>
      </c>
      <c r="F15" s="218" t="e">
        <f ca="1">Calcu!E40&amp;IF(Calcu!C31="사다리꼴",", 사다리꼴 확률분포.","")</f>
        <v>#N/A</v>
      </c>
    </row>
    <row r="16" spans="1:11" ht="15" customHeight="1">
      <c r="E16" s="72"/>
      <c r="F16" s="72"/>
      <c r="G16" s="72"/>
      <c r="H16" s="73"/>
    </row>
  </sheetData>
  <mergeCells count="1">
    <mergeCell ref="A1:K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78" customFormat="1" ht="33" customHeight="1">
      <c r="A1" s="319" t="s">
        <v>56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1" s="78" customFormat="1" ht="33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</row>
    <row r="3" spans="1:11" s="47" customFormat="1" ht="12.75" customHeight="1">
      <c r="A3" s="48" t="s">
        <v>55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77" t="str">
        <f>" 교   정   번   호(Calibration No) : "&amp;기본정보!H3</f>
        <v xml:space="preserve"> 교   정   번   호(Calibration No) : </v>
      </c>
      <c r="B4" s="77"/>
      <c r="C4" s="76"/>
      <c r="D4" s="185"/>
      <c r="E4" s="76"/>
      <c r="F4" s="89"/>
      <c r="G4" s="76"/>
      <c r="H4" s="185"/>
      <c r="I4" s="76"/>
      <c r="J4" s="75"/>
      <c r="K4" s="74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</row>
    <row r="7" spans="1:11" ht="15" customHeight="1">
      <c r="E7" s="54" t="str">
        <f>"○ Manufacturer  : "&amp;기본정보!C$6</f>
        <v xml:space="preserve">○ Manufacturer  : </v>
      </c>
    </row>
    <row r="8" spans="1:11" ht="15" customHeight="1">
      <c r="E8" s="54" t="str">
        <f>"○ Model Name : "&amp;기본정보!C$7</f>
        <v xml:space="preserve">○ Model Name : </v>
      </c>
    </row>
    <row r="9" spans="1:11" ht="15" customHeight="1">
      <c r="E9" s="54" t="str">
        <f>"○ Serial Number : "&amp;기본정보!C$8</f>
        <v xml:space="preserve">○ Serial Number : </v>
      </c>
    </row>
    <row r="11" spans="1:11" ht="15" customHeight="1">
      <c r="E11" s="38" t="s">
        <v>128</v>
      </c>
    </row>
    <row r="12" spans="1:11" ht="15" customHeight="1">
      <c r="A12" s="44"/>
      <c r="B12" s="43"/>
      <c r="E12" s="194" t="s">
        <v>127</v>
      </c>
      <c r="F12" s="194" t="s">
        <v>126</v>
      </c>
      <c r="G12" s="317" t="s">
        <v>290</v>
      </c>
      <c r="H12" s="51"/>
    </row>
    <row r="13" spans="1:11" ht="15" customHeight="1">
      <c r="A13" s="44"/>
      <c r="B13" s="43"/>
      <c r="E13" s="195" t="s">
        <v>167</v>
      </c>
      <c r="F13" s="195" t="s">
        <v>167</v>
      </c>
      <c r="G13" s="318"/>
      <c r="H13" s="51"/>
    </row>
    <row r="14" spans="1:11" ht="15" customHeight="1">
      <c r="A14" s="44"/>
      <c r="B14" s="43"/>
      <c r="E14" s="193" t="e">
        <f ca="1">Calcu!AA9</f>
        <v>#N/A</v>
      </c>
      <c r="F14" s="193" t="e">
        <f ca="1">Calcu!AB9</f>
        <v>#N/A</v>
      </c>
      <c r="G14" s="128" t="e">
        <f ca="1">Calcu!S29</f>
        <v>#N/A</v>
      </c>
    </row>
    <row r="15" spans="1:11" ht="15" customHeight="1">
      <c r="A15" s="44"/>
      <c r="E15" s="53"/>
      <c r="F15" s="38" t="str">
        <f>IF(Calcu!C31="사다리꼴","(Confidence level 95 %,","(Confidence level about 95 %,")</f>
        <v>(Confidence level about 95 %,</v>
      </c>
      <c r="G15" s="218" t="e">
        <f ca="1">Calcu!E40&amp;")"</f>
        <v>#N/A</v>
      </c>
    </row>
    <row r="16" spans="1:11" ht="15" customHeight="1">
      <c r="A16" s="44"/>
      <c r="E16" s="50" t="str">
        <f>IF(Calcu!C31="사다리꼴","※ Trapezoid probability distribution.","")</f>
        <v/>
      </c>
      <c r="F16" s="53"/>
      <c r="I16" s="53"/>
      <c r="J16" s="50"/>
    </row>
    <row r="17" spans="5:8" ht="15" customHeight="1">
      <c r="E17" s="72"/>
      <c r="F17" s="72"/>
      <c r="G17" s="72"/>
      <c r="H17" s="73"/>
    </row>
  </sheetData>
  <mergeCells count="2">
    <mergeCell ref="G12:G13"/>
    <mergeCell ref="A1:K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16" t="s">
        <v>479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s="47" customFormat="1" ht="33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s="47" customFormat="1" ht="12.75" customHeight="1">
      <c r="A3" s="48" t="s">
        <v>55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251" t="str">
        <f>" 교   정   번   호(Calibration No) : "&amp;기본정보!H3</f>
        <v xml:space="preserve"> 교   정   번   호(Calibration No) : </v>
      </c>
      <c r="B4" s="251"/>
      <c r="C4" s="251"/>
      <c r="D4" s="251"/>
      <c r="E4" s="251"/>
      <c r="F4" s="185"/>
      <c r="G4" s="185"/>
      <c r="H4" s="185"/>
      <c r="I4" s="185"/>
      <c r="J4" s="185"/>
      <c r="K4" s="252"/>
      <c r="L4" s="184"/>
      <c r="M4" s="253"/>
      <c r="N4" s="253"/>
      <c r="O4" s="253"/>
      <c r="P4" s="253"/>
      <c r="Q4" s="253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s="254" customFormat="1" ht="15" customHeight="1">
      <c r="B11" s="325"/>
      <c r="C11" s="327"/>
      <c r="D11" s="327"/>
      <c r="E11" s="327"/>
      <c r="F11" s="329" t="s">
        <v>486</v>
      </c>
      <c r="G11" s="331" t="s">
        <v>480</v>
      </c>
      <c r="H11" s="333" t="s">
        <v>83</v>
      </c>
      <c r="I11" s="335"/>
      <c r="J11" s="336" t="s">
        <v>481</v>
      </c>
      <c r="K11" s="336"/>
      <c r="L11" s="336"/>
      <c r="M11" s="320" t="s">
        <v>482</v>
      </c>
      <c r="N11" s="320"/>
      <c r="O11" s="320"/>
      <c r="P11" s="321"/>
      <c r="Q11" s="323" t="s">
        <v>483</v>
      </c>
    </row>
    <row r="12" spans="1:17" s="255" customFormat="1" ht="22.5">
      <c r="B12" s="326"/>
      <c r="C12" s="328"/>
      <c r="D12" s="328"/>
      <c r="E12" s="328"/>
      <c r="F12" s="330"/>
      <c r="G12" s="332"/>
      <c r="H12" s="334"/>
      <c r="I12" s="328"/>
      <c r="J12" s="257" t="s">
        <v>489</v>
      </c>
      <c r="K12" s="258" t="s">
        <v>490</v>
      </c>
      <c r="L12" s="258" t="s">
        <v>491</v>
      </c>
      <c r="M12" s="257" t="s">
        <v>489</v>
      </c>
      <c r="N12" s="258" t="s">
        <v>490</v>
      </c>
      <c r="O12" s="258" t="s">
        <v>491</v>
      </c>
      <c r="P12" s="322"/>
      <c r="Q12" s="324"/>
    </row>
    <row r="13" spans="1:17" ht="15" customHeight="1">
      <c r="A13" s="44"/>
      <c r="B13" s="43"/>
      <c r="C13" s="43"/>
      <c r="D13" s="43"/>
      <c r="E13" s="43"/>
      <c r="F13" s="51" t="e">
        <f ca="1">Calcu!AA9</f>
        <v>#N/A</v>
      </c>
      <c r="G13" s="51" t="s">
        <v>484</v>
      </c>
      <c r="H13" s="51" t="e">
        <f ca="1">Calcu!AD9</f>
        <v>#VALUE!</v>
      </c>
      <c r="J13" s="37" t="e">
        <f ca="1">Calcu!AB9</f>
        <v>#N/A</v>
      </c>
      <c r="K13" s="37" t="e">
        <f ca="1">Calcu!AC9</f>
        <v>#N/A</v>
      </c>
      <c r="L13" s="37" t="str">
        <f>LEFT(Calcu!AE9,1)</f>
        <v/>
      </c>
      <c r="M13" s="37" t="s">
        <v>342</v>
      </c>
      <c r="N13" s="37" t="s">
        <v>342</v>
      </c>
      <c r="O13" s="37" t="s">
        <v>342</v>
      </c>
      <c r="Q13" s="37" t="e">
        <f ca="1">Calcu!AF9</f>
        <v>#N/A</v>
      </c>
    </row>
    <row r="14" spans="1:17" ht="15" customHeight="1">
      <c r="A14" s="44"/>
      <c r="F14" s="51"/>
      <c r="G14" s="51"/>
      <c r="H14" s="51"/>
    </row>
    <row r="15" spans="1:17" ht="15" customHeight="1">
      <c r="A15" s="44"/>
      <c r="G15" s="53" t="str">
        <f>IF(Calcu!C31="사다리꼴","※ 신뢰수준 95 %,","※ 신뢰수준 약 95 %,")</f>
        <v>※ 신뢰수준 약 95 %,</v>
      </c>
      <c r="H15" s="218" t="e">
        <f ca="1">Calcu!E40&amp;IF(Calcu!C31="사다리꼴",", 사다리꼴 확률분포","")</f>
        <v>#N/A</v>
      </c>
      <c r="K15" s="50"/>
      <c r="Q15" s="53"/>
    </row>
    <row r="16" spans="1:17" ht="15" customHeight="1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3">
    <mergeCell ref="M11:O11"/>
    <mergeCell ref="P11:P12"/>
    <mergeCell ref="Q11:Q12"/>
    <mergeCell ref="A1:Q2"/>
    <mergeCell ref="B11:B12"/>
    <mergeCell ref="C11:C12"/>
    <mergeCell ref="D11:D12"/>
    <mergeCell ref="E11:E12"/>
    <mergeCell ref="F11:F12"/>
    <mergeCell ref="G11:G12"/>
    <mergeCell ref="H11:H12"/>
    <mergeCell ref="I11:I12"/>
    <mergeCell ref="J11:L11"/>
  </mergeCells>
  <phoneticPr fontId="3" type="noConversion"/>
  <printOptions horizontalCentered="1"/>
  <pageMargins left="0" right="0" top="0.35433070866141736" bottom="0.59055118110236227" header="0" footer="0"/>
  <pageSetup paperSize="9" scale="96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0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10.77734375" style="37" customWidth="1"/>
    <col min="9" max="11" width="4.77734375" style="37" customWidth="1"/>
    <col min="12" max="12" width="4.77734375" style="91" customWidth="1"/>
    <col min="13" max="13" width="6.77734375" style="101" customWidth="1"/>
    <col min="14" max="16384" width="10.77734375" style="91"/>
  </cols>
  <sheetData>
    <row r="1" spans="1:13" s="78" customFormat="1" ht="33" customHeight="1">
      <c r="A1" s="339" t="s">
        <v>71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80"/>
    </row>
    <row r="2" spans="1:13" s="78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80"/>
    </row>
    <row r="3" spans="1:13" s="78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79"/>
      <c r="M3" s="100"/>
    </row>
    <row r="4" spans="1:13" s="80" customFormat="1" ht="13.5" customHeight="1">
      <c r="A4" s="88"/>
      <c r="B4" s="88"/>
      <c r="C4" s="89"/>
      <c r="D4" s="185"/>
      <c r="E4" s="89"/>
      <c r="F4" s="97"/>
      <c r="G4" s="89"/>
      <c r="H4" s="89"/>
      <c r="I4" s="90"/>
      <c r="J4" s="97"/>
      <c r="K4" s="97"/>
      <c r="L4" s="88"/>
      <c r="M4" s="36"/>
    </row>
    <row r="5" spans="1:13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3" customFormat="1" ht="15" customHeight="1">
      <c r="A6" s="43"/>
      <c r="C6" s="43"/>
      <c r="D6" s="43"/>
      <c r="E6" s="38" t="s">
        <v>129</v>
      </c>
      <c r="F6" s="37"/>
      <c r="G6" s="52"/>
      <c r="H6" s="52"/>
      <c r="I6" s="51"/>
      <c r="J6" s="37"/>
      <c r="K6" s="37"/>
      <c r="L6" s="92"/>
    </row>
    <row r="7" spans="1:13" s="83" customFormat="1" ht="15" customHeight="1">
      <c r="A7" s="43"/>
      <c r="C7" s="43"/>
      <c r="D7" s="43"/>
      <c r="E7" s="170" t="s">
        <v>118</v>
      </c>
      <c r="F7" s="170" t="s">
        <v>84</v>
      </c>
      <c r="G7" s="167" t="s">
        <v>83</v>
      </c>
      <c r="H7" s="337" t="s">
        <v>85</v>
      </c>
    </row>
    <row r="8" spans="1:13" s="83" customFormat="1" ht="15" customHeight="1">
      <c r="A8" s="43"/>
      <c r="C8" s="43"/>
      <c r="D8" s="43"/>
      <c r="E8" s="171" t="s">
        <v>110</v>
      </c>
      <c r="F8" s="171" t="s">
        <v>110</v>
      </c>
      <c r="G8" s="171" t="s">
        <v>110</v>
      </c>
      <c r="H8" s="338"/>
    </row>
    <row r="9" spans="1:13" s="83" customFormat="1" ht="15" customHeight="1">
      <c r="A9" s="43"/>
      <c r="C9" s="43"/>
      <c r="D9" s="43"/>
      <c r="E9" s="128" t="e">
        <f ca="1">Calcu!AA9</f>
        <v>#N/A</v>
      </c>
      <c r="F9" s="128" t="e">
        <f ca="1">Calcu!AB9</f>
        <v>#N/A</v>
      </c>
      <c r="G9" s="128" t="e">
        <f ca="1">Calcu!AD9</f>
        <v>#VALUE!</v>
      </c>
      <c r="H9" s="128" t="str">
        <f>Calcu!AE9</f>
        <v/>
      </c>
    </row>
    <row r="10" spans="1:13" ht="15" customHeight="1">
      <c r="C10" s="72"/>
      <c r="D10" s="72"/>
      <c r="E10" s="172"/>
      <c r="F10" s="172"/>
      <c r="G10" s="172"/>
      <c r="H10" s="172"/>
      <c r="I10" s="72"/>
    </row>
  </sheetData>
  <mergeCells count="2">
    <mergeCell ref="H7:H8"/>
    <mergeCell ref="A1:L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339" t="s">
        <v>57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78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78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79"/>
    </row>
    <row r="4" spans="1:12" s="80" customFormat="1" ht="13.5" customHeight="1">
      <c r="A4" s="88"/>
      <c r="B4" s="88"/>
      <c r="C4" s="89"/>
      <c r="D4" s="89"/>
      <c r="E4" s="97"/>
      <c r="F4" s="89"/>
      <c r="G4" s="89"/>
      <c r="H4" s="98"/>
      <c r="I4" s="90"/>
      <c r="J4" s="97"/>
      <c r="K4" s="97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4" t="str">
        <f>"○ 품명 : "&amp;기본정보!C$5</f>
        <v xml:space="preserve">○ 품명 : </v>
      </c>
      <c r="L6" s="91"/>
    </row>
    <row r="7" spans="1:12" s="37" customFormat="1" ht="15" customHeight="1">
      <c r="C7" s="54" t="str">
        <f>"○ 제작회사 : "&amp;기본정보!C$6</f>
        <v xml:space="preserve">○ 제작회사 : </v>
      </c>
      <c r="L7" s="91"/>
    </row>
    <row r="8" spans="1:12" s="37" customFormat="1" ht="15" customHeight="1">
      <c r="C8" s="54" t="str">
        <f>"○ 형식 : "&amp;기본정보!C$7</f>
        <v xml:space="preserve">○ 형식 : </v>
      </c>
      <c r="L8" s="91"/>
    </row>
    <row r="9" spans="1:12" s="37" customFormat="1" ht="15" customHeight="1">
      <c r="C9" s="54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2"/>
      <c r="C11" s="102"/>
      <c r="D11" s="102"/>
      <c r="E11" s="102"/>
      <c r="F11" s="102"/>
      <c r="G11" s="102"/>
      <c r="H11" s="103"/>
      <c r="I11" s="103"/>
      <c r="J11" s="102"/>
      <c r="K11" s="72"/>
    </row>
  </sheetData>
  <mergeCells count="1">
    <mergeCell ref="A1:L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8" width="8.77734375" style="26" customWidth="1"/>
    <col min="9" max="9" width="1.77734375" style="26" customWidth="1"/>
    <col min="10" max="10" width="8.88671875" style="45" customWidth="1"/>
    <col min="11" max="13" width="8.88671875" style="45"/>
    <col min="14" max="16358" width="8.88671875" style="28"/>
    <col min="16359" max="16359" width="8.88671875" style="28" customWidth="1"/>
    <col min="16360" max="16384" width="8.88671875" style="28"/>
  </cols>
  <sheetData>
    <row r="1" spans="1:24" s="66" customFormat="1" ht="25.5">
      <c r="A1" s="63" t="s">
        <v>59</v>
      </c>
      <c r="B1" s="30"/>
      <c r="C1" s="30"/>
      <c r="D1" s="30"/>
      <c r="E1" s="64"/>
      <c r="F1" s="26"/>
      <c r="G1" s="26"/>
      <c r="H1" s="26"/>
      <c r="I1" s="26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24" s="27" customFormat="1" ht="15" customHeight="1">
      <c r="A3" s="46"/>
      <c r="B3" s="174" t="s">
        <v>2</v>
      </c>
      <c r="C3" s="175">
        <f>기본정보!C3</f>
        <v>0</v>
      </c>
      <c r="D3" s="174" t="s">
        <v>79</v>
      </c>
      <c r="E3" s="342">
        <f>기본정보!H3</f>
        <v>0</v>
      </c>
      <c r="F3" s="343"/>
      <c r="G3" s="174" t="s">
        <v>82</v>
      </c>
      <c r="H3" s="176">
        <f>기본정보!H8</f>
        <v>0</v>
      </c>
      <c r="I3" s="24"/>
    </row>
    <row r="4" spans="1:24" s="27" customFormat="1" ht="15" customHeight="1">
      <c r="A4" s="46"/>
      <c r="B4" s="174" t="s">
        <v>32</v>
      </c>
      <c r="C4" s="177">
        <f>기본정보!C8</f>
        <v>0</v>
      </c>
      <c r="D4" s="174" t="s">
        <v>80</v>
      </c>
      <c r="E4" s="340">
        <f>기본정보!H4</f>
        <v>0</v>
      </c>
      <c r="F4" s="341"/>
      <c r="G4" s="174" t="s">
        <v>14</v>
      </c>
      <c r="H4" s="176">
        <f>기본정보!H9</f>
        <v>0</v>
      </c>
      <c r="I4" s="24"/>
    </row>
    <row r="5" spans="1:24" s="27" customFormat="1" ht="15" customHeight="1">
      <c r="A5" s="46"/>
      <c r="D5" s="24"/>
      <c r="E5" s="24"/>
      <c r="F5" s="24"/>
      <c r="G5" s="24"/>
      <c r="H5" s="24"/>
      <c r="I5" s="24"/>
    </row>
    <row r="6" spans="1:24" s="27" customFormat="1" ht="15" customHeight="1">
      <c r="A6" s="46"/>
      <c r="B6" s="99" t="s">
        <v>81</v>
      </c>
      <c r="C6" s="24"/>
      <c r="D6" s="24"/>
      <c r="E6" s="24"/>
      <c r="F6" s="24"/>
      <c r="G6" s="24"/>
      <c r="H6" s="24"/>
      <c r="I6" s="24"/>
    </row>
    <row r="7" spans="1:24" ht="15" customHeight="1">
      <c r="B7" s="183" t="s">
        <v>108</v>
      </c>
      <c r="C7" s="344" t="str">
        <f>Calcu!E6</f>
        <v>표준 측장기 지시값</v>
      </c>
      <c r="D7" s="345"/>
      <c r="E7" s="345"/>
      <c r="F7" s="345"/>
      <c r="G7" s="346"/>
      <c r="H7" s="27"/>
      <c r="I7" s="28"/>
      <c r="J7" s="28"/>
      <c r="K7" s="28"/>
      <c r="L7" s="28"/>
      <c r="M7" s="28"/>
    </row>
    <row r="8" spans="1:24" ht="15" customHeight="1">
      <c r="B8" s="174" t="str">
        <f>Calcu!D9</f>
        <v/>
      </c>
      <c r="C8" s="174" t="s">
        <v>77</v>
      </c>
      <c r="D8" s="174" t="s">
        <v>72</v>
      </c>
      <c r="E8" s="174" t="s">
        <v>73</v>
      </c>
      <c r="F8" s="174" t="s">
        <v>102</v>
      </c>
      <c r="G8" s="174" t="s">
        <v>103</v>
      </c>
      <c r="H8" s="27"/>
      <c r="I8" s="28"/>
      <c r="J8" s="28"/>
      <c r="K8" s="28"/>
      <c r="L8" s="28"/>
      <c r="M8" s="28"/>
    </row>
    <row r="9" spans="1:24" ht="15" customHeight="1">
      <c r="B9" s="175" t="str">
        <f>Calcu!C9</f>
        <v/>
      </c>
      <c r="C9" s="175" t="str">
        <f ca="1">TEXT(Calcu!E9,Calcu!$Q$29)</f>
        <v/>
      </c>
      <c r="D9" s="175" t="str">
        <f ca="1">TEXT(Calcu!F9,Calcu!$Q$29)</f>
        <v/>
      </c>
      <c r="E9" s="175" t="str">
        <f ca="1">TEXT(Calcu!G9,Calcu!$Q$29)</f>
        <v/>
      </c>
      <c r="F9" s="175" t="str">
        <f ca="1">TEXT(Calcu!H9,Calcu!$Q$29)</f>
        <v/>
      </c>
      <c r="G9" s="175" t="str">
        <f ca="1">TEXT(Calcu!I9,Calcu!$Q$29)</f>
        <v/>
      </c>
      <c r="H9" s="27"/>
      <c r="I9" s="28"/>
      <c r="J9" s="28"/>
      <c r="K9" s="28"/>
      <c r="L9" s="28"/>
      <c r="M9" s="28"/>
    </row>
    <row r="10" spans="1:24" ht="13.5" customHeight="1">
      <c r="B10" s="175" t="str">
        <f>Calcu!C10</f>
        <v/>
      </c>
      <c r="C10" s="175" t="str">
        <f ca="1">TEXT(Calcu!E10,Calcu!$Q$29)</f>
        <v/>
      </c>
      <c r="D10" s="175" t="str">
        <f ca="1">TEXT(Calcu!F10,Calcu!$Q$29)</f>
        <v/>
      </c>
      <c r="E10" s="175" t="str">
        <f ca="1">TEXT(Calcu!G10,Calcu!$Q$29)</f>
        <v/>
      </c>
      <c r="F10" s="175" t="str">
        <f ca="1">TEXT(Calcu!H10,Calcu!$Q$29)</f>
        <v/>
      </c>
      <c r="G10" s="175" t="str">
        <f ca="1">TEXT(Calcu!I10,Calcu!$Q$29)</f>
        <v/>
      </c>
      <c r="H10" s="45"/>
      <c r="I10" s="28"/>
      <c r="J10" s="28"/>
      <c r="K10" s="28"/>
      <c r="L10" s="28"/>
      <c r="M10" s="28"/>
    </row>
    <row r="11" spans="1:24" ht="13.5" customHeight="1">
      <c r="B11" s="175" t="str">
        <f>Calcu!C11</f>
        <v/>
      </c>
      <c r="C11" s="175" t="str">
        <f ca="1">TEXT(Calcu!E11,Calcu!$Q$29)</f>
        <v/>
      </c>
      <c r="D11" s="175" t="str">
        <f ca="1">TEXT(Calcu!F11,Calcu!$Q$29)</f>
        <v/>
      </c>
      <c r="E11" s="175" t="str">
        <f ca="1">TEXT(Calcu!G11,Calcu!$Q$29)</f>
        <v/>
      </c>
      <c r="F11" s="175" t="str">
        <f ca="1">TEXT(Calcu!H11,Calcu!$Q$29)</f>
        <v/>
      </c>
      <c r="G11" s="175" t="str">
        <f ca="1">TEXT(Calcu!I11,Calcu!$Q$29)</f>
        <v/>
      </c>
      <c r="H11" s="45"/>
      <c r="I11" s="28"/>
      <c r="J11" s="28"/>
      <c r="K11" s="28"/>
      <c r="L11" s="28"/>
      <c r="M11" s="28"/>
    </row>
    <row r="12" spans="1:24" ht="13.5" customHeight="1">
      <c r="B12" s="175" t="str">
        <f>Calcu!C12</f>
        <v/>
      </c>
      <c r="C12" s="175" t="str">
        <f ca="1">TEXT(Calcu!E12,Calcu!$Q$29)</f>
        <v/>
      </c>
      <c r="D12" s="175" t="str">
        <f ca="1">TEXT(Calcu!F12,Calcu!$Q$29)</f>
        <v/>
      </c>
      <c r="E12" s="175" t="str">
        <f ca="1">TEXT(Calcu!G12,Calcu!$Q$29)</f>
        <v/>
      </c>
      <c r="F12" s="175" t="str">
        <f ca="1">TEXT(Calcu!H12,Calcu!$Q$29)</f>
        <v/>
      </c>
      <c r="G12" s="175" t="str">
        <f ca="1">TEXT(Calcu!I12,Calcu!$Q$29)</f>
        <v/>
      </c>
      <c r="H12" s="45"/>
      <c r="I12" s="28"/>
      <c r="J12" s="28"/>
      <c r="K12" s="28"/>
      <c r="L12" s="28"/>
      <c r="M12" s="28"/>
    </row>
    <row r="13" spans="1:24" ht="13.5" customHeight="1">
      <c r="B13" s="175" t="str">
        <f>Calcu!C13</f>
        <v/>
      </c>
      <c r="C13" s="175" t="str">
        <f ca="1">TEXT(Calcu!E13,Calcu!$Q$29)</f>
        <v/>
      </c>
      <c r="D13" s="175" t="str">
        <f ca="1">TEXT(Calcu!F13,Calcu!$Q$29)</f>
        <v/>
      </c>
      <c r="E13" s="175" t="str">
        <f ca="1">TEXT(Calcu!G13,Calcu!$Q$29)</f>
        <v/>
      </c>
      <c r="F13" s="175" t="str">
        <f ca="1">TEXT(Calcu!H13,Calcu!$Q$29)</f>
        <v/>
      </c>
      <c r="G13" s="175" t="str">
        <f ca="1">TEXT(Calcu!I13,Calcu!$Q$29)</f>
        <v/>
      </c>
      <c r="H13" s="45"/>
      <c r="I13" s="28"/>
      <c r="J13" s="28"/>
      <c r="K13" s="28"/>
      <c r="L13" s="28"/>
      <c r="M13" s="28"/>
    </row>
  </sheetData>
  <sortState ref="N5:O14">
    <sortCondition descending="1" ref="N5"/>
  </sortState>
  <mergeCells count="3">
    <mergeCell ref="E4:F4"/>
    <mergeCell ref="E3:F3"/>
    <mergeCell ref="C7:G7"/>
  </mergeCells>
  <phoneticPr fontId="3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75"/>
  <sheetViews>
    <sheetView showGridLines="0" zoomScaleNormal="100" zoomScaleSheetLayoutView="100" workbookViewId="0"/>
  </sheetViews>
  <sheetFormatPr defaultColWidth="1.77734375" defaultRowHeight="18.75" customHeight="1"/>
  <cols>
    <col min="1" max="6" width="1.77734375" style="56"/>
    <col min="7" max="7" width="1.77734375" style="56" customWidth="1"/>
    <col min="8" max="11" width="1.77734375" style="56"/>
    <col min="12" max="12" width="1.77734375" style="56" customWidth="1"/>
    <col min="13" max="23" width="1.77734375" style="56"/>
    <col min="24" max="24" width="1.77734375" style="56" customWidth="1"/>
    <col min="25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1" s="68" customFormat="1" ht="31.5">
      <c r="A1" s="67" t="s">
        <v>294</v>
      </c>
    </row>
    <row r="2" spans="1:51" s="68" customFormat="1" ht="18.75" customHeight="1">
      <c r="A2" s="67"/>
    </row>
    <row r="3" spans="1:51" s="68" customFormat="1" ht="18.75" customHeight="1">
      <c r="A3" s="199" t="s">
        <v>295</v>
      </c>
    </row>
    <row r="4" spans="1:51" s="68" customFormat="1" ht="18.75" customHeight="1">
      <c r="B4" s="414" t="s">
        <v>157</v>
      </c>
      <c r="C4" s="414"/>
      <c r="D4" s="414"/>
      <c r="E4" s="414"/>
      <c r="F4" s="414"/>
      <c r="G4" s="414"/>
      <c r="H4" s="414" t="s">
        <v>296</v>
      </c>
      <c r="I4" s="414"/>
      <c r="J4" s="414"/>
      <c r="K4" s="414"/>
      <c r="L4" s="414"/>
      <c r="M4" s="414"/>
      <c r="N4" s="414" t="s">
        <v>297</v>
      </c>
      <c r="O4" s="414"/>
      <c r="P4" s="414"/>
      <c r="Q4" s="414"/>
      <c r="R4" s="414"/>
      <c r="S4" s="414"/>
    </row>
    <row r="5" spans="1:51" s="68" customFormat="1" ht="18.75" customHeight="1">
      <c r="B5" s="415" t="s">
        <v>298</v>
      </c>
      <c r="C5" s="415"/>
      <c r="D5" s="415"/>
      <c r="E5" s="415"/>
      <c r="F5" s="415"/>
      <c r="G5" s="415"/>
      <c r="H5" s="415" t="s">
        <v>299</v>
      </c>
      <c r="I5" s="415"/>
      <c r="J5" s="415"/>
      <c r="K5" s="415"/>
      <c r="L5" s="415"/>
      <c r="M5" s="415"/>
      <c r="N5" s="415" t="str">
        <f>Calcu!D3</f>
        <v>표준 측장기</v>
      </c>
      <c r="O5" s="415"/>
      <c r="P5" s="415"/>
      <c r="Q5" s="415"/>
      <c r="R5" s="415"/>
      <c r="S5" s="415"/>
    </row>
    <row r="6" spans="1:51" s="68" customFormat="1" ht="18.75" customHeight="1">
      <c r="A6" s="67"/>
    </row>
    <row r="7" spans="1:51" ht="18.75" customHeight="1">
      <c r="A7" s="58" t="s">
        <v>300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</row>
    <row r="8" spans="1:51" ht="18.75" customHeight="1">
      <c r="A8" s="58"/>
      <c r="B8" s="408" t="s">
        <v>301</v>
      </c>
      <c r="C8" s="409"/>
      <c r="D8" s="409"/>
      <c r="E8" s="409"/>
      <c r="F8" s="410"/>
      <c r="G8" s="405" t="str">
        <f>Calcu!E6</f>
        <v>표준 측장기 지시값</v>
      </c>
      <c r="H8" s="406"/>
      <c r="I8" s="406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  <c r="Z8" s="406"/>
      <c r="AA8" s="406"/>
      <c r="AB8" s="406"/>
      <c r="AC8" s="406"/>
      <c r="AD8" s="406"/>
      <c r="AE8" s="407"/>
      <c r="AF8" s="408" t="s">
        <v>130</v>
      </c>
      <c r="AG8" s="409"/>
      <c r="AH8" s="409"/>
      <c r="AI8" s="409"/>
      <c r="AJ8" s="410"/>
      <c r="AK8" s="408" t="s">
        <v>302</v>
      </c>
      <c r="AL8" s="409"/>
      <c r="AM8" s="409"/>
      <c r="AN8" s="409"/>
      <c r="AO8" s="410"/>
      <c r="AP8" s="408" t="s">
        <v>303</v>
      </c>
      <c r="AQ8" s="409"/>
      <c r="AR8" s="409"/>
      <c r="AS8" s="409"/>
      <c r="AT8" s="410"/>
      <c r="AU8" s="408" t="s">
        <v>304</v>
      </c>
      <c r="AV8" s="409"/>
      <c r="AW8" s="409"/>
      <c r="AX8" s="409"/>
      <c r="AY8" s="410"/>
    </row>
    <row r="9" spans="1:51" ht="18.75" customHeight="1">
      <c r="A9" s="58"/>
      <c r="B9" s="411"/>
      <c r="C9" s="412"/>
      <c r="D9" s="412"/>
      <c r="E9" s="412"/>
      <c r="F9" s="413"/>
      <c r="G9" s="405" t="s">
        <v>77</v>
      </c>
      <c r="H9" s="406"/>
      <c r="I9" s="406"/>
      <c r="J9" s="406"/>
      <c r="K9" s="407"/>
      <c r="L9" s="405" t="s">
        <v>305</v>
      </c>
      <c r="M9" s="406"/>
      <c r="N9" s="406"/>
      <c r="O9" s="406"/>
      <c r="P9" s="407"/>
      <c r="Q9" s="405" t="s">
        <v>306</v>
      </c>
      <c r="R9" s="406"/>
      <c r="S9" s="406"/>
      <c r="T9" s="406"/>
      <c r="U9" s="407"/>
      <c r="V9" s="405" t="s">
        <v>307</v>
      </c>
      <c r="W9" s="406"/>
      <c r="X9" s="406"/>
      <c r="Y9" s="406"/>
      <c r="Z9" s="407"/>
      <c r="AA9" s="405" t="s">
        <v>308</v>
      </c>
      <c r="AB9" s="406"/>
      <c r="AC9" s="406"/>
      <c r="AD9" s="406"/>
      <c r="AE9" s="407"/>
      <c r="AF9" s="411"/>
      <c r="AG9" s="412"/>
      <c r="AH9" s="412"/>
      <c r="AI9" s="412"/>
      <c r="AJ9" s="413"/>
      <c r="AK9" s="411"/>
      <c r="AL9" s="412"/>
      <c r="AM9" s="412"/>
      <c r="AN9" s="412"/>
      <c r="AO9" s="413"/>
      <c r="AP9" s="411"/>
      <c r="AQ9" s="412"/>
      <c r="AR9" s="412"/>
      <c r="AS9" s="412"/>
      <c r="AT9" s="413"/>
      <c r="AU9" s="411"/>
      <c r="AV9" s="412"/>
      <c r="AW9" s="412"/>
      <c r="AX9" s="412"/>
      <c r="AY9" s="413"/>
    </row>
    <row r="10" spans="1:51" ht="18.75" customHeight="1">
      <c r="A10" s="58"/>
      <c r="B10" s="399" t="str">
        <f>Calcu!C9</f>
        <v/>
      </c>
      <c r="C10" s="400"/>
      <c r="D10" s="400"/>
      <c r="E10" s="400"/>
      <c r="F10" s="401"/>
      <c r="G10" s="395" t="str">
        <f>Calcu!E9</f>
        <v/>
      </c>
      <c r="H10" s="396"/>
      <c r="I10" s="396"/>
      <c r="J10" s="396"/>
      <c r="K10" s="397"/>
      <c r="L10" s="395" t="str">
        <f>Calcu!F9</f>
        <v/>
      </c>
      <c r="M10" s="396"/>
      <c r="N10" s="396"/>
      <c r="O10" s="396"/>
      <c r="P10" s="397"/>
      <c r="Q10" s="395" t="str">
        <f>Calcu!G9</f>
        <v/>
      </c>
      <c r="R10" s="396"/>
      <c r="S10" s="396"/>
      <c r="T10" s="396"/>
      <c r="U10" s="397"/>
      <c r="V10" s="395" t="str">
        <f>Calcu!H9</f>
        <v/>
      </c>
      <c r="W10" s="396"/>
      <c r="X10" s="396"/>
      <c r="Y10" s="396"/>
      <c r="Z10" s="397"/>
      <c r="AA10" s="395" t="str">
        <f>Calcu!I9</f>
        <v/>
      </c>
      <c r="AB10" s="396"/>
      <c r="AC10" s="396"/>
      <c r="AD10" s="396"/>
      <c r="AE10" s="397"/>
      <c r="AF10" s="395" t="str">
        <f>Calcu!J9</f>
        <v/>
      </c>
      <c r="AG10" s="396"/>
      <c r="AH10" s="396"/>
      <c r="AI10" s="396"/>
      <c r="AJ10" s="397"/>
      <c r="AK10" s="402" t="str">
        <f>Calcu!K9</f>
        <v/>
      </c>
      <c r="AL10" s="403"/>
      <c r="AM10" s="403"/>
      <c r="AN10" s="403"/>
      <c r="AO10" s="404"/>
      <c r="AP10" s="395" t="str">
        <f>Calcu!L9</f>
        <v/>
      </c>
      <c r="AQ10" s="396"/>
      <c r="AR10" s="396"/>
      <c r="AS10" s="396"/>
      <c r="AT10" s="397"/>
      <c r="AU10" s="395" t="str">
        <f>Calcu!U9</f>
        <v/>
      </c>
      <c r="AV10" s="396"/>
      <c r="AW10" s="396"/>
      <c r="AX10" s="396"/>
      <c r="AY10" s="397"/>
    </row>
    <row r="11" spans="1:51" ht="18.75" customHeight="1">
      <c r="A11" s="58"/>
      <c r="B11" s="399" t="str">
        <f>Calcu!C10</f>
        <v/>
      </c>
      <c r="C11" s="400"/>
      <c r="D11" s="400"/>
      <c r="E11" s="400"/>
      <c r="F11" s="401"/>
      <c r="G11" s="395" t="str">
        <f>Calcu!E10</f>
        <v/>
      </c>
      <c r="H11" s="396"/>
      <c r="I11" s="396"/>
      <c r="J11" s="396"/>
      <c r="K11" s="397"/>
      <c r="L11" s="395" t="str">
        <f>Calcu!F10</f>
        <v/>
      </c>
      <c r="M11" s="396"/>
      <c r="N11" s="396"/>
      <c r="O11" s="396"/>
      <c r="P11" s="397"/>
      <c r="Q11" s="395" t="str">
        <f>Calcu!G10</f>
        <v/>
      </c>
      <c r="R11" s="396"/>
      <c r="S11" s="396"/>
      <c r="T11" s="396"/>
      <c r="U11" s="397"/>
      <c r="V11" s="395" t="str">
        <f>Calcu!H10</f>
        <v/>
      </c>
      <c r="W11" s="396"/>
      <c r="X11" s="396"/>
      <c r="Y11" s="396"/>
      <c r="Z11" s="397"/>
      <c r="AA11" s="395" t="str">
        <f>Calcu!I10</f>
        <v/>
      </c>
      <c r="AB11" s="396"/>
      <c r="AC11" s="396"/>
      <c r="AD11" s="396"/>
      <c r="AE11" s="397"/>
      <c r="AF11" s="395" t="str">
        <f>Calcu!J10</f>
        <v/>
      </c>
      <c r="AG11" s="396"/>
      <c r="AH11" s="396"/>
      <c r="AI11" s="396"/>
      <c r="AJ11" s="397"/>
      <c r="AK11" s="402" t="str">
        <f>Calcu!K10</f>
        <v/>
      </c>
      <c r="AL11" s="403"/>
      <c r="AM11" s="403"/>
      <c r="AN11" s="403"/>
      <c r="AO11" s="404"/>
      <c r="AP11" s="395" t="str">
        <f>Calcu!L10</f>
        <v/>
      </c>
      <c r="AQ11" s="396"/>
      <c r="AR11" s="396"/>
      <c r="AS11" s="396"/>
      <c r="AT11" s="397"/>
      <c r="AU11" s="395" t="str">
        <f>Calcu!U10</f>
        <v/>
      </c>
      <c r="AV11" s="396"/>
      <c r="AW11" s="396"/>
      <c r="AX11" s="396"/>
      <c r="AY11" s="397"/>
    </row>
    <row r="12" spans="1:51" ht="18.75" customHeight="1">
      <c r="A12" s="58"/>
      <c r="B12" s="399" t="str">
        <f>Calcu!C11</f>
        <v/>
      </c>
      <c r="C12" s="400"/>
      <c r="D12" s="400"/>
      <c r="E12" s="400"/>
      <c r="F12" s="401"/>
      <c r="G12" s="395" t="str">
        <f>Calcu!E11</f>
        <v/>
      </c>
      <c r="H12" s="396"/>
      <c r="I12" s="396"/>
      <c r="J12" s="396"/>
      <c r="K12" s="397"/>
      <c r="L12" s="395" t="str">
        <f>Calcu!F11</f>
        <v/>
      </c>
      <c r="M12" s="396"/>
      <c r="N12" s="396"/>
      <c r="O12" s="396"/>
      <c r="P12" s="397"/>
      <c r="Q12" s="395" t="str">
        <f>Calcu!G11</f>
        <v/>
      </c>
      <c r="R12" s="396"/>
      <c r="S12" s="396"/>
      <c r="T12" s="396"/>
      <c r="U12" s="397"/>
      <c r="V12" s="395" t="str">
        <f>Calcu!H11</f>
        <v/>
      </c>
      <c r="W12" s="396"/>
      <c r="X12" s="396"/>
      <c r="Y12" s="396"/>
      <c r="Z12" s="397"/>
      <c r="AA12" s="395" t="str">
        <f>Calcu!I11</f>
        <v/>
      </c>
      <c r="AB12" s="396"/>
      <c r="AC12" s="396"/>
      <c r="AD12" s="396"/>
      <c r="AE12" s="397"/>
      <c r="AF12" s="395" t="str">
        <f>Calcu!J11</f>
        <v/>
      </c>
      <c r="AG12" s="396"/>
      <c r="AH12" s="396"/>
      <c r="AI12" s="396"/>
      <c r="AJ12" s="397"/>
      <c r="AK12" s="402" t="str">
        <f>Calcu!K11</f>
        <v/>
      </c>
      <c r="AL12" s="403"/>
      <c r="AM12" s="403"/>
      <c r="AN12" s="403"/>
      <c r="AO12" s="404"/>
      <c r="AP12" s="395" t="str">
        <f>Calcu!L11</f>
        <v/>
      </c>
      <c r="AQ12" s="396"/>
      <c r="AR12" s="396"/>
      <c r="AS12" s="396"/>
      <c r="AT12" s="397"/>
      <c r="AU12" s="395" t="str">
        <f>Calcu!U11</f>
        <v/>
      </c>
      <c r="AV12" s="396"/>
      <c r="AW12" s="396"/>
      <c r="AX12" s="396"/>
      <c r="AY12" s="397"/>
    </row>
    <row r="13" spans="1:51" ht="18.75" customHeight="1">
      <c r="A13" s="58"/>
      <c r="B13" s="399" t="str">
        <f>Calcu!C12</f>
        <v/>
      </c>
      <c r="C13" s="400"/>
      <c r="D13" s="400"/>
      <c r="E13" s="400"/>
      <c r="F13" s="401"/>
      <c r="G13" s="395" t="str">
        <f>Calcu!E12</f>
        <v/>
      </c>
      <c r="H13" s="396"/>
      <c r="I13" s="396"/>
      <c r="J13" s="396"/>
      <c r="K13" s="397"/>
      <c r="L13" s="395" t="str">
        <f>Calcu!F12</f>
        <v/>
      </c>
      <c r="M13" s="396"/>
      <c r="N13" s="396"/>
      <c r="O13" s="396"/>
      <c r="P13" s="397"/>
      <c r="Q13" s="395" t="str">
        <f>Calcu!G12</f>
        <v/>
      </c>
      <c r="R13" s="396"/>
      <c r="S13" s="396"/>
      <c r="T13" s="396"/>
      <c r="U13" s="397"/>
      <c r="V13" s="395" t="str">
        <f>Calcu!H12</f>
        <v/>
      </c>
      <c r="W13" s="396"/>
      <c r="X13" s="396"/>
      <c r="Y13" s="396"/>
      <c r="Z13" s="397"/>
      <c r="AA13" s="395" t="str">
        <f>Calcu!I12</f>
        <v/>
      </c>
      <c r="AB13" s="396"/>
      <c r="AC13" s="396"/>
      <c r="AD13" s="396"/>
      <c r="AE13" s="397"/>
      <c r="AF13" s="395" t="str">
        <f>Calcu!J12</f>
        <v/>
      </c>
      <c r="AG13" s="396"/>
      <c r="AH13" s="396"/>
      <c r="AI13" s="396"/>
      <c r="AJ13" s="397"/>
      <c r="AK13" s="402" t="str">
        <f>Calcu!K12</f>
        <v/>
      </c>
      <c r="AL13" s="403"/>
      <c r="AM13" s="403"/>
      <c r="AN13" s="403"/>
      <c r="AO13" s="404"/>
      <c r="AP13" s="395" t="str">
        <f>Calcu!L12</f>
        <v/>
      </c>
      <c r="AQ13" s="396"/>
      <c r="AR13" s="396"/>
      <c r="AS13" s="396"/>
      <c r="AT13" s="397"/>
      <c r="AU13" s="395" t="str">
        <f>Calcu!U12</f>
        <v/>
      </c>
      <c r="AV13" s="396"/>
      <c r="AW13" s="396"/>
      <c r="AX13" s="396"/>
      <c r="AY13" s="397"/>
    </row>
    <row r="14" spans="1:51" ht="18.75" customHeight="1">
      <c r="A14" s="58"/>
      <c r="B14" s="399" t="str">
        <f>Calcu!C13</f>
        <v/>
      </c>
      <c r="C14" s="400"/>
      <c r="D14" s="400"/>
      <c r="E14" s="400"/>
      <c r="F14" s="401"/>
      <c r="G14" s="395" t="str">
        <f>Calcu!E13</f>
        <v/>
      </c>
      <c r="H14" s="396"/>
      <c r="I14" s="396"/>
      <c r="J14" s="396"/>
      <c r="K14" s="397"/>
      <c r="L14" s="395" t="str">
        <f>Calcu!F13</f>
        <v/>
      </c>
      <c r="M14" s="396"/>
      <c r="N14" s="396"/>
      <c r="O14" s="396"/>
      <c r="P14" s="397"/>
      <c r="Q14" s="395" t="str">
        <f>Calcu!G13</f>
        <v/>
      </c>
      <c r="R14" s="396"/>
      <c r="S14" s="396"/>
      <c r="T14" s="396"/>
      <c r="U14" s="397"/>
      <c r="V14" s="395" t="str">
        <f>Calcu!H13</f>
        <v/>
      </c>
      <c r="W14" s="396"/>
      <c r="X14" s="396"/>
      <c r="Y14" s="396"/>
      <c r="Z14" s="397"/>
      <c r="AA14" s="395" t="str">
        <f>Calcu!I13</f>
        <v/>
      </c>
      <c r="AB14" s="396"/>
      <c r="AC14" s="396"/>
      <c r="AD14" s="396"/>
      <c r="AE14" s="397"/>
      <c r="AF14" s="395" t="str">
        <f>Calcu!J13</f>
        <v/>
      </c>
      <c r="AG14" s="396"/>
      <c r="AH14" s="396"/>
      <c r="AI14" s="396"/>
      <c r="AJ14" s="397"/>
      <c r="AK14" s="402" t="str">
        <f>Calcu!K13</f>
        <v/>
      </c>
      <c r="AL14" s="403"/>
      <c r="AM14" s="403"/>
      <c r="AN14" s="403"/>
      <c r="AO14" s="404"/>
      <c r="AP14" s="395" t="str">
        <f>Calcu!L13</f>
        <v/>
      </c>
      <c r="AQ14" s="396"/>
      <c r="AR14" s="396"/>
      <c r="AS14" s="396"/>
      <c r="AT14" s="397"/>
      <c r="AU14" s="395" t="str">
        <f>Calcu!U13</f>
        <v/>
      </c>
      <c r="AV14" s="396"/>
      <c r="AW14" s="396"/>
      <c r="AX14" s="396"/>
      <c r="AY14" s="397"/>
    </row>
    <row r="15" spans="1:51" ht="18.75" customHeight="1">
      <c r="A15" s="58"/>
    </row>
    <row r="16" spans="1:51" ht="18.75" customHeight="1">
      <c r="A16" s="58" t="s">
        <v>309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</row>
    <row r="17" spans="1:69" ht="18.75" customHeight="1">
      <c r="A17" s="69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</row>
    <row r="18" spans="1:69" ht="18.75" customHeight="1">
      <c r="A18" s="69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</row>
    <row r="19" spans="1:69" ht="18.75" customHeight="1">
      <c r="A19" s="69"/>
      <c r="B19" s="57"/>
      <c r="C19" s="363" t="s">
        <v>310</v>
      </c>
      <c r="D19" s="363"/>
      <c r="E19" s="363"/>
      <c r="F19" s="231" t="s">
        <v>311</v>
      </c>
      <c r="G19" s="57" t="str">
        <f>"표준온도에서 "&amp;B5&amp;"의 교정값"</f>
        <v>표준온도에서 엔드바의 교정값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W19" s="60"/>
      <c r="X19" s="60"/>
      <c r="Y19" s="60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</row>
    <row r="20" spans="1:69" ht="18.75" customHeight="1">
      <c r="A20" s="69"/>
      <c r="B20" s="57"/>
      <c r="C20" s="363" t="s">
        <v>312</v>
      </c>
      <c r="D20" s="363"/>
      <c r="E20" s="363"/>
      <c r="F20" s="231" t="s">
        <v>311</v>
      </c>
      <c r="G20" s="57" t="str">
        <f>N5&amp;"의 지시값"</f>
        <v>표준 측장기의 지시값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</row>
    <row r="21" spans="1:69" ht="18.75" customHeight="1">
      <c r="A21" s="69"/>
      <c r="B21" s="57"/>
      <c r="C21" s="363" t="s">
        <v>313</v>
      </c>
      <c r="D21" s="363"/>
      <c r="E21" s="363"/>
      <c r="F21" s="231" t="s">
        <v>314</v>
      </c>
      <c r="G21" s="57" t="str">
        <f>H5&amp;"의 교정값"</f>
        <v>게이지 블록의 교정값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W21" s="60"/>
      <c r="X21" s="60"/>
      <c r="Y21" s="60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</row>
    <row r="22" spans="1:69" ht="18.75" customHeight="1">
      <c r="A22" s="69"/>
      <c r="B22" s="57"/>
      <c r="C22" s="363" t="s">
        <v>315</v>
      </c>
      <c r="D22" s="363"/>
      <c r="E22" s="363"/>
      <c r="F22" s="231" t="s">
        <v>159</v>
      </c>
      <c r="G22" s="57" t="str">
        <f>H5&amp;"의 명목값"</f>
        <v>게이지 블록의 명목값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</row>
    <row r="23" spans="1:69" ht="18.75" customHeight="1">
      <c r="A23" s="69"/>
      <c r="B23" s="57"/>
      <c r="C23" s="363"/>
      <c r="D23" s="363"/>
      <c r="E23" s="363"/>
      <c r="F23" s="231" t="s">
        <v>159</v>
      </c>
      <c r="G23" s="57" t="str">
        <f>B5&amp;"와 "&amp;H5&amp;"의 평균열팽창계수"</f>
        <v>엔드바와 게이지 블록의 평균열팽창계수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</row>
    <row r="24" spans="1:69" ht="18.75" customHeight="1">
      <c r="A24" s="69"/>
      <c r="B24" s="57"/>
      <c r="C24" s="363" t="s">
        <v>316</v>
      </c>
      <c r="D24" s="363"/>
      <c r="E24" s="363"/>
      <c r="F24" s="231"/>
      <c r="G24" s="57" t="str">
        <f>B5&amp;"와 "&amp;H5&amp;"의 온도차이"</f>
        <v>엔드바와 게이지 블록의 온도차이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</row>
    <row r="25" spans="1:69" ht="18.75" customHeight="1">
      <c r="A25" s="69"/>
      <c r="B25" s="57"/>
      <c r="C25" s="363" t="s">
        <v>317</v>
      </c>
      <c r="D25" s="363"/>
      <c r="E25" s="363"/>
      <c r="F25" s="231"/>
      <c r="G25" s="57" t="str">
        <f>B5&amp;"와 "&amp;H5&amp;"의 열팽창계수 차이"</f>
        <v>엔드바와 게이지 블록의 열팽창계수 차이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</row>
    <row r="26" spans="1:69" ht="18.75" customHeight="1">
      <c r="A26" s="69"/>
      <c r="B26" s="57"/>
      <c r="C26" s="363" t="s">
        <v>160</v>
      </c>
      <c r="D26" s="363"/>
      <c r="E26" s="363"/>
      <c r="F26" s="231"/>
      <c r="G26" s="57" t="str">
        <f>B5&amp;"와 "&amp;H5&amp;"의 평균 온도값과 기준온도와의 차"</f>
        <v>엔드바와 게이지 블록의 평균 온도값과 기준온도와의 차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</row>
    <row r="27" spans="1:69" ht="18.75" customHeight="1">
      <c r="A27" s="69"/>
      <c r="B27" s="57"/>
      <c r="C27" s="363" t="s">
        <v>518</v>
      </c>
      <c r="D27" s="363"/>
      <c r="E27" s="363"/>
      <c r="F27" s="231" t="s">
        <v>311</v>
      </c>
      <c r="G27" s="57" t="str">
        <f>N5&amp;"의 분해능 한계에 대한 보정값 (기대값=0)"</f>
        <v>표준 측장기의 분해능 한계에 대한 보정값 (기대값=0)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</row>
    <row r="28" spans="1:69" ht="18.75" customHeight="1">
      <c r="A28" s="69"/>
      <c r="B28" s="57"/>
      <c r="C28" s="363"/>
      <c r="D28" s="363"/>
      <c r="E28" s="363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</row>
    <row r="29" spans="1:69" ht="18.75" customHeight="1">
      <c r="A29" s="58" t="s">
        <v>318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</row>
    <row r="30" spans="1:69" ht="18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</row>
    <row r="31" spans="1:69" ht="18.75" customHeight="1">
      <c r="A31" s="57"/>
      <c r="B31" s="57"/>
      <c r="C31" s="57" t="s">
        <v>319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</row>
    <row r="32" spans="1:69" ht="18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ht="18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46" ht="18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46" ht="18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46" ht="18.75" customHeight="1">
      <c r="A36" s="61" t="s">
        <v>320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46" ht="18.75" customHeight="1">
      <c r="A37" s="57"/>
      <c r="B37" s="374"/>
      <c r="C37" s="375"/>
      <c r="D37" s="380"/>
      <c r="E37" s="381"/>
      <c r="F37" s="381"/>
      <c r="G37" s="382"/>
      <c r="H37" s="383">
        <v>1</v>
      </c>
      <c r="I37" s="383"/>
      <c r="J37" s="383"/>
      <c r="K37" s="383"/>
      <c r="L37" s="383"/>
      <c r="M37" s="383"/>
      <c r="N37" s="383"/>
      <c r="O37" s="383">
        <v>2</v>
      </c>
      <c r="P37" s="383"/>
      <c r="Q37" s="383"/>
      <c r="R37" s="383"/>
      <c r="S37" s="383"/>
      <c r="T37" s="383"/>
      <c r="U37" s="383"/>
      <c r="V37" s="383">
        <v>3</v>
      </c>
      <c r="W37" s="383"/>
      <c r="X37" s="383"/>
      <c r="Y37" s="383"/>
      <c r="Z37" s="383"/>
      <c r="AA37" s="380">
        <v>4</v>
      </c>
      <c r="AB37" s="381"/>
      <c r="AC37" s="381"/>
      <c r="AD37" s="381"/>
      <c r="AE37" s="381"/>
      <c r="AF37" s="381"/>
      <c r="AG37" s="382"/>
      <c r="AH37" s="383">
        <v>5</v>
      </c>
      <c r="AI37" s="383"/>
      <c r="AJ37" s="383"/>
      <c r="AK37" s="383"/>
      <c r="AL37" s="383"/>
      <c r="AM37" s="383"/>
      <c r="AN37" s="383"/>
      <c r="AO37" s="383"/>
      <c r="AP37" s="383">
        <v>6</v>
      </c>
      <c r="AQ37" s="383"/>
      <c r="AR37" s="383"/>
      <c r="AS37" s="383"/>
      <c r="AT37" s="57"/>
    </row>
    <row r="38" spans="1:46" ht="18.75" customHeight="1">
      <c r="A38" s="57"/>
      <c r="B38" s="376"/>
      <c r="C38" s="377"/>
      <c r="D38" s="374" t="s">
        <v>321</v>
      </c>
      <c r="E38" s="355"/>
      <c r="F38" s="355"/>
      <c r="G38" s="375"/>
      <c r="H38" s="384" t="s">
        <v>322</v>
      </c>
      <c r="I38" s="384"/>
      <c r="J38" s="384"/>
      <c r="K38" s="384"/>
      <c r="L38" s="384"/>
      <c r="M38" s="384"/>
      <c r="N38" s="384"/>
      <c r="O38" s="384" t="s">
        <v>323</v>
      </c>
      <c r="P38" s="384"/>
      <c r="Q38" s="384"/>
      <c r="R38" s="384"/>
      <c r="S38" s="384"/>
      <c r="T38" s="384"/>
      <c r="U38" s="384"/>
      <c r="V38" s="384" t="s">
        <v>324</v>
      </c>
      <c r="W38" s="384"/>
      <c r="X38" s="384"/>
      <c r="Y38" s="384"/>
      <c r="Z38" s="384"/>
      <c r="AA38" s="374" t="s">
        <v>325</v>
      </c>
      <c r="AB38" s="355"/>
      <c r="AC38" s="355"/>
      <c r="AD38" s="355"/>
      <c r="AE38" s="355"/>
      <c r="AF38" s="355"/>
      <c r="AG38" s="375"/>
      <c r="AH38" s="384" t="s">
        <v>326</v>
      </c>
      <c r="AI38" s="384"/>
      <c r="AJ38" s="384"/>
      <c r="AK38" s="384"/>
      <c r="AL38" s="384"/>
      <c r="AM38" s="384"/>
      <c r="AN38" s="384"/>
      <c r="AO38" s="384"/>
      <c r="AP38" s="384" t="s">
        <v>327</v>
      </c>
      <c r="AQ38" s="384"/>
      <c r="AR38" s="384"/>
      <c r="AS38" s="384"/>
      <c r="AT38" s="57"/>
    </row>
    <row r="39" spans="1:46" ht="18.75" customHeight="1">
      <c r="A39" s="57"/>
      <c r="B39" s="378"/>
      <c r="C39" s="379"/>
      <c r="D39" s="416" t="s">
        <v>328</v>
      </c>
      <c r="E39" s="358"/>
      <c r="F39" s="358"/>
      <c r="G39" s="417"/>
      <c r="H39" s="418" t="s">
        <v>329</v>
      </c>
      <c r="I39" s="418"/>
      <c r="J39" s="418"/>
      <c r="K39" s="418"/>
      <c r="L39" s="418"/>
      <c r="M39" s="418"/>
      <c r="N39" s="418"/>
      <c r="O39" s="418" t="s">
        <v>330</v>
      </c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419" t="s">
        <v>331</v>
      </c>
      <c r="AB39" s="420"/>
      <c r="AC39" s="420"/>
      <c r="AD39" s="420"/>
      <c r="AE39" s="420"/>
      <c r="AF39" s="420"/>
      <c r="AG39" s="421"/>
      <c r="AH39" s="418" t="s">
        <v>332</v>
      </c>
      <c r="AI39" s="418"/>
      <c r="AJ39" s="418"/>
      <c r="AK39" s="418"/>
      <c r="AL39" s="418"/>
      <c r="AM39" s="418"/>
      <c r="AN39" s="418"/>
      <c r="AO39" s="418"/>
      <c r="AP39" s="418"/>
      <c r="AQ39" s="418"/>
      <c r="AR39" s="418"/>
      <c r="AS39" s="418"/>
      <c r="AT39" s="57"/>
    </row>
    <row r="40" spans="1:46" ht="18.75" customHeight="1">
      <c r="A40" s="57"/>
      <c r="B40" s="383" t="s">
        <v>333</v>
      </c>
      <c r="C40" s="383"/>
      <c r="D40" s="385" t="s">
        <v>334</v>
      </c>
      <c r="E40" s="386"/>
      <c r="F40" s="386"/>
      <c r="G40" s="387"/>
      <c r="H40" s="388" t="e">
        <f>Calcu!E18</f>
        <v>#N/A</v>
      </c>
      <c r="I40" s="389"/>
      <c r="J40" s="389"/>
      <c r="K40" s="389"/>
      <c r="L40" s="389"/>
      <c r="M40" s="390" t="str">
        <f>Calcu!F18</f>
        <v>mm</v>
      </c>
      <c r="N40" s="391"/>
      <c r="O40" s="392">
        <f>Calcu!J18</f>
        <v>0</v>
      </c>
      <c r="P40" s="393"/>
      <c r="Q40" s="393"/>
      <c r="R40" s="393"/>
      <c r="S40" s="394" t="str">
        <f>Calcu!K18</f>
        <v>μm</v>
      </c>
      <c r="T40" s="390"/>
      <c r="U40" s="391"/>
      <c r="V40" s="383" t="str">
        <f>Calcu!L18</f>
        <v>t</v>
      </c>
      <c r="W40" s="383"/>
      <c r="X40" s="383"/>
      <c r="Y40" s="383"/>
      <c r="Z40" s="383"/>
      <c r="AA40" s="395">
        <f>Calcu!O18</f>
        <v>1</v>
      </c>
      <c r="AB40" s="396"/>
      <c r="AC40" s="396"/>
      <c r="AD40" s="396"/>
      <c r="AE40" s="396"/>
      <c r="AF40" s="396"/>
      <c r="AG40" s="397"/>
      <c r="AH40" s="392">
        <f>Calcu!Q18</f>
        <v>0</v>
      </c>
      <c r="AI40" s="393"/>
      <c r="AJ40" s="393"/>
      <c r="AK40" s="393"/>
      <c r="AL40" s="393"/>
      <c r="AM40" s="394" t="str">
        <f>Calcu!R18</f>
        <v>μm</v>
      </c>
      <c r="AN40" s="394"/>
      <c r="AO40" s="398"/>
      <c r="AP40" s="383">
        <f>Calcu!S18</f>
        <v>4</v>
      </c>
      <c r="AQ40" s="383"/>
      <c r="AR40" s="383"/>
      <c r="AS40" s="383"/>
      <c r="AT40" s="57"/>
    </row>
    <row r="41" spans="1:46" ht="18.75" customHeight="1">
      <c r="A41" s="57"/>
      <c r="B41" s="383" t="s">
        <v>224</v>
      </c>
      <c r="C41" s="383"/>
      <c r="D41" s="385" t="s">
        <v>158</v>
      </c>
      <c r="E41" s="386"/>
      <c r="F41" s="386"/>
      <c r="G41" s="387"/>
      <c r="H41" s="388" t="e">
        <f>Calcu!E19</f>
        <v>#N/A</v>
      </c>
      <c r="I41" s="389"/>
      <c r="J41" s="389"/>
      <c r="K41" s="389"/>
      <c r="L41" s="389"/>
      <c r="M41" s="390" t="str">
        <f>Calcu!F19</f>
        <v>mm</v>
      </c>
      <c r="N41" s="391"/>
      <c r="O41" s="392" t="e">
        <f>Calcu!J19</f>
        <v>#N/A</v>
      </c>
      <c r="P41" s="393"/>
      <c r="Q41" s="393"/>
      <c r="R41" s="393"/>
      <c r="S41" s="394" t="str">
        <f>Calcu!K19</f>
        <v>μm</v>
      </c>
      <c r="T41" s="390"/>
      <c r="U41" s="391"/>
      <c r="V41" s="383" t="str">
        <f>Calcu!L19</f>
        <v>정규</v>
      </c>
      <c r="W41" s="383"/>
      <c r="X41" s="383"/>
      <c r="Y41" s="383"/>
      <c r="Z41" s="383"/>
      <c r="AA41" s="395">
        <f>Calcu!O19</f>
        <v>1</v>
      </c>
      <c r="AB41" s="396"/>
      <c r="AC41" s="396"/>
      <c r="AD41" s="396"/>
      <c r="AE41" s="396"/>
      <c r="AF41" s="396"/>
      <c r="AG41" s="397"/>
      <c r="AH41" s="392" t="e">
        <f>Calcu!Q19</f>
        <v>#N/A</v>
      </c>
      <c r="AI41" s="393"/>
      <c r="AJ41" s="393"/>
      <c r="AK41" s="393"/>
      <c r="AL41" s="393"/>
      <c r="AM41" s="394" t="str">
        <f>Calcu!R19</f>
        <v>μm</v>
      </c>
      <c r="AN41" s="394"/>
      <c r="AO41" s="398"/>
      <c r="AP41" s="383" t="str">
        <f>Calcu!S19</f>
        <v>∞</v>
      </c>
      <c r="AQ41" s="383"/>
      <c r="AR41" s="383"/>
      <c r="AS41" s="383"/>
      <c r="AT41" s="57"/>
    </row>
    <row r="42" spans="1:46" ht="18.75" customHeight="1">
      <c r="A42" s="57"/>
      <c r="B42" s="383" t="s">
        <v>335</v>
      </c>
      <c r="C42" s="383"/>
      <c r="D42" s="385"/>
      <c r="E42" s="386"/>
      <c r="F42" s="386"/>
      <c r="G42" s="387"/>
      <c r="H42" s="388" t="e">
        <f ca="1">Calcu!E20</f>
        <v>#N/A</v>
      </c>
      <c r="I42" s="389"/>
      <c r="J42" s="389"/>
      <c r="K42" s="389"/>
      <c r="L42" s="389"/>
      <c r="M42" s="390" t="str">
        <f>Calcu!F20</f>
        <v>/℃</v>
      </c>
      <c r="N42" s="391"/>
      <c r="O42" s="422">
        <f>Calcu!J20</f>
        <v>4.0824829046386305E-7</v>
      </c>
      <c r="P42" s="390"/>
      <c r="Q42" s="390"/>
      <c r="R42" s="390"/>
      <c r="S42" s="394" t="str">
        <f>Calcu!K20</f>
        <v>/℃</v>
      </c>
      <c r="T42" s="390"/>
      <c r="U42" s="391"/>
      <c r="V42" s="383" t="str">
        <f>Calcu!L20</f>
        <v>삼각형</v>
      </c>
      <c r="W42" s="383"/>
      <c r="X42" s="383"/>
      <c r="Y42" s="383"/>
      <c r="Z42" s="383"/>
      <c r="AA42" s="423">
        <f>Calcu!O20</f>
        <v>0</v>
      </c>
      <c r="AB42" s="424"/>
      <c r="AC42" s="424"/>
      <c r="AD42" s="424"/>
      <c r="AE42" s="425" t="str">
        <f>Calcu!P20</f>
        <v>℃·μm</v>
      </c>
      <c r="AF42" s="425"/>
      <c r="AG42" s="426"/>
      <c r="AH42" s="392">
        <f>Calcu!Q20</f>
        <v>0</v>
      </c>
      <c r="AI42" s="393"/>
      <c r="AJ42" s="393"/>
      <c r="AK42" s="393"/>
      <c r="AL42" s="393"/>
      <c r="AM42" s="394" t="str">
        <f>Calcu!R20</f>
        <v>μm</v>
      </c>
      <c r="AN42" s="394"/>
      <c r="AO42" s="398"/>
      <c r="AP42" s="383">
        <f>Calcu!S20</f>
        <v>100</v>
      </c>
      <c r="AQ42" s="383"/>
      <c r="AR42" s="383"/>
      <c r="AS42" s="383"/>
      <c r="AT42" s="57"/>
    </row>
    <row r="43" spans="1:46" ht="18.75" customHeight="1">
      <c r="A43" s="57"/>
      <c r="B43" s="383" t="s">
        <v>336</v>
      </c>
      <c r="C43" s="383"/>
      <c r="D43" s="385" t="s">
        <v>316</v>
      </c>
      <c r="E43" s="386"/>
      <c r="F43" s="386"/>
      <c r="G43" s="387"/>
      <c r="H43" s="388" t="str">
        <f>Calcu!E21</f>
        <v/>
      </c>
      <c r="I43" s="389"/>
      <c r="J43" s="389"/>
      <c r="K43" s="389"/>
      <c r="L43" s="389"/>
      <c r="M43" s="390" t="str">
        <f>Calcu!F21</f>
        <v>℃</v>
      </c>
      <c r="N43" s="391"/>
      <c r="O43" s="392">
        <f>Calcu!J21</f>
        <v>0.17320508075688773</v>
      </c>
      <c r="P43" s="393"/>
      <c r="Q43" s="393"/>
      <c r="R43" s="393"/>
      <c r="S43" s="394" t="str">
        <f>Calcu!K21</f>
        <v>℃</v>
      </c>
      <c r="T43" s="390"/>
      <c r="U43" s="391"/>
      <c r="V43" s="383" t="str">
        <f>Calcu!L21</f>
        <v>직사각형</v>
      </c>
      <c r="W43" s="383"/>
      <c r="X43" s="383"/>
      <c r="Y43" s="383"/>
      <c r="Z43" s="383"/>
      <c r="AA43" s="423" t="e">
        <f ca="1">Calcu!O21</f>
        <v>#N/A</v>
      </c>
      <c r="AB43" s="424"/>
      <c r="AC43" s="424"/>
      <c r="AD43" s="424"/>
      <c r="AE43" s="425" t="str">
        <f>Calcu!P21</f>
        <v>/℃·μm</v>
      </c>
      <c r="AF43" s="425"/>
      <c r="AG43" s="426"/>
      <c r="AH43" s="392" t="e">
        <f ca="1">Calcu!Q21</f>
        <v>#N/A</v>
      </c>
      <c r="AI43" s="393"/>
      <c r="AJ43" s="393"/>
      <c r="AK43" s="393"/>
      <c r="AL43" s="393"/>
      <c r="AM43" s="394" t="str">
        <f>Calcu!R21</f>
        <v>μm</v>
      </c>
      <c r="AN43" s="394"/>
      <c r="AO43" s="398"/>
      <c r="AP43" s="383">
        <f>Calcu!S21</f>
        <v>12</v>
      </c>
      <c r="AQ43" s="383"/>
      <c r="AR43" s="383"/>
      <c r="AS43" s="383"/>
      <c r="AT43" s="57"/>
    </row>
    <row r="44" spans="1:46" ht="18.75" customHeight="1">
      <c r="A44" s="57"/>
      <c r="B44" s="383" t="s">
        <v>337</v>
      </c>
      <c r="C44" s="383"/>
      <c r="D44" s="385" t="s">
        <v>338</v>
      </c>
      <c r="E44" s="386"/>
      <c r="F44" s="386"/>
      <c r="G44" s="387"/>
      <c r="H44" s="388" t="e">
        <f ca="1">Calcu!E22</f>
        <v>#N/A</v>
      </c>
      <c r="I44" s="389"/>
      <c r="J44" s="389"/>
      <c r="K44" s="389"/>
      <c r="L44" s="389"/>
      <c r="M44" s="390" t="str">
        <f>Calcu!F22</f>
        <v>/℃</v>
      </c>
      <c r="N44" s="391"/>
      <c r="O44" s="422">
        <f>Calcu!J22</f>
        <v>8.1649658092772609E-7</v>
      </c>
      <c r="P44" s="390"/>
      <c r="Q44" s="390"/>
      <c r="R44" s="390"/>
      <c r="S44" s="394" t="str">
        <f>Calcu!K22</f>
        <v>/℃</v>
      </c>
      <c r="T44" s="390"/>
      <c r="U44" s="391"/>
      <c r="V44" s="383" t="str">
        <f>Calcu!L22</f>
        <v>삼각형</v>
      </c>
      <c r="W44" s="383"/>
      <c r="X44" s="383"/>
      <c r="Y44" s="383"/>
      <c r="Z44" s="383"/>
      <c r="AA44" s="423" t="e">
        <f>Calcu!O22</f>
        <v>#VALUE!</v>
      </c>
      <c r="AB44" s="424"/>
      <c r="AC44" s="424"/>
      <c r="AD44" s="424"/>
      <c r="AE44" s="425" t="str">
        <f>Calcu!P22</f>
        <v>℃·μm</v>
      </c>
      <c r="AF44" s="425"/>
      <c r="AG44" s="426"/>
      <c r="AH44" s="392" t="e">
        <f>Calcu!Q22</f>
        <v>#VALUE!</v>
      </c>
      <c r="AI44" s="393"/>
      <c r="AJ44" s="393"/>
      <c r="AK44" s="393"/>
      <c r="AL44" s="393"/>
      <c r="AM44" s="394" t="str">
        <f>Calcu!R22</f>
        <v>μm</v>
      </c>
      <c r="AN44" s="394"/>
      <c r="AO44" s="398"/>
      <c r="AP44" s="383">
        <f>Calcu!S22</f>
        <v>100</v>
      </c>
      <c r="AQ44" s="383"/>
      <c r="AR44" s="383"/>
      <c r="AS44" s="383"/>
      <c r="AT44" s="57"/>
    </row>
    <row r="45" spans="1:46" ht="18.75" customHeight="1">
      <c r="A45" s="57"/>
      <c r="B45" s="383" t="s">
        <v>247</v>
      </c>
      <c r="C45" s="383"/>
      <c r="D45" s="385" t="s">
        <v>160</v>
      </c>
      <c r="E45" s="386"/>
      <c r="F45" s="386"/>
      <c r="G45" s="387"/>
      <c r="H45" s="388" t="str">
        <f>Calcu!E23</f>
        <v/>
      </c>
      <c r="I45" s="389"/>
      <c r="J45" s="389"/>
      <c r="K45" s="389"/>
      <c r="L45" s="389"/>
      <c r="M45" s="390" t="str">
        <f>Calcu!F23</f>
        <v>℃</v>
      </c>
      <c r="N45" s="391"/>
      <c r="O45" s="392">
        <f>Calcu!J23</f>
        <v>0.57735026918962584</v>
      </c>
      <c r="P45" s="393"/>
      <c r="Q45" s="393"/>
      <c r="R45" s="393"/>
      <c r="S45" s="394" t="str">
        <f>Calcu!K23</f>
        <v>℃</v>
      </c>
      <c r="T45" s="390"/>
      <c r="U45" s="391"/>
      <c r="V45" s="383" t="str">
        <f>Calcu!L23</f>
        <v>직사각형</v>
      </c>
      <c r="W45" s="383"/>
      <c r="X45" s="383"/>
      <c r="Y45" s="383"/>
      <c r="Z45" s="383"/>
      <c r="AA45" s="423" t="e">
        <f ca="1">Calcu!O23</f>
        <v>#N/A</v>
      </c>
      <c r="AB45" s="424"/>
      <c r="AC45" s="424"/>
      <c r="AD45" s="424"/>
      <c r="AE45" s="425" t="str">
        <f>Calcu!P23</f>
        <v>/℃·μm</v>
      </c>
      <c r="AF45" s="425"/>
      <c r="AG45" s="426"/>
      <c r="AH45" s="392" t="e">
        <f ca="1">Calcu!Q23</f>
        <v>#N/A</v>
      </c>
      <c r="AI45" s="393"/>
      <c r="AJ45" s="393"/>
      <c r="AK45" s="393"/>
      <c r="AL45" s="393"/>
      <c r="AM45" s="394" t="str">
        <f>Calcu!R23</f>
        <v>μm</v>
      </c>
      <c r="AN45" s="394"/>
      <c r="AO45" s="398"/>
      <c r="AP45" s="383">
        <f>Calcu!S23</f>
        <v>12</v>
      </c>
      <c r="AQ45" s="383"/>
      <c r="AR45" s="383"/>
      <c r="AS45" s="383"/>
      <c r="AT45" s="57"/>
    </row>
    <row r="46" spans="1:46" ht="18.75" customHeight="1">
      <c r="A46" s="57"/>
      <c r="B46" s="383" t="s">
        <v>339</v>
      </c>
      <c r="C46" s="383"/>
      <c r="D46" s="385" t="s">
        <v>518</v>
      </c>
      <c r="E46" s="386"/>
      <c r="F46" s="386"/>
      <c r="G46" s="387"/>
      <c r="H46" s="388">
        <f>Calcu!E24</f>
        <v>0</v>
      </c>
      <c r="I46" s="389"/>
      <c r="J46" s="389"/>
      <c r="K46" s="389"/>
      <c r="L46" s="389"/>
      <c r="M46" s="390" t="str">
        <f>Calcu!F24</f>
        <v>mm</v>
      </c>
      <c r="N46" s="391"/>
      <c r="O46" s="392">
        <f>Calcu!J24</f>
        <v>0</v>
      </c>
      <c r="P46" s="393"/>
      <c r="Q46" s="393"/>
      <c r="R46" s="393"/>
      <c r="S46" s="394" t="str">
        <f>Calcu!K24</f>
        <v>μm</v>
      </c>
      <c r="T46" s="390"/>
      <c r="U46" s="391"/>
      <c r="V46" s="383" t="str">
        <f>Calcu!L24</f>
        <v>직사각형</v>
      </c>
      <c r="W46" s="383"/>
      <c r="X46" s="383"/>
      <c r="Y46" s="383"/>
      <c r="Z46" s="383"/>
      <c r="AA46" s="395">
        <f>Calcu!O24</f>
        <v>1</v>
      </c>
      <c r="AB46" s="396"/>
      <c r="AC46" s="396"/>
      <c r="AD46" s="396"/>
      <c r="AE46" s="396"/>
      <c r="AF46" s="396"/>
      <c r="AG46" s="397"/>
      <c r="AH46" s="392">
        <f>Calcu!Q24</f>
        <v>0</v>
      </c>
      <c r="AI46" s="393"/>
      <c r="AJ46" s="393"/>
      <c r="AK46" s="393"/>
      <c r="AL46" s="393"/>
      <c r="AM46" s="394" t="str">
        <f>Calcu!R24</f>
        <v>μm</v>
      </c>
      <c r="AN46" s="394"/>
      <c r="AO46" s="398"/>
      <c r="AP46" s="383" t="str">
        <f>Calcu!S24</f>
        <v>∞</v>
      </c>
      <c r="AQ46" s="383"/>
      <c r="AR46" s="383"/>
      <c r="AS46" s="383"/>
      <c r="AT46" s="57"/>
    </row>
    <row r="47" spans="1:46" ht="18.75" customHeight="1">
      <c r="A47" s="57"/>
      <c r="B47" s="383" t="s">
        <v>340</v>
      </c>
      <c r="C47" s="383"/>
      <c r="D47" s="385" t="s">
        <v>341</v>
      </c>
      <c r="E47" s="386"/>
      <c r="F47" s="386"/>
      <c r="G47" s="387"/>
      <c r="H47" s="388" t="e">
        <f ca="1">Calcu!E25</f>
        <v>#N/A</v>
      </c>
      <c r="I47" s="389"/>
      <c r="J47" s="389"/>
      <c r="K47" s="389"/>
      <c r="L47" s="389"/>
      <c r="M47" s="390" t="str">
        <f>Calcu!F25</f>
        <v>mm</v>
      </c>
      <c r="N47" s="391"/>
      <c r="O47" s="380" t="s">
        <v>342</v>
      </c>
      <c r="P47" s="381"/>
      <c r="Q47" s="381"/>
      <c r="R47" s="381"/>
      <c r="S47" s="381"/>
      <c r="T47" s="381"/>
      <c r="U47" s="382"/>
      <c r="V47" s="383" t="s">
        <v>342</v>
      </c>
      <c r="W47" s="383"/>
      <c r="X47" s="383"/>
      <c r="Y47" s="383"/>
      <c r="Z47" s="383"/>
      <c r="AA47" s="380" t="s">
        <v>342</v>
      </c>
      <c r="AB47" s="381"/>
      <c r="AC47" s="381"/>
      <c r="AD47" s="381"/>
      <c r="AE47" s="381"/>
      <c r="AF47" s="381"/>
      <c r="AG47" s="382"/>
      <c r="AH47" s="392" t="e">
        <f>Calcu!Q25</f>
        <v>#N/A</v>
      </c>
      <c r="AI47" s="393"/>
      <c r="AJ47" s="393"/>
      <c r="AK47" s="393"/>
      <c r="AL47" s="393"/>
      <c r="AM47" s="394" t="str">
        <f>Calcu!R25</f>
        <v>μm</v>
      </c>
      <c r="AN47" s="394"/>
      <c r="AO47" s="398"/>
      <c r="AP47" s="383" t="e">
        <f ca="1">Calcu!S25</f>
        <v>#N/A</v>
      </c>
      <c r="AQ47" s="383"/>
      <c r="AR47" s="383"/>
      <c r="AS47" s="383"/>
      <c r="AT47" s="57"/>
    </row>
    <row r="48" spans="1:46" ht="18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56" ht="18.75" customHeight="1">
      <c r="A49" s="58" t="s">
        <v>343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56" ht="18.75" customHeight="1">
      <c r="A50" s="57"/>
      <c r="B50" s="201" t="str">
        <f>"1. "&amp;N5&amp;" 지시값의 표준불확도,"</f>
        <v>1. 표준 측장기 지시값의 표준불확도,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R50" s="57"/>
      <c r="T50" s="202" t="s">
        <v>344</v>
      </c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56" ht="18.75" customHeight="1">
      <c r="A51" s="57"/>
      <c r="C51" s="57" t="s">
        <v>162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56" ht="18.75" customHeight="1">
      <c r="A52" s="57"/>
      <c r="C52" s="61"/>
      <c r="D52" s="57" t="s">
        <v>345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56" ht="18.75" customHeight="1">
      <c r="A53" s="57"/>
      <c r="C53" s="57" t="s">
        <v>346</v>
      </c>
      <c r="D53" s="57"/>
      <c r="E53" s="57"/>
      <c r="F53" s="57"/>
      <c r="G53" s="57"/>
      <c r="H53" s="361" t="e">
        <f>H40</f>
        <v>#N/A</v>
      </c>
      <c r="I53" s="361"/>
      <c r="J53" s="361"/>
      <c r="K53" s="361"/>
      <c r="L53" s="361" t="str">
        <f>M40</f>
        <v>mm</v>
      </c>
      <c r="M53" s="361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6" ht="18.75" customHeight="1">
      <c r="B54" s="57"/>
      <c r="C54" s="57" t="s">
        <v>347</v>
      </c>
      <c r="D54" s="57"/>
      <c r="E54" s="57"/>
      <c r="F54" s="57"/>
      <c r="G54" s="57"/>
      <c r="H54" s="57"/>
      <c r="I54" s="57"/>
      <c r="J54" s="62" t="s">
        <v>348</v>
      </c>
      <c r="K54" s="57"/>
      <c r="L54" s="57"/>
      <c r="M54" s="57"/>
      <c r="N54" s="57"/>
      <c r="O54" s="57"/>
      <c r="P54" s="57"/>
      <c r="Q54" s="427">
        <f>Calcu!G18</f>
        <v>0</v>
      </c>
      <c r="R54" s="427"/>
      <c r="S54" s="427"/>
      <c r="T54" s="361" t="s">
        <v>115</v>
      </c>
      <c r="U54" s="361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</row>
    <row r="55" spans="1:56" ht="18.75" customHeight="1">
      <c r="B55" s="57"/>
      <c r="C55" s="57"/>
      <c r="D55" s="57"/>
      <c r="E55" s="57"/>
      <c r="F55" s="57"/>
      <c r="G55" s="57"/>
      <c r="H55" s="227"/>
      <c r="I55" s="227"/>
      <c r="K55" s="363" t="s">
        <v>465</v>
      </c>
      <c r="L55" s="363"/>
      <c r="M55" s="363" t="s">
        <v>350</v>
      </c>
      <c r="N55" s="358" t="s">
        <v>349</v>
      </c>
      <c r="O55" s="358"/>
      <c r="P55" s="363" t="s">
        <v>350</v>
      </c>
      <c r="Q55" s="354">
        <f>Q54</f>
        <v>0</v>
      </c>
      <c r="R55" s="354"/>
      <c r="S55" s="354"/>
      <c r="T55" s="368" t="s">
        <v>115</v>
      </c>
      <c r="U55" s="368"/>
      <c r="V55" s="363" t="s">
        <v>351</v>
      </c>
      <c r="W55" s="427">
        <f>Q55/SQRT(5)</f>
        <v>0</v>
      </c>
      <c r="X55" s="427"/>
      <c r="Y55" s="427"/>
      <c r="Z55" s="361" t="s">
        <v>115</v>
      </c>
      <c r="AA55" s="361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56" ht="18.75" customHeight="1">
      <c r="B56" s="57"/>
      <c r="C56" s="57"/>
      <c r="D56" s="57"/>
      <c r="E56" s="57"/>
      <c r="F56" s="57"/>
      <c r="G56" s="57"/>
      <c r="H56" s="227"/>
      <c r="I56" s="227"/>
      <c r="J56" s="60"/>
      <c r="K56" s="363"/>
      <c r="L56" s="363"/>
      <c r="M56" s="363"/>
      <c r="N56" s="357"/>
      <c r="O56" s="357"/>
      <c r="P56" s="363"/>
      <c r="Q56" s="355"/>
      <c r="R56" s="355"/>
      <c r="S56" s="355"/>
      <c r="T56" s="227"/>
      <c r="U56" s="60"/>
      <c r="V56" s="363"/>
      <c r="W56" s="427"/>
      <c r="X56" s="427"/>
      <c r="Y56" s="427"/>
      <c r="Z56" s="361"/>
      <c r="AA56" s="361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56" ht="18.75" customHeight="1">
      <c r="B57" s="57"/>
      <c r="C57" s="57" t="s">
        <v>352</v>
      </c>
      <c r="D57" s="57"/>
      <c r="E57" s="57"/>
      <c r="F57" s="57"/>
      <c r="G57" s="57"/>
      <c r="H57" s="57"/>
      <c r="I57" s="367" t="str">
        <f>V40</f>
        <v>t</v>
      </c>
      <c r="J57" s="367"/>
      <c r="K57" s="367"/>
      <c r="L57" s="367"/>
      <c r="M57" s="367"/>
      <c r="N57" s="367"/>
      <c r="O57" s="367"/>
      <c r="P57" s="36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</row>
    <row r="58" spans="1:56" ht="18.75" customHeight="1">
      <c r="B58" s="57"/>
      <c r="C58" s="359" t="s">
        <v>353</v>
      </c>
      <c r="D58" s="359"/>
      <c r="E58" s="359"/>
      <c r="F58" s="359"/>
      <c r="G58" s="359"/>
      <c r="H58" s="359"/>
      <c r="I58" s="225"/>
      <c r="J58" s="225"/>
      <c r="K58" s="57"/>
      <c r="L58" s="57"/>
      <c r="M58" s="362">
        <f>AA40</f>
        <v>1</v>
      </c>
      <c r="N58" s="362"/>
      <c r="O58" s="57"/>
      <c r="P58" s="57"/>
      <c r="Q58" s="57"/>
      <c r="R58" s="57"/>
      <c r="S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</row>
    <row r="59" spans="1:56" ht="18.75" customHeight="1">
      <c r="B59" s="57"/>
      <c r="C59" s="359"/>
      <c r="D59" s="359"/>
      <c r="E59" s="359"/>
      <c r="F59" s="359"/>
      <c r="G59" s="359"/>
      <c r="H59" s="359"/>
      <c r="I59" s="224"/>
      <c r="J59" s="224"/>
      <c r="K59" s="57"/>
      <c r="L59" s="57"/>
      <c r="M59" s="362"/>
      <c r="N59" s="362"/>
      <c r="O59" s="57"/>
      <c r="P59" s="57"/>
      <c r="Q59" s="57"/>
      <c r="R59" s="57"/>
      <c r="S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</row>
    <row r="60" spans="1:56" ht="18.75" customHeight="1">
      <c r="B60" s="57"/>
      <c r="C60" s="57" t="s">
        <v>354</v>
      </c>
      <c r="D60" s="57"/>
      <c r="E60" s="57"/>
      <c r="F60" s="57"/>
      <c r="G60" s="57"/>
      <c r="H60" s="57"/>
      <c r="I60" s="57"/>
      <c r="J60" s="57"/>
      <c r="K60" s="221" t="s">
        <v>74</v>
      </c>
      <c r="L60" s="356">
        <f>AA41</f>
        <v>1</v>
      </c>
      <c r="M60" s="356"/>
      <c r="N60" s="231" t="s">
        <v>75</v>
      </c>
      <c r="O60" s="352">
        <f>W55</f>
        <v>0</v>
      </c>
      <c r="P60" s="361"/>
      <c r="Q60" s="361"/>
      <c r="R60" s="428" t="str">
        <f>Z55</f>
        <v>μm</v>
      </c>
      <c r="S60" s="361"/>
      <c r="T60" s="221" t="s">
        <v>355</v>
      </c>
      <c r="U60" s="71" t="s">
        <v>351</v>
      </c>
      <c r="V60" s="352">
        <f>L60*O60</f>
        <v>0</v>
      </c>
      <c r="W60" s="352"/>
      <c r="X60" s="352"/>
      <c r="Y60" s="227" t="str">
        <f>R60</f>
        <v>μm</v>
      </c>
      <c r="AA60" s="220"/>
      <c r="AB60" s="225"/>
      <c r="AC60" s="225"/>
      <c r="AD60" s="57"/>
      <c r="AE60" s="57"/>
      <c r="AF60" s="57"/>
      <c r="AG60" s="220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</row>
    <row r="61" spans="1:56" ht="18.75" customHeight="1">
      <c r="B61" s="57"/>
      <c r="C61" s="57" t="s">
        <v>356</v>
      </c>
      <c r="D61" s="57"/>
      <c r="E61" s="57"/>
      <c r="F61" s="57"/>
      <c r="G61" s="57"/>
      <c r="H61" s="57"/>
      <c r="I61" s="104" t="s">
        <v>357</v>
      </c>
      <c r="J61" s="104"/>
      <c r="K61" s="104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57"/>
      <c r="AB61" s="57"/>
      <c r="AC61" s="57"/>
      <c r="AD61" s="57"/>
      <c r="AE61" s="57"/>
      <c r="AF61" s="57"/>
    </row>
    <row r="62" spans="1:56" ht="18.75" customHeight="1">
      <c r="B62" s="57"/>
      <c r="C62" s="57"/>
      <c r="D62" s="57"/>
      <c r="E62" s="57"/>
      <c r="F62" s="57"/>
      <c r="G62" s="57"/>
      <c r="H62" s="57"/>
      <c r="I62" s="104"/>
      <c r="J62" s="96"/>
      <c r="K62" s="104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57"/>
      <c r="AB62" s="57"/>
      <c r="AC62" s="57"/>
      <c r="AD62" s="57"/>
      <c r="AE62" s="57"/>
      <c r="AF62" s="57"/>
    </row>
    <row r="63" spans="1:56" ht="18.75" customHeight="1">
      <c r="A63" s="57"/>
      <c r="B63" s="61" t="str">
        <f>"2. "&amp;H5&amp;"의 표준불확도,"</f>
        <v>2. 게이지 블록의 표준불확도,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200" t="s">
        <v>358</v>
      </c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</row>
    <row r="64" spans="1:56" ht="18.75" customHeight="1">
      <c r="A64" s="57"/>
      <c r="B64" s="61"/>
      <c r="C64" s="225" t="str">
        <f>"※ "&amp;H5&amp;"의 교정성적서에 주어진 측정불확도가"</f>
        <v>※ 게이지 블록의 교정성적서에 주어진 측정불확도가</v>
      </c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31"/>
      <c r="U64" s="231"/>
      <c r="V64" s="231"/>
      <c r="X64" s="356" t="e">
        <f>Calcu!G19</f>
        <v>#N/A</v>
      </c>
      <c r="Y64" s="356"/>
      <c r="Z64" s="220"/>
      <c r="AA64" s="356" t="e">
        <f>Calcu!H19</f>
        <v>#N/A</v>
      </c>
      <c r="AB64" s="356"/>
      <c r="AC64" s="356"/>
      <c r="AD64" s="220"/>
      <c r="AE64" s="188"/>
      <c r="AF64" s="188"/>
      <c r="AG64" s="188"/>
      <c r="AH64" s="188"/>
      <c r="AI64" s="225" t="s">
        <v>111</v>
      </c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</row>
    <row r="65" spans="1:66" ht="18.75" customHeight="1">
      <c r="A65" s="57"/>
      <c r="B65" s="57"/>
      <c r="C65" s="57" t="s">
        <v>359</v>
      </c>
      <c r="D65" s="57"/>
      <c r="E65" s="57"/>
      <c r="F65" s="57"/>
      <c r="G65" s="57"/>
      <c r="H65" s="361" t="e">
        <f>H41</f>
        <v>#N/A</v>
      </c>
      <c r="I65" s="361"/>
      <c r="J65" s="361"/>
      <c r="K65" s="361"/>
      <c r="L65" s="361"/>
      <c r="M65" s="361" t="str">
        <f>M40</f>
        <v>mm</v>
      </c>
      <c r="N65" s="361"/>
      <c r="O65" s="57"/>
      <c r="P65" s="220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</row>
    <row r="66" spans="1:66" ht="18.75" customHeight="1">
      <c r="A66" s="57"/>
      <c r="B66" s="57"/>
      <c r="C66" s="430" t="s">
        <v>360</v>
      </c>
      <c r="D66" s="430"/>
      <c r="E66" s="430"/>
      <c r="F66" s="430"/>
      <c r="G66" s="430"/>
      <c r="H66" s="430"/>
      <c r="I66" s="430"/>
      <c r="J66" s="363" t="s">
        <v>466</v>
      </c>
      <c r="K66" s="363"/>
      <c r="L66" s="363"/>
      <c r="M66" s="363" t="s">
        <v>350</v>
      </c>
      <c r="N66" s="358" t="s">
        <v>361</v>
      </c>
      <c r="O66" s="358"/>
      <c r="P66" s="363" t="s">
        <v>350</v>
      </c>
      <c r="R66" s="372" t="e">
        <f>X64</f>
        <v>#N/A</v>
      </c>
      <c r="S66" s="372"/>
      <c r="T66" s="229"/>
      <c r="U66" s="372" t="e">
        <f>AA64</f>
        <v>#N/A</v>
      </c>
      <c r="V66" s="372"/>
      <c r="W66" s="372"/>
      <c r="X66" s="229"/>
      <c r="Y66" s="368">
        <f>Calcu!I3</f>
        <v>0</v>
      </c>
      <c r="Z66" s="368"/>
      <c r="AA66" s="368"/>
      <c r="AB66" s="189" t="s">
        <v>362</v>
      </c>
      <c r="AC66" s="189"/>
      <c r="AD66" s="189"/>
      <c r="AE66" s="189"/>
      <c r="AF66" s="189"/>
      <c r="AG66" s="363" t="s">
        <v>363</v>
      </c>
      <c r="AH66" s="368" t="e">
        <f>SQRT(SUMSQ(R66,U66*Y66))</f>
        <v>#N/A</v>
      </c>
      <c r="AI66" s="368"/>
      <c r="AJ66" s="368"/>
      <c r="AK66" s="190" t="s">
        <v>364</v>
      </c>
      <c r="AM66" s="363" t="s">
        <v>351</v>
      </c>
      <c r="AN66" s="361" t="e">
        <f>AH66/2</f>
        <v>#N/A</v>
      </c>
      <c r="AO66" s="361"/>
      <c r="AP66" s="361"/>
      <c r="AQ66" s="428" t="s">
        <v>161</v>
      </c>
      <c r="AR66" s="428"/>
      <c r="AS66" s="363" t="s">
        <v>363</v>
      </c>
      <c r="AT66" s="352" t="e">
        <f>AN66/1000</f>
        <v>#N/A</v>
      </c>
      <c r="AU66" s="352"/>
      <c r="AV66" s="352"/>
      <c r="AW66" s="428" t="s">
        <v>246</v>
      </c>
      <c r="AX66" s="428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</row>
    <row r="67" spans="1:66" ht="18.75" customHeight="1">
      <c r="A67" s="57"/>
      <c r="B67" s="57"/>
      <c r="C67" s="430"/>
      <c r="D67" s="430"/>
      <c r="E67" s="430"/>
      <c r="F67" s="430"/>
      <c r="G67" s="430"/>
      <c r="H67" s="430"/>
      <c r="I67" s="430"/>
      <c r="J67" s="363"/>
      <c r="K67" s="363"/>
      <c r="L67" s="363"/>
      <c r="M67" s="363"/>
      <c r="N67" s="357" t="s">
        <v>138</v>
      </c>
      <c r="O67" s="357"/>
      <c r="P67" s="363"/>
      <c r="Q67" s="429" t="e">
        <f>Calcu!I19</f>
        <v>#N/A</v>
      </c>
      <c r="R67" s="429"/>
      <c r="S67" s="429"/>
      <c r="T67" s="429"/>
      <c r="U67" s="429"/>
      <c r="V67" s="429"/>
      <c r="W67" s="429"/>
      <c r="X67" s="429"/>
      <c r="Y67" s="429"/>
      <c r="Z67" s="429"/>
      <c r="AA67" s="429"/>
      <c r="AB67" s="429"/>
      <c r="AC67" s="429"/>
      <c r="AD67" s="429"/>
      <c r="AE67" s="429"/>
      <c r="AF67" s="429"/>
      <c r="AG67" s="363"/>
      <c r="AH67" s="355" t="e">
        <f>Q67</f>
        <v>#N/A</v>
      </c>
      <c r="AI67" s="355"/>
      <c r="AJ67" s="355"/>
      <c r="AK67" s="355"/>
      <c r="AL67" s="355"/>
      <c r="AM67" s="363"/>
      <c r="AN67" s="361"/>
      <c r="AO67" s="361"/>
      <c r="AP67" s="361"/>
      <c r="AQ67" s="428"/>
      <c r="AR67" s="428"/>
      <c r="AS67" s="363"/>
      <c r="AT67" s="352"/>
      <c r="AU67" s="352"/>
      <c r="AV67" s="352"/>
      <c r="AW67" s="428"/>
      <c r="AX67" s="428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</row>
    <row r="68" spans="1:66" ht="18.75" customHeight="1">
      <c r="A68" s="57"/>
      <c r="B68" s="57"/>
      <c r="C68" s="57" t="s">
        <v>365</v>
      </c>
      <c r="D68" s="57"/>
      <c r="E68" s="57"/>
      <c r="F68" s="57"/>
      <c r="G68" s="57"/>
      <c r="H68" s="57"/>
      <c r="I68" s="367" t="str">
        <f>V41</f>
        <v>정규</v>
      </c>
      <c r="J68" s="367"/>
      <c r="K68" s="367"/>
      <c r="L68" s="367"/>
      <c r="M68" s="367"/>
      <c r="N68" s="367"/>
      <c r="O68" s="367"/>
      <c r="P68" s="36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6" ht="18.75" customHeight="1">
      <c r="A69" s="57"/>
      <c r="B69" s="57"/>
      <c r="C69" s="359" t="s">
        <v>163</v>
      </c>
      <c r="D69" s="359"/>
      <c r="E69" s="359"/>
      <c r="F69" s="359"/>
      <c r="G69" s="359"/>
      <c r="H69" s="359"/>
      <c r="I69" s="225"/>
      <c r="J69" s="225"/>
      <c r="K69" s="57"/>
      <c r="L69" s="57"/>
      <c r="M69" s="362">
        <f>AA41</f>
        <v>1</v>
      </c>
      <c r="N69" s="362"/>
      <c r="O69" s="57"/>
      <c r="P69" s="57"/>
      <c r="Q69" s="57"/>
      <c r="R69" s="57"/>
      <c r="S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</row>
    <row r="70" spans="1:66" ht="18.75" customHeight="1">
      <c r="A70" s="57"/>
      <c r="B70" s="57"/>
      <c r="C70" s="359"/>
      <c r="D70" s="359"/>
      <c r="E70" s="359"/>
      <c r="F70" s="359"/>
      <c r="G70" s="359"/>
      <c r="H70" s="359"/>
      <c r="I70" s="224"/>
      <c r="J70" s="224"/>
      <c r="K70" s="57"/>
      <c r="L70" s="57"/>
      <c r="M70" s="362"/>
      <c r="N70" s="362"/>
      <c r="O70" s="57"/>
      <c r="P70" s="57"/>
      <c r="Q70" s="57"/>
      <c r="R70" s="57"/>
      <c r="S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</row>
    <row r="71" spans="1:66" s="57" customFormat="1" ht="18.75" customHeight="1">
      <c r="C71" s="57" t="s">
        <v>164</v>
      </c>
      <c r="K71" s="221" t="s">
        <v>74</v>
      </c>
      <c r="L71" s="356">
        <f>AA40</f>
        <v>1</v>
      </c>
      <c r="M71" s="356"/>
      <c r="N71" s="231" t="s">
        <v>366</v>
      </c>
      <c r="O71" s="352" t="e">
        <f>AT66</f>
        <v>#N/A</v>
      </c>
      <c r="P71" s="361"/>
      <c r="Q71" s="361"/>
      <c r="R71" s="428" t="str">
        <f>AQ66</f>
        <v>nm</v>
      </c>
      <c r="S71" s="361"/>
      <c r="T71" s="221" t="s">
        <v>74</v>
      </c>
      <c r="U71" s="71" t="s">
        <v>363</v>
      </c>
      <c r="V71" s="352" t="e">
        <f>L71*O71</f>
        <v>#N/A</v>
      </c>
      <c r="W71" s="352"/>
      <c r="X71" s="352"/>
      <c r="Y71" s="227" t="str">
        <f>R71</f>
        <v>nm</v>
      </c>
      <c r="Z71" s="56"/>
      <c r="AA71" s="220"/>
      <c r="AB71" s="225"/>
      <c r="AC71" s="225"/>
      <c r="AD71" s="225"/>
      <c r="AE71" s="220"/>
    </row>
    <row r="72" spans="1:66" ht="18.75" customHeight="1">
      <c r="A72" s="57"/>
      <c r="B72" s="57"/>
      <c r="C72" s="225" t="s">
        <v>367</v>
      </c>
      <c r="D72" s="225"/>
      <c r="E72" s="225"/>
      <c r="F72" s="225"/>
      <c r="G72" s="225"/>
      <c r="I72" s="104" t="s">
        <v>368</v>
      </c>
      <c r="J72" s="57"/>
      <c r="K72" s="57"/>
      <c r="L72" s="57"/>
      <c r="M72" s="57"/>
      <c r="N72" s="57"/>
      <c r="O72" s="57"/>
      <c r="P72" s="57"/>
      <c r="Q72" s="57"/>
      <c r="R72" s="57"/>
      <c r="S72" s="178"/>
      <c r="T72" s="178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6" s="57" customFormat="1" ht="18.75" customHeight="1"/>
    <row r="74" spans="1:66" s="187" customFormat="1" ht="18.75" customHeight="1">
      <c r="A74" s="231"/>
      <c r="B74" s="58" t="str">
        <f>"3. "&amp;B5&amp;"과 "&amp;H5&amp;"의 평균 열팽창계수에 의한 표준불확도,"</f>
        <v>3. 엔드바과 게이지 블록의 평균 열팽창계수에 의한 표준불확도,</v>
      </c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  <c r="AG74" s="225"/>
      <c r="AH74" s="225"/>
      <c r="AI74" s="225"/>
      <c r="AJ74" s="225"/>
      <c r="AK74" s="225"/>
      <c r="AL74" s="231"/>
      <c r="AM74" s="231"/>
      <c r="AN74" s="231"/>
      <c r="AO74" s="231"/>
      <c r="AP74" s="231"/>
      <c r="AQ74" s="231"/>
      <c r="AR74" s="231"/>
      <c r="AS74" s="231"/>
      <c r="AT74" s="231"/>
      <c r="AU74" s="231"/>
      <c r="AV74" s="231"/>
      <c r="AW74" s="231"/>
      <c r="AX74" s="231"/>
      <c r="AY74" s="225"/>
      <c r="AZ74" s="225"/>
      <c r="BA74" s="225"/>
      <c r="BB74" s="225"/>
      <c r="BC74" s="225"/>
      <c r="BD74" s="225"/>
      <c r="BE74" s="225"/>
      <c r="BF74" s="225"/>
      <c r="BG74" s="59"/>
      <c r="BH74" s="59"/>
      <c r="BI74" s="59"/>
      <c r="BJ74" s="59"/>
      <c r="BK74" s="59"/>
      <c r="BL74" s="59"/>
      <c r="BM74" s="59"/>
    </row>
    <row r="75" spans="1:66" s="187" customFormat="1" ht="18.75" customHeight="1">
      <c r="A75" s="239"/>
      <c r="B75" s="58"/>
      <c r="C75" s="225" t="str">
        <f>"※ "&amp;B5&amp;"와 "&amp;H5&amp;"의 평균 열팽창계수 :"</f>
        <v>※ 엔드바와 게이지 블록의 평균 열팽창계수 :</v>
      </c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03"/>
      <c r="W75" s="60"/>
      <c r="X75" s="225"/>
      <c r="Y75" s="60"/>
      <c r="Z75" s="231"/>
      <c r="AA75" s="225"/>
      <c r="AB75" s="231"/>
      <c r="AC75" s="231"/>
      <c r="AD75" s="173"/>
      <c r="AE75" s="231"/>
      <c r="AF75" s="231"/>
      <c r="AG75" s="225"/>
      <c r="AH75" s="225"/>
      <c r="AI75" s="240"/>
      <c r="AJ75" s="240"/>
      <c r="AK75" s="240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  <c r="AW75" s="239"/>
      <c r="AX75" s="239"/>
      <c r="AY75" s="240"/>
      <c r="AZ75" s="240"/>
      <c r="BA75" s="240"/>
      <c r="BB75" s="240"/>
      <c r="BC75" s="240"/>
      <c r="BD75" s="240"/>
      <c r="BE75" s="240"/>
      <c r="BF75" s="240"/>
      <c r="BG75" s="59"/>
      <c r="BH75" s="59"/>
      <c r="BI75" s="59"/>
      <c r="BJ75" s="59"/>
      <c r="BK75" s="59"/>
      <c r="BL75" s="59"/>
      <c r="BM75" s="59"/>
    </row>
    <row r="76" spans="1:66" s="187" customFormat="1" ht="18.75" customHeight="1">
      <c r="B76" s="231"/>
      <c r="C76" s="224" t="s">
        <v>369</v>
      </c>
      <c r="D76" s="231"/>
      <c r="E76" s="231"/>
      <c r="F76" s="231"/>
      <c r="G76" s="231"/>
      <c r="H76" s="366" t="e">
        <f ca="1">H42*10^6</f>
        <v>#N/A</v>
      </c>
      <c r="I76" s="366"/>
      <c r="J76" s="366"/>
      <c r="K76" s="220" t="s">
        <v>370</v>
      </c>
      <c r="L76" s="231"/>
      <c r="M76" s="231"/>
      <c r="N76" s="220"/>
      <c r="O76" s="220"/>
      <c r="P76" s="220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60"/>
      <c r="AG76" s="225"/>
      <c r="AH76" s="225"/>
      <c r="AI76" s="225"/>
      <c r="AJ76" s="225"/>
      <c r="AK76" s="225"/>
      <c r="AL76" s="225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1"/>
      <c r="AX76" s="231"/>
      <c r="AY76" s="231"/>
      <c r="AZ76" s="225"/>
      <c r="BA76" s="225"/>
      <c r="BB76" s="225"/>
      <c r="BC76" s="225"/>
      <c r="BD76" s="225"/>
      <c r="BE76" s="225"/>
      <c r="BF76" s="225"/>
      <c r="BG76" s="225"/>
      <c r="BH76" s="59"/>
      <c r="BI76" s="59"/>
      <c r="BJ76" s="59"/>
      <c r="BK76" s="59"/>
      <c r="BL76" s="59"/>
      <c r="BM76" s="59"/>
    </row>
    <row r="77" spans="1:66" s="187" customFormat="1" ht="18.75" customHeight="1">
      <c r="B77" s="231"/>
      <c r="C77" s="359" t="s">
        <v>371</v>
      </c>
      <c r="D77" s="359"/>
      <c r="E77" s="359"/>
      <c r="F77" s="359"/>
      <c r="G77" s="359"/>
      <c r="H77" s="359"/>
      <c r="I77" s="359"/>
      <c r="J77" s="367" t="s">
        <v>372</v>
      </c>
      <c r="K77" s="367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31"/>
      <c r="AL77" s="231"/>
      <c r="AM77" s="231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5"/>
      <c r="BF77" s="225"/>
      <c r="BG77" s="225"/>
      <c r="BH77" s="59"/>
      <c r="BI77" s="59"/>
      <c r="BJ77" s="59"/>
      <c r="BK77" s="59"/>
      <c r="BL77" s="59"/>
      <c r="BM77" s="59"/>
      <c r="BN77" s="59"/>
    </row>
    <row r="78" spans="1:66" s="187" customFormat="1" ht="18.75" customHeight="1">
      <c r="B78" s="231"/>
      <c r="C78" s="359"/>
      <c r="D78" s="359"/>
      <c r="E78" s="359"/>
      <c r="F78" s="359"/>
      <c r="G78" s="359"/>
      <c r="H78" s="359"/>
      <c r="I78" s="359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225"/>
      <c r="Y78" s="225"/>
      <c r="Z78" s="225"/>
      <c r="AA78" s="225"/>
      <c r="AB78" s="225"/>
      <c r="AC78" s="225"/>
      <c r="AD78" s="225"/>
      <c r="AE78" s="225"/>
      <c r="AF78" s="231"/>
      <c r="AG78" s="225"/>
      <c r="AH78" s="225"/>
      <c r="AI78" s="225"/>
      <c r="AJ78" s="225"/>
      <c r="AK78" s="231"/>
      <c r="AL78" s="231"/>
      <c r="AM78" s="231"/>
      <c r="AN78" s="225"/>
      <c r="AO78" s="225"/>
      <c r="AP78" s="225"/>
      <c r="AQ78" s="225"/>
      <c r="AR78" s="225"/>
      <c r="AS78" s="231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59"/>
      <c r="BI78" s="59"/>
      <c r="BJ78" s="59"/>
      <c r="BK78" s="59"/>
      <c r="BL78" s="59"/>
      <c r="BM78" s="59"/>
      <c r="BN78" s="59"/>
    </row>
    <row r="79" spans="1:66" s="187" customFormat="1" ht="18.75" customHeight="1">
      <c r="B79" s="231"/>
      <c r="C79" s="225"/>
      <c r="D79" s="225"/>
      <c r="E79" s="225"/>
      <c r="F79" s="225"/>
      <c r="G79" s="225"/>
      <c r="H79" s="225"/>
      <c r="I79" s="231"/>
      <c r="J79" s="367" t="s">
        <v>373</v>
      </c>
      <c r="K79" s="367"/>
      <c r="L79" s="367"/>
      <c r="M79" s="367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  <c r="AA79" s="373" t="s">
        <v>374</v>
      </c>
      <c r="AB79" s="373"/>
      <c r="AC79" s="373"/>
      <c r="AD79" s="373"/>
      <c r="AE79" s="373"/>
      <c r="AF79" s="347" t="s">
        <v>363</v>
      </c>
      <c r="AG79" s="367" t="s">
        <v>375</v>
      </c>
      <c r="AH79" s="367"/>
      <c r="AI79" s="367"/>
      <c r="AJ79" s="367"/>
      <c r="AK79" s="367"/>
      <c r="AL79" s="367"/>
      <c r="AM79" s="231"/>
      <c r="AN79" s="225"/>
      <c r="AO79" s="225"/>
      <c r="AP79" s="225"/>
      <c r="AQ79" s="225"/>
      <c r="AR79" s="225"/>
      <c r="AS79" s="231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5"/>
      <c r="BF79" s="225"/>
      <c r="BG79" s="225"/>
      <c r="BH79" s="59"/>
      <c r="BI79" s="59"/>
      <c r="BJ79" s="59"/>
      <c r="BK79" s="59"/>
      <c r="BL79" s="59"/>
      <c r="BM79" s="59"/>
      <c r="BN79" s="59"/>
    </row>
    <row r="80" spans="1:66" s="187" customFormat="1" ht="18.75" customHeight="1">
      <c r="B80" s="231"/>
      <c r="C80" s="225"/>
      <c r="D80" s="225"/>
      <c r="E80" s="225"/>
      <c r="F80" s="225"/>
      <c r="G80" s="225"/>
      <c r="H80" s="225"/>
      <c r="I80" s="231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225"/>
      <c r="AB80" s="231"/>
      <c r="AC80" s="231"/>
      <c r="AD80" s="231"/>
      <c r="AE80" s="231"/>
      <c r="AF80" s="347"/>
      <c r="AG80" s="367"/>
      <c r="AH80" s="367"/>
      <c r="AI80" s="367"/>
      <c r="AJ80" s="367"/>
      <c r="AK80" s="367"/>
      <c r="AL80" s="367"/>
      <c r="AM80" s="231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5"/>
      <c r="BF80" s="225"/>
      <c r="BG80" s="225"/>
      <c r="BH80" s="59"/>
      <c r="BI80" s="59"/>
      <c r="BJ80" s="59"/>
      <c r="BK80" s="59"/>
      <c r="BL80" s="59"/>
      <c r="BM80" s="59"/>
      <c r="BN80" s="59"/>
    </row>
    <row r="81" spans="2:83" s="187" customFormat="1" ht="18.75" customHeight="1">
      <c r="B81" s="231"/>
      <c r="C81" s="225"/>
      <c r="D81" s="225"/>
      <c r="E81" s="237"/>
      <c r="F81" s="225"/>
      <c r="G81" s="225"/>
      <c r="H81" s="225"/>
      <c r="I81" s="225"/>
      <c r="J81" s="231"/>
      <c r="K81" s="224" t="s">
        <v>376</v>
      </c>
      <c r="L81" s="224"/>
      <c r="M81" s="224"/>
      <c r="N81" s="224"/>
      <c r="O81" s="224"/>
      <c r="P81" s="224"/>
      <c r="Q81" s="224"/>
      <c r="R81" s="224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31"/>
      <c r="AH81" s="225"/>
      <c r="AI81" s="225"/>
      <c r="AJ81" s="225"/>
      <c r="AK81" s="231"/>
      <c r="AL81" s="231"/>
      <c r="AM81" s="231"/>
      <c r="AN81" s="231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5"/>
      <c r="BF81" s="225"/>
      <c r="BG81" s="225"/>
      <c r="BH81" s="231"/>
      <c r="BN81" s="59"/>
      <c r="BO81" s="59"/>
      <c r="BP81" s="59"/>
      <c r="BQ81" s="59"/>
      <c r="BR81" s="59"/>
      <c r="BS81" s="59"/>
      <c r="BX81" s="59"/>
      <c r="CE81" s="59"/>
    </row>
    <row r="82" spans="2:83" s="187" customFormat="1" ht="18.75" customHeight="1">
      <c r="B82" s="231"/>
      <c r="C82" s="225"/>
      <c r="D82" s="225"/>
      <c r="E82" s="237"/>
      <c r="F82" s="225"/>
      <c r="G82" s="225"/>
      <c r="H82" s="225"/>
      <c r="I82" s="225"/>
      <c r="J82" s="104"/>
      <c r="K82" s="104"/>
      <c r="L82" s="104"/>
      <c r="M82" s="231"/>
      <c r="N82" s="104"/>
      <c r="O82" s="104"/>
      <c r="P82" s="104"/>
      <c r="Q82" s="104"/>
      <c r="R82" s="104"/>
      <c r="S82" s="104"/>
      <c r="T82" s="104"/>
      <c r="U82" s="104"/>
      <c r="V82" s="231"/>
      <c r="W82" s="204"/>
      <c r="X82" s="204"/>
      <c r="Y82" s="204"/>
      <c r="Z82" s="231"/>
      <c r="AF82" s="231"/>
      <c r="AG82" s="367" t="s">
        <v>377</v>
      </c>
      <c r="AH82" s="367"/>
      <c r="AI82" s="367"/>
      <c r="AJ82" s="367"/>
      <c r="AK82" s="367"/>
      <c r="AL82" s="129"/>
      <c r="AM82" s="129"/>
      <c r="AN82" s="231"/>
      <c r="AO82" s="231"/>
      <c r="AP82" s="231"/>
      <c r="AQ82" s="231"/>
      <c r="AR82" s="231"/>
      <c r="AS82" s="225"/>
      <c r="AT82" s="225"/>
      <c r="AU82" s="231"/>
      <c r="AV82" s="231"/>
      <c r="AW82" s="231"/>
      <c r="AX82" s="231"/>
      <c r="AY82" s="231"/>
      <c r="AZ82" s="225"/>
      <c r="BA82" s="225"/>
      <c r="BB82" s="225"/>
      <c r="BC82" s="225"/>
      <c r="BD82" s="225"/>
      <c r="BE82" s="225"/>
      <c r="BF82" s="225"/>
      <c r="BG82" s="225"/>
      <c r="BH82" s="231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CE82" s="59"/>
    </row>
    <row r="83" spans="2:83" s="187" customFormat="1" ht="18.75" customHeight="1">
      <c r="B83" s="231"/>
      <c r="C83" s="225"/>
      <c r="D83" s="225"/>
      <c r="E83" s="237"/>
      <c r="F83" s="225"/>
      <c r="G83" s="225"/>
      <c r="H83" s="225"/>
      <c r="I83" s="225"/>
      <c r="J83" s="104"/>
      <c r="K83" s="104"/>
      <c r="L83" s="104"/>
      <c r="M83" s="231"/>
      <c r="N83" s="104"/>
      <c r="O83" s="104"/>
      <c r="P83" s="104"/>
      <c r="Q83" s="104"/>
      <c r="R83" s="104"/>
      <c r="S83" s="104"/>
      <c r="T83" s="104"/>
      <c r="U83" s="104"/>
      <c r="V83" s="231"/>
      <c r="W83" s="204"/>
      <c r="X83" s="204"/>
      <c r="Y83" s="204"/>
      <c r="Z83" s="231"/>
      <c r="AF83" s="231"/>
      <c r="AG83" s="367"/>
      <c r="AH83" s="367"/>
      <c r="AI83" s="367"/>
      <c r="AJ83" s="367"/>
      <c r="AK83" s="367"/>
      <c r="AL83" s="129"/>
      <c r="AM83" s="129"/>
      <c r="AN83" s="231"/>
      <c r="AO83" s="231"/>
      <c r="AP83" s="231"/>
      <c r="AQ83" s="231"/>
      <c r="AR83" s="231"/>
      <c r="AS83" s="225"/>
      <c r="AT83" s="225"/>
      <c r="AU83" s="231"/>
      <c r="AV83" s="231"/>
      <c r="AW83" s="231"/>
      <c r="AX83" s="231"/>
      <c r="AY83" s="231"/>
      <c r="AZ83" s="225"/>
      <c r="BA83" s="225"/>
      <c r="BB83" s="225"/>
      <c r="BC83" s="225"/>
      <c r="BD83" s="225"/>
      <c r="BE83" s="225"/>
      <c r="BF83" s="225"/>
      <c r="BG83" s="225"/>
      <c r="BH83" s="225"/>
      <c r="BI83" s="59"/>
      <c r="BJ83" s="59"/>
      <c r="BK83" s="59"/>
      <c r="BL83" s="59"/>
      <c r="BM83" s="59"/>
    </row>
    <row r="84" spans="2:83" s="187" customFormat="1" ht="18.75" customHeight="1">
      <c r="B84" s="231"/>
      <c r="C84" s="225" t="s">
        <v>378</v>
      </c>
      <c r="D84" s="225"/>
      <c r="E84" s="225"/>
      <c r="F84" s="225"/>
      <c r="G84" s="225"/>
      <c r="H84" s="225"/>
      <c r="I84" s="367" t="str">
        <f>V42</f>
        <v>삼각형</v>
      </c>
      <c r="J84" s="367"/>
      <c r="K84" s="367"/>
      <c r="L84" s="367"/>
      <c r="M84" s="367"/>
      <c r="N84" s="367"/>
      <c r="O84" s="367"/>
      <c r="P84" s="367"/>
      <c r="Q84" s="225"/>
      <c r="R84" s="225"/>
      <c r="S84" s="225"/>
      <c r="T84" s="225"/>
      <c r="U84" s="225"/>
      <c r="V84" s="225"/>
      <c r="W84" s="225"/>
      <c r="X84" s="225"/>
      <c r="Y84" s="225"/>
      <c r="Z84" s="231"/>
      <c r="AA84" s="231"/>
      <c r="AB84" s="231"/>
      <c r="AC84" s="231"/>
      <c r="AD84" s="231"/>
      <c r="AE84" s="231"/>
      <c r="AF84" s="231"/>
      <c r="AG84" s="231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5"/>
      <c r="BF84" s="225"/>
      <c r="BG84" s="225"/>
      <c r="BH84" s="59"/>
      <c r="BI84" s="59"/>
      <c r="BJ84" s="59"/>
      <c r="BK84" s="59"/>
      <c r="BL84" s="59"/>
      <c r="BM84" s="59"/>
      <c r="BN84" s="59"/>
    </row>
    <row r="85" spans="2:83" s="187" customFormat="1" ht="18.75" customHeight="1">
      <c r="B85" s="231"/>
      <c r="C85" s="359" t="s">
        <v>379</v>
      </c>
      <c r="D85" s="359"/>
      <c r="E85" s="359"/>
      <c r="F85" s="359"/>
      <c r="G85" s="359"/>
      <c r="H85" s="359"/>
      <c r="I85" s="225"/>
      <c r="J85" s="225"/>
      <c r="K85" s="225"/>
      <c r="L85" s="225"/>
      <c r="M85" s="225"/>
      <c r="N85" s="225"/>
      <c r="O85" s="225"/>
      <c r="R85" s="364">
        <f>-Calcu!M20</f>
        <v>-0.3</v>
      </c>
      <c r="S85" s="364"/>
      <c r="T85" s="359" t="s">
        <v>380</v>
      </c>
      <c r="U85" s="359"/>
      <c r="V85" s="360">
        <f>Calcu!N20</f>
        <v>0</v>
      </c>
      <c r="W85" s="360"/>
      <c r="X85" s="360"/>
      <c r="Y85" s="359" t="s">
        <v>246</v>
      </c>
      <c r="Z85" s="359"/>
      <c r="AA85" s="347" t="s">
        <v>351</v>
      </c>
      <c r="AB85" s="361">
        <f>R85*V85</f>
        <v>0</v>
      </c>
      <c r="AC85" s="361"/>
      <c r="AD85" s="361"/>
      <c r="AE85" s="361"/>
      <c r="AF85" s="359" t="s">
        <v>381</v>
      </c>
      <c r="AG85" s="359"/>
      <c r="AH85" s="359"/>
      <c r="AI85" s="359"/>
      <c r="AJ85" s="359"/>
      <c r="AK85" s="359"/>
      <c r="AL85" s="359"/>
      <c r="AM85" s="225"/>
      <c r="AN85" s="225"/>
      <c r="AO85" s="225"/>
      <c r="AP85" s="225"/>
      <c r="AQ85" s="225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</row>
    <row r="86" spans="2:83" s="187" customFormat="1" ht="18.75" customHeight="1">
      <c r="B86" s="231"/>
      <c r="C86" s="359"/>
      <c r="D86" s="359"/>
      <c r="E86" s="359"/>
      <c r="F86" s="359"/>
      <c r="G86" s="359"/>
      <c r="H86" s="359"/>
      <c r="I86" s="225"/>
      <c r="J86" s="225"/>
      <c r="K86" s="225"/>
      <c r="L86" s="225"/>
      <c r="M86" s="225"/>
      <c r="N86" s="225"/>
      <c r="O86" s="225"/>
      <c r="R86" s="364"/>
      <c r="S86" s="364"/>
      <c r="T86" s="359"/>
      <c r="U86" s="359"/>
      <c r="V86" s="360"/>
      <c r="W86" s="360"/>
      <c r="X86" s="360"/>
      <c r="Y86" s="359"/>
      <c r="Z86" s="359"/>
      <c r="AA86" s="347"/>
      <c r="AB86" s="361"/>
      <c r="AC86" s="361"/>
      <c r="AD86" s="361"/>
      <c r="AE86" s="361"/>
      <c r="AF86" s="359"/>
      <c r="AG86" s="359"/>
      <c r="AH86" s="359"/>
      <c r="AI86" s="359"/>
      <c r="AJ86" s="359"/>
      <c r="AK86" s="359"/>
      <c r="AL86" s="359"/>
      <c r="AM86" s="225"/>
      <c r="AN86" s="225"/>
      <c r="AO86" s="225"/>
      <c r="AP86" s="225"/>
      <c r="AQ86" s="225"/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</row>
    <row r="87" spans="2:83" s="187" customFormat="1" ht="18.75" customHeight="1">
      <c r="B87" s="231"/>
      <c r="C87" s="225" t="s">
        <v>382</v>
      </c>
      <c r="D87" s="225"/>
      <c r="E87" s="225"/>
      <c r="F87" s="225"/>
      <c r="G87" s="225"/>
      <c r="H87" s="225"/>
      <c r="I87" s="225"/>
      <c r="J87" s="231"/>
      <c r="K87" s="57" t="s">
        <v>383</v>
      </c>
      <c r="L87" s="364">
        <f>AB85</f>
        <v>0</v>
      </c>
      <c r="M87" s="364"/>
      <c r="N87" s="364"/>
      <c r="O87" s="364"/>
      <c r="P87" s="129" t="s">
        <v>384</v>
      </c>
      <c r="Q87" s="231"/>
      <c r="R87" s="231"/>
      <c r="S87" s="231"/>
      <c r="T87" s="231"/>
      <c r="U87" s="231"/>
      <c r="V87" s="231"/>
      <c r="W87" s="231"/>
      <c r="X87" s="231"/>
      <c r="Y87" s="57" t="s">
        <v>383</v>
      </c>
      <c r="Z87" s="231" t="s">
        <v>351</v>
      </c>
      <c r="AA87" s="352">
        <f>ABS(L87*O42)</f>
        <v>0</v>
      </c>
      <c r="AB87" s="352"/>
      <c r="AC87" s="352"/>
      <c r="AD87" s="224" t="s">
        <v>385</v>
      </c>
      <c r="AE87" s="224"/>
      <c r="AF87" s="231"/>
      <c r="AG87" s="231"/>
      <c r="AH87" s="231"/>
      <c r="AI87" s="231"/>
      <c r="AJ87" s="231"/>
      <c r="AK87" s="231"/>
      <c r="AL87" s="231"/>
      <c r="AM87" s="231"/>
      <c r="AN87" s="231"/>
      <c r="AO87" s="231"/>
      <c r="AP87" s="231"/>
      <c r="AQ87" s="231"/>
      <c r="AR87" s="231"/>
      <c r="AS87" s="231"/>
      <c r="AT87" s="231"/>
      <c r="AU87" s="130"/>
      <c r="AV87" s="129"/>
      <c r="AW87" s="225"/>
      <c r="AX87" s="231"/>
      <c r="AY87" s="231"/>
      <c r="AZ87" s="231"/>
      <c r="BA87" s="231"/>
      <c r="BB87" s="231"/>
      <c r="BC87" s="231"/>
      <c r="BD87" s="231"/>
      <c r="BE87" s="231"/>
      <c r="BF87" s="231"/>
      <c r="BG87" s="231"/>
      <c r="BH87" s="59"/>
      <c r="BI87" s="59"/>
      <c r="BP87" s="224"/>
      <c r="BQ87" s="233"/>
    </row>
    <row r="88" spans="2:83" s="187" customFormat="1" ht="18.75" customHeight="1">
      <c r="B88" s="231"/>
      <c r="C88" s="359" t="s">
        <v>386</v>
      </c>
      <c r="D88" s="359"/>
      <c r="E88" s="359"/>
      <c r="F88" s="359"/>
      <c r="G88" s="359"/>
      <c r="H88" s="225"/>
      <c r="J88" s="225"/>
      <c r="K88" s="225"/>
      <c r="L88" s="225"/>
      <c r="M88" s="225"/>
      <c r="N88" s="225"/>
      <c r="O88" s="225"/>
      <c r="P88" s="225"/>
      <c r="Q88" s="225"/>
      <c r="R88" s="129"/>
      <c r="S88" s="225"/>
      <c r="T88" s="225"/>
      <c r="U88" s="225"/>
      <c r="W88" s="225"/>
      <c r="X88" s="225"/>
      <c r="Y88" s="225"/>
      <c r="Z88" s="225"/>
      <c r="AA88" s="57" t="s">
        <v>387</v>
      </c>
      <c r="AB88" s="225"/>
      <c r="AC88" s="225"/>
      <c r="AD88" s="225"/>
      <c r="AE88" s="231"/>
      <c r="AF88" s="231"/>
      <c r="AH88" s="231"/>
      <c r="AI88" s="231"/>
      <c r="AJ88" s="231"/>
      <c r="AK88" s="231"/>
      <c r="AL88" s="231"/>
      <c r="AM88" s="231"/>
      <c r="AN88" s="231"/>
      <c r="AO88" s="231"/>
      <c r="AP88" s="231"/>
      <c r="AQ88" s="231"/>
      <c r="AR88" s="231"/>
      <c r="AS88" s="231"/>
      <c r="AT88" s="231"/>
      <c r="AU88" s="231"/>
      <c r="AV88" s="231"/>
      <c r="AW88" s="231"/>
      <c r="AX88" s="231"/>
      <c r="AY88" s="231"/>
      <c r="AZ88" s="231"/>
      <c r="BA88" s="231"/>
      <c r="BB88" s="231"/>
      <c r="BC88" s="231"/>
      <c r="BD88" s="231"/>
      <c r="BE88" s="231"/>
      <c r="BF88" s="231"/>
      <c r="BG88" s="231"/>
      <c r="BH88" s="59"/>
      <c r="BI88" s="59"/>
      <c r="BJ88" s="59"/>
      <c r="BK88" s="59"/>
      <c r="BL88" s="59"/>
    </row>
    <row r="89" spans="2:83" s="187" customFormat="1" ht="18.75" customHeight="1">
      <c r="B89" s="231"/>
      <c r="C89" s="359"/>
      <c r="D89" s="359"/>
      <c r="E89" s="359"/>
      <c r="F89" s="359"/>
      <c r="G89" s="359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129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31"/>
      <c r="AF89" s="231"/>
      <c r="AG89" s="231"/>
      <c r="AH89" s="231"/>
      <c r="AI89" s="231"/>
      <c r="AJ89" s="231"/>
      <c r="AK89" s="231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  <c r="AV89" s="231"/>
      <c r="AW89" s="231"/>
      <c r="AX89" s="231"/>
      <c r="AY89" s="231"/>
      <c r="AZ89" s="231"/>
      <c r="BA89" s="231"/>
      <c r="BB89" s="231"/>
      <c r="BC89" s="231"/>
      <c r="BD89" s="231"/>
      <c r="BE89" s="231"/>
      <c r="BF89" s="231"/>
      <c r="BG89" s="231"/>
      <c r="BH89" s="59"/>
      <c r="BI89" s="59"/>
      <c r="BJ89" s="59"/>
      <c r="BK89" s="59"/>
      <c r="BL89" s="59"/>
    </row>
    <row r="90" spans="2:83" s="187" customFormat="1" ht="18.75" customHeight="1">
      <c r="B90" s="231"/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129"/>
      <c r="S90" s="225"/>
      <c r="T90" s="225"/>
      <c r="U90" s="225"/>
      <c r="V90" s="225"/>
      <c r="W90" s="225"/>
      <c r="X90" s="225"/>
      <c r="Y90" s="225"/>
      <c r="Z90" s="225"/>
      <c r="AA90" s="225"/>
      <c r="AB90" s="367">
        <v>100</v>
      </c>
      <c r="AC90" s="367"/>
      <c r="AD90" s="225"/>
      <c r="AE90" s="231"/>
      <c r="AF90" s="231"/>
      <c r="AG90" s="231"/>
      <c r="AH90" s="231"/>
      <c r="AI90" s="231"/>
      <c r="AJ90" s="231"/>
      <c r="AK90" s="231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  <c r="AV90" s="231"/>
      <c r="AW90" s="231"/>
      <c r="AX90" s="231"/>
      <c r="AY90" s="231"/>
      <c r="AZ90" s="231"/>
      <c r="BA90" s="231"/>
      <c r="BB90" s="231"/>
      <c r="BC90" s="231"/>
      <c r="BD90" s="231"/>
      <c r="BE90" s="231"/>
      <c r="BF90" s="231"/>
      <c r="BG90" s="231"/>
      <c r="BH90" s="59"/>
      <c r="BI90" s="59"/>
      <c r="BJ90" s="59"/>
      <c r="BK90" s="59"/>
      <c r="BL90" s="59"/>
    </row>
    <row r="91" spans="2:83" s="187" customFormat="1" ht="18.75" customHeight="1">
      <c r="B91" s="231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129"/>
      <c r="S91" s="225"/>
      <c r="T91" s="225"/>
      <c r="U91" s="225"/>
      <c r="V91" s="225"/>
      <c r="W91" s="225"/>
      <c r="X91" s="225"/>
      <c r="Y91" s="225"/>
      <c r="Z91" s="225"/>
      <c r="AA91" s="225"/>
      <c r="AB91" s="367"/>
      <c r="AC91" s="367"/>
      <c r="AD91" s="225"/>
      <c r="AE91" s="231"/>
      <c r="AF91" s="231"/>
      <c r="AG91" s="231"/>
      <c r="AH91" s="231"/>
      <c r="AI91" s="231"/>
      <c r="AJ91" s="231"/>
      <c r="AK91" s="231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  <c r="AV91" s="231"/>
      <c r="AW91" s="231"/>
      <c r="AX91" s="231"/>
      <c r="AY91" s="231"/>
      <c r="AZ91" s="231"/>
      <c r="BA91" s="231"/>
      <c r="BB91" s="231"/>
      <c r="BC91" s="231"/>
      <c r="BD91" s="231"/>
      <c r="BE91" s="231"/>
      <c r="BF91" s="231"/>
      <c r="BG91" s="231"/>
      <c r="BH91" s="59"/>
      <c r="BI91" s="59"/>
      <c r="BJ91" s="59"/>
      <c r="BK91" s="59"/>
      <c r="BL91" s="59"/>
    </row>
    <row r="92" spans="2:83" s="187" customFormat="1" ht="18.75" customHeight="1">
      <c r="B92" s="231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129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31"/>
      <c r="AF92" s="231"/>
      <c r="AG92" s="231"/>
      <c r="AH92" s="231"/>
      <c r="AI92" s="231"/>
      <c r="AJ92" s="231"/>
      <c r="AK92" s="231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  <c r="AV92" s="231"/>
      <c r="AW92" s="231"/>
      <c r="AX92" s="231"/>
      <c r="AY92" s="231"/>
      <c r="AZ92" s="231"/>
      <c r="BA92" s="231"/>
      <c r="BB92" s="231"/>
      <c r="BC92" s="231"/>
      <c r="BD92" s="231"/>
      <c r="BE92" s="231"/>
      <c r="BF92" s="231"/>
      <c r="BG92" s="231"/>
      <c r="BH92" s="59"/>
      <c r="BI92" s="59"/>
      <c r="BJ92" s="59"/>
      <c r="BK92" s="59"/>
      <c r="BL92" s="59"/>
    </row>
    <row r="93" spans="2:83" s="187" customFormat="1" ht="18.75" customHeight="1">
      <c r="B93" s="231"/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129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31"/>
      <c r="AF93" s="231"/>
      <c r="AG93" s="231"/>
      <c r="AH93" s="231"/>
      <c r="AI93" s="231"/>
      <c r="AJ93" s="231"/>
      <c r="AK93" s="231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  <c r="AV93" s="231"/>
      <c r="AW93" s="231"/>
      <c r="AX93" s="231"/>
      <c r="AY93" s="231"/>
      <c r="AZ93" s="231"/>
      <c r="BA93" s="231"/>
      <c r="BB93" s="231"/>
      <c r="BC93" s="231"/>
      <c r="BD93" s="231"/>
      <c r="BE93" s="231"/>
      <c r="BF93" s="231"/>
      <c r="BG93" s="231"/>
      <c r="BH93" s="225"/>
      <c r="BI93" s="225"/>
      <c r="BJ93" s="225"/>
      <c r="BK93" s="225"/>
    </row>
    <row r="94" spans="2:83" s="187" customFormat="1" ht="18.75" customHeight="1">
      <c r="B94" s="58" t="str">
        <f>"4. "&amp;B5&amp;"과 "&amp;H5&amp;"의 온도 차에 의한 표준불확도,"</f>
        <v>4. 엔드바과 게이지 블록의 온도 차에 의한 표준불확도,</v>
      </c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58" t="s">
        <v>388</v>
      </c>
      <c r="Y94" s="225"/>
      <c r="AA94" s="225"/>
      <c r="AC94" s="225"/>
      <c r="AD94" s="225"/>
      <c r="AE94" s="225"/>
      <c r="AF94" s="225"/>
      <c r="AG94" s="225"/>
      <c r="AH94" s="231"/>
      <c r="AI94" s="231"/>
      <c r="AJ94" s="231"/>
      <c r="AK94" s="231"/>
      <c r="AL94" s="231"/>
      <c r="AM94" s="231"/>
      <c r="AN94" s="231"/>
      <c r="AO94" s="225"/>
      <c r="AP94" s="225"/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5"/>
      <c r="BB94" s="225"/>
      <c r="BC94" s="225"/>
      <c r="BD94" s="225"/>
      <c r="BE94" s="225"/>
      <c r="BF94" s="225"/>
      <c r="BG94" s="225"/>
      <c r="BH94" s="59"/>
      <c r="BI94" s="59"/>
      <c r="BJ94" s="59"/>
      <c r="BK94" s="59"/>
      <c r="BL94" s="59"/>
      <c r="BM94" s="59"/>
      <c r="BN94" s="59"/>
    </row>
    <row r="95" spans="2:83" s="187" customFormat="1" ht="18.75" customHeight="1">
      <c r="B95" s="58"/>
      <c r="C95" s="240" t="str">
        <f>"※ 열평형 상태에서 "&amp;B5&amp;"과 "&amp;H5&amp;"의 온도차가 ±"&amp;N98&amp;" ℃ 이내에서 일치한다고"</f>
        <v>※ 열평형 상태에서 엔드바과 게이지 블록의 온도차가 ±0.3 ℃ 이내에서 일치한다고</v>
      </c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39"/>
      <c r="AN95" s="239"/>
      <c r="AO95" s="240"/>
      <c r="AP95" s="240"/>
      <c r="AQ95" s="240"/>
      <c r="AR95" s="240"/>
      <c r="AS95" s="240"/>
      <c r="AT95" s="240"/>
      <c r="AU95" s="240"/>
      <c r="AV95" s="240"/>
      <c r="AW95" s="240"/>
      <c r="AX95" s="240"/>
      <c r="AY95" s="240"/>
      <c r="AZ95" s="240"/>
      <c r="BA95" s="240"/>
      <c r="BB95" s="240"/>
      <c r="BC95" s="240"/>
      <c r="BD95" s="240"/>
      <c r="BE95" s="240"/>
      <c r="BF95" s="240"/>
      <c r="BG95" s="240"/>
      <c r="BH95" s="59"/>
      <c r="BI95" s="59"/>
      <c r="BJ95" s="59"/>
      <c r="BK95" s="59"/>
      <c r="BL95" s="59"/>
      <c r="BM95" s="59"/>
      <c r="BN95" s="59"/>
    </row>
    <row r="96" spans="2:83" s="187" customFormat="1" ht="18.75" customHeight="1">
      <c r="B96" s="58"/>
      <c r="C96" s="240"/>
      <c r="D96" s="240" t="s">
        <v>458</v>
      </c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0"/>
      <c r="AJ96" s="240"/>
      <c r="AK96" s="240"/>
      <c r="AL96" s="240"/>
      <c r="AM96" s="239"/>
      <c r="AN96" s="239"/>
      <c r="AO96" s="240"/>
      <c r="AP96" s="240"/>
      <c r="AQ96" s="240"/>
      <c r="AR96" s="240"/>
      <c r="AS96" s="240"/>
      <c r="AT96" s="240"/>
      <c r="AU96" s="240"/>
      <c r="AV96" s="240"/>
      <c r="AW96" s="240"/>
      <c r="AX96" s="240"/>
      <c r="AY96" s="240"/>
      <c r="AZ96" s="240"/>
      <c r="BA96" s="240"/>
      <c r="BB96" s="240"/>
      <c r="BC96" s="240"/>
      <c r="BD96" s="240"/>
      <c r="BE96" s="240"/>
      <c r="BF96" s="240"/>
      <c r="BG96" s="240"/>
      <c r="BH96" s="59"/>
      <c r="BI96" s="59"/>
      <c r="BJ96" s="59"/>
      <c r="BK96" s="59"/>
      <c r="BL96" s="59"/>
      <c r="BM96" s="59"/>
      <c r="BN96" s="59"/>
    </row>
    <row r="97" spans="2:68" s="187" customFormat="1" ht="18.75" customHeight="1">
      <c r="B97" s="231"/>
      <c r="C97" s="224" t="s">
        <v>389</v>
      </c>
      <c r="D97" s="231"/>
      <c r="E97" s="231"/>
      <c r="F97" s="231"/>
      <c r="G97" s="231"/>
      <c r="H97" s="371" t="str">
        <f>H43</f>
        <v/>
      </c>
      <c r="I97" s="371"/>
      <c r="J97" s="371"/>
      <c r="K97" s="371"/>
      <c r="L97" s="371"/>
      <c r="M97" s="371"/>
      <c r="N97" s="371"/>
      <c r="O97" s="371"/>
      <c r="P97" s="220"/>
      <c r="Q97" s="225"/>
      <c r="R97" s="225"/>
      <c r="S97" s="225"/>
      <c r="T97" s="225"/>
      <c r="U97" s="225"/>
      <c r="V97" s="225"/>
      <c r="W97" s="231"/>
      <c r="X97" s="231"/>
      <c r="Y97" s="231"/>
      <c r="Z97" s="225"/>
      <c r="AA97" s="225"/>
      <c r="AB97" s="225"/>
      <c r="AC97" s="225"/>
      <c r="AD97" s="225"/>
      <c r="AE97" s="225"/>
      <c r="AF97" s="225"/>
      <c r="AG97" s="225"/>
      <c r="AH97" s="231"/>
      <c r="AI97" s="231"/>
      <c r="AJ97" s="231"/>
      <c r="AK97" s="231"/>
      <c r="AL97" s="231"/>
      <c r="AM97" s="231"/>
      <c r="AN97" s="231"/>
      <c r="AO97" s="225"/>
      <c r="AP97" s="225"/>
      <c r="AQ97" s="225"/>
      <c r="AR97" s="225"/>
      <c r="AS97" s="225"/>
      <c r="AT97" s="225"/>
      <c r="AU97" s="225"/>
      <c r="AV97" s="225"/>
      <c r="AW97" s="225"/>
      <c r="AX97" s="225"/>
      <c r="AY97" s="225"/>
      <c r="AZ97" s="225"/>
      <c r="BA97" s="225"/>
      <c r="BB97" s="225"/>
      <c r="BC97" s="225"/>
      <c r="BD97" s="225"/>
      <c r="BE97" s="225"/>
      <c r="BF97" s="225"/>
      <c r="BG97" s="225"/>
      <c r="BH97" s="59"/>
      <c r="BI97" s="59"/>
      <c r="BJ97" s="59"/>
      <c r="BK97" s="59"/>
      <c r="BL97" s="59"/>
      <c r="BM97" s="59"/>
    </row>
    <row r="98" spans="2:68" s="187" customFormat="1" ht="18.75" customHeight="1">
      <c r="B98" s="231"/>
      <c r="C98" s="359" t="s">
        <v>390</v>
      </c>
      <c r="D98" s="359"/>
      <c r="E98" s="359"/>
      <c r="F98" s="359"/>
      <c r="G98" s="359"/>
      <c r="H98" s="359"/>
      <c r="I98" s="359"/>
      <c r="J98" s="370" t="s">
        <v>467</v>
      </c>
      <c r="K98" s="370"/>
      <c r="L98" s="370"/>
      <c r="M98" s="347" t="s">
        <v>363</v>
      </c>
      <c r="N98" s="368">
        <f>Calcu!G21</f>
        <v>0.3</v>
      </c>
      <c r="O98" s="368"/>
      <c r="P98" s="242" t="s">
        <v>460</v>
      </c>
      <c r="Q98" s="241"/>
      <c r="R98" s="347" t="s">
        <v>363</v>
      </c>
      <c r="S98" s="352">
        <f>N98/SQRT(3)</f>
        <v>0.17320508075688773</v>
      </c>
      <c r="T98" s="352"/>
      <c r="U98" s="352"/>
      <c r="V98" s="369" t="s">
        <v>461</v>
      </c>
      <c r="W98" s="369"/>
      <c r="X98" s="243"/>
      <c r="Y98" s="225"/>
      <c r="AX98" s="225"/>
      <c r="AY98" s="225"/>
      <c r="AZ98" s="225"/>
      <c r="BA98" s="225"/>
      <c r="BB98" s="225"/>
      <c r="BC98" s="225"/>
      <c r="BD98" s="225"/>
      <c r="BE98" s="225"/>
      <c r="BF98" s="225"/>
      <c r="BG98" s="225"/>
      <c r="BH98" s="225"/>
      <c r="BI98" s="225"/>
      <c r="BJ98" s="59"/>
      <c r="BK98" s="59"/>
      <c r="BL98" s="59"/>
      <c r="BM98" s="59"/>
      <c r="BN98" s="59"/>
      <c r="BO98" s="59"/>
      <c r="BP98" s="59"/>
    </row>
    <row r="99" spans="2:68" s="187" customFormat="1" ht="18.75" customHeight="1">
      <c r="B99" s="231"/>
      <c r="C99" s="359"/>
      <c r="D99" s="359"/>
      <c r="E99" s="359"/>
      <c r="F99" s="359"/>
      <c r="G99" s="359"/>
      <c r="H99" s="359"/>
      <c r="I99" s="359"/>
      <c r="J99" s="370"/>
      <c r="K99" s="370"/>
      <c r="L99" s="370"/>
      <c r="M99" s="347"/>
      <c r="N99" s="226"/>
      <c r="O99" s="226"/>
      <c r="P99" s="226"/>
      <c r="Q99" s="239"/>
      <c r="R99" s="347"/>
      <c r="S99" s="352"/>
      <c r="T99" s="352"/>
      <c r="U99" s="352"/>
      <c r="V99" s="369"/>
      <c r="W99" s="369"/>
      <c r="X99" s="243"/>
      <c r="Y99" s="225"/>
      <c r="AX99" s="225"/>
      <c r="AY99" s="225"/>
      <c r="AZ99" s="225"/>
      <c r="BA99" s="225"/>
      <c r="BB99" s="225"/>
      <c r="BC99" s="225"/>
      <c r="BD99" s="225"/>
      <c r="BE99" s="225"/>
      <c r="BF99" s="225"/>
      <c r="BG99" s="225"/>
      <c r="BH99" s="225"/>
      <c r="BI99" s="225"/>
      <c r="BJ99" s="59"/>
      <c r="BK99" s="59"/>
      <c r="BL99" s="59"/>
      <c r="BM99" s="59"/>
      <c r="BN99" s="59"/>
      <c r="BO99" s="59"/>
      <c r="BP99" s="59"/>
    </row>
    <row r="100" spans="2:68" s="187" customFormat="1" ht="18.75" customHeight="1">
      <c r="B100" s="231"/>
      <c r="C100" s="225" t="s">
        <v>391</v>
      </c>
      <c r="D100" s="225"/>
      <c r="E100" s="225"/>
      <c r="F100" s="225"/>
      <c r="G100" s="225"/>
      <c r="H100" s="225"/>
      <c r="I100" s="367" t="str">
        <f>V43</f>
        <v>직사각형</v>
      </c>
      <c r="J100" s="367"/>
      <c r="K100" s="367"/>
      <c r="L100" s="367"/>
      <c r="M100" s="367"/>
      <c r="N100" s="367"/>
      <c r="O100" s="367"/>
      <c r="P100" s="367"/>
      <c r="Q100" s="225"/>
      <c r="R100" s="225"/>
      <c r="S100" s="225"/>
      <c r="T100" s="225"/>
      <c r="U100" s="225"/>
      <c r="V100" s="225"/>
      <c r="W100" s="225"/>
      <c r="X100" s="225"/>
      <c r="Y100" s="225"/>
      <c r="Z100" s="231"/>
      <c r="AA100" s="231"/>
      <c r="AB100" s="231"/>
      <c r="AC100" s="231"/>
      <c r="AD100" s="231"/>
      <c r="AE100" s="231"/>
      <c r="AF100" s="231"/>
      <c r="AG100" s="231"/>
      <c r="AH100" s="231"/>
      <c r="AI100" s="231"/>
      <c r="AJ100" s="231"/>
      <c r="AK100" s="231"/>
      <c r="AL100" s="231"/>
      <c r="AM100" s="231"/>
      <c r="AN100" s="231"/>
      <c r="AO100" s="231"/>
      <c r="AP100" s="225"/>
      <c r="AQ100" s="225"/>
      <c r="AR100" s="225"/>
      <c r="AS100" s="225"/>
      <c r="AT100" s="225"/>
      <c r="AU100" s="225"/>
      <c r="AV100" s="225"/>
      <c r="AW100" s="225"/>
      <c r="AX100" s="225"/>
      <c r="AY100" s="225"/>
      <c r="AZ100" s="225"/>
      <c r="BA100" s="225"/>
      <c r="BB100" s="225"/>
      <c r="BC100" s="225"/>
      <c r="BD100" s="225"/>
      <c r="BE100" s="225"/>
      <c r="BF100" s="225"/>
      <c r="BG100" s="225"/>
      <c r="BH100" s="59"/>
      <c r="BI100" s="59"/>
      <c r="BJ100" s="59"/>
      <c r="BK100" s="59"/>
      <c r="BL100" s="59"/>
    </row>
    <row r="101" spans="2:68" s="187" customFormat="1" ht="18.75" customHeight="1">
      <c r="B101" s="231"/>
      <c r="C101" s="359" t="s">
        <v>392</v>
      </c>
      <c r="D101" s="359"/>
      <c r="E101" s="359"/>
      <c r="F101" s="359"/>
      <c r="G101" s="359"/>
      <c r="H101" s="359"/>
      <c r="I101" s="225"/>
      <c r="J101" s="225"/>
      <c r="K101" s="225"/>
      <c r="L101" s="225"/>
      <c r="M101" s="225"/>
      <c r="N101" s="225"/>
      <c r="O101" s="231"/>
      <c r="R101" s="359" t="e">
        <f ca="1">-H42*10^6</f>
        <v>#N/A</v>
      </c>
      <c r="S101" s="359"/>
      <c r="T101" s="359"/>
      <c r="U101" s="359" t="s">
        <v>393</v>
      </c>
      <c r="V101" s="359"/>
      <c r="W101" s="359"/>
      <c r="X101" s="359"/>
      <c r="Y101" s="347" t="s">
        <v>75</v>
      </c>
      <c r="Z101" s="360">
        <f>Calcu!N21</f>
        <v>0</v>
      </c>
      <c r="AA101" s="360"/>
      <c r="AB101" s="360"/>
      <c r="AC101" s="359" t="s">
        <v>246</v>
      </c>
      <c r="AD101" s="359"/>
      <c r="AE101" s="347" t="s">
        <v>363</v>
      </c>
      <c r="AF101" s="364" t="e">
        <f ca="1">R101*10^-6*Z101</f>
        <v>#N/A</v>
      </c>
      <c r="AG101" s="364"/>
      <c r="AH101" s="364"/>
      <c r="AI101" s="359" t="s">
        <v>239</v>
      </c>
      <c r="AJ101" s="359"/>
      <c r="AK101" s="359"/>
      <c r="AL101" s="359"/>
      <c r="AM101" s="359"/>
      <c r="AN101" s="359"/>
      <c r="AO101" s="359"/>
      <c r="AP101" s="225"/>
      <c r="AQ101" s="225"/>
      <c r="AR101" s="225"/>
      <c r="AS101" s="225"/>
      <c r="AT101" s="225"/>
      <c r="AU101" s="225"/>
      <c r="AV101" s="225"/>
      <c r="AW101" s="225"/>
      <c r="AX101" s="225"/>
      <c r="AY101" s="225"/>
      <c r="AZ101" s="225"/>
      <c r="BA101" s="225"/>
      <c r="BB101" s="225"/>
      <c r="BC101" s="231"/>
      <c r="BD101" s="231"/>
      <c r="BE101" s="231"/>
      <c r="BF101" s="231"/>
      <c r="BG101" s="231"/>
      <c r="BH101" s="231"/>
    </row>
    <row r="102" spans="2:68" s="187" customFormat="1" ht="18.75" customHeight="1">
      <c r="B102" s="231"/>
      <c r="C102" s="359"/>
      <c r="D102" s="359"/>
      <c r="E102" s="359"/>
      <c r="F102" s="359"/>
      <c r="G102" s="359"/>
      <c r="H102" s="359"/>
      <c r="I102" s="225"/>
      <c r="J102" s="225"/>
      <c r="K102" s="225"/>
      <c r="L102" s="225"/>
      <c r="M102" s="225"/>
      <c r="N102" s="225"/>
      <c r="O102" s="231"/>
      <c r="R102" s="359"/>
      <c r="S102" s="359"/>
      <c r="T102" s="359"/>
      <c r="U102" s="359"/>
      <c r="V102" s="359"/>
      <c r="W102" s="359"/>
      <c r="X102" s="359"/>
      <c r="Y102" s="347"/>
      <c r="Z102" s="360"/>
      <c r="AA102" s="360"/>
      <c r="AB102" s="360"/>
      <c r="AC102" s="359"/>
      <c r="AD102" s="359"/>
      <c r="AE102" s="347"/>
      <c r="AF102" s="364"/>
      <c r="AG102" s="364"/>
      <c r="AH102" s="364"/>
      <c r="AI102" s="359"/>
      <c r="AJ102" s="359"/>
      <c r="AK102" s="359"/>
      <c r="AL102" s="359"/>
      <c r="AM102" s="359"/>
      <c r="AN102" s="359"/>
      <c r="AO102" s="359"/>
      <c r="AP102" s="225"/>
      <c r="AQ102" s="225"/>
      <c r="AR102" s="225"/>
      <c r="AS102" s="225"/>
      <c r="AT102" s="225"/>
      <c r="AU102" s="225"/>
      <c r="AV102" s="225"/>
      <c r="AW102" s="225"/>
      <c r="AX102" s="225"/>
      <c r="AY102" s="225"/>
      <c r="AZ102" s="225"/>
      <c r="BA102" s="225"/>
      <c r="BB102" s="225"/>
      <c r="BC102" s="231"/>
      <c r="BD102" s="231"/>
      <c r="BE102" s="231"/>
      <c r="BF102" s="231"/>
      <c r="BG102" s="231"/>
      <c r="BH102" s="231"/>
    </row>
    <row r="103" spans="2:68" s="187" customFormat="1" ht="18.75" customHeight="1">
      <c r="B103" s="231"/>
      <c r="C103" s="225" t="s">
        <v>394</v>
      </c>
      <c r="D103" s="225"/>
      <c r="E103" s="225"/>
      <c r="F103" s="225"/>
      <c r="G103" s="225"/>
      <c r="H103" s="225"/>
      <c r="I103" s="225"/>
      <c r="J103" s="231"/>
      <c r="K103" s="57" t="s">
        <v>395</v>
      </c>
      <c r="L103" s="364" t="e">
        <f ca="1">AF101</f>
        <v>#N/A</v>
      </c>
      <c r="M103" s="364"/>
      <c r="N103" s="364"/>
      <c r="O103" s="129" t="s">
        <v>396</v>
      </c>
      <c r="P103" s="231"/>
      <c r="Q103" s="231"/>
      <c r="R103" s="231" t="s">
        <v>75</v>
      </c>
      <c r="S103" s="365">
        <f>S98</f>
        <v>0.17320508075688773</v>
      </c>
      <c r="T103" s="365"/>
      <c r="U103" s="365"/>
      <c r="V103" s="365"/>
      <c r="W103" s="57" t="s">
        <v>397</v>
      </c>
      <c r="X103" s="231" t="s">
        <v>350</v>
      </c>
      <c r="Y103" s="352" t="e">
        <f ca="1">ABS(L103*S103)</f>
        <v>#N/A</v>
      </c>
      <c r="Z103" s="352"/>
      <c r="AA103" s="352"/>
      <c r="AB103" s="224" t="s">
        <v>246</v>
      </c>
      <c r="AC103" s="224"/>
      <c r="AD103" s="231"/>
      <c r="AE103" s="231"/>
      <c r="AF103" s="223"/>
      <c r="AG103" s="231"/>
      <c r="AH103" s="231"/>
      <c r="AI103" s="231"/>
      <c r="AJ103" s="231"/>
      <c r="AK103" s="231"/>
      <c r="AL103" s="231"/>
      <c r="AM103" s="231"/>
      <c r="AN103" s="231"/>
      <c r="AO103" s="231"/>
      <c r="AP103" s="205"/>
      <c r="AQ103" s="205"/>
      <c r="AR103" s="205"/>
      <c r="AS103" s="225"/>
      <c r="AT103" s="225"/>
      <c r="AU103" s="225"/>
      <c r="AV103" s="206"/>
      <c r="AW103" s="206"/>
      <c r="AX103" s="206"/>
      <c r="AY103" s="206"/>
      <c r="AZ103" s="206"/>
      <c r="BA103" s="206"/>
      <c r="BB103" s="231"/>
      <c r="BC103" s="231"/>
      <c r="BD103" s="231"/>
      <c r="BE103" s="231"/>
      <c r="BF103" s="231"/>
      <c r="BG103" s="231"/>
    </row>
    <row r="104" spans="2:68" s="187" customFormat="1" ht="18.75" customHeight="1">
      <c r="B104" s="231"/>
      <c r="C104" s="359" t="s">
        <v>398</v>
      </c>
      <c r="D104" s="359"/>
      <c r="E104" s="359"/>
      <c r="F104" s="359"/>
      <c r="G104" s="359"/>
      <c r="H104" s="225"/>
      <c r="J104" s="225"/>
      <c r="K104" s="225"/>
      <c r="L104" s="225"/>
      <c r="M104" s="225"/>
      <c r="N104" s="225"/>
      <c r="O104" s="225"/>
      <c r="P104" s="225"/>
      <c r="Q104" s="225"/>
      <c r="R104" s="129"/>
      <c r="S104" s="225"/>
      <c r="T104" s="225"/>
      <c r="U104" s="225"/>
      <c r="W104" s="57" t="s">
        <v>399</v>
      </c>
      <c r="X104" s="225"/>
      <c r="Y104" s="225"/>
      <c r="Z104" s="225"/>
      <c r="AA104" s="225"/>
      <c r="AB104" s="225"/>
      <c r="AC104" s="225"/>
      <c r="AD104" s="225"/>
      <c r="AE104" s="231"/>
      <c r="AF104" s="231"/>
      <c r="AG104" s="231"/>
      <c r="AH104" s="231"/>
      <c r="AI104" s="231"/>
      <c r="AJ104" s="231"/>
      <c r="AK104" s="231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25"/>
      <c r="AV104" s="231"/>
      <c r="AW104" s="231"/>
      <c r="AX104" s="231"/>
      <c r="AY104" s="231"/>
      <c r="AZ104" s="231"/>
      <c r="BA104" s="231"/>
      <c r="BB104" s="231"/>
      <c r="BC104" s="231"/>
      <c r="BD104" s="231"/>
      <c r="BE104" s="231"/>
      <c r="BF104" s="231"/>
      <c r="BG104" s="231"/>
    </row>
    <row r="105" spans="2:68" s="187" customFormat="1" ht="18.75" customHeight="1">
      <c r="B105" s="231"/>
      <c r="C105" s="359"/>
      <c r="D105" s="359"/>
      <c r="E105" s="359"/>
      <c r="F105" s="359"/>
      <c r="G105" s="359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129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31"/>
      <c r="AD105" s="231"/>
      <c r="AE105" s="231"/>
      <c r="AF105" s="231"/>
      <c r="AG105" s="231"/>
      <c r="AH105" s="231"/>
      <c r="AI105" s="231"/>
      <c r="AJ105" s="231"/>
      <c r="AK105" s="231"/>
      <c r="AL105" s="231"/>
      <c r="AM105" s="231"/>
      <c r="AN105" s="231"/>
      <c r="AO105" s="231"/>
      <c r="AP105" s="231"/>
      <c r="AQ105" s="231"/>
      <c r="AR105" s="231"/>
      <c r="AS105" s="231"/>
      <c r="AT105" s="231"/>
      <c r="AU105" s="231"/>
      <c r="AV105" s="231"/>
      <c r="AW105" s="231"/>
      <c r="AX105" s="231"/>
      <c r="AY105" s="231"/>
      <c r="AZ105" s="231"/>
      <c r="BA105" s="231"/>
      <c r="BB105" s="231"/>
      <c r="BC105" s="231"/>
      <c r="BD105" s="231"/>
      <c r="BE105" s="231"/>
      <c r="BF105" s="231"/>
      <c r="BG105" s="231"/>
    </row>
    <row r="106" spans="2:68" s="187" customFormat="1" ht="18.75" customHeight="1">
      <c r="B106" s="231"/>
      <c r="C106" s="225"/>
      <c r="D106" s="225"/>
      <c r="E106" s="225"/>
      <c r="F106" s="225"/>
      <c r="G106" s="231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31"/>
      <c r="AB106" s="231"/>
      <c r="AC106" s="231"/>
      <c r="AD106" s="231"/>
      <c r="AE106" s="231"/>
      <c r="AF106" s="231"/>
      <c r="AG106" s="231"/>
      <c r="AH106" s="231"/>
      <c r="AI106" s="231"/>
      <c r="AJ106" s="231"/>
      <c r="AK106" s="231"/>
      <c r="AL106" s="231"/>
      <c r="AM106" s="231"/>
      <c r="AN106" s="231"/>
      <c r="AO106" s="231"/>
      <c r="AP106" s="231"/>
      <c r="AQ106" s="231"/>
      <c r="AR106" s="231"/>
      <c r="AS106" s="231"/>
      <c r="AT106" s="231"/>
      <c r="AU106" s="231"/>
      <c r="AV106" s="231"/>
      <c r="AW106" s="231"/>
      <c r="AX106" s="231"/>
      <c r="AY106" s="231"/>
      <c r="AZ106" s="231"/>
      <c r="BA106" s="231"/>
      <c r="BB106" s="231"/>
      <c r="BC106" s="231"/>
      <c r="BD106" s="231"/>
      <c r="BE106" s="231"/>
      <c r="BF106" s="231"/>
      <c r="BG106" s="231"/>
    </row>
    <row r="107" spans="2:68" s="187" customFormat="1" ht="18.75" customHeight="1">
      <c r="B107" s="58" t="str">
        <f>"5. "&amp;B5&amp;"과 "&amp;H5&amp;"의 열팽창계수 차에 의한 표준불확도,"</f>
        <v>5. 엔드바과 게이지 블록의 열팽창계수 차에 의한 표준불확도,</v>
      </c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07" t="s">
        <v>400</v>
      </c>
      <c r="AA107" s="225"/>
      <c r="AC107" s="225"/>
      <c r="AE107" s="225"/>
      <c r="AF107" s="225"/>
      <c r="AG107" s="225"/>
      <c r="AH107" s="225"/>
      <c r="AI107" s="225"/>
      <c r="AJ107" s="225"/>
      <c r="AK107" s="225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5"/>
      <c r="BB107" s="231"/>
      <c r="BC107" s="231"/>
      <c r="BD107" s="231"/>
      <c r="BE107" s="231"/>
      <c r="BF107" s="231"/>
      <c r="BG107" s="231"/>
    </row>
    <row r="108" spans="2:68" s="187" customFormat="1" ht="18.75" customHeight="1">
      <c r="B108" s="58"/>
      <c r="C108" s="225" t="str">
        <f>"※ "&amp;B5&amp;"과 "&amp;H5&amp;"의 열팽창계수 차이 :"</f>
        <v>※ 엔드바과 게이지 블록의 열팽창계수 차이 :</v>
      </c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31"/>
      <c r="T108" s="225"/>
      <c r="U108" s="225"/>
      <c r="V108" s="225"/>
      <c r="W108" s="225" t="s">
        <v>403</v>
      </c>
      <c r="Z108" s="225"/>
      <c r="AA108" s="225"/>
      <c r="AB108" s="225"/>
      <c r="AC108" s="225"/>
      <c r="AD108" s="231"/>
      <c r="AE108" s="231"/>
      <c r="AF108" s="231"/>
      <c r="AG108" s="231"/>
      <c r="AH108" s="225"/>
      <c r="AI108" s="225"/>
      <c r="AJ108" s="225"/>
      <c r="AK108" s="225"/>
      <c r="AL108" s="225"/>
      <c r="AM108" s="225"/>
      <c r="AN108" s="225"/>
      <c r="AO108" s="240"/>
      <c r="AP108" s="240"/>
      <c r="AQ108" s="240"/>
      <c r="AR108" s="240"/>
      <c r="AS108" s="240"/>
      <c r="AT108" s="240"/>
      <c r="AU108" s="240"/>
      <c r="AV108" s="240"/>
      <c r="AW108" s="240"/>
      <c r="AX108" s="240"/>
      <c r="AY108" s="240"/>
      <c r="AZ108" s="240"/>
      <c r="BA108" s="240"/>
      <c r="BB108" s="239"/>
      <c r="BC108" s="239"/>
      <c r="BD108" s="239"/>
      <c r="BE108" s="239"/>
      <c r="BF108" s="239"/>
      <c r="BG108" s="239"/>
    </row>
    <row r="109" spans="2:68" s="187" customFormat="1" ht="18.75" customHeight="1">
      <c r="B109" s="231"/>
      <c r="C109" s="224" t="s">
        <v>401</v>
      </c>
      <c r="D109" s="231"/>
      <c r="E109" s="231"/>
      <c r="F109" s="231"/>
      <c r="G109" s="231"/>
      <c r="H109" s="366" t="e">
        <f ca="1">H44*10^6</f>
        <v>#N/A</v>
      </c>
      <c r="I109" s="366"/>
      <c r="J109" s="366"/>
      <c r="K109" s="220" t="s">
        <v>370</v>
      </c>
      <c r="L109" s="220"/>
      <c r="M109" s="220"/>
      <c r="N109" s="220"/>
      <c r="O109" s="220"/>
      <c r="P109" s="220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  <c r="AC109" s="225"/>
      <c r="AD109" s="225"/>
      <c r="AE109" s="225"/>
      <c r="AF109" s="225"/>
      <c r="AG109" s="225"/>
      <c r="AH109" s="225"/>
      <c r="AI109" s="225"/>
      <c r="AJ109" s="225"/>
      <c r="AK109" s="225"/>
      <c r="AL109" s="225"/>
      <c r="AM109" s="225"/>
      <c r="AN109" s="225"/>
      <c r="AO109" s="225"/>
      <c r="AP109" s="225"/>
      <c r="AQ109" s="225"/>
      <c r="AR109" s="225"/>
      <c r="AS109" s="225"/>
      <c r="AT109" s="231"/>
      <c r="AU109" s="231"/>
      <c r="AV109" s="231"/>
      <c r="AW109" s="231"/>
      <c r="AX109" s="231"/>
      <c r="AY109" s="231"/>
      <c r="AZ109" s="231"/>
      <c r="BA109" s="231"/>
      <c r="BB109" s="231"/>
      <c r="BC109" s="231"/>
      <c r="BD109" s="231"/>
      <c r="BE109" s="231"/>
      <c r="BF109" s="231"/>
      <c r="BG109" s="231"/>
    </row>
    <row r="110" spans="2:68" s="187" customFormat="1" ht="18.75" customHeight="1">
      <c r="B110" s="231"/>
      <c r="C110" s="225" t="s">
        <v>402</v>
      </c>
      <c r="D110" s="225"/>
      <c r="E110" s="225"/>
      <c r="F110" s="225"/>
      <c r="G110" s="225"/>
      <c r="H110" s="225"/>
      <c r="I110" s="231"/>
      <c r="J110" s="225" t="s">
        <v>404</v>
      </c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31"/>
      <c r="V110" s="231"/>
      <c r="W110" s="60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  <c r="AI110" s="225"/>
      <c r="AJ110" s="225"/>
      <c r="AK110" s="225"/>
      <c r="AL110" s="231"/>
      <c r="AM110" s="231"/>
      <c r="AN110" s="231"/>
      <c r="AO110" s="225"/>
      <c r="AP110" s="225"/>
      <c r="AQ110" s="225"/>
      <c r="AR110" s="225"/>
      <c r="AS110" s="225"/>
      <c r="AT110" s="225"/>
      <c r="AU110" s="225"/>
      <c r="AV110" s="225"/>
      <c r="AW110" s="225"/>
      <c r="AX110" s="225"/>
      <c r="AY110" s="225"/>
      <c r="AZ110" s="225"/>
      <c r="BA110" s="225"/>
      <c r="BB110" s="225"/>
      <c r="BC110" s="225"/>
      <c r="BD110" s="225"/>
      <c r="BE110" s="225"/>
      <c r="BF110" s="225"/>
      <c r="BG110" s="225"/>
      <c r="BH110" s="59"/>
      <c r="BI110" s="59"/>
      <c r="BJ110" s="59"/>
      <c r="BK110" s="59"/>
      <c r="BL110" s="59"/>
      <c r="BM110" s="59"/>
    </row>
    <row r="111" spans="2:68" s="187" customFormat="1" ht="18.75" customHeight="1">
      <c r="B111" s="231"/>
      <c r="C111" s="225"/>
      <c r="D111" s="225"/>
      <c r="E111" s="225"/>
      <c r="F111" s="225"/>
      <c r="G111" s="225"/>
      <c r="H111" s="225"/>
      <c r="I111" s="231"/>
      <c r="J111" s="225" t="s">
        <v>405</v>
      </c>
      <c r="K111" s="225"/>
      <c r="L111" s="225"/>
      <c r="M111" s="225"/>
      <c r="N111" s="225"/>
      <c r="O111" s="225"/>
      <c r="P111" s="225"/>
      <c r="Q111" s="225"/>
      <c r="R111" s="225"/>
      <c r="S111" s="225"/>
      <c r="T111" s="231"/>
      <c r="U111" s="225"/>
      <c r="V111" s="60"/>
      <c r="W111" s="225"/>
      <c r="X111" s="225"/>
      <c r="Y111" s="225"/>
      <c r="Z111" s="225"/>
      <c r="AA111" s="225"/>
      <c r="AB111" s="225"/>
      <c r="AC111" s="225"/>
      <c r="AD111" s="231"/>
      <c r="AE111" s="225"/>
      <c r="AF111" s="225"/>
      <c r="AG111" s="225"/>
      <c r="AH111" s="225"/>
      <c r="AI111" s="225"/>
      <c r="AJ111" s="225"/>
      <c r="AK111" s="231"/>
      <c r="AL111" s="231"/>
      <c r="AM111" s="231"/>
      <c r="AN111" s="231"/>
      <c r="AO111" s="225"/>
      <c r="AP111" s="225"/>
      <c r="AQ111" s="225"/>
      <c r="AR111" s="225"/>
      <c r="AS111" s="225"/>
      <c r="AT111" s="225"/>
      <c r="AU111" s="225"/>
      <c r="AV111" s="225"/>
      <c r="AW111" s="225"/>
      <c r="AX111" s="225"/>
      <c r="AY111" s="225"/>
      <c r="AZ111" s="225"/>
      <c r="BA111" s="225"/>
      <c r="BB111" s="225"/>
      <c r="BC111" s="225"/>
      <c r="BD111" s="225"/>
      <c r="BE111" s="225"/>
      <c r="BF111" s="225"/>
      <c r="BG111" s="225"/>
      <c r="BH111" s="59"/>
      <c r="BI111" s="59"/>
      <c r="BJ111" s="59"/>
      <c r="BK111" s="59"/>
      <c r="BL111" s="59"/>
      <c r="BM111" s="59"/>
      <c r="BN111" s="59"/>
    </row>
    <row r="112" spans="2:68" s="187" customFormat="1" ht="18.75" customHeight="1">
      <c r="B112" s="231"/>
      <c r="C112" s="225"/>
      <c r="D112" s="225"/>
      <c r="E112" s="225"/>
      <c r="F112" s="225"/>
      <c r="G112" s="225"/>
      <c r="H112" s="237"/>
      <c r="I112" s="225"/>
      <c r="J112" s="231"/>
      <c r="K112" s="224" t="s">
        <v>376</v>
      </c>
      <c r="L112" s="224"/>
      <c r="M112" s="224"/>
      <c r="N112" s="224"/>
      <c r="O112" s="224"/>
      <c r="P112" s="224"/>
      <c r="Q112" s="224"/>
      <c r="R112" s="224"/>
      <c r="S112" s="224"/>
      <c r="T112" s="225"/>
      <c r="U112" s="225"/>
      <c r="V112" s="225"/>
      <c r="W112" s="225"/>
      <c r="X112" s="225"/>
      <c r="Y112" s="225"/>
      <c r="Z112" s="225"/>
      <c r="AA112" s="225"/>
      <c r="AB112" s="225"/>
      <c r="AC112" s="225"/>
      <c r="AD112" s="225"/>
      <c r="AE112" s="225"/>
      <c r="AF112" s="225"/>
      <c r="AG112" s="204"/>
      <c r="AH112" s="225"/>
      <c r="AI112" s="225"/>
      <c r="AJ112" s="225"/>
      <c r="AK112" s="225"/>
      <c r="AL112" s="231"/>
      <c r="AM112" s="231"/>
      <c r="AN112" s="231"/>
      <c r="AO112" s="231"/>
      <c r="AP112" s="225"/>
      <c r="AQ112" s="225"/>
      <c r="AR112" s="225"/>
      <c r="AS112" s="225"/>
      <c r="AT112" s="225"/>
      <c r="AU112" s="225"/>
      <c r="AV112" s="225"/>
      <c r="AW112" s="225"/>
      <c r="AX112" s="225"/>
      <c r="AY112" s="225"/>
      <c r="AZ112" s="225"/>
      <c r="BA112" s="225"/>
      <c r="BB112" s="225"/>
      <c r="BC112" s="225"/>
      <c r="BD112" s="225"/>
      <c r="BE112" s="225"/>
      <c r="BF112" s="225"/>
      <c r="BG112" s="225"/>
      <c r="BH112" s="225"/>
      <c r="BI112" s="59"/>
      <c r="BJ112" s="59"/>
      <c r="BK112" s="59"/>
      <c r="BL112" s="59"/>
      <c r="BM112" s="59"/>
      <c r="BN112" s="59"/>
      <c r="BO112" s="59"/>
    </row>
    <row r="113" spans="2:71" s="187" customFormat="1" ht="18.75" customHeight="1">
      <c r="B113" s="231"/>
      <c r="C113" s="225"/>
      <c r="D113" s="225"/>
      <c r="E113" s="225"/>
      <c r="F113" s="225"/>
      <c r="G113" s="225"/>
      <c r="H113" s="237"/>
      <c r="I113" s="225"/>
      <c r="J113" s="231"/>
      <c r="K113" s="231"/>
      <c r="L113" s="104"/>
      <c r="M113" s="104"/>
      <c r="N113" s="231"/>
      <c r="O113" s="231"/>
      <c r="P113" s="231"/>
      <c r="Q113" s="231"/>
      <c r="R113" s="231"/>
      <c r="S113" s="231"/>
      <c r="T113" s="225"/>
      <c r="U113" s="225"/>
      <c r="V113" s="225"/>
      <c r="W113" s="225"/>
      <c r="X113" s="225"/>
      <c r="Y113" s="225"/>
      <c r="Z113" s="231"/>
      <c r="AA113" s="225"/>
      <c r="AB113" s="204"/>
      <c r="AC113" s="204"/>
      <c r="AD113" s="204"/>
      <c r="AE113" s="204"/>
      <c r="AF113" s="204"/>
      <c r="AG113" s="231"/>
      <c r="AH113" s="204"/>
      <c r="AI113" s="204"/>
      <c r="AJ113" s="204"/>
      <c r="AK113" s="204"/>
      <c r="AL113" s="231"/>
      <c r="AM113" s="129"/>
      <c r="AN113" s="129"/>
      <c r="AO113" s="129"/>
      <c r="AP113" s="129"/>
      <c r="AQ113" s="225"/>
      <c r="AR113" s="225"/>
      <c r="AS113" s="225"/>
      <c r="AT113" s="225"/>
      <c r="AU113" s="225"/>
      <c r="AV113" s="225"/>
      <c r="AW113" s="225"/>
      <c r="AX113" s="225"/>
      <c r="AY113" s="225"/>
      <c r="AZ113" s="225"/>
      <c r="BA113" s="225"/>
      <c r="BB113" s="225"/>
      <c r="BC113" s="225"/>
      <c r="BD113" s="225"/>
      <c r="BE113" s="225"/>
      <c r="BF113" s="225"/>
      <c r="BG113" s="225"/>
      <c r="BH113" s="225"/>
      <c r="BI113" s="59"/>
      <c r="BJ113" s="59"/>
      <c r="BK113" s="59"/>
      <c r="BL113" s="59"/>
      <c r="BM113" s="59"/>
    </row>
    <row r="114" spans="2:71" s="187" customFormat="1" ht="18.75" customHeight="1">
      <c r="B114" s="231"/>
      <c r="C114" s="225" t="s">
        <v>406</v>
      </c>
      <c r="D114" s="225"/>
      <c r="E114" s="225"/>
      <c r="F114" s="225"/>
      <c r="G114" s="225"/>
      <c r="H114" s="225"/>
      <c r="I114" s="367" t="str">
        <f>V44</f>
        <v>삼각형</v>
      </c>
      <c r="J114" s="367"/>
      <c r="K114" s="367"/>
      <c r="L114" s="367"/>
      <c r="M114" s="367"/>
      <c r="N114" s="367"/>
      <c r="O114" s="367"/>
      <c r="P114" s="367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31"/>
      <c r="AB114" s="231"/>
      <c r="AC114" s="231"/>
      <c r="AD114" s="231"/>
      <c r="AE114" s="231"/>
      <c r="AF114" s="105"/>
      <c r="AG114" s="231"/>
      <c r="AH114" s="231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5"/>
      <c r="AW114" s="225"/>
      <c r="AX114" s="225"/>
      <c r="AY114" s="225"/>
      <c r="AZ114" s="225"/>
      <c r="BA114" s="225"/>
      <c r="BB114" s="225"/>
      <c r="BC114" s="225"/>
      <c r="BD114" s="225"/>
      <c r="BE114" s="225"/>
      <c r="BF114" s="225"/>
      <c r="BG114" s="225"/>
      <c r="BH114" s="59"/>
      <c r="BI114" s="59"/>
      <c r="BJ114" s="59"/>
      <c r="BK114" s="59"/>
      <c r="BL114" s="59"/>
      <c r="BM114" s="59"/>
      <c r="BN114" s="59"/>
    </row>
    <row r="115" spans="2:71" s="187" customFormat="1" ht="18.75" customHeight="1">
      <c r="B115" s="231"/>
      <c r="C115" s="359" t="s">
        <v>407</v>
      </c>
      <c r="D115" s="359"/>
      <c r="E115" s="359"/>
      <c r="F115" s="359"/>
      <c r="G115" s="359"/>
      <c r="H115" s="359"/>
      <c r="I115" s="225"/>
      <c r="J115" s="231"/>
      <c r="K115" s="225"/>
      <c r="L115" s="225"/>
      <c r="M115" s="225"/>
      <c r="N115" s="225"/>
      <c r="O115" s="225"/>
      <c r="P115" s="225"/>
      <c r="S115" s="361" t="e">
        <f>-H45</f>
        <v>#VALUE!</v>
      </c>
      <c r="T115" s="361"/>
      <c r="U115" s="359" t="s">
        <v>408</v>
      </c>
      <c r="V115" s="359"/>
      <c r="W115" s="360">
        <f>Calcu!N22</f>
        <v>0</v>
      </c>
      <c r="X115" s="360"/>
      <c r="Y115" s="360"/>
      <c r="Z115" s="359" t="s">
        <v>246</v>
      </c>
      <c r="AA115" s="359"/>
      <c r="AB115" s="347" t="s">
        <v>363</v>
      </c>
      <c r="AC115" s="364" t="e">
        <f>S115*W115</f>
        <v>#VALUE!</v>
      </c>
      <c r="AD115" s="364"/>
      <c r="AE115" s="364"/>
      <c r="AF115" s="364"/>
      <c r="AG115" s="359" t="s">
        <v>409</v>
      </c>
      <c r="AH115" s="359"/>
      <c r="AI115" s="359"/>
      <c r="AJ115" s="359"/>
      <c r="AK115" s="359"/>
      <c r="AL115" s="359"/>
      <c r="AM115" s="359"/>
      <c r="AN115" s="231"/>
      <c r="AO115" s="231"/>
      <c r="AP115" s="231"/>
      <c r="AQ115" s="231"/>
      <c r="AR115" s="231"/>
      <c r="AS115" s="231"/>
      <c r="AT115" s="231"/>
      <c r="AU115" s="231"/>
      <c r="AV115" s="231"/>
      <c r="AW115" s="231"/>
      <c r="AX115" s="231"/>
      <c r="AY115" s="231"/>
      <c r="AZ115" s="231"/>
      <c r="BA115" s="225"/>
      <c r="BB115" s="225"/>
      <c r="BC115" s="225"/>
    </row>
    <row r="116" spans="2:71" s="187" customFormat="1" ht="18.75" customHeight="1">
      <c r="B116" s="231"/>
      <c r="C116" s="359"/>
      <c r="D116" s="359"/>
      <c r="E116" s="359"/>
      <c r="F116" s="359"/>
      <c r="G116" s="359"/>
      <c r="H116" s="359"/>
      <c r="I116" s="225"/>
      <c r="J116" s="225"/>
      <c r="K116" s="225"/>
      <c r="L116" s="225"/>
      <c r="M116" s="225"/>
      <c r="N116" s="225"/>
      <c r="O116" s="225"/>
      <c r="P116" s="231"/>
      <c r="S116" s="361"/>
      <c r="T116" s="361"/>
      <c r="U116" s="359"/>
      <c r="V116" s="359"/>
      <c r="W116" s="360"/>
      <c r="X116" s="360"/>
      <c r="Y116" s="360"/>
      <c r="Z116" s="359"/>
      <c r="AA116" s="359"/>
      <c r="AB116" s="347"/>
      <c r="AC116" s="364"/>
      <c r="AD116" s="364"/>
      <c r="AE116" s="364"/>
      <c r="AF116" s="364"/>
      <c r="AG116" s="359"/>
      <c r="AH116" s="359"/>
      <c r="AI116" s="359"/>
      <c r="AJ116" s="359"/>
      <c r="AK116" s="359"/>
      <c r="AL116" s="359"/>
      <c r="AM116" s="359"/>
      <c r="AN116" s="231"/>
      <c r="AO116" s="231"/>
      <c r="AP116" s="231"/>
      <c r="AQ116" s="231"/>
      <c r="AR116" s="231"/>
      <c r="AS116" s="231"/>
      <c r="AT116" s="231"/>
      <c r="AU116" s="231"/>
      <c r="AV116" s="231"/>
      <c r="AW116" s="231"/>
      <c r="AX116" s="231"/>
      <c r="AY116" s="231"/>
      <c r="AZ116" s="231"/>
      <c r="BA116" s="225"/>
      <c r="BB116" s="225"/>
      <c r="BC116" s="225"/>
    </row>
    <row r="117" spans="2:71" s="187" customFormat="1" ht="18.75" customHeight="1">
      <c r="B117" s="231"/>
      <c r="C117" s="225" t="s">
        <v>410</v>
      </c>
      <c r="D117" s="225"/>
      <c r="E117" s="225"/>
      <c r="F117" s="225"/>
      <c r="G117" s="225"/>
      <c r="H117" s="225"/>
      <c r="I117" s="225"/>
      <c r="J117" s="231"/>
      <c r="K117" s="57" t="s">
        <v>395</v>
      </c>
      <c r="L117" s="364" t="e">
        <f>AC115</f>
        <v>#VALUE!</v>
      </c>
      <c r="M117" s="364"/>
      <c r="N117" s="364"/>
      <c r="O117" s="364"/>
      <c r="P117" s="129" t="s">
        <v>411</v>
      </c>
      <c r="Q117" s="231"/>
      <c r="R117" s="231"/>
      <c r="S117" s="231"/>
      <c r="T117" s="231"/>
      <c r="U117" s="231"/>
      <c r="V117" s="231"/>
      <c r="W117" s="231"/>
      <c r="X117" s="231"/>
      <c r="Y117" s="57" t="s">
        <v>383</v>
      </c>
      <c r="Z117" s="231" t="s">
        <v>363</v>
      </c>
      <c r="AA117" s="352" t="e">
        <f>ABS(L117*O44)</f>
        <v>#VALUE!</v>
      </c>
      <c r="AB117" s="352"/>
      <c r="AC117" s="352"/>
      <c r="AD117" s="224" t="s">
        <v>412</v>
      </c>
      <c r="AE117" s="224"/>
      <c r="AF117" s="231"/>
      <c r="AG117" s="231"/>
      <c r="AH117" s="231"/>
      <c r="AI117" s="231"/>
      <c r="AJ117" s="231"/>
      <c r="AK117" s="231"/>
      <c r="AL117" s="231"/>
      <c r="AM117" s="231"/>
      <c r="AN117" s="231"/>
      <c r="AO117" s="231"/>
      <c r="AP117" s="231"/>
      <c r="AQ117" s="231"/>
      <c r="AR117" s="231"/>
      <c r="AS117" s="129"/>
      <c r="AT117" s="225"/>
      <c r="AU117" s="225"/>
      <c r="AV117" s="225"/>
      <c r="AW117" s="130"/>
      <c r="AX117" s="129"/>
      <c r="AY117" s="225"/>
      <c r="AZ117" s="225"/>
      <c r="BA117" s="225"/>
      <c r="BB117" s="225"/>
      <c r="BC117" s="225"/>
      <c r="BD117" s="225"/>
      <c r="BE117" s="231"/>
      <c r="BF117" s="225"/>
      <c r="BG117" s="225"/>
      <c r="BH117" s="59"/>
      <c r="BI117" s="59"/>
      <c r="BJ117" s="59"/>
    </row>
    <row r="118" spans="2:71" s="187" customFormat="1" ht="18.75" customHeight="1">
      <c r="B118" s="231"/>
      <c r="C118" s="359" t="s">
        <v>413</v>
      </c>
      <c r="D118" s="359"/>
      <c r="E118" s="359"/>
      <c r="F118" s="359"/>
      <c r="G118" s="359"/>
      <c r="H118" s="225"/>
      <c r="J118" s="225"/>
      <c r="K118" s="225"/>
      <c r="L118" s="225"/>
      <c r="M118" s="225"/>
      <c r="N118" s="225"/>
      <c r="O118" s="225"/>
      <c r="P118" s="225"/>
      <c r="Q118" s="225"/>
      <c r="R118" s="129"/>
      <c r="S118" s="225"/>
      <c r="T118" s="225"/>
      <c r="U118" s="225"/>
      <c r="W118" s="225"/>
      <c r="X118" s="225"/>
      <c r="Y118" s="225"/>
      <c r="Z118" s="225"/>
      <c r="AA118" s="57" t="s">
        <v>414</v>
      </c>
      <c r="AB118" s="225"/>
      <c r="AC118" s="225"/>
      <c r="AD118" s="225"/>
      <c r="AE118" s="231"/>
      <c r="AF118" s="231"/>
      <c r="AH118" s="231"/>
      <c r="AI118" s="231"/>
      <c r="AJ118" s="231"/>
      <c r="AK118" s="231"/>
      <c r="AL118" s="231"/>
      <c r="AM118" s="231"/>
      <c r="AN118" s="231"/>
      <c r="AO118" s="231"/>
      <c r="AP118" s="231"/>
      <c r="AQ118" s="231"/>
      <c r="AR118" s="231"/>
      <c r="AS118" s="231"/>
      <c r="AT118" s="231"/>
      <c r="AU118" s="231"/>
      <c r="AV118" s="231"/>
      <c r="AW118" s="231"/>
      <c r="AX118" s="231"/>
      <c r="AY118" s="231"/>
      <c r="AZ118" s="231"/>
      <c r="BA118" s="231"/>
      <c r="BB118" s="231"/>
      <c r="BC118" s="231"/>
      <c r="BD118" s="231"/>
      <c r="BE118" s="231"/>
      <c r="BF118" s="231"/>
      <c r="BG118" s="231"/>
      <c r="BH118" s="59"/>
      <c r="BI118" s="59"/>
      <c r="BJ118" s="59"/>
      <c r="BK118" s="59"/>
      <c r="BL118" s="59"/>
    </row>
    <row r="119" spans="2:71" s="187" customFormat="1" ht="18.75" customHeight="1">
      <c r="B119" s="231"/>
      <c r="C119" s="359"/>
      <c r="D119" s="359"/>
      <c r="E119" s="359"/>
      <c r="F119" s="359"/>
      <c r="G119" s="359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129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31"/>
      <c r="AF119" s="231"/>
      <c r="AG119" s="231"/>
      <c r="AH119" s="231"/>
      <c r="AI119" s="231"/>
      <c r="AJ119" s="231"/>
      <c r="AK119" s="231"/>
      <c r="AL119" s="231"/>
      <c r="AM119" s="231"/>
      <c r="AN119" s="231"/>
      <c r="AO119" s="231"/>
      <c r="AP119" s="231"/>
      <c r="AQ119" s="231"/>
      <c r="AR119" s="231"/>
      <c r="AS119" s="231"/>
      <c r="AT119" s="231"/>
      <c r="AU119" s="231"/>
      <c r="AV119" s="231"/>
      <c r="AW119" s="231"/>
      <c r="AX119" s="231"/>
      <c r="AY119" s="231"/>
      <c r="AZ119" s="231"/>
      <c r="BA119" s="231"/>
      <c r="BB119" s="231"/>
      <c r="BC119" s="231"/>
      <c r="BD119" s="231"/>
      <c r="BE119" s="231"/>
      <c r="BF119" s="231"/>
      <c r="BG119" s="231"/>
      <c r="BH119" s="59"/>
      <c r="BI119" s="59"/>
      <c r="BJ119" s="59"/>
      <c r="BK119" s="59"/>
      <c r="BL119" s="59"/>
    </row>
    <row r="120" spans="2:71" s="187" customFormat="1" ht="18.75" customHeight="1">
      <c r="B120" s="231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129"/>
      <c r="S120" s="225"/>
      <c r="T120" s="225"/>
      <c r="U120" s="225"/>
      <c r="V120" s="225"/>
      <c r="W120" s="225"/>
      <c r="X120" s="225"/>
      <c r="Y120" s="225"/>
      <c r="Z120" s="367">
        <v>100</v>
      </c>
      <c r="AA120" s="367"/>
      <c r="AD120" s="225"/>
      <c r="AE120" s="231"/>
      <c r="AF120" s="231"/>
      <c r="AG120" s="231"/>
      <c r="AH120" s="231"/>
      <c r="AI120" s="231"/>
      <c r="AJ120" s="231"/>
      <c r="AK120" s="231"/>
      <c r="AL120" s="231"/>
      <c r="AM120" s="231"/>
      <c r="AN120" s="231"/>
      <c r="AO120" s="231"/>
      <c r="AP120" s="231"/>
      <c r="AQ120" s="231"/>
      <c r="AR120" s="231"/>
      <c r="AS120" s="231"/>
      <c r="AT120" s="231"/>
      <c r="AU120" s="231"/>
      <c r="AV120" s="231"/>
      <c r="AW120" s="231"/>
      <c r="AX120" s="231"/>
      <c r="AY120" s="231"/>
      <c r="AZ120" s="231"/>
      <c r="BA120" s="231"/>
      <c r="BB120" s="231"/>
      <c r="BC120" s="231"/>
      <c r="BD120" s="231"/>
      <c r="BE120" s="231"/>
      <c r="BF120" s="231"/>
      <c r="BG120" s="231"/>
      <c r="BH120" s="59"/>
      <c r="BI120" s="59"/>
      <c r="BJ120" s="59"/>
      <c r="BK120" s="59"/>
      <c r="BL120" s="59"/>
    </row>
    <row r="121" spans="2:71" s="187" customFormat="1" ht="18.75" customHeight="1">
      <c r="B121" s="231"/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129"/>
      <c r="S121" s="225"/>
      <c r="T121" s="225"/>
      <c r="U121" s="225"/>
      <c r="V121" s="225"/>
      <c r="W121" s="225"/>
      <c r="X121" s="225"/>
      <c r="Y121" s="225"/>
      <c r="Z121" s="367"/>
      <c r="AA121" s="367"/>
      <c r="AD121" s="225"/>
      <c r="AE121" s="231"/>
      <c r="AF121" s="231"/>
      <c r="AG121" s="231"/>
      <c r="AH121" s="231"/>
      <c r="AI121" s="231"/>
      <c r="AJ121" s="231"/>
      <c r="AK121" s="231"/>
      <c r="AL121" s="231"/>
      <c r="AM121" s="231"/>
      <c r="AN121" s="231"/>
      <c r="AO121" s="231"/>
      <c r="AP121" s="231"/>
      <c r="AQ121" s="231"/>
      <c r="AR121" s="231"/>
      <c r="AS121" s="231"/>
      <c r="AT121" s="231"/>
      <c r="AU121" s="231"/>
      <c r="AV121" s="231"/>
      <c r="AW121" s="231"/>
      <c r="AX121" s="231"/>
      <c r="AY121" s="231"/>
      <c r="AZ121" s="231"/>
      <c r="BA121" s="231"/>
      <c r="BB121" s="231"/>
      <c r="BC121" s="231"/>
      <c r="BD121" s="231"/>
      <c r="BE121" s="231"/>
      <c r="BF121" s="231"/>
      <c r="BG121" s="231"/>
      <c r="BH121" s="59"/>
      <c r="BI121" s="59"/>
      <c r="BJ121" s="59"/>
      <c r="BK121" s="59"/>
      <c r="BL121" s="59"/>
    </row>
    <row r="122" spans="2:71" s="187" customFormat="1" ht="18.75" customHeight="1">
      <c r="B122" s="231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129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  <c r="AC122" s="225"/>
      <c r="AD122" s="225"/>
      <c r="AE122" s="231"/>
      <c r="AF122" s="231"/>
      <c r="AG122" s="231"/>
      <c r="AH122" s="231"/>
      <c r="AI122" s="231"/>
      <c r="AJ122" s="231"/>
      <c r="AK122" s="231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1"/>
      <c r="AX122" s="231"/>
      <c r="AY122" s="231"/>
      <c r="AZ122" s="231"/>
      <c r="BA122" s="231"/>
      <c r="BB122" s="231"/>
      <c r="BC122" s="231"/>
      <c r="BD122" s="231"/>
      <c r="BE122" s="231"/>
      <c r="BF122" s="231"/>
      <c r="BG122" s="231"/>
      <c r="BH122" s="59"/>
      <c r="BI122" s="59"/>
      <c r="BJ122" s="59"/>
      <c r="BK122" s="59"/>
      <c r="BL122" s="59"/>
    </row>
    <row r="123" spans="2:71" s="187" customFormat="1" ht="18.75" customHeight="1">
      <c r="B123" s="231"/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129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  <c r="AC123" s="225"/>
      <c r="AD123" s="225"/>
      <c r="AE123" s="231"/>
      <c r="AF123" s="231"/>
      <c r="AG123" s="231"/>
      <c r="AH123" s="231"/>
      <c r="AI123" s="231"/>
      <c r="AJ123" s="231"/>
      <c r="AK123" s="231"/>
      <c r="AL123" s="231"/>
      <c r="AM123" s="231"/>
      <c r="AN123" s="231"/>
      <c r="AO123" s="231"/>
      <c r="AP123" s="231"/>
      <c r="AQ123" s="231"/>
      <c r="AR123" s="231"/>
      <c r="AS123" s="231"/>
      <c r="AT123" s="231"/>
      <c r="AU123" s="231"/>
      <c r="AV123" s="231"/>
      <c r="AW123" s="231"/>
      <c r="AX123" s="231"/>
      <c r="AY123" s="231"/>
      <c r="AZ123" s="231"/>
      <c r="BA123" s="231"/>
      <c r="BB123" s="231"/>
      <c r="BC123" s="231"/>
      <c r="BD123" s="231"/>
      <c r="BE123" s="231"/>
      <c r="BF123" s="231"/>
      <c r="BG123" s="231"/>
      <c r="BH123" s="225"/>
      <c r="BI123" s="225"/>
      <c r="BJ123" s="225"/>
      <c r="BK123" s="225"/>
    </row>
    <row r="124" spans="2:71" s="187" customFormat="1" ht="18.75" customHeight="1">
      <c r="B124" s="58" t="str">
        <f>"6. "&amp;B5&amp;"과 "&amp;H5&amp;"의 평균온도와 기준 온도와의 차이에 의한 표준불확도,"</f>
        <v>6. 엔드바과 게이지 블록의 평균온도와 기준 온도와의 차이에 의한 표준불확도,</v>
      </c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  <c r="AG124" s="207" t="s">
        <v>415</v>
      </c>
      <c r="AI124" s="225"/>
      <c r="AJ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5"/>
      <c r="AX124" s="225"/>
      <c r="AY124" s="225"/>
      <c r="AZ124" s="225"/>
      <c r="BA124" s="225"/>
      <c r="BB124" s="225"/>
      <c r="BC124" s="225"/>
      <c r="BD124" s="225"/>
      <c r="BE124" s="225"/>
      <c r="BF124" s="225"/>
      <c r="BG124" s="225"/>
      <c r="BH124" s="59"/>
      <c r="BI124" s="59"/>
      <c r="BJ124" s="59"/>
      <c r="BK124" s="59"/>
      <c r="BL124" s="59"/>
      <c r="BM124" s="59"/>
      <c r="BN124" s="59"/>
    </row>
    <row r="125" spans="2:71" s="187" customFormat="1" ht="18.75" customHeight="1">
      <c r="B125" s="58"/>
      <c r="C125" s="240" t="str">
        <f>"※ 측정실 공기중의 온도를 측정하였고, 측정에 사용된 온도계의 불확도가 "&amp;N128&amp;" ℃를 넘지 않으므로,"</f>
        <v>※ 측정실 공기중의 온도를 측정하였고, 측정에 사용된 온도계의 불확도가 1 ℃를 넘지 않으므로,</v>
      </c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0"/>
      <c r="AX125" s="240"/>
      <c r="AY125" s="240"/>
      <c r="AZ125" s="240"/>
      <c r="BA125" s="240"/>
      <c r="BB125" s="240"/>
      <c r="BC125" s="240"/>
      <c r="BD125" s="240"/>
      <c r="BE125" s="240"/>
      <c r="BF125" s="240"/>
      <c r="BG125" s="240"/>
      <c r="BH125" s="59"/>
      <c r="BI125" s="59"/>
      <c r="BJ125" s="59"/>
      <c r="BK125" s="59"/>
      <c r="BL125" s="59"/>
      <c r="BM125" s="59"/>
      <c r="BN125" s="59"/>
    </row>
    <row r="126" spans="2:71" s="187" customFormat="1" ht="18.75" customHeight="1">
      <c r="B126" s="58"/>
      <c r="C126" s="240"/>
      <c r="D126" s="240" t="s">
        <v>459</v>
      </c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0"/>
      <c r="AX126" s="240"/>
      <c r="AY126" s="240"/>
      <c r="AZ126" s="240"/>
      <c r="BA126" s="240"/>
      <c r="BB126" s="240"/>
      <c r="BC126" s="240"/>
      <c r="BD126" s="240"/>
      <c r="BE126" s="240"/>
      <c r="BF126" s="240"/>
      <c r="BG126" s="240"/>
      <c r="BH126" s="59"/>
      <c r="BI126" s="59"/>
      <c r="BJ126" s="59"/>
      <c r="BK126" s="59"/>
      <c r="BL126" s="59"/>
      <c r="BM126" s="59"/>
      <c r="BN126" s="59"/>
    </row>
    <row r="127" spans="2:71" s="187" customFormat="1" ht="18.75" customHeight="1">
      <c r="B127" s="231"/>
      <c r="C127" s="224" t="s">
        <v>416</v>
      </c>
      <c r="D127" s="231"/>
      <c r="E127" s="231"/>
      <c r="F127" s="231"/>
      <c r="G127" s="231"/>
      <c r="H127" s="371" t="str">
        <f>H45</f>
        <v/>
      </c>
      <c r="I127" s="371"/>
      <c r="J127" s="371"/>
      <c r="K127" s="371"/>
      <c r="L127" s="371"/>
      <c r="M127" s="371"/>
      <c r="N127" s="371"/>
      <c r="O127" s="371"/>
      <c r="P127" s="220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5"/>
      <c r="AX127" s="225"/>
      <c r="AY127" s="225"/>
      <c r="AZ127" s="225"/>
      <c r="BA127" s="225"/>
      <c r="BB127" s="225"/>
      <c r="BC127" s="225"/>
      <c r="BD127" s="225"/>
      <c r="BE127" s="225"/>
      <c r="BF127" s="225"/>
      <c r="BG127" s="225"/>
      <c r="BH127" s="59"/>
      <c r="BI127" s="59"/>
      <c r="BJ127" s="59"/>
      <c r="BK127" s="59"/>
      <c r="BL127" s="59"/>
      <c r="BM127" s="59"/>
    </row>
    <row r="128" spans="2:71" s="187" customFormat="1" ht="18.75" customHeight="1">
      <c r="B128" s="231"/>
      <c r="C128" s="359" t="s">
        <v>417</v>
      </c>
      <c r="D128" s="359"/>
      <c r="E128" s="359"/>
      <c r="F128" s="359"/>
      <c r="G128" s="359"/>
      <c r="H128" s="359"/>
      <c r="I128" s="359"/>
      <c r="J128" s="370" t="s">
        <v>468</v>
      </c>
      <c r="K128" s="370"/>
      <c r="L128" s="370"/>
      <c r="M128" s="347" t="s">
        <v>418</v>
      </c>
      <c r="N128" s="368">
        <f>Calcu!G23</f>
        <v>1</v>
      </c>
      <c r="O128" s="368"/>
      <c r="P128" s="242" t="s">
        <v>462</v>
      </c>
      <c r="Q128" s="244"/>
      <c r="R128" s="347" t="s">
        <v>418</v>
      </c>
      <c r="S128" s="352">
        <f>N128/SQRT(3)</f>
        <v>0.57735026918962584</v>
      </c>
      <c r="T128" s="352"/>
      <c r="U128" s="352"/>
      <c r="V128" s="369" t="s">
        <v>463</v>
      </c>
      <c r="W128" s="369"/>
      <c r="X128" s="243"/>
      <c r="Y128" s="208"/>
      <c r="Z128" s="209"/>
      <c r="AA128" s="209"/>
      <c r="AZ128" s="225"/>
      <c r="BA128" s="225"/>
      <c r="BB128" s="225"/>
      <c r="BC128" s="225"/>
      <c r="BD128" s="225"/>
      <c r="BE128" s="225"/>
      <c r="BF128" s="225"/>
      <c r="BG128" s="225"/>
      <c r="BH128" s="225"/>
      <c r="BI128" s="225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</row>
    <row r="129" spans="1:74" s="187" customFormat="1" ht="18.75" customHeight="1">
      <c r="B129" s="231"/>
      <c r="C129" s="359"/>
      <c r="D129" s="359"/>
      <c r="E129" s="359"/>
      <c r="F129" s="359"/>
      <c r="G129" s="359"/>
      <c r="H129" s="359"/>
      <c r="I129" s="359"/>
      <c r="J129" s="370"/>
      <c r="K129" s="370"/>
      <c r="L129" s="370"/>
      <c r="M129" s="347"/>
      <c r="N129" s="238"/>
      <c r="O129" s="238"/>
      <c r="P129" s="238"/>
      <c r="Q129" s="239"/>
      <c r="R129" s="347"/>
      <c r="S129" s="352"/>
      <c r="T129" s="352"/>
      <c r="U129" s="352"/>
      <c r="V129" s="369"/>
      <c r="W129" s="369"/>
      <c r="X129" s="243"/>
      <c r="Y129" s="208"/>
      <c r="Z129" s="209"/>
      <c r="AA129" s="209"/>
      <c r="AZ129" s="225"/>
      <c r="BA129" s="225"/>
      <c r="BB129" s="225"/>
      <c r="BC129" s="225"/>
      <c r="BD129" s="225"/>
      <c r="BE129" s="225"/>
      <c r="BF129" s="225"/>
      <c r="BG129" s="225"/>
      <c r="BH129" s="225"/>
      <c r="BI129" s="225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</row>
    <row r="130" spans="1:74" s="187" customFormat="1" ht="18.75" customHeight="1">
      <c r="B130" s="231"/>
      <c r="C130" s="225" t="s">
        <v>419</v>
      </c>
      <c r="D130" s="225"/>
      <c r="E130" s="225"/>
      <c r="F130" s="225"/>
      <c r="G130" s="225"/>
      <c r="H130" s="225"/>
      <c r="I130" s="367" t="str">
        <f>V45</f>
        <v>직사각형</v>
      </c>
      <c r="J130" s="367"/>
      <c r="K130" s="367"/>
      <c r="L130" s="367"/>
      <c r="M130" s="367"/>
      <c r="N130" s="367"/>
      <c r="O130" s="367"/>
      <c r="P130" s="367"/>
      <c r="Q130" s="225"/>
      <c r="R130" s="225"/>
      <c r="S130" s="225"/>
      <c r="T130" s="225"/>
      <c r="U130" s="225"/>
      <c r="V130" s="225"/>
      <c r="W130" s="225"/>
      <c r="X130" s="225"/>
      <c r="Y130" s="225"/>
      <c r="Z130" s="231"/>
      <c r="AA130" s="231"/>
      <c r="AB130" s="231"/>
      <c r="AC130" s="231"/>
      <c r="AD130" s="231"/>
      <c r="AE130" s="231"/>
      <c r="AF130" s="231"/>
      <c r="AG130" s="231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5"/>
      <c r="AW130" s="225"/>
      <c r="AX130" s="225"/>
      <c r="AY130" s="225"/>
      <c r="AZ130" s="225"/>
      <c r="BA130" s="225"/>
      <c r="BB130" s="225"/>
      <c r="BC130" s="225"/>
      <c r="BD130" s="225"/>
      <c r="BE130" s="225"/>
      <c r="BF130" s="231"/>
      <c r="BG130" s="225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</row>
    <row r="131" spans="1:74" s="187" customFormat="1" ht="18.75" customHeight="1">
      <c r="B131" s="231"/>
      <c r="C131" s="359" t="s">
        <v>420</v>
      </c>
      <c r="D131" s="359"/>
      <c r="E131" s="359"/>
      <c r="F131" s="359"/>
      <c r="G131" s="359"/>
      <c r="H131" s="359"/>
      <c r="I131" s="225"/>
      <c r="J131" s="225"/>
      <c r="K131" s="225"/>
      <c r="L131" s="225"/>
      <c r="M131" s="225"/>
      <c r="N131" s="225"/>
      <c r="O131" s="231"/>
      <c r="S131" s="366" t="e">
        <f ca="1">-H44*10^6</f>
        <v>#N/A</v>
      </c>
      <c r="T131" s="366"/>
      <c r="U131" s="366"/>
      <c r="V131" s="359" t="s">
        <v>370</v>
      </c>
      <c r="W131" s="359"/>
      <c r="X131" s="359"/>
      <c r="Y131" s="359"/>
      <c r="Z131" s="347" t="s">
        <v>421</v>
      </c>
      <c r="AA131" s="360">
        <f>Calcu!N23</f>
        <v>0</v>
      </c>
      <c r="AB131" s="360"/>
      <c r="AC131" s="360"/>
      <c r="AD131" s="359" t="s">
        <v>246</v>
      </c>
      <c r="AE131" s="359"/>
      <c r="AF131" s="347" t="s">
        <v>418</v>
      </c>
      <c r="AG131" s="364" t="e">
        <f ca="1">S131*10^-6*AA131</f>
        <v>#N/A</v>
      </c>
      <c r="AH131" s="364"/>
      <c r="AI131" s="364"/>
      <c r="AJ131" s="359" t="s">
        <v>422</v>
      </c>
      <c r="AK131" s="359"/>
      <c r="AL131" s="359"/>
      <c r="AM131" s="359"/>
      <c r="AN131" s="359"/>
      <c r="AO131" s="359"/>
      <c r="AP131" s="359"/>
      <c r="AQ131" s="225"/>
      <c r="AR131" s="225"/>
      <c r="AS131" s="225"/>
      <c r="AT131" s="225"/>
      <c r="AU131" s="225"/>
      <c r="AV131" s="225"/>
      <c r="AW131" s="225"/>
      <c r="AX131" s="225"/>
      <c r="AY131" s="225"/>
      <c r="AZ131" s="225"/>
      <c r="BA131" s="225"/>
      <c r="BB131" s="225"/>
      <c r="BC131" s="225"/>
      <c r="BD131" s="225"/>
      <c r="BE131" s="225"/>
      <c r="BF131" s="225"/>
      <c r="BG131" s="225"/>
      <c r="BH131" s="59"/>
      <c r="BI131" s="59"/>
      <c r="BJ131" s="59"/>
      <c r="BK131" s="59"/>
      <c r="BL131" s="59"/>
      <c r="BM131" s="59"/>
    </row>
    <row r="132" spans="1:74" s="187" customFormat="1" ht="18.75" customHeight="1">
      <c r="B132" s="231"/>
      <c r="C132" s="359"/>
      <c r="D132" s="359"/>
      <c r="E132" s="359"/>
      <c r="F132" s="359"/>
      <c r="G132" s="359"/>
      <c r="H132" s="359"/>
      <c r="I132" s="225"/>
      <c r="J132" s="225"/>
      <c r="K132" s="225"/>
      <c r="L132" s="225"/>
      <c r="M132" s="225"/>
      <c r="N132" s="225"/>
      <c r="O132" s="225"/>
      <c r="S132" s="366"/>
      <c r="T132" s="366"/>
      <c r="U132" s="366"/>
      <c r="V132" s="359"/>
      <c r="W132" s="359"/>
      <c r="X132" s="359"/>
      <c r="Y132" s="359"/>
      <c r="Z132" s="347"/>
      <c r="AA132" s="360"/>
      <c r="AB132" s="360"/>
      <c r="AC132" s="360"/>
      <c r="AD132" s="359"/>
      <c r="AE132" s="359"/>
      <c r="AF132" s="347"/>
      <c r="AG132" s="364"/>
      <c r="AH132" s="364"/>
      <c r="AI132" s="364"/>
      <c r="AJ132" s="359"/>
      <c r="AK132" s="359"/>
      <c r="AL132" s="359"/>
      <c r="AM132" s="359"/>
      <c r="AN132" s="359"/>
      <c r="AO132" s="359"/>
      <c r="AP132" s="359"/>
      <c r="AQ132" s="225"/>
      <c r="AR132" s="225"/>
      <c r="AS132" s="225"/>
      <c r="AT132" s="225"/>
      <c r="AU132" s="225"/>
      <c r="AV132" s="225"/>
      <c r="AW132" s="225"/>
      <c r="AX132" s="225"/>
      <c r="AY132" s="225"/>
      <c r="AZ132" s="225"/>
      <c r="BA132" s="225"/>
      <c r="BB132" s="225"/>
      <c r="BC132" s="225"/>
      <c r="BD132" s="225"/>
      <c r="BE132" s="225"/>
      <c r="BF132" s="225"/>
      <c r="BG132" s="225"/>
      <c r="BH132" s="59"/>
      <c r="BI132" s="59"/>
      <c r="BJ132" s="59"/>
      <c r="BK132" s="59"/>
      <c r="BL132" s="59"/>
      <c r="BM132" s="59"/>
    </row>
    <row r="133" spans="1:74" s="187" customFormat="1" ht="18.75" customHeight="1">
      <c r="B133" s="231"/>
      <c r="C133" s="225" t="s">
        <v>423</v>
      </c>
      <c r="D133" s="225"/>
      <c r="E133" s="225"/>
      <c r="F133" s="225"/>
      <c r="G133" s="225"/>
      <c r="H133" s="225"/>
      <c r="I133" s="225"/>
      <c r="J133" s="231"/>
      <c r="K133" s="57" t="s">
        <v>395</v>
      </c>
      <c r="L133" s="364" t="e">
        <f ca="1">AG131</f>
        <v>#N/A</v>
      </c>
      <c r="M133" s="364"/>
      <c r="N133" s="364"/>
      <c r="O133" s="129" t="s">
        <v>422</v>
      </c>
      <c r="P133" s="231"/>
      <c r="Q133" s="231"/>
      <c r="R133" s="231" t="s">
        <v>75</v>
      </c>
      <c r="S133" s="365">
        <f>S128</f>
        <v>0.57735026918962584</v>
      </c>
      <c r="T133" s="365"/>
      <c r="U133" s="365"/>
      <c r="V133" s="365"/>
      <c r="W133" s="57" t="s">
        <v>395</v>
      </c>
      <c r="X133" s="231" t="s">
        <v>424</v>
      </c>
      <c r="Y133" s="352" t="e">
        <f ca="1">ABS(L133*S133)</f>
        <v>#N/A</v>
      </c>
      <c r="Z133" s="352"/>
      <c r="AA133" s="352"/>
      <c r="AB133" s="224" t="s">
        <v>246</v>
      </c>
      <c r="AC133" s="224"/>
      <c r="AD133" s="231"/>
      <c r="AE133" s="231"/>
      <c r="AF133" s="223"/>
      <c r="AG133" s="231"/>
      <c r="AH133" s="231"/>
      <c r="AI133" s="225"/>
      <c r="AJ133" s="231"/>
      <c r="AK133" s="225"/>
      <c r="AL133" s="231"/>
      <c r="AM133" s="231"/>
      <c r="AN133" s="231"/>
      <c r="AO133" s="225"/>
      <c r="AP133" s="225"/>
      <c r="AQ133" s="225"/>
      <c r="AR133" s="225"/>
      <c r="AS133" s="225"/>
      <c r="AT133" s="225"/>
      <c r="AU133" s="225"/>
      <c r="AV133" s="225"/>
      <c r="AW133" s="225"/>
      <c r="AX133" s="225"/>
      <c r="AY133" s="225"/>
      <c r="AZ133" s="225"/>
      <c r="BA133" s="225"/>
      <c r="BB133" s="225"/>
      <c r="BC133" s="225"/>
      <c r="BD133" s="225"/>
      <c r="BE133" s="225"/>
      <c r="BF133" s="225"/>
      <c r="BG133" s="225"/>
      <c r="BH133" s="59"/>
      <c r="BI133" s="59"/>
      <c r="BJ133" s="59"/>
      <c r="BK133" s="59"/>
    </row>
    <row r="134" spans="1:74" s="187" customFormat="1" ht="18.75" customHeight="1">
      <c r="B134" s="231"/>
      <c r="C134" s="359" t="s">
        <v>425</v>
      </c>
      <c r="D134" s="359"/>
      <c r="E134" s="359"/>
      <c r="F134" s="359"/>
      <c r="G134" s="359"/>
      <c r="H134" s="225"/>
      <c r="J134" s="225"/>
      <c r="K134" s="225"/>
      <c r="L134" s="225"/>
      <c r="M134" s="225"/>
      <c r="N134" s="225"/>
      <c r="O134" s="225"/>
      <c r="P134" s="225"/>
      <c r="Q134" s="225"/>
      <c r="R134" s="129"/>
      <c r="S134" s="225"/>
      <c r="T134" s="225"/>
      <c r="U134" s="225"/>
      <c r="W134" s="57" t="s">
        <v>399</v>
      </c>
      <c r="X134" s="225"/>
      <c r="Y134" s="225"/>
      <c r="Z134" s="225"/>
      <c r="AA134" s="225"/>
      <c r="AB134" s="225"/>
      <c r="AC134" s="225"/>
      <c r="AD134" s="225"/>
      <c r="AE134" s="231"/>
      <c r="AF134" s="231"/>
      <c r="AG134" s="231"/>
      <c r="AH134" s="231"/>
      <c r="AI134" s="231"/>
      <c r="AJ134" s="231"/>
      <c r="AK134" s="231"/>
      <c r="AL134" s="231"/>
      <c r="AM134" s="231"/>
      <c r="AN134" s="231"/>
      <c r="AO134" s="231"/>
      <c r="AP134" s="231"/>
      <c r="AQ134" s="231"/>
      <c r="AR134" s="231"/>
      <c r="AS134" s="231"/>
      <c r="AT134" s="231"/>
      <c r="AU134" s="231"/>
      <c r="AV134" s="231"/>
      <c r="AW134" s="231"/>
      <c r="AX134" s="231"/>
      <c r="AY134" s="231"/>
      <c r="AZ134" s="231"/>
      <c r="BA134" s="231"/>
      <c r="BB134" s="231"/>
      <c r="BC134" s="231"/>
      <c r="BD134" s="231"/>
      <c r="BE134" s="231"/>
      <c r="BF134" s="231"/>
      <c r="BG134" s="231"/>
      <c r="BH134" s="59"/>
      <c r="BI134" s="59"/>
      <c r="BJ134" s="59"/>
      <c r="BK134" s="59"/>
      <c r="BP134" s="59"/>
      <c r="BS134" s="59"/>
      <c r="BT134" s="59"/>
      <c r="BU134" s="59"/>
    </row>
    <row r="135" spans="1:74" s="187" customFormat="1" ht="18.75" customHeight="1">
      <c r="B135" s="231"/>
      <c r="C135" s="359"/>
      <c r="D135" s="359"/>
      <c r="E135" s="359"/>
      <c r="F135" s="359"/>
      <c r="G135" s="359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129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  <c r="AC135" s="231"/>
      <c r="AD135" s="231"/>
      <c r="AE135" s="231"/>
      <c r="AF135" s="231"/>
      <c r="AG135" s="231"/>
      <c r="AH135" s="231"/>
      <c r="AI135" s="231"/>
      <c r="AJ135" s="231"/>
      <c r="AK135" s="231"/>
      <c r="AL135" s="231"/>
      <c r="AM135" s="231"/>
      <c r="AN135" s="231"/>
      <c r="AO135" s="231"/>
      <c r="AP135" s="231"/>
      <c r="AQ135" s="231"/>
      <c r="AR135" s="231"/>
      <c r="AS135" s="231"/>
      <c r="AT135" s="231"/>
      <c r="AU135" s="231"/>
      <c r="AV135" s="231"/>
      <c r="AW135" s="231"/>
      <c r="AX135" s="231"/>
      <c r="AY135" s="231"/>
      <c r="AZ135" s="231"/>
      <c r="BA135" s="231"/>
      <c r="BB135" s="231"/>
      <c r="BC135" s="231"/>
      <c r="BD135" s="231"/>
      <c r="BE135" s="231"/>
      <c r="BF135" s="231"/>
      <c r="BG135" s="231"/>
      <c r="BH135" s="59"/>
      <c r="BI135" s="59"/>
      <c r="BJ135" s="59"/>
      <c r="BK135" s="59"/>
      <c r="BP135" s="59"/>
      <c r="BS135" s="59"/>
      <c r="BT135" s="59"/>
      <c r="BU135" s="59"/>
    </row>
    <row r="136" spans="1:74" s="187" customFormat="1" ht="18.75" customHeight="1">
      <c r="B136" s="231"/>
      <c r="C136" s="225"/>
      <c r="D136" s="225"/>
      <c r="E136" s="225"/>
      <c r="F136" s="225"/>
      <c r="G136" s="231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31"/>
      <c r="Y136" s="231"/>
      <c r="Z136" s="231"/>
      <c r="AA136" s="231"/>
      <c r="AB136" s="231"/>
      <c r="AC136" s="231"/>
      <c r="AD136" s="231"/>
      <c r="AE136" s="231"/>
      <c r="AF136" s="231"/>
      <c r="AG136" s="231"/>
      <c r="AH136" s="231"/>
      <c r="AI136" s="231"/>
      <c r="AJ136" s="231"/>
      <c r="AK136" s="231"/>
      <c r="AL136" s="231"/>
      <c r="AM136" s="231"/>
      <c r="AN136" s="231"/>
      <c r="AO136" s="231"/>
      <c r="AP136" s="231"/>
      <c r="AQ136" s="231"/>
      <c r="AR136" s="231"/>
      <c r="AS136" s="231"/>
      <c r="AT136" s="231"/>
      <c r="AU136" s="231"/>
      <c r="AV136" s="231"/>
      <c r="AW136" s="231"/>
      <c r="AX136" s="231"/>
      <c r="AY136" s="231"/>
      <c r="AZ136" s="231"/>
      <c r="BA136" s="231"/>
      <c r="BB136" s="231"/>
      <c r="BC136" s="231"/>
      <c r="BD136" s="231"/>
      <c r="BE136" s="231"/>
      <c r="BF136" s="231"/>
      <c r="BG136" s="231"/>
    </row>
    <row r="137" spans="1:74" s="187" customFormat="1" ht="18.75" customHeight="1">
      <c r="A137" s="231"/>
      <c r="B137" s="58" t="str">
        <f>"7. "&amp;N5&amp;" 분해능에 의한 표준불확도,"</f>
        <v>7. 표준 측장기 분해능에 의한 표준불확도,</v>
      </c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02" t="s">
        <v>519</v>
      </c>
      <c r="U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31"/>
      <c r="AM137" s="231"/>
      <c r="AN137" s="231"/>
      <c r="AO137" s="231"/>
      <c r="AP137" s="231"/>
      <c r="AQ137" s="231"/>
      <c r="AR137" s="231"/>
      <c r="AS137" s="231"/>
      <c r="AT137" s="231"/>
      <c r="AU137" s="231"/>
      <c r="AV137" s="231"/>
      <c r="AW137" s="231"/>
      <c r="AX137" s="231"/>
      <c r="AY137" s="225"/>
      <c r="AZ137" s="225"/>
      <c r="BA137" s="225"/>
      <c r="BB137" s="225"/>
      <c r="BC137" s="225"/>
      <c r="BD137" s="225"/>
      <c r="BE137" s="225"/>
      <c r="BF137" s="225"/>
      <c r="BG137" s="59"/>
      <c r="BH137" s="59"/>
      <c r="BI137" s="59"/>
      <c r="BJ137" s="59"/>
      <c r="BK137" s="59"/>
      <c r="BL137" s="59"/>
      <c r="BM137" s="59"/>
    </row>
    <row r="138" spans="1:74" s="187" customFormat="1" ht="18.75" customHeight="1">
      <c r="A138" s="231"/>
      <c r="B138" s="58"/>
      <c r="C138" s="225" t="str">
        <f>"※ 측정에 사용된 "&amp;N5&amp;"의 분해능의 반범위에 직사각형 확률분포를 적용하여 계산한다."</f>
        <v>※ 측정에 사용된 표준 측장기의 분해능의 반범위에 직사각형 확률분포를 적용하여 계산한다.</v>
      </c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31"/>
      <c r="AM138" s="231"/>
      <c r="AN138" s="231"/>
      <c r="AO138" s="231"/>
      <c r="AP138" s="231"/>
      <c r="AQ138" s="231"/>
      <c r="AR138" s="231"/>
      <c r="AS138" s="231"/>
      <c r="AT138" s="231"/>
      <c r="AU138" s="231"/>
      <c r="AV138" s="231"/>
      <c r="AW138" s="231"/>
      <c r="AX138" s="231"/>
      <c r="AY138" s="225"/>
      <c r="AZ138" s="225"/>
      <c r="BA138" s="225"/>
      <c r="BB138" s="225"/>
      <c r="BC138" s="225"/>
      <c r="BD138" s="225"/>
      <c r="BE138" s="225"/>
      <c r="BF138" s="225"/>
      <c r="BG138" s="59"/>
      <c r="BH138" s="59"/>
      <c r="BI138" s="59"/>
      <c r="BJ138" s="59"/>
      <c r="BK138" s="59"/>
      <c r="BL138" s="59"/>
      <c r="BM138" s="59"/>
    </row>
    <row r="139" spans="1:74" s="187" customFormat="1" ht="18.75" customHeight="1">
      <c r="A139" s="231"/>
      <c r="B139" s="58"/>
      <c r="C139" s="57" t="s">
        <v>426</v>
      </c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31"/>
      <c r="AM139" s="231"/>
      <c r="AN139" s="231"/>
      <c r="AO139" s="231"/>
      <c r="AP139" s="231"/>
      <c r="AQ139" s="231"/>
      <c r="AR139" s="231"/>
      <c r="AS139" s="231"/>
      <c r="AT139" s="231"/>
      <c r="AU139" s="231"/>
      <c r="AV139" s="231"/>
      <c r="AW139" s="231"/>
      <c r="AX139" s="231"/>
      <c r="AY139" s="225"/>
      <c r="AZ139" s="225"/>
      <c r="BA139" s="225"/>
      <c r="BB139" s="225"/>
      <c r="BC139" s="225"/>
      <c r="BD139" s="225"/>
      <c r="BE139" s="225"/>
      <c r="BF139" s="225"/>
      <c r="BG139" s="59"/>
      <c r="BH139" s="59"/>
      <c r="BI139" s="59"/>
      <c r="BJ139" s="59"/>
      <c r="BK139" s="59"/>
      <c r="BL139" s="59"/>
      <c r="BM139" s="59"/>
    </row>
    <row r="140" spans="1:74" s="187" customFormat="1" ht="18.75" customHeight="1">
      <c r="A140" s="231"/>
      <c r="B140" s="58"/>
      <c r="C140" s="225" t="s">
        <v>427</v>
      </c>
      <c r="D140" s="225"/>
      <c r="E140" s="225"/>
      <c r="F140" s="225"/>
      <c r="G140" s="225"/>
      <c r="H140" s="225"/>
      <c r="I140" s="225"/>
      <c r="J140" s="62" t="s">
        <v>464</v>
      </c>
      <c r="K140" s="57"/>
      <c r="L140" s="57"/>
      <c r="M140" s="57"/>
      <c r="N140" s="57"/>
      <c r="O140" s="57"/>
      <c r="P140" s="361">
        <f>Calcu!G24</f>
        <v>0</v>
      </c>
      <c r="Q140" s="361"/>
      <c r="R140" s="220" t="s">
        <v>115</v>
      </c>
      <c r="S140" s="220"/>
      <c r="U140" s="57"/>
      <c r="V140" s="57"/>
      <c r="W140" s="57"/>
      <c r="X140" s="57"/>
      <c r="Y140" s="57"/>
      <c r="Z140" s="57"/>
      <c r="AA140" s="57"/>
      <c r="AB140" s="57"/>
      <c r="AC140" s="57"/>
      <c r="AD140" s="225"/>
      <c r="AE140" s="225"/>
      <c r="AF140" s="225"/>
      <c r="AG140" s="225"/>
      <c r="AH140" s="225"/>
      <c r="AI140" s="225"/>
      <c r="AJ140" s="225"/>
      <c r="AK140" s="225"/>
      <c r="AL140" s="231"/>
      <c r="AM140" s="231"/>
      <c r="AN140" s="231"/>
      <c r="AO140" s="231"/>
      <c r="AP140" s="231"/>
      <c r="AQ140" s="231"/>
      <c r="AR140" s="231"/>
      <c r="AS140" s="231"/>
      <c r="AT140" s="231"/>
      <c r="AU140" s="231"/>
      <c r="AV140" s="231"/>
      <c r="AW140" s="231"/>
      <c r="AX140" s="231"/>
      <c r="AY140" s="225"/>
      <c r="AZ140" s="225"/>
      <c r="BA140" s="225"/>
      <c r="BB140" s="225"/>
      <c r="BC140" s="225"/>
      <c r="BD140" s="225"/>
      <c r="BE140" s="225"/>
      <c r="BF140" s="225"/>
      <c r="BG140" s="59"/>
      <c r="BH140" s="59"/>
      <c r="BI140" s="59"/>
      <c r="BJ140" s="59"/>
      <c r="BK140" s="59"/>
      <c r="BL140" s="59"/>
      <c r="BM140" s="59"/>
    </row>
    <row r="141" spans="1:74" s="187" customFormat="1" ht="18.75" customHeight="1">
      <c r="B141" s="231"/>
      <c r="D141" s="225"/>
      <c r="E141" s="225"/>
      <c r="F141" s="225"/>
      <c r="G141" s="225"/>
      <c r="H141" s="245"/>
      <c r="I141" s="245"/>
      <c r="J141" s="225"/>
      <c r="K141" s="363" t="s">
        <v>520</v>
      </c>
      <c r="L141" s="363"/>
      <c r="M141" s="363"/>
      <c r="N141" s="431" t="s">
        <v>363</v>
      </c>
      <c r="O141" s="368">
        <f>P140</f>
        <v>0</v>
      </c>
      <c r="P141" s="368"/>
      <c r="Q141" s="229" t="s">
        <v>115</v>
      </c>
      <c r="R141" s="229"/>
      <c r="S141" s="431" t="s">
        <v>363</v>
      </c>
      <c r="T141" s="352">
        <f>O141/2/SQRT(3)</f>
        <v>0</v>
      </c>
      <c r="U141" s="352"/>
      <c r="V141" s="352"/>
      <c r="W141" s="361" t="s">
        <v>115</v>
      </c>
      <c r="X141" s="361"/>
      <c r="Y141" s="225"/>
      <c r="Z141" s="60"/>
      <c r="AA141" s="231"/>
      <c r="AB141" s="231"/>
      <c r="AC141" s="231"/>
      <c r="AD141" s="231"/>
      <c r="AE141" s="231"/>
      <c r="AF141" s="231"/>
      <c r="AG141" s="231"/>
      <c r="AH141" s="231"/>
      <c r="AI141" s="231"/>
      <c r="AJ141" s="231"/>
      <c r="AK141" s="231"/>
      <c r="AL141" s="231"/>
      <c r="AM141" s="231"/>
      <c r="AN141" s="225"/>
      <c r="AO141" s="225"/>
      <c r="AP141" s="225"/>
      <c r="AQ141" s="225"/>
      <c r="AR141" s="225"/>
      <c r="AS141" s="225"/>
      <c r="AT141" s="225"/>
      <c r="AU141" s="225"/>
      <c r="AV141" s="231"/>
      <c r="AW141" s="231"/>
      <c r="AX141" s="231"/>
      <c r="AY141" s="231"/>
      <c r="AZ141" s="231"/>
      <c r="BA141" s="231"/>
      <c r="BB141" s="231"/>
      <c r="BC141" s="231"/>
      <c r="BD141" s="231"/>
    </row>
    <row r="142" spans="1:74" s="187" customFormat="1" ht="18.75" customHeight="1">
      <c r="B142" s="231"/>
      <c r="C142" s="225"/>
      <c r="D142" s="225"/>
      <c r="E142" s="225"/>
      <c r="F142" s="225"/>
      <c r="G142" s="225"/>
      <c r="H142" s="245"/>
      <c r="I142" s="245"/>
      <c r="J142" s="225"/>
      <c r="K142" s="363"/>
      <c r="L142" s="363"/>
      <c r="M142" s="363"/>
      <c r="N142" s="431"/>
      <c r="O142" s="191"/>
      <c r="P142" s="191"/>
      <c r="Q142" s="191"/>
      <c r="R142" s="191"/>
      <c r="S142" s="431"/>
      <c r="T142" s="352"/>
      <c r="U142" s="352"/>
      <c r="V142" s="352"/>
      <c r="W142" s="361"/>
      <c r="X142" s="361"/>
      <c r="Y142" s="186"/>
      <c r="Z142" s="60"/>
      <c r="AA142" s="225"/>
      <c r="AB142" s="231"/>
      <c r="AC142" s="231"/>
      <c r="AD142" s="231"/>
      <c r="AE142" s="231"/>
      <c r="AF142" s="231"/>
      <c r="AG142" s="231"/>
      <c r="AH142" s="231"/>
      <c r="AI142" s="231"/>
      <c r="AJ142" s="231"/>
      <c r="AK142" s="231"/>
      <c r="AL142" s="231"/>
      <c r="AM142" s="231"/>
      <c r="AN142" s="231"/>
      <c r="AO142" s="225"/>
      <c r="AP142" s="225"/>
      <c r="AQ142" s="225"/>
      <c r="AR142" s="225"/>
      <c r="AS142" s="225"/>
      <c r="AT142" s="225"/>
      <c r="AU142" s="225"/>
      <c r="AV142" s="225"/>
      <c r="AW142" s="231"/>
      <c r="AX142" s="231"/>
      <c r="AY142" s="231"/>
      <c r="AZ142" s="231"/>
      <c r="BA142" s="231"/>
      <c r="BB142" s="231"/>
      <c r="BC142" s="231"/>
      <c r="BD142" s="231"/>
      <c r="BE142" s="231"/>
    </row>
    <row r="143" spans="1:74" s="187" customFormat="1" ht="18.75" customHeight="1">
      <c r="B143" s="231"/>
      <c r="C143" s="225" t="s">
        <v>428</v>
      </c>
      <c r="D143" s="225"/>
      <c r="E143" s="225"/>
      <c r="F143" s="225"/>
      <c r="G143" s="225"/>
      <c r="H143" s="225"/>
      <c r="I143" s="367" t="str">
        <f>V46</f>
        <v>직사각형</v>
      </c>
      <c r="J143" s="367"/>
      <c r="K143" s="367"/>
      <c r="L143" s="367"/>
      <c r="M143" s="367"/>
      <c r="N143" s="367"/>
      <c r="O143" s="367"/>
      <c r="P143" s="367"/>
      <c r="Q143" s="225"/>
      <c r="R143" s="225"/>
      <c r="S143" s="225"/>
      <c r="T143" s="225"/>
      <c r="U143" s="225"/>
      <c r="V143" s="225"/>
      <c r="W143" s="225"/>
      <c r="X143" s="225"/>
      <c r="Y143" s="225"/>
      <c r="Z143" s="231"/>
      <c r="AA143" s="231"/>
      <c r="AB143" s="231"/>
      <c r="AC143" s="231"/>
      <c r="AD143" s="231"/>
      <c r="AE143" s="231"/>
      <c r="AF143" s="231"/>
      <c r="AG143" s="231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  <c r="AX143" s="225"/>
      <c r="AY143" s="231"/>
      <c r="AZ143" s="231"/>
      <c r="BA143" s="231"/>
      <c r="BB143" s="231"/>
      <c r="BC143" s="231"/>
      <c r="BD143" s="231"/>
      <c r="BE143" s="231"/>
      <c r="BF143" s="231"/>
      <c r="BG143" s="231"/>
    </row>
    <row r="144" spans="1:74" ht="18.75" customHeight="1">
      <c r="A144" s="57"/>
      <c r="B144" s="57"/>
      <c r="C144" s="359" t="s">
        <v>429</v>
      </c>
      <c r="D144" s="359"/>
      <c r="E144" s="359"/>
      <c r="F144" s="359"/>
      <c r="G144" s="359"/>
      <c r="H144" s="359"/>
      <c r="I144" s="225"/>
      <c r="J144" s="225"/>
      <c r="K144" s="57"/>
      <c r="L144" s="57"/>
      <c r="O144" s="367">
        <f>AA46</f>
        <v>1</v>
      </c>
      <c r="P144" s="367"/>
      <c r="Q144" s="57"/>
      <c r="R144" s="57"/>
      <c r="S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</row>
    <row r="145" spans="1:67" ht="18.75" customHeight="1">
      <c r="A145" s="57"/>
      <c r="B145" s="57"/>
      <c r="C145" s="359"/>
      <c r="D145" s="359"/>
      <c r="E145" s="359"/>
      <c r="F145" s="359"/>
      <c r="G145" s="359"/>
      <c r="H145" s="359"/>
      <c r="I145" s="224"/>
      <c r="J145" s="224"/>
      <c r="K145" s="57"/>
      <c r="L145" s="57"/>
      <c r="O145" s="367"/>
      <c r="P145" s="367"/>
      <c r="Q145" s="57"/>
      <c r="R145" s="57"/>
      <c r="S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</row>
    <row r="146" spans="1:67" s="57" customFormat="1" ht="18.75" customHeight="1">
      <c r="C146" s="57" t="s">
        <v>430</v>
      </c>
      <c r="K146" s="221" t="s">
        <v>355</v>
      </c>
      <c r="L146" s="356">
        <f>O144</f>
        <v>1</v>
      </c>
      <c r="M146" s="356"/>
      <c r="N146" s="231" t="s">
        <v>431</v>
      </c>
      <c r="O146" s="352">
        <f>T141</f>
        <v>0</v>
      </c>
      <c r="P146" s="361"/>
      <c r="Q146" s="361"/>
      <c r="R146" s="428" t="str">
        <f>W141</f>
        <v>μm</v>
      </c>
      <c r="S146" s="361"/>
      <c r="T146" s="221" t="s">
        <v>432</v>
      </c>
      <c r="U146" s="71" t="s">
        <v>424</v>
      </c>
      <c r="V146" s="352">
        <f>L146*O146</f>
        <v>0</v>
      </c>
      <c r="W146" s="352"/>
      <c r="X146" s="352"/>
      <c r="Y146" s="227" t="str">
        <f>R146</f>
        <v>μm</v>
      </c>
      <c r="Z146" s="56"/>
      <c r="AA146" s="220"/>
      <c r="AB146" s="225"/>
      <c r="AC146" s="225"/>
      <c r="AD146" s="225"/>
      <c r="AE146" s="220"/>
    </row>
    <row r="147" spans="1:67" s="187" customFormat="1" ht="18.75" customHeight="1">
      <c r="B147" s="231"/>
      <c r="C147" s="225" t="s">
        <v>433</v>
      </c>
      <c r="D147" s="225"/>
      <c r="E147" s="225"/>
      <c r="F147" s="225"/>
      <c r="G147" s="225"/>
      <c r="H147" s="225"/>
      <c r="I147" s="104" t="s">
        <v>434</v>
      </c>
      <c r="J147" s="225"/>
      <c r="K147" s="225"/>
      <c r="L147" s="225"/>
      <c r="M147" s="225"/>
      <c r="N147" s="225"/>
      <c r="O147" s="225"/>
      <c r="P147" s="225"/>
      <c r="Q147" s="225"/>
      <c r="R147" s="129"/>
      <c r="S147" s="225"/>
      <c r="T147" s="225"/>
      <c r="U147" s="225"/>
      <c r="V147" s="57"/>
      <c r="W147" s="225"/>
      <c r="X147" s="225"/>
      <c r="Y147" s="225"/>
      <c r="Z147" s="225"/>
      <c r="AA147" s="225"/>
      <c r="AB147" s="225"/>
      <c r="AC147" s="225"/>
      <c r="AD147" s="225"/>
      <c r="AE147" s="231"/>
      <c r="AF147" s="231"/>
      <c r="AG147" s="231"/>
      <c r="AH147" s="231"/>
      <c r="AI147" s="231"/>
      <c r="AJ147" s="231"/>
      <c r="AK147" s="231"/>
      <c r="AL147" s="231"/>
      <c r="AM147" s="231"/>
      <c r="AN147" s="231"/>
      <c r="AO147" s="231"/>
      <c r="AP147" s="231"/>
      <c r="AQ147" s="231"/>
      <c r="AR147" s="231"/>
      <c r="AS147" s="231"/>
      <c r="AT147" s="231"/>
      <c r="AU147" s="231"/>
      <c r="AV147" s="231"/>
      <c r="AW147" s="231"/>
      <c r="AX147" s="231"/>
      <c r="AY147" s="231"/>
      <c r="AZ147" s="231"/>
      <c r="BA147" s="231"/>
      <c r="BB147" s="231"/>
      <c r="BC147" s="231"/>
      <c r="BD147" s="231"/>
      <c r="BE147" s="231"/>
      <c r="BF147" s="231"/>
      <c r="BG147" s="231"/>
    </row>
    <row r="148" spans="1:67" s="187" customFormat="1" ht="18.75" customHeight="1">
      <c r="B148" s="231"/>
      <c r="C148" s="58"/>
      <c r="D148" s="225"/>
      <c r="E148" s="225"/>
      <c r="F148" s="225"/>
      <c r="G148" s="231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31"/>
      <c r="AF148" s="225"/>
      <c r="AG148" s="231"/>
      <c r="AH148" s="231"/>
      <c r="AI148" s="231"/>
      <c r="AJ148" s="231"/>
      <c r="AK148" s="231"/>
      <c r="AL148" s="231"/>
      <c r="AM148" s="231"/>
      <c r="AN148" s="231"/>
      <c r="AO148" s="231"/>
      <c r="AP148" s="231"/>
      <c r="AQ148" s="231"/>
      <c r="AR148" s="231"/>
      <c r="AS148" s="231"/>
      <c r="AT148" s="231"/>
      <c r="AU148" s="231"/>
      <c r="AV148" s="231"/>
      <c r="AW148" s="231"/>
      <c r="AX148" s="231"/>
      <c r="AY148" s="231"/>
      <c r="AZ148" s="231"/>
      <c r="BA148" s="231"/>
      <c r="BB148" s="231"/>
      <c r="BC148" s="231"/>
      <c r="BD148" s="231"/>
      <c r="BE148" s="231"/>
      <c r="BF148" s="231"/>
      <c r="BG148" s="231"/>
    </row>
    <row r="149" spans="1:67" s="187" customFormat="1" ht="18.75" customHeight="1">
      <c r="A149" s="58" t="s">
        <v>435</v>
      </c>
      <c r="B149" s="231"/>
      <c r="C149" s="231"/>
      <c r="D149" s="231"/>
      <c r="E149" s="231"/>
      <c r="F149" s="231"/>
      <c r="G149" s="231"/>
      <c r="H149" s="231"/>
      <c r="I149" s="231"/>
      <c r="J149" s="231"/>
      <c r="K149" s="231"/>
      <c r="L149" s="231"/>
      <c r="M149" s="231"/>
      <c r="N149" s="231"/>
      <c r="O149" s="231"/>
      <c r="P149" s="231"/>
      <c r="Q149" s="231"/>
      <c r="R149" s="231"/>
      <c r="S149" s="231"/>
      <c r="T149" s="231"/>
      <c r="U149" s="231"/>
      <c r="V149" s="231"/>
      <c r="W149" s="231"/>
      <c r="X149" s="231"/>
      <c r="Y149" s="231"/>
      <c r="Z149" s="231"/>
      <c r="AA149" s="231"/>
      <c r="AB149" s="231"/>
      <c r="AC149" s="231"/>
      <c r="AD149" s="231"/>
      <c r="AE149" s="231"/>
      <c r="AF149" s="231"/>
      <c r="AG149" s="231"/>
      <c r="AH149" s="231"/>
      <c r="AI149" s="231"/>
      <c r="AJ149" s="231"/>
      <c r="AK149" s="231"/>
      <c r="AL149" s="231"/>
      <c r="AM149" s="231"/>
      <c r="AN149" s="231"/>
      <c r="AO149" s="231"/>
      <c r="AP149" s="231"/>
      <c r="AQ149" s="231"/>
      <c r="AR149" s="231"/>
      <c r="AS149" s="231"/>
      <c r="AT149" s="231"/>
      <c r="AU149" s="231"/>
      <c r="AV149" s="231"/>
      <c r="AW149" s="231"/>
      <c r="AX149" s="231"/>
      <c r="AY149" s="231"/>
      <c r="AZ149" s="231"/>
      <c r="BA149" s="231"/>
      <c r="BB149" s="231"/>
      <c r="BC149" s="231"/>
      <c r="BD149" s="231"/>
      <c r="BE149" s="231"/>
      <c r="BF149" s="231"/>
    </row>
    <row r="150" spans="1:67" s="187" customFormat="1" ht="18.75" customHeight="1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1"/>
      <c r="N150" s="231"/>
      <c r="O150" s="231"/>
      <c r="P150" s="231"/>
      <c r="Q150" s="231"/>
      <c r="R150" s="231"/>
      <c r="S150" s="231"/>
      <c r="T150" s="231"/>
      <c r="U150" s="231"/>
      <c r="V150" s="231"/>
      <c r="W150" s="231"/>
      <c r="X150" s="231"/>
      <c r="Y150" s="231"/>
      <c r="Z150" s="231"/>
      <c r="AA150" s="231"/>
      <c r="AB150" s="231"/>
      <c r="AC150" s="231"/>
      <c r="AD150" s="231"/>
      <c r="AE150" s="225"/>
      <c r="AF150" s="231"/>
      <c r="AG150" s="231"/>
      <c r="AH150" s="231"/>
      <c r="AI150" s="231"/>
      <c r="AJ150" s="231"/>
      <c r="AK150" s="231"/>
      <c r="AL150" s="231"/>
      <c r="AM150" s="231"/>
      <c r="AN150" s="231"/>
      <c r="AO150" s="231"/>
      <c r="AP150" s="231"/>
      <c r="AQ150" s="231"/>
      <c r="AR150" s="231"/>
      <c r="AS150" s="231"/>
      <c r="AT150" s="231"/>
      <c r="AU150" s="231"/>
      <c r="AV150" s="231"/>
      <c r="AW150" s="231"/>
      <c r="AX150" s="231"/>
      <c r="AY150" s="231"/>
      <c r="AZ150" s="231"/>
      <c r="BA150" s="231"/>
      <c r="BB150" s="231"/>
      <c r="BC150" s="231"/>
      <c r="BD150" s="231"/>
      <c r="BE150" s="231"/>
      <c r="BF150" s="231"/>
    </row>
    <row r="151" spans="1:67" s="59" customFormat="1" ht="18.75" customHeight="1">
      <c r="C151" s="225"/>
      <c r="D151" s="225"/>
      <c r="E151" s="231" t="s">
        <v>436</v>
      </c>
      <c r="F151" s="352">
        <f>AH40</f>
        <v>0</v>
      </c>
      <c r="G151" s="352"/>
      <c r="H151" s="352"/>
      <c r="I151" s="225" t="s">
        <v>437</v>
      </c>
      <c r="J151" s="225"/>
      <c r="K151" s="347" t="s">
        <v>76</v>
      </c>
      <c r="L151" s="347"/>
      <c r="M151" s="352" t="e">
        <f>AH41</f>
        <v>#N/A</v>
      </c>
      <c r="N151" s="352"/>
      <c r="O151" s="352"/>
      <c r="P151" s="225" t="s">
        <v>246</v>
      </c>
      <c r="Q151" s="225"/>
      <c r="R151" s="347" t="s">
        <v>438</v>
      </c>
      <c r="S151" s="347"/>
      <c r="T151" s="352">
        <f>AH42</f>
        <v>0</v>
      </c>
      <c r="U151" s="352"/>
      <c r="V151" s="352"/>
      <c r="W151" s="225" t="s">
        <v>246</v>
      </c>
      <c r="X151" s="225"/>
      <c r="Y151" s="347" t="s">
        <v>439</v>
      </c>
      <c r="Z151" s="347"/>
      <c r="AA151" s="352" t="e">
        <f ca="1">AH43</f>
        <v>#N/A</v>
      </c>
      <c r="AB151" s="352"/>
      <c r="AC151" s="352"/>
      <c r="AD151" s="225" t="s">
        <v>412</v>
      </c>
      <c r="AE151" s="225"/>
      <c r="AF151" s="347" t="s">
        <v>76</v>
      </c>
      <c r="AG151" s="347"/>
      <c r="AH151" s="352" t="e">
        <f>AH44</f>
        <v>#VALUE!</v>
      </c>
      <c r="AI151" s="352"/>
      <c r="AJ151" s="352"/>
      <c r="AK151" s="225" t="s">
        <v>440</v>
      </c>
      <c r="AL151" s="225"/>
      <c r="AT151" s="225"/>
      <c r="AU151" s="225"/>
      <c r="AV151" s="225"/>
      <c r="AW151" s="225"/>
      <c r="AX151" s="225"/>
      <c r="AY151" s="225"/>
      <c r="AZ151" s="225"/>
      <c r="BA151" s="225"/>
      <c r="BB151" s="225"/>
      <c r="BC151" s="225"/>
      <c r="BD151" s="225"/>
      <c r="BE151" s="225"/>
      <c r="BF151" s="225"/>
      <c r="BG151" s="225"/>
      <c r="BH151" s="225"/>
    </row>
    <row r="152" spans="1:67" s="59" customFormat="1" ht="18.75" customHeight="1">
      <c r="C152" s="225"/>
      <c r="D152" s="225"/>
      <c r="E152" s="231"/>
      <c r="F152" s="347" t="s">
        <v>439</v>
      </c>
      <c r="G152" s="347"/>
      <c r="H152" s="352" t="e">
        <f ca="1">AH45</f>
        <v>#N/A</v>
      </c>
      <c r="I152" s="352"/>
      <c r="J152" s="352"/>
      <c r="K152" s="225" t="s">
        <v>246</v>
      </c>
      <c r="L152" s="225"/>
      <c r="M152" s="347" t="s">
        <v>439</v>
      </c>
      <c r="N152" s="347"/>
      <c r="O152" s="352">
        <f>AH46</f>
        <v>0</v>
      </c>
      <c r="P152" s="352"/>
      <c r="Q152" s="352"/>
      <c r="R152" s="225" t="s">
        <v>412</v>
      </c>
      <c r="S152" s="225"/>
      <c r="T152" s="225"/>
      <c r="U152" s="225"/>
      <c r="V152" s="228"/>
      <c r="W152" s="228"/>
      <c r="X152" s="228"/>
      <c r="Y152" s="225"/>
      <c r="Z152" s="225"/>
      <c r="AA152" s="225"/>
      <c r="AB152" s="225"/>
      <c r="AC152" s="228"/>
      <c r="AD152" s="228"/>
      <c r="AE152" s="228"/>
      <c r="AF152" s="225"/>
      <c r="AG152" s="225"/>
      <c r="AH152" s="228"/>
      <c r="AI152" s="228"/>
      <c r="AJ152" s="228"/>
      <c r="AK152" s="225"/>
      <c r="AL152" s="225"/>
      <c r="AM152" s="231"/>
      <c r="AN152" s="231"/>
      <c r="AO152" s="228"/>
      <c r="AP152" s="228"/>
      <c r="AQ152" s="228"/>
      <c r="AR152" s="225"/>
      <c r="AS152" s="225"/>
      <c r="AT152" s="231"/>
      <c r="AU152" s="231"/>
      <c r="AV152" s="228"/>
      <c r="AW152" s="228"/>
      <c r="AX152" s="228"/>
      <c r="AY152" s="225"/>
      <c r="AZ152" s="225"/>
      <c r="BA152" s="225"/>
      <c r="BB152" s="225"/>
      <c r="BC152" s="225"/>
      <c r="BD152" s="225"/>
      <c r="BE152" s="225"/>
      <c r="BF152" s="225"/>
      <c r="BG152" s="225"/>
      <c r="BH152" s="225"/>
      <c r="BI152" s="225"/>
      <c r="BJ152" s="225"/>
      <c r="BK152" s="225"/>
      <c r="BL152" s="225"/>
      <c r="BM152" s="225"/>
      <c r="BN152" s="225"/>
      <c r="BO152" s="225"/>
    </row>
    <row r="153" spans="1:67" s="59" customFormat="1" ht="18.75" customHeight="1">
      <c r="C153" s="225"/>
      <c r="D153" s="225"/>
      <c r="E153" s="231" t="s">
        <v>351</v>
      </c>
      <c r="F153" s="432" t="e">
        <f>AH47</f>
        <v>#N/A</v>
      </c>
      <c r="G153" s="432"/>
      <c r="H153" s="432"/>
      <c r="I153" s="225" t="s">
        <v>246</v>
      </c>
      <c r="J153" s="225"/>
      <c r="K153" s="225"/>
      <c r="L153" s="225"/>
      <c r="M153" s="131"/>
      <c r="N153" s="131"/>
      <c r="O153" s="131"/>
      <c r="P153" s="131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  <c r="AG153" s="231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5"/>
      <c r="AW153" s="225"/>
      <c r="AX153" s="225"/>
      <c r="AY153" s="225"/>
      <c r="AZ153" s="225"/>
      <c r="BA153" s="225"/>
      <c r="BB153" s="225"/>
      <c r="BC153" s="225"/>
      <c r="BD153" s="225"/>
      <c r="BE153" s="225"/>
      <c r="BF153" s="225"/>
      <c r="BG153" s="225"/>
      <c r="BH153" s="225"/>
    </row>
    <row r="154" spans="1:67" s="59" customFormat="1" ht="18.75" customHeight="1">
      <c r="A154" s="225"/>
      <c r="B154" s="225"/>
      <c r="C154" s="225"/>
      <c r="D154" s="230"/>
      <c r="E154" s="230"/>
      <c r="F154" s="230"/>
      <c r="G154" s="225"/>
      <c r="H154" s="225"/>
      <c r="I154" s="231"/>
      <c r="J154" s="231"/>
      <c r="K154" s="232"/>
      <c r="L154" s="232"/>
      <c r="M154" s="232"/>
      <c r="N154" s="232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W154" s="225"/>
      <c r="AX154" s="225"/>
      <c r="AY154" s="225"/>
      <c r="AZ154" s="225"/>
      <c r="BA154" s="225"/>
      <c r="BB154" s="225"/>
      <c r="BC154" s="225"/>
      <c r="BD154" s="225"/>
      <c r="BE154" s="225"/>
      <c r="BF154" s="225"/>
    </row>
    <row r="155" spans="1:67" s="187" customFormat="1" ht="18.75" customHeight="1">
      <c r="A155" s="247"/>
      <c r="B155" s="231"/>
      <c r="C155" s="231"/>
      <c r="D155" s="222" t="s">
        <v>474</v>
      </c>
      <c r="E155" s="187" t="s">
        <v>475</v>
      </c>
      <c r="F155" s="432" t="e">
        <f>F153</f>
        <v>#N/A</v>
      </c>
      <c r="G155" s="432"/>
      <c r="H155" s="432"/>
      <c r="I155" s="225" t="s">
        <v>441</v>
      </c>
      <c r="J155" s="225"/>
      <c r="K155" s="131"/>
      <c r="L155" s="131"/>
      <c r="M155" s="131"/>
      <c r="N155" s="131"/>
      <c r="O155" s="231"/>
      <c r="P155" s="231"/>
      <c r="Q155" s="225"/>
      <c r="R155" s="231"/>
      <c r="S155" s="231"/>
      <c r="T155" s="231"/>
      <c r="U155" s="231"/>
      <c r="V155" s="231"/>
      <c r="W155" s="231"/>
      <c r="X155" s="231"/>
      <c r="Y155" s="231"/>
      <c r="Z155" s="231"/>
      <c r="AA155" s="231"/>
      <c r="AB155" s="231"/>
      <c r="AC155" s="231"/>
      <c r="AD155" s="231"/>
      <c r="AE155" s="231"/>
      <c r="AF155" s="225"/>
      <c r="AG155" s="231"/>
      <c r="AH155" s="231"/>
      <c r="AI155" s="231"/>
      <c r="AJ155" s="231"/>
      <c r="AK155" s="231"/>
      <c r="AL155" s="231"/>
      <c r="AM155" s="231"/>
      <c r="AN155" s="231"/>
      <c r="AO155" s="231"/>
      <c r="AP155" s="231"/>
      <c r="AX155" s="231"/>
      <c r="AY155" s="231"/>
      <c r="AZ155" s="231"/>
      <c r="BA155" s="231"/>
      <c r="BB155" s="231"/>
      <c r="BC155" s="231"/>
      <c r="BD155" s="231"/>
      <c r="BE155" s="231"/>
      <c r="BF155" s="231"/>
      <c r="BG155" s="231"/>
    </row>
    <row r="156" spans="1:67" s="225" customFormat="1" ht="18.75" customHeight="1"/>
    <row r="157" spans="1:67" ht="18.75" customHeight="1">
      <c r="A157" s="58" t="s">
        <v>442</v>
      </c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</row>
    <row r="158" spans="1:67" ht="18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351" t="e">
        <f>AH47</f>
        <v>#N/A</v>
      </c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51"/>
      <c r="AB158" s="351"/>
      <c r="AC158" s="351"/>
      <c r="AD158" s="351"/>
      <c r="AE158" s="351"/>
      <c r="AF158" s="351"/>
      <c r="AG158" s="351"/>
      <c r="AH158" s="351"/>
      <c r="AI158" s="351"/>
      <c r="AJ158" s="351"/>
      <c r="AK158" s="351"/>
      <c r="AL158" s="347" t="s">
        <v>112</v>
      </c>
      <c r="AM158" s="367" t="e">
        <f ca="1">AP47</f>
        <v>#N/A</v>
      </c>
      <c r="AN158" s="367"/>
      <c r="AO158" s="367"/>
      <c r="AP158" s="367"/>
      <c r="AQ158" s="367"/>
      <c r="AR158" s="367"/>
    </row>
    <row r="159" spans="1:67" ht="18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354">
        <f>AH40</f>
        <v>0</v>
      </c>
      <c r="N159" s="354"/>
      <c r="O159" s="354"/>
      <c r="P159" s="192"/>
      <c r="Q159" s="353" t="s">
        <v>113</v>
      </c>
      <c r="R159" s="354" t="e">
        <f>AH41</f>
        <v>#N/A</v>
      </c>
      <c r="S159" s="354"/>
      <c r="T159" s="354"/>
      <c r="U159" s="192"/>
      <c r="V159" s="353" t="s">
        <v>113</v>
      </c>
      <c r="W159" s="354">
        <f>AH42</f>
        <v>0</v>
      </c>
      <c r="X159" s="354"/>
      <c r="Y159" s="354"/>
      <c r="Z159" s="192"/>
      <c r="AA159" s="353" t="s">
        <v>113</v>
      </c>
      <c r="AB159" s="354" t="e">
        <f ca="1">AH43</f>
        <v>#N/A</v>
      </c>
      <c r="AC159" s="354"/>
      <c r="AD159" s="354"/>
      <c r="AE159" s="192"/>
      <c r="AF159" s="353" t="s">
        <v>113</v>
      </c>
      <c r="AG159" s="354" t="e">
        <f>AH44</f>
        <v>#VALUE!</v>
      </c>
      <c r="AH159" s="354"/>
      <c r="AI159" s="354"/>
      <c r="AJ159" s="192"/>
      <c r="AK159" s="131"/>
      <c r="AL159" s="347"/>
      <c r="AM159" s="367"/>
      <c r="AN159" s="367"/>
      <c r="AO159" s="367"/>
      <c r="AP159" s="367"/>
      <c r="AQ159" s="367"/>
      <c r="AR159" s="367"/>
    </row>
    <row r="160" spans="1:67" ht="18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355">
        <f>AP40</f>
        <v>4</v>
      </c>
      <c r="N160" s="355"/>
      <c r="O160" s="355"/>
      <c r="P160" s="355"/>
      <c r="Q160" s="353"/>
      <c r="R160" s="355" t="str">
        <f>AP41</f>
        <v>∞</v>
      </c>
      <c r="S160" s="355"/>
      <c r="T160" s="355"/>
      <c r="U160" s="355"/>
      <c r="V160" s="353"/>
      <c r="W160" s="355">
        <f>AP42</f>
        <v>100</v>
      </c>
      <c r="X160" s="355"/>
      <c r="Y160" s="355"/>
      <c r="Z160" s="355"/>
      <c r="AA160" s="353"/>
      <c r="AB160" s="355">
        <f>AP43</f>
        <v>12</v>
      </c>
      <c r="AC160" s="355"/>
      <c r="AD160" s="355"/>
      <c r="AE160" s="355"/>
      <c r="AF160" s="353"/>
      <c r="AG160" s="355">
        <f>AP44</f>
        <v>100</v>
      </c>
      <c r="AH160" s="355"/>
      <c r="AI160" s="355"/>
      <c r="AJ160" s="355"/>
      <c r="AK160" s="131"/>
    </row>
    <row r="161" spans="1:56" ht="18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353" t="s">
        <v>113</v>
      </c>
      <c r="N161" s="354" t="e">
        <f ca="1">AH45</f>
        <v>#N/A</v>
      </c>
      <c r="O161" s="354"/>
      <c r="P161" s="354"/>
      <c r="Q161" s="192"/>
      <c r="R161" s="353" t="s">
        <v>113</v>
      </c>
      <c r="S161" s="354">
        <f>AH46</f>
        <v>0</v>
      </c>
      <c r="T161" s="354"/>
      <c r="U161" s="354"/>
      <c r="V161" s="192"/>
      <c r="W161" s="131"/>
      <c r="X161" s="228"/>
      <c r="Y161" s="228"/>
      <c r="Z161" s="228"/>
      <c r="AA161" s="57"/>
      <c r="AB161" s="131"/>
      <c r="AC161" s="228"/>
      <c r="AD161" s="228"/>
      <c r="AE161" s="228"/>
      <c r="AF161" s="57"/>
    </row>
    <row r="162" spans="1:56" ht="18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353"/>
      <c r="N162" s="355">
        <f>AP45</f>
        <v>12</v>
      </c>
      <c r="O162" s="355"/>
      <c r="P162" s="355"/>
      <c r="Q162" s="355"/>
      <c r="R162" s="353"/>
      <c r="S162" s="355" t="str">
        <f>AP46</f>
        <v>∞</v>
      </c>
      <c r="T162" s="355"/>
      <c r="U162" s="355"/>
      <c r="V162" s="355"/>
      <c r="W162" s="131"/>
      <c r="X162" s="225"/>
      <c r="Y162" s="225"/>
      <c r="Z162" s="225"/>
      <c r="AA162" s="225"/>
      <c r="AB162" s="131"/>
      <c r="AC162" s="225"/>
      <c r="AD162" s="225"/>
      <c r="AE162" s="225"/>
      <c r="AF162" s="225"/>
    </row>
    <row r="163" spans="1:56" ht="18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</row>
    <row r="164" spans="1:56" ht="18.75" customHeight="1">
      <c r="A164" s="58" t="s">
        <v>443</v>
      </c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</row>
    <row r="165" spans="1:56" ht="18.75" customHeight="1">
      <c r="A165" s="58"/>
      <c r="B165" s="57" t="s">
        <v>444</v>
      </c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</row>
    <row r="166" spans="1:56" ht="18.75" customHeight="1">
      <c r="A166" s="58"/>
      <c r="B166" s="57"/>
      <c r="C166" s="57" t="s">
        <v>445</v>
      </c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</row>
    <row r="167" spans="1:56" ht="18.75" customHeight="1">
      <c r="A167" s="58"/>
      <c r="B167" s="57"/>
      <c r="C167" s="56" t="s">
        <v>446</v>
      </c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</row>
    <row r="168" spans="1:56" ht="18.75" customHeight="1">
      <c r="A168" s="58"/>
      <c r="B168" s="57"/>
      <c r="C168" s="225" t="s">
        <v>447</v>
      </c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</row>
    <row r="169" spans="1:56" ht="18.75" customHeight="1">
      <c r="A169" s="58"/>
      <c r="B169" s="57"/>
      <c r="D169" s="57"/>
      <c r="E169" s="130"/>
      <c r="F169" s="57"/>
      <c r="G169" s="222"/>
      <c r="H169" s="231"/>
      <c r="I169" s="231"/>
      <c r="J169" s="231"/>
      <c r="R169" s="130"/>
      <c r="S169" s="132"/>
      <c r="T169" s="132"/>
      <c r="U169" s="132"/>
      <c r="V169" s="132"/>
      <c r="W169" s="132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</row>
    <row r="170" spans="1:56" ht="18.75" customHeight="1">
      <c r="A170" s="58"/>
      <c r="B170" s="57" t="s">
        <v>444</v>
      </c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</row>
    <row r="171" spans="1:56" ht="18.75" customHeight="1">
      <c r="A171" s="58"/>
      <c r="B171" s="57"/>
      <c r="C171" s="57" t="s">
        <v>448</v>
      </c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</row>
    <row r="172" spans="1:56" ht="18.75" customHeight="1">
      <c r="B172" s="57"/>
      <c r="C172" s="57" t="s">
        <v>449</v>
      </c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</row>
    <row r="173" spans="1:56" ht="18.75" customHeight="1">
      <c r="A173" s="57"/>
      <c r="B173" s="57"/>
      <c r="C173" s="56" t="s">
        <v>114</v>
      </c>
      <c r="L173" s="59"/>
      <c r="M173" s="59"/>
      <c r="N173" s="59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</row>
    <row r="174" spans="1:56" ht="18.75" customHeight="1">
      <c r="A174" s="57"/>
      <c r="B174" s="57"/>
      <c r="L174" s="59"/>
      <c r="M174" s="59"/>
      <c r="N174" s="59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</row>
    <row r="175" spans="1:56" ht="18.75" customHeight="1">
      <c r="A175" s="57"/>
      <c r="B175" s="57"/>
      <c r="C175" s="57"/>
      <c r="D175" s="57"/>
      <c r="E175" s="60"/>
      <c r="F175" s="57"/>
      <c r="G175" s="57"/>
      <c r="H175" s="222" t="s">
        <v>450</v>
      </c>
      <c r="I175" s="347" t="e">
        <f ca="1">Calcu!E40</f>
        <v>#N/A</v>
      </c>
      <c r="J175" s="347"/>
      <c r="K175" s="347"/>
      <c r="L175" s="221" t="s">
        <v>104</v>
      </c>
      <c r="M175" s="348" t="e">
        <f>F155</f>
        <v>#N/A</v>
      </c>
      <c r="N175" s="348"/>
      <c r="O175" s="348"/>
      <c r="P175" s="348"/>
      <c r="Q175" s="348"/>
      <c r="R175" s="187" t="s">
        <v>351</v>
      </c>
      <c r="S175" s="349" t="e">
        <f ca="1">I175*M175</f>
        <v>#N/A</v>
      </c>
      <c r="T175" s="349"/>
      <c r="U175" s="349"/>
      <c r="V175" s="349"/>
      <c r="W175" s="57" t="s">
        <v>451</v>
      </c>
      <c r="X175" s="350" t="e">
        <f ca="1">S175</f>
        <v>#N/A</v>
      </c>
      <c r="Y175" s="350"/>
      <c r="Z175" s="350"/>
      <c r="AA175" s="350"/>
      <c r="AL175" s="57"/>
      <c r="AM175" s="57"/>
      <c r="AN175" s="57"/>
      <c r="AO175" s="57"/>
      <c r="AP175" s="57"/>
      <c r="AQ175" s="57"/>
      <c r="AR175" s="57"/>
      <c r="AS175" s="57"/>
      <c r="AT175" s="57"/>
    </row>
  </sheetData>
  <mergeCells count="377">
    <mergeCell ref="AM158:AR159"/>
    <mergeCell ref="M159:O159"/>
    <mergeCell ref="Q159:Q160"/>
    <mergeCell ref="R159:T159"/>
    <mergeCell ref="V159:V160"/>
    <mergeCell ref="W159:Y159"/>
    <mergeCell ref="AA159:AA160"/>
    <mergeCell ref="AB159:AD159"/>
    <mergeCell ref="AG159:AI159"/>
    <mergeCell ref="M160:P160"/>
    <mergeCell ref="R160:U160"/>
    <mergeCell ref="W160:Z160"/>
    <mergeCell ref="AB160:AE160"/>
    <mergeCell ref="AG160:AJ160"/>
    <mergeCell ref="F153:H153"/>
    <mergeCell ref="F155:H155"/>
    <mergeCell ref="AA151:AC151"/>
    <mergeCell ref="AF151:AG151"/>
    <mergeCell ref="I130:P130"/>
    <mergeCell ref="S131:U132"/>
    <mergeCell ref="V131:Y132"/>
    <mergeCell ref="Z131:Z132"/>
    <mergeCell ref="AA131:AC132"/>
    <mergeCell ref="AD131:AE132"/>
    <mergeCell ref="AF131:AF132"/>
    <mergeCell ref="AG131:AI132"/>
    <mergeCell ref="I143:P143"/>
    <mergeCell ref="C144:H145"/>
    <mergeCell ref="O144:P145"/>
    <mergeCell ref="L146:M146"/>
    <mergeCell ref="O146:Q146"/>
    <mergeCell ref="R146:S146"/>
    <mergeCell ref="V146:X146"/>
    <mergeCell ref="AJ131:AP132"/>
    <mergeCell ref="C131:H132"/>
    <mergeCell ref="L133:N133"/>
    <mergeCell ref="S133:V133"/>
    <mergeCell ref="Y133:AA133"/>
    <mergeCell ref="C134:G135"/>
    <mergeCell ref="P140:Q140"/>
    <mergeCell ref="O141:P141"/>
    <mergeCell ref="S141:S142"/>
    <mergeCell ref="T141:V142"/>
    <mergeCell ref="W141:X142"/>
    <mergeCell ref="K141:M142"/>
    <mergeCell ref="N141:N142"/>
    <mergeCell ref="Y101:Y102"/>
    <mergeCell ref="Z101:AB102"/>
    <mergeCell ref="AC101:AD102"/>
    <mergeCell ref="AE101:AE102"/>
    <mergeCell ref="AF101:AH102"/>
    <mergeCell ref="AI101:AO102"/>
    <mergeCell ref="V98:W99"/>
    <mergeCell ref="AG115:AM116"/>
    <mergeCell ref="AB115:AB116"/>
    <mergeCell ref="AC115:AF116"/>
    <mergeCell ref="AQ66:AR67"/>
    <mergeCell ref="AS66:AS67"/>
    <mergeCell ref="AT66:AV67"/>
    <mergeCell ref="AW66:AX67"/>
    <mergeCell ref="Q67:AF67"/>
    <mergeCell ref="AH67:AL67"/>
    <mergeCell ref="I68:P68"/>
    <mergeCell ref="C69:H70"/>
    <mergeCell ref="L71:M71"/>
    <mergeCell ref="O71:Q71"/>
    <mergeCell ref="R71:S71"/>
    <mergeCell ref="V71:X71"/>
    <mergeCell ref="C66:I67"/>
    <mergeCell ref="AM66:AM67"/>
    <mergeCell ref="AN66:AP67"/>
    <mergeCell ref="AG66:AG67"/>
    <mergeCell ref="AH66:AJ66"/>
    <mergeCell ref="Z55:AA56"/>
    <mergeCell ref="N56:O56"/>
    <mergeCell ref="Q56:S56"/>
    <mergeCell ref="I57:P57"/>
    <mergeCell ref="C58:H59"/>
    <mergeCell ref="L60:M60"/>
    <mergeCell ref="O60:Q60"/>
    <mergeCell ref="R60:S60"/>
    <mergeCell ref="V60:X60"/>
    <mergeCell ref="M58:N59"/>
    <mergeCell ref="W55:Y56"/>
    <mergeCell ref="H53:K53"/>
    <mergeCell ref="L53:M53"/>
    <mergeCell ref="Q54:S54"/>
    <mergeCell ref="T54:U54"/>
    <mergeCell ref="N55:O55"/>
    <mergeCell ref="P55:P56"/>
    <mergeCell ref="Q55:S55"/>
    <mergeCell ref="T55:U55"/>
    <mergeCell ref="V55:V56"/>
    <mergeCell ref="M55:M56"/>
    <mergeCell ref="K55:L56"/>
    <mergeCell ref="AM46:AO46"/>
    <mergeCell ref="AP46:AS46"/>
    <mergeCell ref="B47:C47"/>
    <mergeCell ref="D47:G47"/>
    <mergeCell ref="H47:L47"/>
    <mergeCell ref="M47:N47"/>
    <mergeCell ref="O47:U47"/>
    <mergeCell ref="V47:Z47"/>
    <mergeCell ref="AA47:AG47"/>
    <mergeCell ref="AH47:AL47"/>
    <mergeCell ref="AM47:AO47"/>
    <mergeCell ref="AP47:AS47"/>
    <mergeCell ref="B46:C46"/>
    <mergeCell ref="D46:G46"/>
    <mergeCell ref="H46:L46"/>
    <mergeCell ref="M46:N46"/>
    <mergeCell ref="O46:R46"/>
    <mergeCell ref="S46:U46"/>
    <mergeCell ref="V46:Z46"/>
    <mergeCell ref="AA46:AG46"/>
    <mergeCell ref="AH46:AL46"/>
    <mergeCell ref="AH44:AL44"/>
    <mergeCell ref="AM44:AO44"/>
    <mergeCell ref="AP44:AS44"/>
    <mergeCell ref="B45:C45"/>
    <mergeCell ref="D45:G45"/>
    <mergeCell ref="H45:L45"/>
    <mergeCell ref="M45:N45"/>
    <mergeCell ref="O45:R45"/>
    <mergeCell ref="S45:U45"/>
    <mergeCell ref="V45:Z45"/>
    <mergeCell ref="AA45:AD45"/>
    <mergeCell ref="AE45:AG45"/>
    <mergeCell ref="AH45:AL45"/>
    <mergeCell ref="AM45:AO45"/>
    <mergeCell ref="AP45:AS45"/>
    <mergeCell ref="B44:C44"/>
    <mergeCell ref="D44:G44"/>
    <mergeCell ref="H44:L44"/>
    <mergeCell ref="M44:N44"/>
    <mergeCell ref="O44:R44"/>
    <mergeCell ref="S44:U44"/>
    <mergeCell ref="V44:Z44"/>
    <mergeCell ref="AA44:AD44"/>
    <mergeCell ref="AE44:AG44"/>
    <mergeCell ref="O42:R42"/>
    <mergeCell ref="S42:U42"/>
    <mergeCell ref="V42:Z42"/>
    <mergeCell ref="AA42:AD42"/>
    <mergeCell ref="AE42:AG42"/>
    <mergeCell ref="AH42:AL42"/>
    <mergeCell ref="AM42:AO42"/>
    <mergeCell ref="AP42:AS42"/>
    <mergeCell ref="B43:C43"/>
    <mergeCell ref="D43:G43"/>
    <mergeCell ref="H43:L43"/>
    <mergeCell ref="M43:N43"/>
    <mergeCell ref="O43:R43"/>
    <mergeCell ref="S43:U43"/>
    <mergeCell ref="V43:Z43"/>
    <mergeCell ref="AA43:AD43"/>
    <mergeCell ref="AE43:AG43"/>
    <mergeCell ref="AH43:AL43"/>
    <mergeCell ref="AM43:AO43"/>
    <mergeCell ref="AP43:AS43"/>
    <mergeCell ref="B42:C42"/>
    <mergeCell ref="D42:G42"/>
    <mergeCell ref="H42:L42"/>
    <mergeCell ref="M42:N42"/>
    <mergeCell ref="AP40:AS40"/>
    <mergeCell ref="B41:C41"/>
    <mergeCell ref="D41:G41"/>
    <mergeCell ref="H41:L41"/>
    <mergeCell ref="M41:N41"/>
    <mergeCell ref="O41:R41"/>
    <mergeCell ref="S41:U41"/>
    <mergeCell ref="V41:Z41"/>
    <mergeCell ref="AA41:AG41"/>
    <mergeCell ref="AH41:AL41"/>
    <mergeCell ref="AM41:AO41"/>
    <mergeCell ref="AP41:AS41"/>
    <mergeCell ref="AP37:AS37"/>
    <mergeCell ref="D38:G38"/>
    <mergeCell ref="H38:N38"/>
    <mergeCell ref="O38:U38"/>
    <mergeCell ref="AA38:AG38"/>
    <mergeCell ref="AH38:AO38"/>
    <mergeCell ref="AP38:AS38"/>
    <mergeCell ref="D39:G39"/>
    <mergeCell ref="H39:N39"/>
    <mergeCell ref="O39:U39"/>
    <mergeCell ref="V39:Z39"/>
    <mergeCell ref="AA39:AG39"/>
    <mergeCell ref="AH39:AO39"/>
    <mergeCell ref="AP39:AS39"/>
    <mergeCell ref="V37:Z37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B4:G4"/>
    <mergeCell ref="H4:M4"/>
    <mergeCell ref="N4:S4"/>
    <mergeCell ref="B10:F10"/>
    <mergeCell ref="G10:K10"/>
    <mergeCell ref="L10:P10"/>
    <mergeCell ref="Q10:U10"/>
    <mergeCell ref="V10:Z10"/>
    <mergeCell ref="B5:G5"/>
    <mergeCell ref="H5:M5"/>
    <mergeCell ref="N5:S5"/>
    <mergeCell ref="B8:F9"/>
    <mergeCell ref="G8:AE8"/>
    <mergeCell ref="C19:E19"/>
    <mergeCell ref="AK10:AO10"/>
    <mergeCell ref="AP10:AT10"/>
    <mergeCell ref="AU10:AY10"/>
    <mergeCell ref="G9:K9"/>
    <mergeCell ref="L9:P9"/>
    <mergeCell ref="Q9:U9"/>
    <mergeCell ref="V9:Z9"/>
    <mergeCell ref="AA9:AE9"/>
    <mergeCell ref="G13:K13"/>
    <mergeCell ref="L13:P13"/>
    <mergeCell ref="Q13:U13"/>
    <mergeCell ref="V13:Z13"/>
    <mergeCell ref="AA13:AE13"/>
    <mergeCell ref="AF13:AJ13"/>
    <mergeCell ref="AA10:AE10"/>
    <mergeCell ref="AF10:AJ10"/>
    <mergeCell ref="AF8:AJ9"/>
    <mergeCell ref="AK8:AO9"/>
    <mergeCell ref="AP8:AT9"/>
    <mergeCell ref="AU8:AY9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U11:AY11"/>
    <mergeCell ref="AU12:AY12"/>
    <mergeCell ref="B13:F13"/>
    <mergeCell ref="AK13:AO13"/>
    <mergeCell ref="AP13:AT13"/>
    <mergeCell ref="AU13:AY13"/>
    <mergeCell ref="AP14:AT14"/>
    <mergeCell ref="AU14:AY14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G14:K14"/>
    <mergeCell ref="L14:P14"/>
    <mergeCell ref="Q14:U14"/>
    <mergeCell ref="V14:Z14"/>
    <mergeCell ref="AA14:AE14"/>
    <mergeCell ref="AF14:AJ14"/>
    <mergeCell ref="AK14:AO14"/>
    <mergeCell ref="B14:F14"/>
    <mergeCell ref="B37:C39"/>
    <mergeCell ref="D37:G37"/>
    <mergeCell ref="H37:N37"/>
    <mergeCell ref="O37:U37"/>
    <mergeCell ref="AA37:AG37"/>
    <mergeCell ref="AH37:AO37"/>
    <mergeCell ref="V38:Z38"/>
    <mergeCell ref="B40:C40"/>
    <mergeCell ref="D40:G40"/>
    <mergeCell ref="H40:L40"/>
    <mergeCell ref="M40:N40"/>
    <mergeCell ref="O40:R40"/>
    <mergeCell ref="S40:U40"/>
    <mergeCell ref="V40:Z40"/>
    <mergeCell ref="AA40:AG40"/>
    <mergeCell ref="AH40:AL40"/>
    <mergeCell ref="AM40:AO40"/>
    <mergeCell ref="H65:L65"/>
    <mergeCell ref="M65:N65"/>
    <mergeCell ref="J66:L67"/>
    <mergeCell ref="P66:P67"/>
    <mergeCell ref="R66:S66"/>
    <mergeCell ref="U66:W66"/>
    <mergeCell ref="Y66:AA66"/>
    <mergeCell ref="J77:W78"/>
    <mergeCell ref="J79:Z80"/>
    <mergeCell ref="AA79:AE79"/>
    <mergeCell ref="C77:I78"/>
    <mergeCell ref="H76:J76"/>
    <mergeCell ref="AF79:AF80"/>
    <mergeCell ref="AG79:AL80"/>
    <mergeCell ref="AG82:AK83"/>
    <mergeCell ref="I84:P84"/>
    <mergeCell ref="C85:H86"/>
    <mergeCell ref="R85:S86"/>
    <mergeCell ref="Z120:AA121"/>
    <mergeCell ref="H127:O127"/>
    <mergeCell ref="C98:I99"/>
    <mergeCell ref="N98:O98"/>
    <mergeCell ref="S98:U99"/>
    <mergeCell ref="L87:O87"/>
    <mergeCell ref="J98:L99"/>
    <mergeCell ref="M98:M99"/>
    <mergeCell ref="AF85:AL86"/>
    <mergeCell ref="AA87:AC87"/>
    <mergeCell ref="C88:G89"/>
    <mergeCell ref="AB90:AC91"/>
    <mergeCell ref="H97:O97"/>
    <mergeCell ref="R98:R99"/>
    <mergeCell ref="I100:P100"/>
    <mergeCell ref="C101:H102"/>
    <mergeCell ref="R101:T102"/>
    <mergeCell ref="U101:X102"/>
    <mergeCell ref="R128:R129"/>
    <mergeCell ref="L103:N103"/>
    <mergeCell ref="S103:V103"/>
    <mergeCell ref="Y103:AA103"/>
    <mergeCell ref="H109:J109"/>
    <mergeCell ref="I114:P114"/>
    <mergeCell ref="C115:H116"/>
    <mergeCell ref="S115:T116"/>
    <mergeCell ref="U115:V116"/>
    <mergeCell ref="W115:Y116"/>
    <mergeCell ref="Z115:AA116"/>
    <mergeCell ref="C128:I129"/>
    <mergeCell ref="N128:O128"/>
    <mergeCell ref="S128:U129"/>
    <mergeCell ref="V128:W129"/>
    <mergeCell ref="C118:G119"/>
    <mergeCell ref="C104:G105"/>
    <mergeCell ref="J128:L129"/>
    <mergeCell ref="M128:M129"/>
    <mergeCell ref="L117:O117"/>
    <mergeCell ref="AA117:AC117"/>
    <mergeCell ref="X64:Y64"/>
    <mergeCell ref="AA64:AC64"/>
    <mergeCell ref="N67:O67"/>
    <mergeCell ref="N66:O66"/>
    <mergeCell ref="T85:U86"/>
    <mergeCell ref="V85:X86"/>
    <mergeCell ref="Y85:Z86"/>
    <mergeCell ref="AA85:AA86"/>
    <mergeCell ref="AB85:AE86"/>
    <mergeCell ref="M69:N70"/>
    <mergeCell ref="M66:M67"/>
    <mergeCell ref="I175:K175"/>
    <mergeCell ref="M175:Q175"/>
    <mergeCell ref="S175:V175"/>
    <mergeCell ref="X175:AA175"/>
    <mergeCell ref="L158:AK158"/>
    <mergeCell ref="F152:G152"/>
    <mergeCell ref="AL158:AL159"/>
    <mergeCell ref="F151:H151"/>
    <mergeCell ref="K151:L151"/>
    <mergeCell ref="M151:O151"/>
    <mergeCell ref="R151:S151"/>
    <mergeCell ref="T151:V151"/>
    <mergeCell ref="Y151:Z151"/>
    <mergeCell ref="AH151:AJ151"/>
    <mergeCell ref="AF159:AF160"/>
    <mergeCell ref="M161:M162"/>
    <mergeCell ref="N161:P161"/>
    <mergeCell ref="R161:R162"/>
    <mergeCell ref="S161:U161"/>
    <mergeCell ref="N162:Q162"/>
    <mergeCell ref="S162:V162"/>
    <mergeCell ref="H152:J152"/>
    <mergeCell ref="M152:N152"/>
    <mergeCell ref="O152:Q152"/>
  </mergeCells>
  <phoneticPr fontId="3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68"/>
  <sheetViews>
    <sheetView showGridLines="0" zoomScaleNormal="100" workbookViewId="0"/>
  </sheetViews>
  <sheetFormatPr defaultColWidth="8.77734375" defaultRowHeight="18" customHeight="1"/>
  <cols>
    <col min="1" max="1" width="2.77734375" style="117" customWidth="1"/>
    <col min="2" max="2" width="8.77734375" style="119"/>
    <col min="3" max="3" width="10.77734375" style="119" bestFit="1" customWidth="1"/>
    <col min="4" max="4" width="8.77734375" style="119"/>
    <col min="5" max="5" width="11.21875" style="118" bestFit="1" customWidth="1"/>
    <col min="6" max="21" width="8.77734375" style="118"/>
    <col min="22" max="16384" width="8.77734375" style="117"/>
  </cols>
  <sheetData>
    <row r="1" spans="1:32" ht="15" customHeight="1">
      <c r="A1" s="114" t="s">
        <v>169</v>
      </c>
      <c r="B1" s="115"/>
      <c r="C1" s="115"/>
      <c r="D1" s="115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</row>
    <row r="2" spans="1:32" ht="13.5">
      <c r="B2" s="214" t="s">
        <v>170</v>
      </c>
      <c r="C2" s="214" t="s">
        <v>171</v>
      </c>
      <c r="D2" s="217" t="s">
        <v>293</v>
      </c>
      <c r="E2" s="214" t="s">
        <v>291</v>
      </c>
      <c r="F2" s="217" t="s">
        <v>292</v>
      </c>
      <c r="G2" s="214" t="s">
        <v>172</v>
      </c>
      <c r="H2" s="214" t="s">
        <v>173</v>
      </c>
      <c r="I2" s="214" t="s">
        <v>165</v>
      </c>
      <c r="J2" s="214" t="s">
        <v>174</v>
      </c>
      <c r="K2" s="145" t="s">
        <v>100</v>
      </c>
      <c r="L2" s="145" t="s">
        <v>101</v>
      </c>
      <c r="N2" s="117"/>
      <c r="O2" s="117"/>
      <c r="P2" s="117"/>
      <c r="Q2" s="117"/>
      <c r="R2" s="117"/>
      <c r="S2" s="117"/>
      <c r="T2" s="117"/>
      <c r="U2" s="117"/>
    </row>
    <row r="3" spans="1:32" ht="15" customHeight="1">
      <c r="B3" s="139" t="e">
        <f>C3</f>
        <v>#DIV/0!</v>
      </c>
      <c r="C3" s="139" t="e">
        <f>AVERAGE(기본정보!B12:B13)</f>
        <v>#DIV/0!</v>
      </c>
      <c r="D3" s="234" t="str">
        <f>IF(TYPE(MATCH("Electronic Micrometer",STD_Data!C:C,0))=16,"표준 측장기","전기 마이크로미터")</f>
        <v>표준 측장기</v>
      </c>
      <c r="E3" s="139">
        <f>Length_7!C4</f>
        <v>0</v>
      </c>
      <c r="F3" s="139">
        <f>Length_7!D4</f>
        <v>0</v>
      </c>
      <c r="G3" s="139">
        <f>Length_7!E4</f>
        <v>0</v>
      </c>
      <c r="H3" s="139">
        <f>MIN(C9:C13)</f>
        <v>0</v>
      </c>
      <c r="I3" s="139">
        <f>MAX(C9:C13)</f>
        <v>0</v>
      </c>
      <c r="J3" s="139" t="str">
        <f>D9</f>
        <v/>
      </c>
      <c r="K3" s="123" t="e">
        <f ca="1">IF(SUM(R29)=0,"","초과")</f>
        <v>#N/A</v>
      </c>
      <c r="L3" s="197" t="str">
        <f>IF(SUM(AE8)=0,"PASS","FAIL")</f>
        <v>PASS</v>
      </c>
      <c r="N3" s="117"/>
      <c r="O3" s="117"/>
      <c r="P3" s="117"/>
      <c r="Q3" s="117"/>
      <c r="R3" s="117"/>
      <c r="S3" s="117"/>
      <c r="T3" s="117"/>
      <c r="U3" s="117"/>
    </row>
    <row r="4" spans="1:32" ht="15" customHeight="1"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</row>
    <row r="5" spans="1:32" ht="15" customHeight="1">
      <c r="A5" s="114" t="s">
        <v>175</v>
      </c>
      <c r="C5" s="115"/>
      <c r="D5" s="115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U5" s="117"/>
      <c r="Y5" s="125" t="s">
        <v>176</v>
      </c>
    </row>
    <row r="6" spans="1:32" ht="15" customHeight="1">
      <c r="B6" s="436" t="s">
        <v>177</v>
      </c>
      <c r="C6" s="143" t="s">
        <v>178</v>
      </c>
      <c r="D6" s="444" t="s">
        <v>174</v>
      </c>
      <c r="E6" s="440" t="str">
        <f>D3&amp;" 지시값"</f>
        <v>표준 측장기 지시값</v>
      </c>
      <c r="F6" s="441"/>
      <c r="G6" s="441"/>
      <c r="H6" s="441"/>
      <c r="I6" s="441"/>
      <c r="J6" s="442"/>
      <c r="K6" s="438" t="s">
        <v>473</v>
      </c>
      <c r="L6" s="214" t="s">
        <v>179</v>
      </c>
      <c r="M6" s="214" t="s">
        <v>180</v>
      </c>
      <c r="N6" s="434" t="s">
        <v>181</v>
      </c>
      <c r="O6" s="443"/>
      <c r="P6" s="435"/>
      <c r="Q6" s="214" t="s">
        <v>182</v>
      </c>
      <c r="R6" s="196" t="s">
        <v>183</v>
      </c>
      <c r="S6" s="214" t="s">
        <v>184</v>
      </c>
      <c r="T6" s="214" t="s">
        <v>185</v>
      </c>
      <c r="U6" s="214" t="s">
        <v>186</v>
      </c>
      <c r="V6" s="434" t="s">
        <v>187</v>
      </c>
      <c r="W6" s="443"/>
      <c r="X6" s="118"/>
      <c r="Y6" s="457" t="s">
        <v>188</v>
      </c>
      <c r="Z6" s="458"/>
      <c r="AA6" s="434" t="s">
        <v>469</v>
      </c>
      <c r="AB6" s="443"/>
      <c r="AC6" s="443"/>
      <c r="AD6" s="443"/>
      <c r="AE6" s="443"/>
      <c r="AF6" s="435"/>
    </row>
    <row r="7" spans="1:32" ht="15" customHeight="1">
      <c r="B7" s="450"/>
      <c r="C7" s="236" t="s">
        <v>190</v>
      </c>
      <c r="D7" s="445"/>
      <c r="E7" s="146" t="s">
        <v>191</v>
      </c>
      <c r="F7" s="143" t="s">
        <v>192</v>
      </c>
      <c r="G7" s="146" t="s">
        <v>97</v>
      </c>
      <c r="H7" s="143" t="s">
        <v>98</v>
      </c>
      <c r="I7" s="146" t="s">
        <v>99</v>
      </c>
      <c r="J7" s="146" t="s">
        <v>193</v>
      </c>
      <c r="K7" s="439"/>
      <c r="L7" s="214" t="s">
        <v>194</v>
      </c>
      <c r="M7" s="214" t="s">
        <v>195</v>
      </c>
      <c r="N7" s="214" t="s">
        <v>196</v>
      </c>
      <c r="O7" s="214" t="s">
        <v>197</v>
      </c>
      <c r="P7" s="214" t="s">
        <v>198</v>
      </c>
      <c r="Q7" s="214" t="s">
        <v>199</v>
      </c>
      <c r="R7" s="214" t="s">
        <v>200</v>
      </c>
      <c r="S7" s="214" t="s">
        <v>201</v>
      </c>
      <c r="T7" s="214" t="s">
        <v>202</v>
      </c>
      <c r="U7" s="214" t="s">
        <v>203</v>
      </c>
      <c r="V7" s="214" t="s">
        <v>186</v>
      </c>
      <c r="W7" s="236" t="s">
        <v>487</v>
      </c>
      <c r="X7" s="118"/>
      <c r="Y7" s="147" t="s">
        <v>204</v>
      </c>
      <c r="Z7" s="147" t="s">
        <v>205</v>
      </c>
      <c r="AA7" s="236" t="s">
        <v>470</v>
      </c>
      <c r="AB7" s="236" t="s">
        <v>471</v>
      </c>
      <c r="AC7" s="236" t="s">
        <v>488</v>
      </c>
      <c r="AD7" s="246" t="s">
        <v>472</v>
      </c>
      <c r="AE7" s="246" t="s">
        <v>189</v>
      </c>
      <c r="AF7" s="246" t="s">
        <v>485</v>
      </c>
    </row>
    <row r="8" spans="1:32" ht="15" customHeight="1">
      <c r="B8" s="437"/>
      <c r="C8" s="236"/>
      <c r="D8" s="446"/>
      <c r="E8" s="146" t="s">
        <v>452</v>
      </c>
      <c r="F8" s="146" t="str">
        <f t="shared" ref="F8:J8" si="0">E8</f>
        <v>μm</v>
      </c>
      <c r="G8" s="146" t="str">
        <f t="shared" si="0"/>
        <v>μm</v>
      </c>
      <c r="H8" s="146" t="str">
        <f t="shared" si="0"/>
        <v>μm</v>
      </c>
      <c r="I8" s="146" t="str">
        <f t="shared" si="0"/>
        <v>μm</v>
      </c>
      <c r="J8" s="146" t="str">
        <f t="shared" si="0"/>
        <v>μm</v>
      </c>
      <c r="K8" s="146" t="s">
        <v>115</v>
      </c>
      <c r="L8" s="236" t="s">
        <v>453</v>
      </c>
      <c r="M8" s="236" t="s">
        <v>453</v>
      </c>
      <c r="N8" s="236" t="s">
        <v>454</v>
      </c>
      <c r="O8" s="236" t="s">
        <v>454</v>
      </c>
      <c r="P8" s="236" t="s">
        <v>454</v>
      </c>
      <c r="Q8" s="236" t="s">
        <v>455</v>
      </c>
      <c r="R8" s="236" t="s">
        <v>454</v>
      </c>
      <c r="S8" s="236" t="s">
        <v>456</v>
      </c>
      <c r="T8" s="236" t="s">
        <v>454</v>
      </c>
      <c r="U8" s="236" t="s">
        <v>456</v>
      </c>
      <c r="V8" s="236" t="s">
        <v>453</v>
      </c>
      <c r="W8" s="236" t="s">
        <v>155</v>
      </c>
      <c r="X8" s="118"/>
      <c r="Y8" s="147" t="s">
        <v>457</v>
      </c>
      <c r="Z8" s="147" t="s">
        <v>453</v>
      </c>
      <c r="AA8" s="235" t="s">
        <v>453</v>
      </c>
      <c r="AB8" s="235" t="s">
        <v>457</v>
      </c>
      <c r="AC8" s="256" t="s">
        <v>155</v>
      </c>
      <c r="AD8" s="246" t="s">
        <v>457</v>
      </c>
      <c r="AE8" s="179">
        <f>IF(TYPE(MATCH("FAIL",AE9:AE13,0))=16,0,1)</f>
        <v>0</v>
      </c>
      <c r="AF8" s="246" t="s">
        <v>155</v>
      </c>
    </row>
    <row r="9" spans="1:32" ht="15" customHeight="1">
      <c r="B9" s="148" t="b">
        <f>IF(TRIM(Length_7!A4)="",FALSE,TRUE)</f>
        <v>0</v>
      </c>
      <c r="C9" s="181" t="str">
        <f>IF($B9=FALSE,"",VALUE(Length_7!A4))</f>
        <v/>
      </c>
      <c r="D9" s="139" t="str">
        <f>IF($B9=FALSE,"",Length_7!B4)</f>
        <v/>
      </c>
      <c r="E9" s="148" t="str">
        <f>IF($B9=FALSE,"",Length_7!M4)</f>
        <v/>
      </c>
      <c r="F9" s="148" t="str">
        <f>IF($B9=FALSE,"",Length_7!N4)</f>
        <v/>
      </c>
      <c r="G9" s="148" t="str">
        <f>IF($B9=FALSE,"",Length_7!O4)</f>
        <v/>
      </c>
      <c r="H9" s="148" t="str">
        <f>IF($B9=FALSE,"",Length_7!P4)</f>
        <v/>
      </c>
      <c r="I9" s="148" t="str">
        <f>IF($B9=FALSE,"",Length_7!Q4)</f>
        <v/>
      </c>
      <c r="J9" s="148" t="str">
        <f>IF($B9=FALSE,"",AVERAGE(E9:I9))</f>
        <v/>
      </c>
      <c r="K9" s="215" t="str">
        <f t="shared" ref="K9:K13" si="1">IF(B9=FALSE,"",STDEV(E9:I9))</f>
        <v/>
      </c>
      <c r="L9" s="182" t="str">
        <f>IF($B9=FALSE,"",Length_7!D27)</f>
        <v/>
      </c>
      <c r="M9" s="154" t="str">
        <f>IF($B9=FALSE,"",J9/1000)</f>
        <v/>
      </c>
      <c r="N9" s="156" t="str">
        <f t="shared" ref="N9:N13" si="2">IF(B9=FALSE,"",11.5*10^-6)</f>
        <v/>
      </c>
      <c r="O9" s="156" t="str">
        <f>IF(B9=FALSE,"",Length_7!F27)</f>
        <v/>
      </c>
      <c r="P9" s="156" t="str">
        <f t="shared" ref="P9:P13" si="3">IF(B9=FALSE,"",AVERAGE(N9:O9))</f>
        <v/>
      </c>
      <c r="Q9" s="139" t="str">
        <f t="shared" ref="Q9:Q13" si="4">IF(B9=FALSE,"",B$3-C$3)</f>
        <v/>
      </c>
      <c r="R9" s="139" t="str">
        <f t="shared" ref="R9:R13" si="5">IF(B9=FALSE,"",N9-O9)</f>
        <v/>
      </c>
      <c r="S9" s="139" t="str">
        <f t="shared" ref="S9:S13" si="6">IF(B9=FALSE,"",AVERAGE(B$3:C$3)-20)</f>
        <v/>
      </c>
      <c r="T9" s="249" t="str">
        <f t="shared" ref="T9:T13" si="7">IF(B9=FALSE,"",(P9*Q9+R9*S9)*C9)</f>
        <v/>
      </c>
      <c r="U9" s="142" t="str">
        <f>IF(B9=FALSE,"",M9+L9-T9)</f>
        <v/>
      </c>
      <c r="V9" s="139" t="str">
        <f>IF($B9=FALSE,"",ROUND(U9,$K$29))</f>
        <v/>
      </c>
      <c r="W9" s="139" t="str">
        <f>IF($B9=FALSE,"",ROUND(U9-C9,$K$29))</f>
        <v/>
      </c>
      <c r="X9" s="118"/>
      <c r="Y9" s="139" t="str">
        <f>IF($B9=FALSE,"",ROUND(C9+Length_7!J4/1000,$K$29+3))</f>
        <v/>
      </c>
      <c r="Z9" s="139" t="str">
        <f>IF($B9=FALSE,"",ROUND(C9+Length_7!K4/1000,$K$29+3))</f>
        <v/>
      </c>
      <c r="AA9" s="139" t="e">
        <f ca="1">TEXT(C9,IF(C9&gt;=1000,"# ##","")&amp;$P$29)</f>
        <v>#N/A</v>
      </c>
      <c r="AB9" s="139" t="e">
        <f t="shared" ref="AB9:AC13" ca="1" si="8">TEXT(V9,IF(V9&gt;=1000,"# ##","")&amp;$P$29)</f>
        <v>#N/A</v>
      </c>
      <c r="AC9" s="139" t="e">
        <f t="shared" ca="1" si="8"/>
        <v>#N/A</v>
      </c>
      <c r="AD9" s="139" t="e">
        <f ca="1">"± "&amp;TEXT((Z9-Y9)/2,P$29)</f>
        <v>#VALUE!</v>
      </c>
      <c r="AE9" s="139" t="str">
        <f>IF($B9=FALSE,"",IF(AND(Y9&lt;=V9,V9&lt;=Z9),"PASS","FAIL"))</f>
        <v/>
      </c>
      <c r="AF9" s="139" t="e">
        <f ca="1">T$29</f>
        <v>#N/A</v>
      </c>
    </row>
    <row r="10" spans="1:32" ht="15" customHeight="1">
      <c r="B10" s="148" t="b">
        <f>IF(TRIM(Length_7!A20)="",FALSE,TRUE)</f>
        <v>0</v>
      </c>
      <c r="C10" s="181" t="str">
        <f>IF($B10=FALSE,"",VALUE(Length_7!A20))</f>
        <v/>
      </c>
      <c r="D10" s="139" t="str">
        <f>IF($B10=FALSE,"",Length_7!B20)</f>
        <v/>
      </c>
      <c r="E10" s="148" t="str">
        <f>IF($B10=FALSE,"",Length_7!M20)</f>
        <v/>
      </c>
      <c r="F10" s="148" t="str">
        <f>IF($B10=FALSE,"",Length_7!N20)</f>
        <v/>
      </c>
      <c r="G10" s="148" t="str">
        <f>IF($B10=FALSE,"",Length_7!O20)</f>
        <v/>
      </c>
      <c r="H10" s="148" t="str">
        <f>IF($B10=FALSE,"",Length_7!P20)</f>
        <v/>
      </c>
      <c r="I10" s="148" t="str">
        <f>IF($B10=FALSE,"",Length_7!Q20)</f>
        <v/>
      </c>
      <c r="J10" s="148" t="str">
        <f t="shared" ref="J10:J13" si="9">IF($B10=FALSE,"",AVERAGE(E10:I10))</f>
        <v/>
      </c>
      <c r="K10" s="215" t="str">
        <f t="shared" si="1"/>
        <v/>
      </c>
      <c r="L10" s="182" t="str">
        <f>IF($B10=FALSE,"",Length_7!D43)</f>
        <v/>
      </c>
      <c r="M10" s="154" t="str">
        <f t="shared" ref="M10:M13" si="10">IF($B10=FALSE,"",J10/1000)</f>
        <v/>
      </c>
      <c r="N10" s="156" t="str">
        <f t="shared" si="2"/>
        <v/>
      </c>
      <c r="O10" s="156" t="str">
        <f>IF(B10=FALSE,"",Length_7!F28)</f>
        <v/>
      </c>
      <c r="P10" s="156" t="str">
        <f t="shared" si="3"/>
        <v/>
      </c>
      <c r="Q10" s="139" t="str">
        <f t="shared" si="4"/>
        <v/>
      </c>
      <c r="R10" s="139" t="str">
        <f t="shared" si="5"/>
        <v/>
      </c>
      <c r="S10" s="139" t="str">
        <f t="shared" si="6"/>
        <v/>
      </c>
      <c r="T10" s="249" t="str">
        <f t="shared" si="7"/>
        <v/>
      </c>
      <c r="U10" s="142" t="str">
        <f t="shared" ref="U10:U13" si="11">IF(B10=FALSE,"",M10+L10-T10)</f>
        <v/>
      </c>
      <c r="V10" s="139" t="str">
        <f>IF($B10=FALSE,"",ROUND(U10,$K$29))</f>
        <v/>
      </c>
      <c r="W10" s="139" t="str">
        <f>IF($B10=FALSE,"",ROUND(U10-C10,$K$29))</f>
        <v/>
      </c>
      <c r="X10" s="118"/>
      <c r="Y10" s="139" t="str">
        <f>IF($B10=FALSE,"",ROUND(C10+Length_7!J20/1000,$K$29+3))</f>
        <v/>
      </c>
      <c r="Z10" s="139" t="str">
        <f>IF($B10=FALSE,"",ROUND(C10+Length_7!K20/1000,$K$29+3))</f>
        <v/>
      </c>
      <c r="AA10" s="139" t="e">
        <f ca="1">TEXT(C10,IF(C10&gt;=1000,"# ##","")&amp;$P$29)</f>
        <v>#N/A</v>
      </c>
      <c r="AB10" s="139" t="e">
        <f t="shared" ca="1" si="8"/>
        <v>#N/A</v>
      </c>
      <c r="AC10" s="139" t="e">
        <f t="shared" ca="1" si="8"/>
        <v>#N/A</v>
      </c>
      <c r="AD10" s="139" t="e">
        <f ca="1">"± "&amp;TEXT((Z10-Y10)/2,P$29)</f>
        <v>#VALUE!</v>
      </c>
      <c r="AE10" s="139" t="str">
        <f t="shared" ref="AE10:AE13" si="12">IF($B10=FALSE,"",IF(AND(Y10&lt;=V10,V10&lt;=Z10),"PASS","FAIL"))</f>
        <v/>
      </c>
      <c r="AF10" s="139" t="e">
        <f t="shared" ref="AF10:AF13" ca="1" si="13">T$29</f>
        <v>#N/A</v>
      </c>
    </row>
    <row r="11" spans="1:32" ht="15" customHeight="1">
      <c r="B11" s="148" t="b">
        <f>IF(TRIM(Length_7!A21)="",FALSE,TRUE)</f>
        <v>0</v>
      </c>
      <c r="C11" s="181" t="str">
        <f>IF($B11=FALSE,"",VALUE(Length_7!A21))</f>
        <v/>
      </c>
      <c r="D11" s="139" t="str">
        <f>IF($B11=FALSE,"",Length_7!B21)</f>
        <v/>
      </c>
      <c r="E11" s="148" t="str">
        <f>IF($B11=FALSE,"",Length_7!M21)</f>
        <v/>
      </c>
      <c r="F11" s="148" t="str">
        <f>IF($B11=FALSE,"",Length_7!N21)</f>
        <v/>
      </c>
      <c r="G11" s="148" t="str">
        <f>IF($B11=FALSE,"",Length_7!O21)</f>
        <v/>
      </c>
      <c r="H11" s="148" t="str">
        <f>IF($B11=FALSE,"",Length_7!P21)</f>
        <v/>
      </c>
      <c r="I11" s="148" t="str">
        <f>IF($B11=FALSE,"",Length_7!Q21)</f>
        <v/>
      </c>
      <c r="J11" s="148" t="str">
        <f t="shared" si="9"/>
        <v/>
      </c>
      <c r="K11" s="215" t="str">
        <f t="shared" si="1"/>
        <v/>
      </c>
      <c r="L11" s="182" t="str">
        <f>IF($B11=FALSE,"",Length_7!D44)</f>
        <v/>
      </c>
      <c r="M11" s="154" t="str">
        <f t="shared" si="10"/>
        <v/>
      </c>
      <c r="N11" s="156" t="str">
        <f t="shared" si="2"/>
        <v/>
      </c>
      <c r="O11" s="156" t="str">
        <f>IF(B11=FALSE,"",Length_7!F29)</f>
        <v/>
      </c>
      <c r="P11" s="156" t="str">
        <f t="shared" si="3"/>
        <v/>
      </c>
      <c r="Q11" s="139" t="str">
        <f t="shared" si="4"/>
        <v/>
      </c>
      <c r="R11" s="139" t="str">
        <f t="shared" si="5"/>
        <v/>
      </c>
      <c r="S11" s="139" t="str">
        <f t="shared" si="6"/>
        <v/>
      </c>
      <c r="T11" s="249" t="str">
        <f t="shared" si="7"/>
        <v/>
      </c>
      <c r="U11" s="142" t="str">
        <f t="shared" si="11"/>
        <v/>
      </c>
      <c r="V11" s="139" t="str">
        <f>IF($B11=FALSE,"",ROUND(U11,$K$29))</f>
        <v/>
      </c>
      <c r="W11" s="139" t="str">
        <f>IF($B11=FALSE,"",ROUND(U11-C11,$K$29))</f>
        <v/>
      </c>
      <c r="X11" s="118"/>
      <c r="Y11" s="139" t="str">
        <f>IF($B11=FALSE,"",ROUND(C11+Length_7!J21/1000,$K$29+3))</f>
        <v/>
      </c>
      <c r="Z11" s="139" t="str">
        <f>IF($B11=FALSE,"",ROUND(C11+Length_7!K21/1000,$K$29+3))</f>
        <v/>
      </c>
      <c r="AA11" s="139" t="e">
        <f ca="1">TEXT(C11,IF(C11&gt;=1000,"# ##","")&amp;$P$29)</f>
        <v>#N/A</v>
      </c>
      <c r="AB11" s="139" t="e">
        <f t="shared" ca="1" si="8"/>
        <v>#N/A</v>
      </c>
      <c r="AC11" s="139" t="e">
        <f t="shared" ca="1" si="8"/>
        <v>#N/A</v>
      </c>
      <c r="AD11" s="139" t="e">
        <f ca="1">"± "&amp;TEXT((Z11-Y11)/2,P$29)</f>
        <v>#VALUE!</v>
      </c>
      <c r="AE11" s="139" t="str">
        <f t="shared" si="12"/>
        <v/>
      </c>
      <c r="AF11" s="139" t="e">
        <f t="shared" ca="1" si="13"/>
        <v>#N/A</v>
      </c>
    </row>
    <row r="12" spans="1:32" ht="15" customHeight="1">
      <c r="B12" s="148" t="b">
        <f>IF(TRIM(Length_7!A22)="",FALSE,TRUE)</f>
        <v>0</v>
      </c>
      <c r="C12" s="181" t="str">
        <f>IF($B12=FALSE,"",VALUE(Length_7!A22))</f>
        <v/>
      </c>
      <c r="D12" s="139" t="str">
        <f>IF($B12=FALSE,"",Length_7!B22)</f>
        <v/>
      </c>
      <c r="E12" s="148" t="str">
        <f>IF($B12=FALSE,"",Length_7!M22)</f>
        <v/>
      </c>
      <c r="F12" s="148" t="str">
        <f>IF($B12=FALSE,"",Length_7!N22)</f>
        <v/>
      </c>
      <c r="G12" s="148" t="str">
        <f>IF($B12=FALSE,"",Length_7!O22)</f>
        <v/>
      </c>
      <c r="H12" s="148" t="str">
        <f>IF($B12=FALSE,"",Length_7!P22)</f>
        <v/>
      </c>
      <c r="I12" s="148" t="str">
        <f>IF($B12=FALSE,"",Length_7!Q22)</f>
        <v/>
      </c>
      <c r="J12" s="148" t="str">
        <f t="shared" si="9"/>
        <v/>
      </c>
      <c r="K12" s="215" t="str">
        <f t="shared" si="1"/>
        <v/>
      </c>
      <c r="L12" s="182" t="str">
        <f>IF($B12=FALSE,"",Length_7!D45)</f>
        <v/>
      </c>
      <c r="M12" s="154" t="str">
        <f t="shared" si="10"/>
        <v/>
      </c>
      <c r="N12" s="156" t="str">
        <f t="shared" si="2"/>
        <v/>
      </c>
      <c r="O12" s="156" t="str">
        <f>IF(B12=FALSE,"",Length_7!F30)</f>
        <v/>
      </c>
      <c r="P12" s="156" t="str">
        <f t="shared" si="3"/>
        <v/>
      </c>
      <c r="Q12" s="139" t="str">
        <f t="shared" si="4"/>
        <v/>
      </c>
      <c r="R12" s="139" t="str">
        <f t="shared" si="5"/>
        <v/>
      </c>
      <c r="S12" s="139" t="str">
        <f t="shared" si="6"/>
        <v/>
      </c>
      <c r="T12" s="249" t="str">
        <f t="shared" si="7"/>
        <v/>
      </c>
      <c r="U12" s="142" t="str">
        <f t="shared" si="11"/>
        <v/>
      </c>
      <c r="V12" s="139" t="str">
        <f>IF($B12=FALSE,"",ROUND(U12,$K$29))</f>
        <v/>
      </c>
      <c r="W12" s="139" t="str">
        <f>IF($B12=FALSE,"",ROUND(U12-C12,$K$29))</f>
        <v/>
      </c>
      <c r="X12" s="118"/>
      <c r="Y12" s="139" t="str">
        <f>IF($B12=FALSE,"",ROUND(C12+Length_7!J22/1000,$K$29+3))</f>
        <v/>
      </c>
      <c r="Z12" s="139" t="str">
        <f>IF($B12=FALSE,"",ROUND(C12+Length_7!K22/1000,$K$29+3))</f>
        <v/>
      </c>
      <c r="AA12" s="139" t="e">
        <f ca="1">TEXT(C12,IF(C12&gt;=1000,"# ##","")&amp;$P$29)</f>
        <v>#N/A</v>
      </c>
      <c r="AB12" s="139" t="e">
        <f t="shared" ca="1" si="8"/>
        <v>#N/A</v>
      </c>
      <c r="AC12" s="139" t="e">
        <f t="shared" ca="1" si="8"/>
        <v>#N/A</v>
      </c>
      <c r="AD12" s="139" t="e">
        <f ca="1">"± "&amp;TEXT((Z12-Y12)/2,P$29)</f>
        <v>#VALUE!</v>
      </c>
      <c r="AE12" s="139" t="str">
        <f t="shared" si="12"/>
        <v/>
      </c>
      <c r="AF12" s="139" t="e">
        <f t="shared" ca="1" si="13"/>
        <v>#N/A</v>
      </c>
    </row>
    <row r="13" spans="1:32" ht="15" customHeight="1">
      <c r="B13" s="148" t="b">
        <f>IF(TRIM(Length_7!A23)="",FALSE,TRUE)</f>
        <v>0</v>
      </c>
      <c r="C13" s="181" t="str">
        <f>IF($B13=FALSE,"",VALUE(Length_7!A23))</f>
        <v/>
      </c>
      <c r="D13" s="139" t="str">
        <f>IF($B13=FALSE,"",Length_7!B23)</f>
        <v/>
      </c>
      <c r="E13" s="148" t="str">
        <f>IF($B13=FALSE,"",Length_7!M23)</f>
        <v/>
      </c>
      <c r="F13" s="148" t="str">
        <f>IF($B13=FALSE,"",Length_7!N23)</f>
        <v/>
      </c>
      <c r="G13" s="148" t="str">
        <f>IF($B13=FALSE,"",Length_7!O23)</f>
        <v/>
      </c>
      <c r="H13" s="148" t="str">
        <f>IF($B13=FALSE,"",Length_7!P23)</f>
        <v/>
      </c>
      <c r="I13" s="148" t="str">
        <f>IF($B13=FALSE,"",Length_7!Q23)</f>
        <v/>
      </c>
      <c r="J13" s="148" t="str">
        <f t="shared" si="9"/>
        <v/>
      </c>
      <c r="K13" s="215" t="str">
        <f t="shared" si="1"/>
        <v/>
      </c>
      <c r="L13" s="182" t="str">
        <f>IF($B13=FALSE,"",Length_7!D46)</f>
        <v/>
      </c>
      <c r="M13" s="154" t="str">
        <f t="shared" si="10"/>
        <v/>
      </c>
      <c r="N13" s="156" t="str">
        <f t="shared" si="2"/>
        <v/>
      </c>
      <c r="O13" s="156" t="str">
        <f>IF(B13=FALSE,"",Length_7!F31)</f>
        <v/>
      </c>
      <c r="P13" s="156" t="str">
        <f t="shared" si="3"/>
        <v/>
      </c>
      <c r="Q13" s="139" t="str">
        <f t="shared" si="4"/>
        <v/>
      </c>
      <c r="R13" s="139" t="str">
        <f t="shared" si="5"/>
        <v/>
      </c>
      <c r="S13" s="139" t="str">
        <f t="shared" si="6"/>
        <v/>
      </c>
      <c r="T13" s="249" t="str">
        <f t="shared" si="7"/>
        <v/>
      </c>
      <c r="U13" s="142" t="str">
        <f t="shared" si="11"/>
        <v/>
      </c>
      <c r="V13" s="139" t="str">
        <f>IF($B13=FALSE,"",ROUND(U13,$K$29))</f>
        <v/>
      </c>
      <c r="W13" s="139" t="str">
        <f>IF($B13=FALSE,"",ROUND(U13-C13,$K$29))</f>
        <v/>
      </c>
      <c r="X13" s="118"/>
      <c r="Y13" s="139" t="str">
        <f>IF($B13=FALSE,"",ROUND(C13+Length_7!J23/1000,$K$29+3))</f>
        <v/>
      </c>
      <c r="Z13" s="139" t="str">
        <f>IF($B13=FALSE,"",ROUND(C13+Length_7!K23/1000,$K$29+3))</f>
        <v/>
      </c>
      <c r="AA13" s="139" t="e">
        <f ca="1">TEXT(C13,IF(C13&gt;=1000,"# ##","")&amp;$P$29)</f>
        <v>#N/A</v>
      </c>
      <c r="AB13" s="139" t="e">
        <f t="shared" ca="1" si="8"/>
        <v>#N/A</v>
      </c>
      <c r="AC13" s="139" t="e">
        <f t="shared" ca="1" si="8"/>
        <v>#N/A</v>
      </c>
      <c r="AD13" s="139" t="e">
        <f ca="1">"± "&amp;TEXT((Z13-Y13)/2,P$29)</f>
        <v>#VALUE!</v>
      </c>
      <c r="AE13" s="139" t="str">
        <f t="shared" si="12"/>
        <v/>
      </c>
      <c r="AF13" s="139" t="e">
        <f t="shared" ca="1" si="13"/>
        <v>#N/A</v>
      </c>
    </row>
    <row r="14" spans="1:32" ht="15" customHeight="1">
      <c r="M14" s="116"/>
      <c r="N14" s="116"/>
      <c r="O14" s="116"/>
      <c r="P14" s="116"/>
      <c r="Q14" s="116"/>
      <c r="T14" s="117"/>
      <c r="U14" s="116"/>
    </row>
    <row r="15" spans="1:32" ht="15" customHeight="1">
      <c r="A15" s="114" t="s">
        <v>206</v>
      </c>
      <c r="C15" s="115"/>
      <c r="D15" s="115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W15" s="120"/>
    </row>
    <row r="16" spans="1:32" ht="15" customHeight="1">
      <c r="A16" s="114"/>
      <c r="B16" s="436"/>
      <c r="C16" s="436" t="s">
        <v>207</v>
      </c>
      <c r="D16" s="444" t="s">
        <v>208</v>
      </c>
      <c r="E16" s="436" t="s">
        <v>209</v>
      </c>
      <c r="F16" s="436" t="s">
        <v>210</v>
      </c>
      <c r="G16" s="434">
        <v>1</v>
      </c>
      <c r="H16" s="443"/>
      <c r="I16" s="443"/>
      <c r="J16" s="443"/>
      <c r="K16" s="435"/>
      <c r="L16" s="214">
        <v>2</v>
      </c>
      <c r="M16" s="434">
        <v>3</v>
      </c>
      <c r="N16" s="443"/>
      <c r="O16" s="443"/>
      <c r="P16" s="435"/>
      <c r="Q16" s="434">
        <v>4</v>
      </c>
      <c r="R16" s="435"/>
      <c r="S16" s="214">
        <v>5</v>
      </c>
      <c r="T16" s="436" t="s">
        <v>496</v>
      </c>
      <c r="U16" s="434" t="s">
        <v>504</v>
      </c>
      <c r="V16" s="435"/>
      <c r="W16" s="120"/>
    </row>
    <row r="17" spans="1:32" ht="15" customHeight="1">
      <c r="A17" s="114"/>
      <c r="B17" s="437"/>
      <c r="C17" s="437"/>
      <c r="D17" s="446"/>
      <c r="E17" s="437"/>
      <c r="F17" s="437"/>
      <c r="G17" s="236" t="s">
        <v>211</v>
      </c>
      <c r="H17" s="236" t="s">
        <v>477</v>
      </c>
      <c r="I17" s="236" t="s">
        <v>478</v>
      </c>
      <c r="J17" s="434" t="s">
        <v>212</v>
      </c>
      <c r="K17" s="435"/>
      <c r="L17" s="214" t="s">
        <v>213</v>
      </c>
      <c r="M17" s="434" t="s">
        <v>211</v>
      </c>
      <c r="N17" s="435"/>
      <c r="O17" s="434" t="s">
        <v>214</v>
      </c>
      <c r="P17" s="435"/>
      <c r="Q17" s="434" t="s">
        <v>215</v>
      </c>
      <c r="R17" s="435"/>
      <c r="S17" s="214" t="s">
        <v>216</v>
      </c>
      <c r="T17" s="459"/>
      <c r="U17" s="236" t="s">
        <v>500</v>
      </c>
      <c r="V17" s="236" t="s">
        <v>501</v>
      </c>
      <c r="W17" s="120"/>
    </row>
    <row r="18" spans="1:32" ht="15" customHeight="1">
      <c r="B18" s="214" t="s">
        <v>217</v>
      </c>
      <c r="C18" s="149" t="s">
        <v>218</v>
      </c>
      <c r="D18" s="150" t="s">
        <v>219</v>
      </c>
      <c r="E18" s="139" t="e">
        <f>VLOOKUP($I$3,C$9:U$13,11,FALSE)</f>
        <v>#N/A</v>
      </c>
      <c r="F18" s="152" t="s">
        <v>220</v>
      </c>
      <c r="G18" s="215">
        <f>MAX(K9:K13,G24)</f>
        <v>0</v>
      </c>
      <c r="H18" s="139"/>
      <c r="I18" s="155">
        <v>5</v>
      </c>
      <c r="J18" s="160">
        <f>G18/(IF(H18="",1,H18)*SQRT(I18))</f>
        <v>0</v>
      </c>
      <c r="K18" s="152" t="s">
        <v>221</v>
      </c>
      <c r="L18" s="153" t="s">
        <v>222</v>
      </c>
      <c r="M18" s="139"/>
      <c r="N18" s="139"/>
      <c r="O18" s="154">
        <v>1</v>
      </c>
      <c r="P18" s="139"/>
      <c r="Q18" s="161">
        <f>ABS(J18*O18)</f>
        <v>0</v>
      </c>
      <c r="R18" s="152" t="s">
        <v>223</v>
      </c>
      <c r="S18" s="139">
        <v>4</v>
      </c>
      <c r="T18" s="140">
        <f t="shared" ref="T18:T24" si="14">IF(S18="∞",0,Q18^4/S18)</f>
        <v>0</v>
      </c>
      <c r="U18" s="161" t="str">
        <f t="shared" ref="U18:U24" si="15">IF(OR(L18="직사각형",L18="삼각형"),Q18,"")</f>
        <v/>
      </c>
      <c r="V18" s="161">
        <f t="shared" ref="V18:V24" si="16">IF(OR(L18="직사각형",L18="삼각형"),"",Q18)</f>
        <v>0</v>
      </c>
      <c r="W18" s="120"/>
    </row>
    <row r="19" spans="1:32" ht="15" customHeight="1">
      <c r="B19" s="214" t="s">
        <v>224</v>
      </c>
      <c r="C19" s="149" t="s">
        <v>225</v>
      </c>
      <c r="D19" s="150" t="s">
        <v>517</v>
      </c>
      <c r="E19" s="139" t="e">
        <f>VLOOKUP($I$3,C$9:U$13,10,FALSE)</f>
        <v>#N/A</v>
      </c>
      <c r="F19" s="152" t="s">
        <v>220</v>
      </c>
      <c r="G19" s="139" t="e">
        <f>VLOOKUP(I3,Length_7!B27:T46,16,FALSE)</f>
        <v>#N/A</v>
      </c>
      <c r="H19" s="139" t="e">
        <f>VLOOKUP(I3,Length_7!B27:T46,17,FALSE)</f>
        <v>#N/A</v>
      </c>
      <c r="I19" s="139" t="e">
        <f>VLOOKUP(I3,Length_7!B27:T46,19,FALSE)</f>
        <v>#N/A</v>
      </c>
      <c r="J19" s="160" t="e">
        <f>G19/(IF(H19="",1,H19)*SQRT(I19))/1000</f>
        <v>#N/A</v>
      </c>
      <c r="K19" s="152" t="s">
        <v>221</v>
      </c>
      <c r="L19" s="153" t="s">
        <v>226</v>
      </c>
      <c r="M19" s="139"/>
      <c r="N19" s="139"/>
      <c r="O19" s="154">
        <v>1</v>
      </c>
      <c r="P19" s="139"/>
      <c r="Q19" s="161" t="e">
        <f t="shared" ref="Q19:Q24" si="17">ABS(J19*O19)</f>
        <v>#N/A</v>
      </c>
      <c r="R19" s="152" t="s">
        <v>221</v>
      </c>
      <c r="S19" s="139" t="s">
        <v>227</v>
      </c>
      <c r="T19" s="140">
        <f t="shared" si="14"/>
        <v>0</v>
      </c>
      <c r="U19" s="161" t="str">
        <f t="shared" si="15"/>
        <v/>
      </c>
      <c r="V19" s="161" t="e">
        <f t="shared" si="16"/>
        <v>#N/A</v>
      </c>
      <c r="W19" s="120"/>
    </row>
    <row r="20" spans="1:32" ht="15" customHeight="1">
      <c r="B20" s="214" t="s">
        <v>228</v>
      </c>
      <c r="C20" s="149" t="s">
        <v>229</v>
      </c>
      <c r="D20" s="150" t="s">
        <v>150</v>
      </c>
      <c r="E20" s="156" t="e">
        <f ca="1">OFFSET(P$8,MATCH(I$3,C$9:C$13,0),0)</f>
        <v>#N/A</v>
      </c>
      <c r="F20" s="151" t="s">
        <v>230</v>
      </c>
      <c r="G20" s="156">
        <f>1*10^-6</f>
        <v>9.9999999999999995E-7</v>
      </c>
      <c r="H20" s="198"/>
      <c r="I20" s="155">
        <v>3</v>
      </c>
      <c r="J20" s="265">
        <f>SQRT((G20/SQRT(I20)/2)^2+(G20/SQRT(I20)/2)^2)</f>
        <v>4.0824829046386305E-7</v>
      </c>
      <c r="K20" s="151" t="s">
        <v>231</v>
      </c>
      <c r="L20" s="153" t="s">
        <v>232</v>
      </c>
      <c r="M20" s="152">
        <f>G21</f>
        <v>0.3</v>
      </c>
      <c r="N20" s="139">
        <f>$I$3*1000</f>
        <v>0</v>
      </c>
      <c r="O20" s="154">
        <f>-M20*N20</f>
        <v>0</v>
      </c>
      <c r="P20" s="139" t="s">
        <v>233</v>
      </c>
      <c r="Q20" s="161">
        <f t="shared" si="17"/>
        <v>0</v>
      </c>
      <c r="R20" s="152" t="s">
        <v>221</v>
      </c>
      <c r="S20" s="139">
        <v>100</v>
      </c>
      <c r="T20" s="140">
        <f t="shared" si="14"/>
        <v>0</v>
      </c>
      <c r="U20" s="161">
        <f t="shared" si="15"/>
        <v>0</v>
      </c>
      <c r="V20" s="161" t="str">
        <f t="shared" si="16"/>
        <v/>
      </c>
      <c r="W20" s="120"/>
    </row>
    <row r="21" spans="1:32" ht="15" customHeight="1">
      <c r="B21" s="214" t="s">
        <v>234</v>
      </c>
      <c r="C21" s="149" t="s">
        <v>235</v>
      </c>
      <c r="D21" s="150" t="s">
        <v>151</v>
      </c>
      <c r="E21" s="152" t="str">
        <f>Q9</f>
        <v/>
      </c>
      <c r="F21" s="151" t="s">
        <v>236</v>
      </c>
      <c r="G21" s="152">
        <f>IF(기본정보!H12=1,1,0.3)</f>
        <v>0.3</v>
      </c>
      <c r="H21" s="198"/>
      <c r="I21" s="155">
        <v>3</v>
      </c>
      <c r="J21" s="160">
        <f>G21/(IF(H21="",1,H21)*SQRT(I21))</f>
        <v>0.17320508075688773</v>
      </c>
      <c r="K21" s="151" t="s">
        <v>237</v>
      </c>
      <c r="L21" s="153" t="s">
        <v>238</v>
      </c>
      <c r="M21" s="156" t="e">
        <f ca="1">E20</f>
        <v>#N/A</v>
      </c>
      <c r="N21" s="139">
        <f t="shared" ref="N21:N23" si="18">$I$3*1000</f>
        <v>0</v>
      </c>
      <c r="O21" s="154" t="e">
        <f ca="1">-M21*N21</f>
        <v>#N/A</v>
      </c>
      <c r="P21" s="139" t="s">
        <v>239</v>
      </c>
      <c r="Q21" s="161" t="e">
        <f t="shared" ca="1" si="17"/>
        <v>#N/A</v>
      </c>
      <c r="R21" s="152" t="s">
        <v>240</v>
      </c>
      <c r="S21" s="139">
        <f>ROUNDDOWN(1/2*(100/20)^2,0)</f>
        <v>12</v>
      </c>
      <c r="T21" s="140" t="e">
        <f t="shared" ca="1" si="14"/>
        <v>#N/A</v>
      </c>
      <c r="U21" s="161" t="e">
        <f t="shared" ca="1" si="15"/>
        <v>#N/A</v>
      </c>
      <c r="V21" s="161" t="str">
        <f t="shared" si="16"/>
        <v/>
      </c>
      <c r="W21" s="120"/>
    </row>
    <row r="22" spans="1:32" ht="15" customHeight="1">
      <c r="B22" s="214" t="s">
        <v>241</v>
      </c>
      <c r="C22" s="149" t="s">
        <v>242</v>
      </c>
      <c r="D22" s="150" t="s">
        <v>152</v>
      </c>
      <c r="E22" s="157" t="e">
        <f ca="1">OFFSET(R$8,MATCH(I$3,C$9:C$13,0),0)</f>
        <v>#N/A</v>
      </c>
      <c r="F22" s="151" t="s">
        <v>243</v>
      </c>
      <c r="G22" s="156">
        <f>1*10^-6</f>
        <v>9.9999999999999995E-7</v>
      </c>
      <c r="H22" s="198"/>
      <c r="I22" s="155">
        <v>3</v>
      </c>
      <c r="J22" s="265">
        <f>SQRT((G22/SQRT(I22))^2+(G22/SQRT(I22))^2)</f>
        <v>8.1649658092772609E-7</v>
      </c>
      <c r="K22" s="151" t="s">
        <v>244</v>
      </c>
      <c r="L22" s="153" t="s">
        <v>232</v>
      </c>
      <c r="M22" s="152" t="str">
        <f>E23</f>
        <v/>
      </c>
      <c r="N22" s="139">
        <f t="shared" si="18"/>
        <v>0</v>
      </c>
      <c r="O22" s="154" t="e">
        <f>-M22*N22</f>
        <v>#VALUE!</v>
      </c>
      <c r="P22" s="139" t="s">
        <v>245</v>
      </c>
      <c r="Q22" s="161" t="e">
        <f t="shared" si="17"/>
        <v>#VALUE!</v>
      </c>
      <c r="R22" s="152" t="s">
        <v>246</v>
      </c>
      <c r="S22" s="139">
        <v>100</v>
      </c>
      <c r="T22" s="140" t="e">
        <f t="shared" si="14"/>
        <v>#VALUE!</v>
      </c>
      <c r="U22" s="161" t="e">
        <f t="shared" si="15"/>
        <v>#VALUE!</v>
      </c>
      <c r="V22" s="161" t="str">
        <f t="shared" si="16"/>
        <v/>
      </c>
      <c r="W22" s="120"/>
    </row>
    <row r="23" spans="1:32" ht="15" customHeight="1">
      <c r="B23" s="214" t="s">
        <v>247</v>
      </c>
      <c r="C23" s="149" t="s">
        <v>153</v>
      </c>
      <c r="D23" s="150" t="s">
        <v>154</v>
      </c>
      <c r="E23" s="152" t="str">
        <f>S9</f>
        <v/>
      </c>
      <c r="F23" s="151" t="s">
        <v>236</v>
      </c>
      <c r="G23" s="152">
        <f>IF(기본정보!H12=1,3,1)</f>
        <v>1</v>
      </c>
      <c r="H23" s="198"/>
      <c r="I23" s="155">
        <v>3</v>
      </c>
      <c r="J23" s="160">
        <f>G23/(IF(H23="",1,H23)*SQRT(I23))</f>
        <v>0.57735026918962584</v>
      </c>
      <c r="K23" s="151" t="s">
        <v>248</v>
      </c>
      <c r="L23" s="153" t="s">
        <v>249</v>
      </c>
      <c r="M23" s="157" t="e">
        <f ca="1">E22</f>
        <v>#N/A</v>
      </c>
      <c r="N23" s="139">
        <f t="shared" si="18"/>
        <v>0</v>
      </c>
      <c r="O23" s="154" t="e">
        <f ca="1">-M23*N23</f>
        <v>#N/A</v>
      </c>
      <c r="P23" s="139" t="s">
        <v>250</v>
      </c>
      <c r="Q23" s="161" t="e">
        <f t="shared" ca="1" si="17"/>
        <v>#N/A</v>
      </c>
      <c r="R23" s="152" t="s">
        <v>223</v>
      </c>
      <c r="S23" s="139">
        <f>ROUNDDOWN(1/2*(100/20)^2,0)</f>
        <v>12</v>
      </c>
      <c r="T23" s="140" t="e">
        <f t="shared" ca="1" si="14"/>
        <v>#N/A</v>
      </c>
      <c r="U23" s="161" t="e">
        <f t="shared" ca="1" si="15"/>
        <v>#N/A</v>
      </c>
      <c r="V23" s="161" t="str">
        <f t="shared" si="16"/>
        <v/>
      </c>
      <c r="W23" s="120"/>
    </row>
    <row r="24" spans="1:32" ht="15" customHeight="1">
      <c r="B24" s="214" t="s">
        <v>251</v>
      </c>
      <c r="C24" s="149" t="s">
        <v>252</v>
      </c>
      <c r="D24" s="150" t="s">
        <v>515</v>
      </c>
      <c r="E24" s="139">
        <v>0</v>
      </c>
      <c r="F24" s="152" t="s">
        <v>155</v>
      </c>
      <c r="G24" s="139">
        <f>Length_7!H4</f>
        <v>0</v>
      </c>
      <c r="H24" s="139">
        <v>2</v>
      </c>
      <c r="I24" s="155">
        <v>3</v>
      </c>
      <c r="J24" s="160">
        <f>G24/(IF(H24="",1,H24)*SQRT(I24))</f>
        <v>0</v>
      </c>
      <c r="K24" s="152" t="s">
        <v>240</v>
      </c>
      <c r="L24" s="153" t="s">
        <v>253</v>
      </c>
      <c r="M24" s="139"/>
      <c r="N24" s="139"/>
      <c r="O24" s="154">
        <v>1</v>
      </c>
      <c r="P24" s="139"/>
      <c r="Q24" s="161">
        <f t="shared" si="17"/>
        <v>0</v>
      </c>
      <c r="R24" s="152" t="s">
        <v>240</v>
      </c>
      <c r="S24" s="139" t="s">
        <v>254</v>
      </c>
      <c r="T24" s="140">
        <f t="shared" si="14"/>
        <v>0</v>
      </c>
      <c r="U24" s="161">
        <f t="shared" si="15"/>
        <v>0</v>
      </c>
      <c r="V24" s="161" t="str">
        <f t="shared" si="16"/>
        <v/>
      </c>
      <c r="W24" s="120"/>
    </row>
    <row r="25" spans="1:32" ht="15" customHeight="1">
      <c r="B25" s="214" t="s">
        <v>255</v>
      </c>
      <c r="C25" s="149" t="s">
        <v>256</v>
      </c>
      <c r="D25" s="150" t="s">
        <v>516</v>
      </c>
      <c r="E25" s="139" t="e">
        <f ca="1">E18+E19-(E20*E21+E22*E23)*I3</f>
        <v>#N/A</v>
      </c>
      <c r="F25" s="152" t="s">
        <v>257</v>
      </c>
      <c r="G25" s="451"/>
      <c r="H25" s="452"/>
      <c r="I25" s="452"/>
      <c r="J25" s="452"/>
      <c r="K25" s="452"/>
      <c r="L25" s="452"/>
      <c r="M25" s="452"/>
      <c r="N25" s="452"/>
      <c r="O25" s="452"/>
      <c r="P25" s="453"/>
      <c r="Q25" s="162" t="e">
        <f>SQRT(SUMSQ(Q19:Q24))</f>
        <v>#N/A</v>
      </c>
      <c r="R25" s="152" t="s">
        <v>246</v>
      </c>
      <c r="S25" s="142" t="e">
        <f ca="1">IF(T25=0,"∞",ROUNDDOWN(Q25^4/T25,0))</f>
        <v>#N/A</v>
      </c>
      <c r="T25" s="181" t="e">
        <f ca="1">SUM(T18:T24)</f>
        <v>#N/A</v>
      </c>
      <c r="U25" s="250" t="e">
        <f ca="1">SQRT(SUMSQ(U18:U24))</f>
        <v>#N/A</v>
      </c>
      <c r="V25" s="250" t="e">
        <f>SQRT(SUMSQ(V18:V24))</f>
        <v>#N/A</v>
      </c>
    </row>
    <row r="26" spans="1:32" ht="15" customHeight="1"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</row>
    <row r="27" spans="1:32" ht="15" customHeight="1">
      <c r="B27" s="444"/>
      <c r="C27" s="434" t="s">
        <v>259</v>
      </c>
      <c r="D27" s="443"/>
      <c r="E27" s="443"/>
      <c r="F27" s="443"/>
      <c r="G27" s="435"/>
      <c r="H27" s="214" t="s">
        <v>260</v>
      </c>
      <c r="I27" s="214" t="s">
        <v>252</v>
      </c>
      <c r="J27" s="434" t="s">
        <v>497</v>
      </c>
      <c r="K27" s="443"/>
      <c r="L27" s="443"/>
      <c r="M27" s="435"/>
      <c r="N27" s="436" t="s">
        <v>261</v>
      </c>
      <c r="O27" s="434" t="s">
        <v>262</v>
      </c>
      <c r="P27" s="443"/>
      <c r="Q27" s="435"/>
      <c r="R27" s="436" t="s">
        <v>263</v>
      </c>
      <c r="S27" s="434" t="s">
        <v>521</v>
      </c>
      <c r="T27" s="443"/>
      <c r="U27" s="435"/>
    </row>
    <row r="28" spans="1:32" ht="15" customHeight="1">
      <c r="B28" s="446"/>
      <c r="C28" s="143">
        <v>1</v>
      </c>
      <c r="D28" s="143">
        <v>2</v>
      </c>
      <c r="E28" s="143" t="s">
        <v>190</v>
      </c>
      <c r="F28" s="143" t="s">
        <v>58</v>
      </c>
      <c r="G28" s="143" t="s">
        <v>264</v>
      </c>
      <c r="H28" s="143" t="s">
        <v>223</v>
      </c>
      <c r="I28" s="143" t="s">
        <v>246</v>
      </c>
      <c r="J28" s="214" t="s">
        <v>266</v>
      </c>
      <c r="K28" s="214" t="s">
        <v>156</v>
      </c>
      <c r="L28" s="214" t="s">
        <v>265</v>
      </c>
      <c r="M28" s="268" t="s">
        <v>524</v>
      </c>
      <c r="N28" s="437"/>
      <c r="O28" s="214" t="s">
        <v>266</v>
      </c>
      <c r="P28" s="214" t="s">
        <v>267</v>
      </c>
      <c r="Q28" s="214" t="s">
        <v>268</v>
      </c>
      <c r="R28" s="437"/>
      <c r="S28" s="143" t="s">
        <v>223</v>
      </c>
      <c r="T28" s="267" t="s">
        <v>523</v>
      </c>
      <c r="U28" s="267" t="s">
        <v>522</v>
      </c>
    </row>
    <row r="29" spans="1:32" ht="15" customHeight="1">
      <c r="B29" s="143" t="s">
        <v>269</v>
      </c>
      <c r="C29" s="121" t="e">
        <f ca="1">E40*Q25</f>
        <v>#N/A</v>
      </c>
      <c r="D29" s="121"/>
      <c r="E29" s="121"/>
      <c r="F29" s="122" t="str">
        <f>R25</f>
        <v>μm</v>
      </c>
      <c r="G29" s="163" t="e">
        <f ca="1">C29</f>
        <v>#N/A</v>
      </c>
      <c r="H29" s="126" t="e">
        <f ca="1">MAX(G29:G30)</f>
        <v>#N/A</v>
      </c>
      <c r="I29" s="141">
        <f>G24</f>
        <v>0</v>
      </c>
      <c r="J29" s="139" t="e">
        <f ca="1">IF(H29&lt;0.00001,6,IF(H29&lt;0.0001,5,IF(H29&lt;0.001,4,IF(H29&lt;0.01,3,IF(H29&lt;0.1,2,IF(H29&lt;1,1,IF(H29&lt;10,0,IF(H29&lt;100,-1,-2))))))))+K30</f>
        <v>#N/A</v>
      </c>
      <c r="K29" s="140" t="e">
        <f ca="1">M29+3</f>
        <v>#N/A</v>
      </c>
      <c r="L29" s="139">
        <f>LEN(I29)-IFERROR(FIND(".",I29),0)</f>
        <v>1</v>
      </c>
      <c r="M29" s="182" t="e">
        <f ca="1">MIN(J29,L29)</f>
        <v>#N/A</v>
      </c>
      <c r="N29" s="141" t="e">
        <f ca="1">ABS((H29-ROUND(H29,M29))/H29*100)</f>
        <v>#N/A</v>
      </c>
      <c r="O29" s="139" t="e">
        <f ca="1">OFFSET(P33,MATCH(M29,O34:O43,0),0)</f>
        <v>#N/A</v>
      </c>
      <c r="P29" s="139" t="e">
        <f ca="1">OFFSET(P33,MATCH(K29,O34:O43,0),0)</f>
        <v>#N/A</v>
      </c>
      <c r="Q29" s="139" t="str">
        <f ca="1">OFFSET(P33,MATCH(L29,O34:O43,0),0)</f>
        <v>0.0</v>
      </c>
      <c r="R29" s="169" t="e">
        <f ca="1">IF(H29=G29,0,1)</f>
        <v>#N/A</v>
      </c>
      <c r="S29" s="127" t="e">
        <f ca="1">TEXT(IF(N29&gt;5,ROUNDUP(H29,M29),ROUND(H29,M29)),O29)</f>
        <v>#N/A</v>
      </c>
      <c r="T29" s="127" t="e">
        <f ca="1">TEXT(IF(N29&gt;5,ROUNDUP(H29/1000,K29),ROUND(H29/1000,K29)),P29)</f>
        <v>#N/A</v>
      </c>
      <c r="U29" s="127" t="e">
        <f ca="1">S29&amp;" "&amp;H28</f>
        <v>#N/A</v>
      </c>
    </row>
    <row r="30" spans="1:32" ht="15" customHeight="1">
      <c r="B30" s="143" t="s">
        <v>270</v>
      </c>
      <c r="C30" s="219">
        <f>E3</f>
        <v>0</v>
      </c>
      <c r="D30" s="219">
        <f>F3</f>
        <v>0</v>
      </c>
      <c r="E30" s="219">
        <f>I3</f>
        <v>0</v>
      </c>
      <c r="F30" s="219">
        <f>G3</f>
        <v>0</v>
      </c>
      <c r="G30" s="163">
        <f>SQRT(SUMSQ(C30,D30*E30))</f>
        <v>0</v>
      </c>
      <c r="J30" s="263" t="s">
        <v>493</v>
      </c>
      <c r="K30" s="181">
        <v>1</v>
      </c>
      <c r="L30" s="260" t="s">
        <v>494</v>
      </c>
      <c r="M30" s="261">
        <f>기본정보!$A$52</f>
        <v>0</v>
      </c>
      <c r="N30" s="260" t="s">
        <v>495</v>
      </c>
      <c r="O30" s="261" t="b">
        <f>기본정보!$A$46=0</f>
        <v>1</v>
      </c>
      <c r="R30" s="117"/>
      <c r="S30" s="117"/>
      <c r="T30" s="117"/>
      <c r="U30" s="117"/>
    </row>
    <row r="31" spans="1:32" ht="15" customHeight="1">
      <c r="D31" s="118"/>
    </row>
    <row r="32" spans="1:32" ht="15" customHeight="1">
      <c r="B32" s="124" t="s">
        <v>258</v>
      </c>
      <c r="C32" s="117"/>
      <c r="D32" s="117"/>
      <c r="E32" s="117"/>
      <c r="F32" s="117"/>
      <c r="G32" s="117"/>
      <c r="H32" s="117"/>
      <c r="I32" s="149" t="s">
        <v>51</v>
      </c>
      <c r="J32" s="149" t="s">
        <v>271</v>
      </c>
      <c r="K32" s="117"/>
      <c r="L32" s="117"/>
      <c r="M32" s="117"/>
      <c r="N32" s="117"/>
      <c r="O32" s="212" t="s">
        <v>272</v>
      </c>
      <c r="P32" s="212" t="s">
        <v>273</v>
      </c>
      <c r="Q32" s="117"/>
      <c r="R32" s="120"/>
      <c r="S32" s="117"/>
      <c r="T32" s="117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</row>
    <row r="33" spans="2:35" ht="15" customHeight="1">
      <c r="B33" s="440" t="s">
        <v>499</v>
      </c>
      <c r="C33" s="442"/>
      <c r="D33" s="436" t="s">
        <v>507</v>
      </c>
      <c r="E33" s="236" t="s">
        <v>500</v>
      </c>
      <c r="F33" s="236" t="s">
        <v>508</v>
      </c>
      <c r="G33" s="236" t="s">
        <v>505</v>
      </c>
      <c r="H33" s="117"/>
      <c r="I33" s="149"/>
      <c r="J33" s="149">
        <v>95.45</v>
      </c>
      <c r="K33" s="117"/>
      <c r="L33" s="117"/>
      <c r="M33" s="117"/>
      <c r="N33" s="117"/>
      <c r="O33" s="213" t="s">
        <v>274</v>
      </c>
      <c r="P33" s="213" t="s">
        <v>275</v>
      </c>
      <c r="Q33" s="117"/>
      <c r="R33" s="120"/>
      <c r="S33" s="117"/>
      <c r="T33" s="117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</row>
    <row r="34" spans="2:35" ht="15" customHeight="1">
      <c r="B34" s="143" t="s">
        <v>502</v>
      </c>
      <c r="C34" s="264" t="s">
        <v>503</v>
      </c>
      <c r="D34" s="437"/>
      <c r="E34" s="266" t="e">
        <f ca="1">U25</f>
        <v>#N/A</v>
      </c>
      <c r="F34" s="266" t="e">
        <f>V25</f>
        <v>#N/A</v>
      </c>
      <c r="G34" s="168" t="e">
        <f ca="1">F34/E34</f>
        <v>#N/A</v>
      </c>
      <c r="H34" s="117"/>
      <c r="I34" s="139">
        <v>1</v>
      </c>
      <c r="J34" s="139">
        <v>13.97</v>
      </c>
      <c r="K34" s="117"/>
      <c r="L34" s="117"/>
      <c r="M34" s="117"/>
      <c r="N34" s="117"/>
      <c r="O34" s="158">
        <v>0</v>
      </c>
      <c r="P34" s="159" t="s">
        <v>276</v>
      </c>
      <c r="Q34" s="117"/>
      <c r="R34" s="119"/>
      <c r="S34" s="117"/>
      <c r="T34" s="117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</row>
    <row r="35" spans="2:35" ht="15" customHeight="1">
      <c r="B35" s="139">
        <v>1</v>
      </c>
      <c r="C35" s="161">
        <f t="shared" ref="C35:C41" ca="1" si="19">IFERROR(LARGE(U$18:U$24,B35),0)</f>
        <v>0</v>
      </c>
      <c r="D35" s="236" t="s">
        <v>509</v>
      </c>
      <c r="E35" s="447" t="e">
        <f ca="1">SQRT(SUMSQ(C37:C41,V18:V24))</f>
        <v>#N/A</v>
      </c>
      <c r="F35" s="447"/>
      <c r="G35" s="448" t="e">
        <f ca="1">E35/SQRT(SUMSQ(E36,F36))</f>
        <v>#N/A</v>
      </c>
      <c r="H35" s="117"/>
      <c r="I35" s="139">
        <v>2</v>
      </c>
      <c r="J35" s="139">
        <v>4.53</v>
      </c>
      <c r="K35" s="117"/>
      <c r="L35" s="117"/>
      <c r="M35" s="117"/>
      <c r="N35" s="117"/>
      <c r="O35" s="158">
        <v>1</v>
      </c>
      <c r="P35" s="159" t="s">
        <v>277</v>
      </c>
      <c r="Q35" s="117"/>
      <c r="R35" s="119"/>
      <c r="S35" s="117"/>
      <c r="T35" s="117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</row>
    <row r="36" spans="2:35" ht="15" customHeight="1">
      <c r="B36" s="139">
        <v>2</v>
      </c>
      <c r="C36" s="161">
        <f t="shared" ca="1" si="19"/>
        <v>0</v>
      </c>
      <c r="D36" s="236" t="s">
        <v>510</v>
      </c>
      <c r="E36" s="262">
        <f ca="1">C35</f>
        <v>0</v>
      </c>
      <c r="F36" s="262">
        <f ca="1">C36</f>
        <v>0</v>
      </c>
      <c r="G36" s="449"/>
      <c r="H36" s="117"/>
      <c r="I36" s="139">
        <v>3</v>
      </c>
      <c r="J36" s="139">
        <v>3.31</v>
      </c>
      <c r="K36" s="117"/>
      <c r="L36" s="117"/>
      <c r="M36" s="117"/>
      <c r="N36" s="117"/>
      <c r="O36" s="158">
        <v>2</v>
      </c>
      <c r="P36" s="159" t="s">
        <v>278</v>
      </c>
      <c r="Q36" s="117"/>
      <c r="R36" s="117"/>
      <c r="S36" s="117"/>
      <c r="T36" s="117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</row>
    <row r="37" spans="2:35" ht="15" customHeight="1">
      <c r="B37" s="139">
        <v>3</v>
      </c>
      <c r="C37" s="162">
        <f t="shared" ca="1" si="19"/>
        <v>0</v>
      </c>
      <c r="D37" s="433" t="s">
        <v>511</v>
      </c>
      <c r="E37" s="144" t="s">
        <v>506</v>
      </c>
      <c r="F37" s="144" t="s">
        <v>512</v>
      </c>
      <c r="G37" s="144" t="s">
        <v>513</v>
      </c>
      <c r="H37" s="117"/>
      <c r="I37" s="139">
        <v>4</v>
      </c>
      <c r="J37" s="139">
        <v>2.87</v>
      </c>
      <c r="K37" s="117"/>
      <c r="L37" s="117"/>
      <c r="M37" s="117"/>
      <c r="N37" s="117"/>
      <c r="O37" s="158">
        <v>3</v>
      </c>
      <c r="P37" s="159" t="s">
        <v>279</v>
      </c>
      <c r="Q37" s="117"/>
      <c r="R37" s="117"/>
      <c r="S37" s="117"/>
      <c r="T37" s="117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</row>
    <row r="38" spans="2:35" ht="15" customHeight="1">
      <c r="B38" s="139">
        <v>4</v>
      </c>
      <c r="C38" s="162">
        <f t="shared" ca="1" si="19"/>
        <v>0</v>
      </c>
      <c r="D38" s="433"/>
      <c r="E38" s="139">
        <f ca="1">OFFSET(G17,MATCH(E36,U18:U24,0),0)/IF(OFFSET(H17,MATCH(E36,U18:U24,0),0)="",1,OFFSET(H17,MATCH(E36,U18:U24,0),0))</f>
        <v>9.9999999999999995E-7</v>
      </c>
      <c r="F38" s="139">
        <f ca="1">OFFSET(G17,MATCH(F36,U18:U24,0),0)/IF(OFFSET(H17,MATCH(F36,U18:U24,0),0)="",1,OFFSET(H17,MATCH(F36,U18:U24,0),0))</f>
        <v>9.9999999999999995E-7</v>
      </c>
      <c r="G38" s="248">
        <f ca="1">ABS(E38-F38)/(E38+F38)</f>
        <v>0</v>
      </c>
      <c r="H38" s="117"/>
      <c r="I38" s="139">
        <v>5</v>
      </c>
      <c r="J38" s="139">
        <v>2.65</v>
      </c>
      <c r="K38" s="117"/>
      <c r="L38" s="117"/>
      <c r="M38" s="117"/>
      <c r="N38" s="117"/>
      <c r="O38" s="158">
        <v>4</v>
      </c>
      <c r="P38" s="159" t="s">
        <v>280</v>
      </c>
      <c r="Q38" s="117"/>
      <c r="R38" s="117"/>
      <c r="S38" s="117"/>
      <c r="T38" s="117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</row>
    <row r="39" spans="2:35" ht="15" customHeight="1">
      <c r="B39" s="139">
        <v>5</v>
      </c>
      <c r="C39" s="162">
        <f t="shared" ca="1" si="19"/>
        <v>0</v>
      </c>
      <c r="D39" s="236" t="s">
        <v>498</v>
      </c>
      <c r="E39" s="138" t="e">
        <f ca="1">IF(AND(G34&lt;0.3,G35&lt;0.3),"사다리꼴","정규")</f>
        <v>#N/A</v>
      </c>
      <c r="H39" s="117"/>
      <c r="I39" s="139">
        <v>6</v>
      </c>
      <c r="J39" s="139">
        <v>2.52</v>
      </c>
      <c r="K39" s="117"/>
      <c r="L39" s="117"/>
      <c r="M39" s="117"/>
      <c r="N39" s="117"/>
      <c r="O39" s="158">
        <v>5</v>
      </c>
      <c r="P39" s="159" t="s">
        <v>281</v>
      </c>
      <c r="Q39" s="117"/>
      <c r="R39" s="117"/>
      <c r="S39" s="117"/>
      <c r="T39" s="117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</row>
    <row r="40" spans="2:35" ht="15" customHeight="1">
      <c r="B40" s="139">
        <v>6</v>
      </c>
      <c r="C40" s="162">
        <f t="shared" ca="1" si="19"/>
        <v>0</v>
      </c>
      <c r="D40" s="236" t="s">
        <v>514</v>
      </c>
      <c r="E40" s="139" t="e">
        <f ca="1">IF(E39="정규",IF(OR(S25="∞",S25&gt;=10),2,OFFSET(J33,MATCH(S25,I34:I43,0),0)),ROUND((1-SQRT((1-0.95)*(1-G38^2)))/SQRT((1+G38^2)/6),2))</f>
        <v>#N/A</v>
      </c>
      <c r="H40" s="117"/>
      <c r="I40" s="139">
        <v>7</v>
      </c>
      <c r="J40" s="139">
        <v>2.4300000000000002</v>
      </c>
      <c r="K40" s="117"/>
      <c r="L40" s="117"/>
      <c r="M40" s="117"/>
      <c r="N40" s="117"/>
      <c r="O40" s="158">
        <v>6</v>
      </c>
      <c r="P40" s="159" t="s">
        <v>282</v>
      </c>
      <c r="Q40" s="117"/>
      <c r="R40" s="117"/>
      <c r="S40" s="117"/>
      <c r="T40" s="117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</row>
    <row r="41" spans="2:35" ht="15" customHeight="1">
      <c r="B41" s="139">
        <v>7</v>
      </c>
      <c r="C41" s="162">
        <f t="shared" ca="1" si="19"/>
        <v>0</v>
      </c>
      <c r="G41" s="117"/>
      <c r="H41" s="117"/>
      <c r="I41" s="139">
        <v>8</v>
      </c>
      <c r="J41" s="139">
        <v>2.37</v>
      </c>
      <c r="K41" s="117"/>
      <c r="L41" s="117"/>
      <c r="M41" s="117"/>
      <c r="N41" s="117"/>
      <c r="O41" s="158">
        <v>7</v>
      </c>
      <c r="P41" s="159" t="s">
        <v>283</v>
      </c>
      <c r="Q41" s="117"/>
      <c r="R41" s="117"/>
      <c r="S41" s="117"/>
      <c r="T41" s="117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</row>
    <row r="42" spans="2:35" ht="15" customHeight="1">
      <c r="B42" s="117"/>
      <c r="C42" s="117"/>
      <c r="G42" s="117"/>
      <c r="H42" s="117"/>
      <c r="I42" s="139">
        <v>9</v>
      </c>
      <c r="J42" s="139">
        <v>2.3199999999999998</v>
      </c>
      <c r="K42" s="117"/>
      <c r="L42" s="117"/>
      <c r="M42" s="117"/>
      <c r="N42" s="117"/>
      <c r="O42" s="158">
        <v>8</v>
      </c>
      <c r="P42" s="159" t="s">
        <v>284</v>
      </c>
      <c r="Q42" s="117"/>
      <c r="R42" s="117"/>
      <c r="S42" s="117"/>
      <c r="T42" s="117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</row>
    <row r="43" spans="2:35" ht="15" customHeight="1">
      <c r="C43" s="117"/>
      <c r="D43" s="117"/>
      <c r="E43" s="117"/>
      <c r="F43" s="117"/>
      <c r="G43" s="117"/>
      <c r="H43" s="117"/>
      <c r="I43" s="139" t="s">
        <v>52</v>
      </c>
      <c r="J43" s="139">
        <v>2</v>
      </c>
      <c r="K43" s="117"/>
      <c r="L43" s="117"/>
      <c r="M43" s="117"/>
      <c r="N43" s="117"/>
      <c r="O43" s="158">
        <v>9</v>
      </c>
      <c r="P43" s="159" t="s">
        <v>285</v>
      </c>
      <c r="Q43" s="117"/>
      <c r="R43" s="117"/>
      <c r="S43" s="117"/>
      <c r="T43" s="117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</row>
    <row r="44" spans="2:35" ht="15" customHeight="1">
      <c r="V44" s="120"/>
      <c r="W44" s="120"/>
    </row>
    <row r="45" spans="2:35" ht="15" customHeight="1">
      <c r="B45" s="133" t="s">
        <v>286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20"/>
      <c r="Q45" s="117"/>
      <c r="T45" s="120"/>
      <c r="U45" s="120"/>
      <c r="V45" s="120"/>
    </row>
    <row r="46" spans="2:35" ht="15" customHeight="1">
      <c r="B46" s="134"/>
      <c r="C46" s="464" t="s">
        <v>525</v>
      </c>
      <c r="D46" s="465"/>
      <c r="E46" s="466" t="s">
        <v>526</v>
      </c>
      <c r="F46" s="466" t="s">
        <v>527</v>
      </c>
      <c r="G46" s="134"/>
      <c r="H46" s="466" t="s">
        <v>532</v>
      </c>
      <c r="I46" s="466" t="s">
        <v>533</v>
      </c>
      <c r="J46" s="466" t="s">
        <v>534</v>
      </c>
      <c r="K46" s="472" t="s">
        <v>535</v>
      </c>
      <c r="L46" s="112" t="s">
        <v>287</v>
      </c>
      <c r="M46" s="472" t="s">
        <v>536</v>
      </c>
      <c r="N46" s="112" t="s">
        <v>288</v>
      </c>
      <c r="O46" s="112" t="s">
        <v>289</v>
      </c>
      <c r="Q46" s="119"/>
      <c r="R46" s="117"/>
      <c r="U46" s="120"/>
    </row>
    <row r="47" spans="2:35" ht="15" customHeight="1">
      <c r="B47" s="134"/>
      <c r="C47" s="467">
        <v>100</v>
      </c>
      <c r="D47" s="460" t="s">
        <v>528</v>
      </c>
      <c r="E47" s="468">
        <v>20400</v>
      </c>
      <c r="F47" s="469" t="s">
        <v>529</v>
      </c>
      <c r="G47" s="134"/>
      <c r="H47" s="112">
        <f>I3</f>
        <v>0</v>
      </c>
      <c r="I47" s="466">
        <f>MAX(0,H47-C47)</f>
        <v>0</v>
      </c>
      <c r="J47" s="466">
        <f>ROUNDDOWN(I47/F48,0)</f>
        <v>0</v>
      </c>
      <c r="K47" s="466" t="b">
        <f>J3="inch"</f>
        <v>0</v>
      </c>
      <c r="L47" s="164">
        <f>E47</f>
        <v>20400</v>
      </c>
      <c r="M47" s="473">
        <f>L47*(J47*F50)</f>
        <v>0</v>
      </c>
      <c r="N47" s="166">
        <f>SUM(L47:M47)</f>
        <v>20400</v>
      </c>
      <c r="O47" s="454">
        <f>SUM(N47:N49)</f>
        <v>20400</v>
      </c>
      <c r="Q47" s="119"/>
      <c r="R47" s="117"/>
      <c r="U47" s="117"/>
    </row>
    <row r="48" spans="2:35" ht="15" customHeight="1">
      <c r="B48" s="134"/>
      <c r="C48" s="470"/>
      <c r="D48" s="460"/>
      <c r="E48" s="468"/>
      <c r="F48" s="216">
        <v>100</v>
      </c>
      <c r="G48" s="134"/>
      <c r="H48" s="112"/>
      <c r="I48" s="165"/>
      <c r="J48" s="165"/>
      <c r="K48" s="466"/>
      <c r="L48" s="164"/>
      <c r="M48" s="473"/>
      <c r="N48" s="166"/>
      <c r="O48" s="455"/>
      <c r="Q48" s="119"/>
      <c r="R48" s="117"/>
      <c r="U48" s="117"/>
    </row>
    <row r="49" spans="2:28" ht="15" customHeight="1">
      <c r="B49" s="134"/>
      <c r="C49" s="470"/>
      <c r="D49" s="460"/>
      <c r="E49" s="468"/>
      <c r="F49" s="461" t="s">
        <v>530</v>
      </c>
      <c r="G49" s="134"/>
      <c r="H49" s="112"/>
      <c r="I49" s="112"/>
      <c r="J49" s="112"/>
      <c r="K49" s="466"/>
      <c r="L49" s="164"/>
      <c r="M49" s="474"/>
      <c r="N49" s="166"/>
      <c r="O49" s="456"/>
      <c r="Q49" s="117"/>
      <c r="R49" s="117"/>
      <c r="U49" s="117"/>
    </row>
    <row r="50" spans="2:28" ht="15" customHeight="1">
      <c r="B50" s="134"/>
      <c r="C50" s="470"/>
      <c r="D50" s="460"/>
      <c r="E50" s="468"/>
      <c r="F50" s="462">
        <v>0.5</v>
      </c>
      <c r="G50" s="134"/>
      <c r="H50" s="134"/>
      <c r="I50" s="134"/>
      <c r="J50" s="134"/>
      <c r="K50" s="134"/>
      <c r="L50" s="134"/>
      <c r="M50" s="134"/>
      <c r="N50" s="135"/>
      <c r="O50" s="117"/>
      <c r="S50" s="117"/>
      <c r="T50" s="117"/>
      <c r="U50" s="117"/>
    </row>
    <row r="51" spans="2:28" ht="15" customHeight="1">
      <c r="B51" s="134"/>
      <c r="C51" s="470"/>
      <c r="D51" s="460"/>
      <c r="E51" s="468"/>
      <c r="F51" s="461" t="s">
        <v>531</v>
      </c>
      <c r="G51" s="134"/>
      <c r="H51" s="136"/>
      <c r="I51" s="134"/>
      <c r="J51" s="134"/>
      <c r="K51" s="134"/>
      <c r="L51" s="134"/>
      <c r="M51" s="134"/>
      <c r="N51" s="134"/>
      <c r="O51" s="117"/>
      <c r="Q51" s="120"/>
      <c r="R51" s="120"/>
      <c r="S51" s="117"/>
      <c r="T51" s="117"/>
      <c r="U51" s="117"/>
      <c r="W51" s="118"/>
      <c r="Y51" s="118"/>
      <c r="Z51" s="118"/>
      <c r="AA51" s="118"/>
    </row>
    <row r="52" spans="2:28" ht="15" customHeight="1">
      <c r="B52" s="134"/>
      <c r="C52" s="470"/>
      <c r="D52" s="460"/>
      <c r="E52" s="468"/>
      <c r="F52" s="461"/>
      <c r="G52" s="134"/>
      <c r="H52" s="137"/>
      <c r="L52" s="134"/>
      <c r="M52" s="134"/>
      <c r="N52" s="134"/>
      <c r="O52" s="117"/>
      <c r="P52" s="134"/>
      <c r="Q52" s="134"/>
      <c r="V52" s="118"/>
      <c r="W52" s="118"/>
    </row>
    <row r="53" spans="2:28" ht="18" customHeight="1">
      <c r="B53" s="134"/>
      <c r="C53" s="470"/>
      <c r="D53" s="471"/>
      <c r="E53" s="466"/>
      <c r="F53" s="463"/>
      <c r="G53" s="134"/>
      <c r="H53" s="137"/>
      <c r="L53" s="134"/>
      <c r="M53" s="134"/>
      <c r="N53" s="134"/>
      <c r="Q53" s="117"/>
      <c r="R53" s="117"/>
      <c r="S53" s="117"/>
      <c r="T53" s="117"/>
      <c r="V53" s="118"/>
      <c r="W53" s="118"/>
    </row>
    <row r="54" spans="2:28" ht="18" customHeight="1">
      <c r="B54" s="70"/>
      <c r="C54" s="70"/>
      <c r="D54" s="70"/>
      <c r="E54" s="70"/>
      <c r="F54" s="70"/>
      <c r="G54" s="70"/>
      <c r="H54" s="70"/>
      <c r="M54" s="70"/>
      <c r="N54" s="70"/>
      <c r="O54" s="70"/>
      <c r="R54" s="117"/>
      <c r="S54" s="117"/>
      <c r="T54" s="117"/>
      <c r="U54" s="117"/>
      <c r="V54" s="118"/>
      <c r="W54" s="118"/>
      <c r="X54" s="118"/>
    </row>
    <row r="55" spans="2:28" ht="18" customHeight="1">
      <c r="B55" s="118"/>
      <c r="C55" s="118"/>
      <c r="D55" s="118"/>
      <c r="I55" s="137"/>
      <c r="J55" s="134"/>
      <c r="K55" s="134"/>
      <c r="L55" s="134"/>
      <c r="U55" s="117"/>
      <c r="V55" s="118"/>
      <c r="W55" s="118"/>
    </row>
    <row r="56" spans="2:28" ht="18" customHeight="1">
      <c r="B56" s="118"/>
      <c r="C56" s="118"/>
      <c r="D56" s="118"/>
      <c r="I56" s="137"/>
      <c r="J56" s="134"/>
      <c r="K56" s="134"/>
      <c r="L56" s="134"/>
      <c r="U56" s="117"/>
      <c r="Z56" s="118"/>
      <c r="AA56" s="118"/>
      <c r="AB56" s="118"/>
    </row>
    <row r="57" spans="2:28" ht="18" customHeight="1">
      <c r="B57" s="118"/>
      <c r="C57" s="118"/>
      <c r="D57" s="118"/>
      <c r="J57" s="70"/>
      <c r="K57" s="70"/>
      <c r="L57" s="70"/>
      <c r="Q57" s="134"/>
      <c r="R57" s="134"/>
      <c r="Z57" s="118"/>
      <c r="AA57" s="118"/>
      <c r="AB57" s="118"/>
    </row>
    <row r="58" spans="2:28" ht="18" customHeight="1">
      <c r="B58" s="118"/>
      <c r="C58" s="118"/>
      <c r="D58" s="118"/>
      <c r="I58" s="137"/>
      <c r="J58" s="120"/>
      <c r="K58" s="120"/>
      <c r="Q58" s="134"/>
      <c r="R58" s="134"/>
      <c r="Z58" s="118"/>
      <c r="AA58" s="118"/>
      <c r="AB58" s="118"/>
    </row>
    <row r="59" spans="2:28" ht="18" customHeight="1">
      <c r="B59" s="118"/>
      <c r="C59" s="118"/>
      <c r="D59" s="118"/>
      <c r="I59" s="137"/>
      <c r="J59" s="120"/>
      <c r="K59" s="120"/>
      <c r="P59" s="117"/>
      <c r="Q59" s="134"/>
      <c r="R59" s="134"/>
      <c r="Z59" s="118"/>
      <c r="AA59" s="118"/>
      <c r="AB59" s="118"/>
    </row>
    <row r="60" spans="2:28" ht="18" customHeight="1">
      <c r="B60" s="118"/>
      <c r="C60" s="118"/>
      <c r="D60" s="118"/>
      <c r="J60" s="120"/>
      <c r="K60" s="120"/>
      <c r="P60" s="117"/>
      <c r="Q60" s="134"/>
      <c r="R60" s="134"/>
      <c r="Z60" s="118"/>
      <c r="AA60" s="118"/>
      <c r="AB60" s="118"/>
    </row>
    <row r="61" spans="2:28" ht="18" customHeight="1">
      <c r="B61" s="118"/>
      <c r="C61" s="118"/>
      <c r="D61" s="118"/>
      <c r="I61" s="137"/>
      <c r="P61" s="117"/>
      <c r="Q61" s="134"/>
      <c r="R61" s="134"/>
      <c r="Z61" s="118"/>
      <c r="AA61" s="118"/>
      <c r="AB61" s="118"/>
    </row>
    <row r="62" spans="2:28" ht="18" customHeight="1">
      <c r="P62" s="117"/>
      <c r="Q62" s="117"/>
      <c r="R62" s="117"/>
      <c r="Z62" s="118"/>
      <c r="AA62" s="118"/>
      <c r="AB62" s="118"/>
    </row>
    <row r="63" spans="2:28" ht="18" customHeight="1">
      <c r="Q63" s="117"/>
      <c r="R63" s="117"/>
      <c r="Z63" s="118"/>
      <c r="AA63" s="118"/>
      <c r="AB63" s="118"/>
    </row>
    <row r="64" spans="2:28" ht="18" customHeight="1">
      <c r="Q64" s="117"/>
      <c r="R64" s="117"/>
      <c r="Y64" s="118"/>
      <c r="Z64" s="118"/>
      <c r="AA64" s="118"/>
      <c r="AB64" s="118"/>
    </row>
    <row r="65" spans="17:28" ht="18" customHeight="1">
      <c r="Q65" s="117"/>
      <c r="R65" s="117"/>
      <c r="Y65" s="118"/>
      <c r="Z65" s="118"/>
      <c r="AA65" s="118"/>
      <c r="AB65" s="118"/>
    </row>
    <row r="66" spans="17:28" ht="18" customHeight="1">
      <c r="Q66" s="117"/>
      <c r="R66" s="117"/>
    </row>
    <row r="67" spans="17:28" ht="18" customHeight="1">
      <c r="Q67" s="117"/>
      <c r="R67" s="117"/>
    </row>
    <row r="68" spans="17:28" ht="18" customHeight="1">
      <c r="Q68" s="117"/>
      <c r="R68" s="117"/>
    </row>
  </sheetData>
  <mergeCells count="37">
    <mergeCell ref="C46:D46"/>
    <mergeCell ref="B6:B8"/>
    <mergeCell ref="G25:P25"/>
    <mergeCell ref="AA6:AF6"/>
    <mergeCell ref="O47:O49"/>
    <mergeCell ref="Y6:Z6"/>
    <mergeCell ref="Q16:R16"/>
    <mergeCell ref="M16:P16"/>
    <mergeCell ref="M17:N17"/>
    <mergeCell ref="O17:P17"/>
    <mergeCell ref="V6:W6"/>
    <mergeCell ref="T16:T17"/>
    <mergeCell ref="B33:C33"/>
    <mergeCell ref="J27:M27"/>
    <mergeCell ref="R27:R28"/>
    <mergeCell ref="B16:B17"/>
    <mergeCell ref="S27:U27"/>
    <mergeCell ref="B27:B28"/>
    <mergeCell ref="E35:F35"/>
    <mergeCell ref="G35:G36"/>
    <mergeCell ref="C27:G27"/>
    <mergeCell ref="C16:C17"/>
    <mergeCell ref="D16:D17"/>
    <mergeCell ref="E16:E17"/>
    <mergeCell ref="D37:D38"/>
    <mergeCell ref="U16:V16"/>
    <mergeCell ref="D33:D34"/>
    <mergeCell ref="K6:K7"/>
    <mergeCell ref="Q17:R17"/>
    <mergeCell ref="E6:J6"/>
    <mergeCell ref="N27:N28"/>
    <mergeCell ref="O27:Q27"/>
    <mergeCell ref="N6:P6"/>
    <mergeCell ref="F16:F17"/>
    <mergeCell ref="D6:D8"/>
    <mergeCell ref="G16:K16"/>
    <mergeCell ref="J17:K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Length_7!Length_7_Spec</vt:lpstr>
      <vt:lpstr>Length_7!Length_7_STD1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2020-11-04T05:01:07Z</cp:lastPrinted>
  <dcterms:created xsi:type="dcterms:W3CDTF">2004-11-10T00:11:43Z</dcterms:created>
  <dcterms:modified xsi:type="dcterms:W3CDTF">2021-07-22T08:01:36Z</dcterms:modified>
</cp:coreProperties>
</file>