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Calcu_ADJ" sheetId="32" r:id="rId10"/>
    <sheet name="STD_Data" sheetId="29" r:id="rId11"/>
    <sheet name="Length_1" sheetId="14" r:id="rId12"/>
  </sheets>
  <definedNames>
    <definedName name="_xlnm._FilterDatabase" localSheetId="0" hidden="1">기본정보!#REF!</definedName>
    <definedName name="B_Tag" localSheetId="2">'교정결과-E'!$F$44:$H$44</definedName>
    <definedName name="B_Tag" localSheetId="3">'교정결과-HY'!$B$60:$Q$60</definedName>
    <definedName name="B_Tag">교정결과!$F$43:$H$43</definedName>
    <definedName name="B_Tag_2" localSheetId="4">판정결과!$D$32:$I$32</definedName>
    <definedName name="B_Tag_3" localSheetId="5">부록!$B$11:$K$11</definedName>
    <definedName name="Length_1_CMC">Length_1!$D$4:$F$44</definedName>
    <definedName name="Length_1_Condition">Length_1!$A$4:$B$44</definedName>
    <definedName name="Length_1_Condition_Temp">Length_1!$C$4:$C$44</definedName>
    <definedName name="Length_1_Resolution">Length_1!$G$4:$J$44</definedName>
    <definedName name="Length_1_Result">Length_1!$N$4:$R$44</definedName>
    <definedName name="Length_1_Result_ADJ">Length_1!$T$4:$X$44</definedName>
    <definedName name="Length_1_Spec">Length_1!$K$4:$M$44</definedName>
    <definedName name="Length_1_STD1">Length_1!$A$48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I54" i="32" l="1"/>
  <c r="I54" i="21"/>
  <c r="H54" i="32"/>
  <c r="H54" i="21"/>
  <c r="G54" i="32"/>
  <c r="G54" i="21"/>
  <c r="AE8" i="32" l="1"/>
  <c r="T3" i="32" l="1"/>
  <c r="AE10" i="32" l="1"/>
  <c r="AE11" i="32"/>
  <c r="AE12" i="32"/>
  <c r="AE13" i="32"/>
  <c r="AE14" i="32"/>
  <c r="AE15" i="32"/>
  <c r="AE16" i="32"/>
  <c r="AE17" i="32"/>
  <c r="AE18" i="32"/>
  <c r="AE19" i="32"/>
  <c r="AE20" i="32"/>
  <c r="AE21" i="32"/>
  <c r="AE22" i="32"/>
  <c r="AE23" i="32"/>
  <c r="AE24" i="32"/>
  <c r="AE25" i="32"/>
  <c r="AE26" i="32"/>
  <c r="AE27" i="32"/>
  <c r="AE28" i="32"/>
  <c r="AE29" i="32"/>
  <c r="AE30" i="32"/>
  <c r="AE31" i="32"/>
  <c r="AE32" i="32"/>
  <c r="AE33" i="32"/>
  <c r="AE34" i="32"/>
  <c r="AE35" i="32"/>
  <c r="AE36" i="32"/>
  <c r="AE37" i="32"/>
  <c r="AE38" i="32"/>
  <c r="AE39" i="32"/>
  <c r="AE40" i="32"/>
  <c r="AE41" i="32"/>
  <c r="AE42" i="32"/>
  <c r="AE43" i="32"/>
  <c r="AE44" i="32"/>
  <c r="AE45" i="32"/>
  <c r="AE46" i="32"/>
  <c r="AE47" i="32"/>
  <c r="AE48" i="32"/>
  <c r="AE49" i="32"/>
  <c r="AE9" i="32"/>
  <c r="V9" i="32"/>
  <c r="V10" i="32"/>
  <c r="W10" i="32"/>
  <c r="V11" i="32"/>
  <c r="W11" i="32"/>
  <c r="V12" i="32"/>
  <c r="W12" i="32"/>
  <c r="V13" i="32"/>
  <c r="W13" i="32"/>
  <c r="V14" i="32"/>
  <c r="W14" i="32"/>
  <c r="V15" i="32"/>
  <c r="W15" i="32"/>
  <c r="V16" i="32"/>
  <c r="W16" i="32"/>
  <c r="V17" i="32"/>
  <c r="W17" i="32"/>
  <c r="V18" i="32"/>
  <c r="W18" i="32"/>
  <c r="V19" i="32"/>
  <c r="W19" i="32"/>
  <c r="V20" i="32"/>
  <c r="W20" i="32"/>
  <c r="V21" i="32"/>
  <c r="W21" i="32"/>
  <c r="V22" i="32"/>
  <c r="W22" i="32"/>
  <c r="V23" i="32"/>
  <c r="W23" i="32"/>
  <c r="V24" i="32"/>
  <c r="W24" i="32"/>
  <c r="V25" i="32"/>
  <c r="W25" i="32"/>
  <c r="V26" i="32"/>
  <c r="W26" i="32"/>
  <c r="V27" i="32"/>
  <c r="W27" i="32"/>
  <c r="V28" i="32"/>
  <c r="W28" i="32"/>
  <c r="V29" i="32"/>
  <c r="W29" i="32"/>
  <c r="V30" i="32"/>
  <c r="W30" i="32"/>
  <c r="V31" i="32"/>
  <c r="W31" i="32"/>
  <c r="V32" i="32"/>
  <c r="W32" i="32"/>
  <c r="V33" i="32"/>
  <c r="W33" i="32"/>
  <c r="V34" i="32"/>
  <c r="W34" i="32"/>
  <c r="V35" i="32"/>
  <c r="W35" i="32"/>
  <c r="V36" i="32"/>
  <c r="W36" i="32"/>
  <c r="V37" i="32"/>
  <c r="W37" i="32"/>
  <c r="V38" i="32"/>
  <c r="W38" i="32"/>
  <c r="V39" i="32"/>
  <c r="W39" i="32"/>
  <c r="V40" i="32"/>
  <c r="W40" i="32"/>
  <c r="V41" i="32"/>
  <c r="W41" i="32"/>
  <c r="V42" i="32"/>
  <c r="W42" i="32"/>
  <c r="V43" i="32"/>
  <c r="W43" i="32"/>
  <c r="V44" i="32"/>
  <c r="W44" i="32"/>
  <c r="V45" i="32"/>
  <c r="W45" i="32"/>
  <c r="V46" i="32"/>
  <c r="W46" i="32"/>
  <c r="V47" i="32"/>
  <c r="W47" i="32"/>
  <c r="V48" i="32"/>
  <c r="W48" i="32"/>
  <c r="V49" i="32"/>
  <c r="W49" i="32"/>
  <c r="W9" i="32"/>
  <c r="T61" i="32" l="1"/>
  <c r="T60" i="32"/>
  <c r="T54" i="32"/>
  <c r="T61" i="21" l="1"/>
  <c r="T60" i="21"/>
  <c r="T54" i="21"/>
  <c r="O67" i="32" l="1"/>
  <c r="M67" i="32" s="1"/>
  <c r="K67" i="32" l="1"/>
  <c r="O67" i="21"/>
  <c r="M67" i="21" s="1"/>
  <c r="K67" i="21" l="1"/>
  <c r="B184" i="23" l="1"/>
  <c r="B9" i="21" l="1"/>
  <c r="V9" i="21" l="1"/>
  <c r="AE9" i="21"/>
  <c r="W9" i="21"/>
  <c r="G248" i="23"/>
  <c r="G250" i="23"/>
  <c r="L250" i="23" s="1"/>
  <c r="Q250" i="23" s="1"/>
  <c r="V250" i="23" s="1"/>
  <c r="AA250" i="23" s="1"/>
  <c r="M297" i="23"/>
  <c r="S297" i="23"/>
  <c r="V297" i="23"/>
  <c r="AA297" i="23"/>
  <c r="AM297" i="23"/>
  <c r="AP297" i="23"/>
  <c r="M298" i="23"/>
  <c r="S298" i="23"/>
  <c r="AA298" i="23"/>
  <c r="AM298" i="23"/>
  <c r="M299" i="23"/>
  <c r="S299" i="23"/>
  <c r="V299" i="23"/>
  <c r="AE299" i="23"/>
  <c r="AM299" i="23"/>
  <c r="AP299" i="23"/>
  <c r="M300" i="23"/>
  <c r="S300" i="23"/>
  <c r="V300" i="23"/>
  <c r="AE300" i="23"/>
  <c r="AM300" i="23"/>
  <c r="AP300" i="23"/>
  <c r="M301" i="23"/>
  <c r="S301" i="23"/>
  <c r="V301" i="23"/>
  <c r="AE301" i="23"/>
  <c r="AM301" i="23"/>
  <c r="AP301" i="23"/>
  <c r="M302" i="23"/>
  <c r="S302" i="23"/>
  <c r="V302" i="23"/>
  <c r="AE302" i="23"/>
  <c r="AM302" i="23"/>
  <c r="AP302" i="23"/>
  <c r="H303" i="23"/>
  <c r="M303" i="23"/>
  <c r="S303" i="23"/>
  <c r="V303" i="23"/>
  <c r="AA303" i="23"/>
  <c r="AM303" i="23"/>
  <c r="AP303" i="23"/>
  <c r="H304" i="23"/>
  <c r="M304" i="23"/>
  <c r="S304" i="23"/>
  <c r="V304" i="23"/>
  <c r="AA304" i="23"/>
  <c r="AM304" i="23"/>
  <c r="AP304" i="23"/>
  <c r="M305" i="23"/>
  <c r="AM305" i="23"/>
  <c r="K12" i="3" l="1"/>
  <c r="B10" i="32"/>
  <c r="K16" i="3" s="1"/>
  <c r="B11" i="32"/>
  <c r="N17" i="3" s="1"/>
  <c r="B12" i="32"/>
  <c r="M18" i="3" s="1"/>
  <c r="B13" i="32"/>
  <c r="N19" i="3" s="1"/>
  <c r="B14" i="32"/>
  <c r="K20" i="3" s="1"/>
  <c r="B15" i="32"/>
  <c r="N21" i="3" s="1"/>
  <c r="B16" i="32"/>
  <c r="M22" i="3" s="1"/>
  <c r="B17" i="32"/>
  <c r="M23" i="3" s="1"/>
  <c r="B18" i="32"/>
  <c r="K24" i="3" s="1"/>
  <c r="B19" i="32"/>
  <c r="N25" i="3" s="1"/>
  <c r="B20" i="32"/>
  <c r="M26" i="3" s="1"/>
  <c r="B21" i="32"/>
  <c r="B22" i="32"/>
  <c r="K28" i="3" s="1"/>
  <c r="B23" i="32"/>
  <c r="N29" i="3" s="1"/>
  <c r="B24" i="32"/>
  <c r="M30" i="3" s="1"/>
  <c r="B25" i="32"/>
  <c r="N31" i="3" s="1"/>
  <c r="B26" i="32"/>
  <c r="K32" i="3" s="1"/>
  <c r="B27" i="32"/>
  <c r="N33" i="3" s="1"/>
  <c r="B28" i="32"/>
  <c r="M34" i="3" s="1"/>
  <c r="B29" i="32"/>
  <c r="M35" i="3" s="1"/>
  <c r="B30" i="32"/>
  <c r="K36" i="3" s="1"/>
  <c r="B31" i="32"/>
  <c r="N37" i="3" s="1"/>
  <c r="B32" i="32"/>
  <c r="M38" i="3" s="1"/>
  <c r="B33" i="32"/>
  <c r="B34" i="32"/>
  <c r="K40" i="3" s="1"/>
  <c r="B35" i="32"/>
  <c r="N41" i="3" s="1"/>
  <c r="B36" i="32"/>
  <c r="M42" i="3" s="1"/>
  <c r="B37" i="32"/>
  <c r="N43" i="3" s="1"/>
  <c r="B38" i="32"/>
  <c r="K44" i="3" s="1"/>
  <c r="B39" i="32"/>
  <c r="N45" i="3" s="1"/>
  <c r="B40" i="32"/>
  <c r="L46" i="3" s="1"/>
  <c r="B41" i="32"/>
  <c r="M47" i="3" s="1"/>
  <c r="B42" i="32"/>
  <c r="K48" i="3" s="1"/>
  <c r="B43" i="32"/>
  <c r="N49" i="3" s="1"/>
  <c r="B44" i="32"/>
  <c r="M50" i="3" s="1"/>
  <c r="B45" i="32"/>
  <c r="B46" i="32"/>
  <c r="K52" i="3" s="1"/>
  <c r="B47" i="32"/>
  <c r="N53" i="3" s="1"/>
  <c r="B48" i="32"/>
  <c r="L54" i="3" s="1"/>
  <c r="B49" i="32"/>
  <c r="N55" i="3" s="1"/>
  <c r="B9" i="32"/>
  <c r="M15" i="3" s="1"/>
  <c r="O37" i="3" l="1"/>
  <c r="O25" i="3"/>
  <c r="O53" i="3"/>
  <c r="O21" i="3"/>
  <c r="O41" i="3"/>
  <c r="O49" i="3"/>
  <c r="O33" i="3"/>
  <c r="O17" i="3"/>
  <c r="O45" i="3"/>
  <c r="O29" i="3"/>
  <c r="M52" i="3"/>
  <c r="M48" i="3"/>
  <c r="M44" i="3"/>
  <c r="M40" i="3"/>
  <c r="M36" i="3"/>
  <c r="M32" i="3"/>
  <c r="M28" i="3"/>
  <c r="M24" i="3"/>
  <c r="M20" i="3"/>
  <c r="M16" i="3"/>
  <c r="M54" i="3"/>
  <c r="M46" i="3"/>
  <c r="O15" i="3"/>
  <c r="K15" i="3"/>
  <c r="K53" i="3"/>
  <c r="K49" i="3"/>
  <c r="K45" i="3"/>
  <c r="K41" i="3"/>
  <c r="K37" i="3"/>
  <c r="K33" i="3"/>
  <c r="K29" i="3"/>
  <c r="K25" i="3"/>
  <c r="K21" i="3"/>
  <c r="K17" i="3"/>
  <c r="O53" i="31"/>
  <c r="M53" i="31"/>
  <c r="N53" i="31"/>
  <c r="Q287" i="23"/>
  <c r="V287" i="23"/>
  <c r="G287" i="23"/>
  <c r="AA287" i="23"/>
  <c r="L287" i="23"/>
  <c r="O41" i="31"/>
  <c r="M41" i="31"/>
  <c r="N41" i="31"/>
  <c r="Q275" i="23"/>
  <c r="V275" i="23"/>
  <c r="G275" i="23"/>
  <c r="AA275" i="23"/>
  <c r="L275" i="23"/>
  <c r="O29" i="31"/>
  <c r="N29" i="31"/>
  <c r="M29" i="31"/>
  <c r="Q263" i="23"/>
  <c r="V263" i="23"/>
  <c r="G263" i="23"/>
  <c r="AA263" i="23"/>
  <c r="L263" i="23"/>
  <c r="O55" i="3"/>
  <c r="O51" i="3"/>
  <c r="K43" i="3"/>
  <c r="K39" i="3"/>
  <c r="O35" i="3"/>
  <c r="K35" i="3"/>
  <c r="K31" i="3"/>
  <c r="O27" i="3"/>
  <c r="O23" i="3"/>
  <c r="O52" i="31"/>
  <c r="M52" i="31"/>
  <c r="N52" i="31"/>
  <c r="Q286" i="23"/>
  <c r="V286" i="23"/>
  <c r="G286" i="23"/>
  <c r="AA286" i="23"/>
  <c r="L286" i="23"/>
  <c r="O44" i="31"/>
  <c r="M44" i="31"/>
  <c r="N44" i="31"/>
  <c r="Q278" i="23"/>
  <c r="V278" i="23"/>
  <c r="G278" i="23"/>
  <c r="AA278" i="23"/>
  <c r="L278" i="23"/>
  <c r="O40" i="31"/>
  <c r="M40" i="31"/>
  <c r="N40" i="31"/>
  <c r="Q274" i="23"/>
  <c r="V274" i="23"/>
  <c r="G274" i="23"/>
  <c r="AA274" i="23"/>
  <c r="L274" i="23"/>
  <c r="O36" i="31"/>
  <c r="M36" i="31"/>
  <c r="N36" i="31"/>
  <c r="Q270" i="23"/>
  <c r="V270" i="23"/>
  <c r="G270" i="23"/>
  <c r="AA270" i="23"/>
  <c r="L270" i="23"/>
  <c r="O32" i="31"/>
  <c r="M32" i="31"/>
  <c r="N32" i="31"/>
  <c r="Q266" i="23"/>
  <c r="V266" i="23"/>
  <c r="G266" i="23"/>
  <c r="AA266" i="23"/>
  <c r="L266" i="23"/>
  <c r="O28" i="31"/>
  <c r="M28" i="31"/>
  <c r="N28" i="31"/>
  <c r="Q262" i="23"/>
  <c r="V262" i="23"/>
  <c r="G262" i="23"/>
  <c r="AA262" i="23"/>
  <c r="L262" i="23"/>
  <c r="O24" i="31"/>
  <c r="M24" i="31"/>
  <c r="N24" i="31"/>
  <c r="Q258" i="23"/>
  <c r="V258" i="23"/>
  <c r="G258" i="23"/>
  <c r="AA258" i="23"/>
  <c r="L258" i="23"/>
  <c r="O20" i="31"/>
  <c r="M20" i="31"/>
  <c r="N20" i="31"/>
  <c r="Q254" i="23"/>
  <c r="V254" i="23"/>
  <c r="G254" i="23"/>
  <c r="AA254" i="23"/>
  <c r="L254" i="23"/>
  <c r="L52" i="3"/>
  <c r="N51" i="3"/>
  <c r="L50" i="3"/>
  <c r="L48" i="3"/>
  <c r="N47" i="3"/>
  <c r="L44" i="3"/>
  <c r="L42" i="3"/>
  <c r="L40" i="3"/>
  <c r="N39" i="3"/>
  <c r="L38" i="3"/>
  <c r="L36" i="3"/>
  <c r="N35" i="3"/>
  <c r="L34" i="3"/>
  <c r="L32" i="3"/>
  <c r="L30" i="3"/>
  <c r="L28" i="3"/>
  <c r="N27" i="3"/>
  <c r="L26" i="3"/>
  <c r="L24" i="3"/>
  <c r="N23" i="3"/>
  <c r="L22" i="3"/>
  <c r="L20" i="3"/>
  <c r="L18" i="3"/>
  <c r="L16" i="3"/>
  <c r="N15" i="3"/>
  <c r="O57" i="31"/>
  <c r="N57" i="31"/>
  <c r="M57" i="31"/>
  <c r="G291" i="23"/>
  <c r="AA291" i="23"/>
  <c r="Q291" i="23"/>
  <c r="L291" i="23"/>
  <c r="V291" i="23"/>
  <c r="O45" i="31"/>
  <c r="M45" i="31"/>
  <c r="N45" i="31"/>
  <c r="Q279" i="23"/>
  <c r="V279" i="23"/>
  <c r="G279" i="23"/>
  <c r="AA279" i="23"/>
  <c r="L279" i="23"/>
  <c r="O33" i="31"/>
  <c r="N33" i="31"/>
  <c r="M33" i="31"/>
  <c r="Q267" i="23"/>
  <c r="V267" i="23"/>
  <c r="G267" i="23"/>
  <c r="AA267" i="23"/>
  <c r="L267" i="23"/>
  <c r="O21" i="31"/>
  <c r="N21" i="31"/>
  <c r="M21" i="31"/>
  <c r="Q255" i="23"/>
  <c r="V255" i="23"/>
  <c r="G255" i="23"/>
  <c r="AA255" i="23"/>
  <c r="L255" i="23"/>
  <c r="K55" i="3"/>
  <c r="K47" i="3"/>
  <c r="O43" i="3"/>
  <c r="O39" i="3"/>
  <c r="O19" i="3"/>
  <c r="K19" i="3"/>
  <c r="O56" i="31"/>
  <c r="N56" i="31"/>
  <c r="M56" i="31"/>
  <c r="Q290" i="23"/>
  <c r="V290" i="23"/>
  <c r="G290" i="23"/>
  <c r="AA290" i="23"/>
  <c r="L290" i="23"/>
  <c r="O48" i="31"/>
  <c r="M48" i="31"/>
  <c r="N48" i="31"/>
  <c r="Q282" i="23"/>
  <c r="V282" i="23"/>
  <c r="G282" i="23"/>
  <c r="AA282" i="23"/>
  <c r="L282" i="23"/>
  <c r="O55" i="31"/>
  <c r="N55" i="31"/>
  <c r="M55" i="31"/>
  <c r="Q289" i="23"/>
  <c r="V289" i="23"/>
  <c r="G289" i="23"/>
  <c r="AA289" i="23"/>
  <c r="L289" i="23"/>
  <c r="O51" i="31"/>
  <c r="N51" i="31"/>
  <c r="M51" i="31"/>
  <c r="Q285" i="23"/>
  <c r="V285" i="23"/>
  <c r="G285" i="23"/>
  <c r="AA285" i="23"/>
  <c r="L285" i="23"/>
  <c r="O47" i="31"/>
  <c r="N47" i="31"/>
  <c r="M47" i="31"/>
  <c r="Q281" i="23"/>
  <c r="V281" i="23"/>
  <c r="G281" i="23"/>
  <c r="AA281" i="23"/>
  <c r="L281" i="23"/>
  <c r="O43" i="31"/>
  <c r="N43" i="31"/>
  <c r="M43" i="31"/>
  <c r="Q277" i="23"/>
  <c r="V277" i="23"/>
  <c r="G277" i="23"/>
  <c r="AA277" i="23"/>
  <c r="L277" i="23"/>
  <c r="O39" i="31"/>
  <c r="M39" i="31"/>
  <c r="N39" i="31"/>
  <c r="Q273" i="23"/>
  <c r="V273" i="23"/>
  <c r="G273" i="23"/>
  <c r="AA273" i="23"/>
  <c r="L273" i="23"/>
  <c r="O35" i="31"/>
  <c r="M35" i="31"/>
  <c r="N35" i="31"/>
  <c r="Q269" i="23"/>
  <c r="V269" i="23"/>
  <c r="G269" i="23"/>
  <c r="AA269" i="23"/>
  <c r="L269" i="23"/>
  <c r="O31" i="31"/>
  <c r="M31" i="31"/>
  <c r="N31" i="31"/>
  <c r="Q265" i="23"/>
  <c r="V265" i="23"/>
  <c r="G265" i="23"/>
  <c r="AA265" i="23"/>
  <c r="L265" i="23"/>
  <c r="O27" i="31"/>
  <c r="M27" i="31"/>
  <c r="N27" i="31"/>
  <c r="Q261" i="23"/>
  <c r="V261" i="23"/>
  <c r="G261" i="23"/>
  <c r="AA261" i="23"/>
  <c r="L261" i="23"/>
  <c r="O23" i="31"/>
  <c r="M23" i="31"/>
  <c r="N23" i="31"/>
  <c r="Q257" i="23"/>
  <c r="V257" i="23"/>
  <c r="G257" i="23"/>
  <c r="AA257" i="23"/>
  <c r="L257" i="23"/>
  <c r="O19" i="31"/>
  <c r="M19" i="31"/>
  <c r="N19" i="31"/>
  <c r="Q253" i="23"/>
  <c r="V253" i="23"/>
  <c r="G253" i="23"/>
  <c r="AA253" i="23"/>
  <c r="L253" i="23"/>
  <c r="M55" i="3"/>
  <c r="O54" i="3"/>
  <c r="K54" i="3"/>
  <c r="M53" i="3"/>
  <c r="O52" i="3"/>
  <c r="M51" i="3"/>
  <c r="O50" i="3"/>
  <c r="K50" i="3"/>
  <c r="M49" i="3"/>
  <c r="O48" i="3"/>
  <c r="O46" i="3"/>
  <c r="K46" i="3"/>
  <c r="M45" i="3"/>
  <c r="O44" i="3"/>
  <c r="M43" i="3"/>
  <c r="O42" i="3"/>
  <c r="K42" i="3"/>
  <c r="M41" i="3"/>
  <c r="O40" i="3"/>
  <c r="M39" i="3"/>
  <c r="O38" i="3"/>
  <c r="K38" i="3"/>
  <c r="M37" i="3"/>
  <c r="O36" i="3"/>
  <c r="O34" i="3"/>
  <c r="K34" i="3"/>
  <c r="M33" i="3"/>
  <c r="O32" i="3"/>
  <c r="M31" i="3"/>
  <c r="O30" i="3"/>
  <c r="K30" i="3"/>
  <c r="M29" i="3"/>
  <c r="O28" i="3"/>
  <c r="M27" i="3"/>
  <c r="O26" i="3"/>
  <c r="K26" i="3"/>
  <c r="M25" i="3"/>
  <c r="O24" i="3"/>
  <c r="O22" i="3"/>
  <c r="K22" i="3"/>
  <c r="M21" i="3"/>
  <c r="O20" i="3"/>
  <c r="M19" i="3"/>
  <c r="O18" i="3"/>
  <c r="K18" i="3"/>
  <c r="M17" i="3"/>
  <c r="O16" i="3"/>
  <c r="O49" i="31"/>
  <c r="M49" i="31"/>
  <c r="N49" i="31"/>
  <c r="Q283" i="23"/>
  <c r="V283" i="23"/>
  <c r="G283" i="23"/>
  <c r="AA283" i="23"/>
  <c r="L283" i="23"/>
  <c r="O37" i="31"/>
  <c r="N37" i="31"/>
  <c r="M37" i="31"/>
  <c r="Q271" i="23"/>
  <c r="V271" i="23"/>
  <c r="G271" i="23"/>
  <c r="AA271" i="23"/>
  <c r="L271" i="23"/>
  <c r="O25" i="31"/>
  <c r="N25" i="31"/>
  <c r="M25" i="31"/>
  <c r="Q259" i="23"/>
  <c r="V259" i="23"/>
  <c r="G259" i="23"/>
  <c r="AA259" i="23"/>
  <c r="L259" i="23"/>
  <c r="K51" i="3"/>
  <c r="O47" i="3"/>
  <c r="O31" i="3"/>
  <c r="K27" i="3"/>
  <c r="K23" i="3"/>
  <c r="O17" i="31"/>
  <c r="N17" i="31"/>
  <c r="M17" i="31"/>
  <c r="Q251" i="23"/>
  <c r="V251" i="23"/>
  <c r="G251" i="23"/>
  <c r="AA251" i="23"/>
  <c r="L251" i="23"/>
  <c r="O54" i="31"/>
  <c r="M54" i="31"/>
  <c r="N54" i="31"/>
  <c r="Q288" i="23"/>
  <c r="V288" i="23"/>
  <c r="G288" i="23"/>
  <c r="AA288" i="23"/>
  <c r="L288" i="23"/>
  <c r="O50" i="31"/>
  <c r="M50" i="31"/>
  <c r="N50" i="31"/>
  <c r="Q284" i="23"/>
  <c r="V284" i="23"/>
  <c r="G284" i="23"/>
  <c r="AA284" i="23"/>
  <c r="L284" i="23"/>
  <c r="O46" i="31"/>
  <c r="M46" i="31"/>
  <c r="N46" i="31"/>
  <c r="Q280" i="23"/>
  <c r="V280" i="23"/>
  <c r="G280" i="23"/>
  <c r="AA280" i="23"/>
  <c r="L280" i="23"/>
  <c r="O42" i="31"/>
  <c r="M42" i="31"/>
  <c r="N42" i="31"/>
  <c r="Q276" i="23"/>
  <c r="V276" i="23"/>
  <c r="G276" i="23"/>
  <c r="AA276" i="23"/>
  <c r="L276" i="23"/>
  <c r="O38" i="31"/>
  <c r="M38" i="31"/>
  <c r="N38" i="31"/>
  <c r="Q272" i="23"/>
  <c r="V272" i="23"/>
  <c r="G272" i="23"/>
  <c r="AA272" i="23"/>
  <c r="L272" i="23"/>
  <c r="O34" i="31"/>
  <c r="M34" i="31"/>
  <c r="N34" i="31"/>
  <c r="Q268" i="23"/>
  <c r="V268" i="23"/>
  <c r="G268" i="23"/>
  <c r="AA268" i="23"/>
  <c r="L268" i="23"/>
  <c r="O30" i="31"/>
  <c r="M30" i="31"/>
  <c r="N30" i="31"/>
  <c r="Q264" i="23"/>
  <c r="V264" i="23"/>
  <c r="G264" i="23"/>
  <c r="AA264" i="23"/>
  <c r="L264" i="23"/>
  <c r="O26" i="31"/>
  <c r="M26" i="31"/>
  <c r="N26" i="31"/>
  <c r="Q260" i="23"/>
  <c r="V260" i="23"/>
  <c r="G260" i="23"/>
  <c r="AA260" i="23"/>
  <c r="L260" i="23"/>
  <c r="O22" i="31"/>
  <c r="M22" i="31"/>
  <c r="N22" i="31"/>
  <c r="Q256" i="23"/>
  <c r="V256" i="23"/>
  <c r="G256" i="23"/>
  <c r="AA256" i="23"/>
  <c r="L256" i="23"/>
  <c r="O18" i="31"/>
  <c r="M18" i="31"/>
  <c r="N18" i="31"/>
  <c r="Q252" i="23"/>
  <c r="V252" i="23"/>
  <c r="G252" i="23"/>
  <c r="AA252" i="23"/>
  <c r="L252" i="23"/>
  <c r="L55" i="3"/>
  <c r="N54" i="3"/>
  <c r="L53" i="3"/>
  <c r="N52" i="3"/>
  <c r="L51" i="3"/>
  <c r="N50" i="3"/>
  <c r="L49" i="3"/>
  <c r="N48" i="3"/>
  <c r="L47" i="3"/>
  <c r="N46" i="3"/>
  <c r="L45" i="3"/>
  <c r="N44" i="3"/>
  <c r="L43" i="3"/>
  <c r="N42" i="3"/>
  <c r="L41" i="3"/>
  <c r="N40" i="3"/>
  <c r="L39" i="3"/>
  <c r="N38" i="3"/>
  <c r="L37" i="3"/>
  <c r="N36" i="3"/>
  <c r="L35" i="3"/>
  <c r="N34" i="3"/>
  <c r="L33" i="3"/>
  <c r="N32" i="3"/>
  <c r="L31" i="3"/>
  <c r="N30" i="3"/>
  <c r="L29" i="3"/>
  <c r="N28" i="3"/>
  <c r="L27" i="3"/>
  <c r="N26" i="3"/>
  <c r="L25" i="3"/>
  <c r="N24" i="3"/>
  <c r="L23" i="3"/>
  <c r="N22" i="3"/>
  <c r="L21" i="3"/>
  <c r="N20" i="3"/>
  <c r="L19" i="3"/>
  <c r="N18" i="3"/>
  <c r="L17" i="3"/>
  <c r="N16" i="3"/>
  <c r="L15" i="3"/>
  <c r="I49" i="32"/>
  <c r="H49" i="32"/>
  <c r="G49" i="32"/>
  <c r="F49" i="32"/>
  <c r="E49" i="32"/>
  <c r="I48" i="32"/>
  <c r="H48" i="32"/>
  <c r="G48" i="32"/>
  <c r="F48" i="32"/>
  <c r="E48" i="32"/>
  <c r="I47" i="32"/>
  <c r="H47" i="32"/>
  <c r="G47" i="32"/>
  <c r="F47" i="32"/>
  <c r="E47" i="32"/>
  <c r="I46" i="32"/>
  <c r="H46" i="32"/>
  <c r="G46" i="32"/>
  <c r="F46" i="32"/>
  <c r="E46" i="32"/>
  <c r="I45" i="32"/>
  <c r="H45" i="32"/>
  <c r="G45" i="32"/>
  <c r="F45" i="32"/>
  <c r="E45" i="32"/>
  <c r="I44" i="32"/>
  <c r="H44" i="32"/>
  <c r="G44" i="32"/>
  <c r="F44" i="32"/>
  <c r="E44" i="32"/>
  <c r="I43" i="32"/>
  <c r="H43" i="32"/>
  <c r="G43" i="32"/>
  <c r="F43" i="32"/>
  <c r="E43" i="32"/>
  <c r="I42" i="32"/>
  <c r="H42" i="32"/>
  <c r="G42" i="32"/>
  <c r="F42" i="32"/>
  <c r="E42" i="32"/>
  <c r="I41" i="32"/>
  <c r="H41" i="32"/>
  <c r="G41" i="32"/>
  <c r="F41" i="32"/>
  <c r="E41" i="32"/>
  <c r="I40" i="32"/>
  <c r="H40" i="32"/>
  <c r="G40" i="32"/>
  <c r="F40" i="32"/>
  <c r="E40" i="32"/>
  <c r="I39" i="32"/>
  <c r="H39" i="32"/>
  <c r="G39" i="32"/>
  <c r="F39" i="32"/>
  <c r="E39" i="32"/>
  <c r="I38" i="32"/>
  <c r="H38" i="32"/>
  <c r="G38" i="32"/>
  <c r="F38" i="32"/>
  <c r="E38" i="32"/>
  <c r="I37" i="32"/>
  <c r="H37" i="32"/>
  <c r="G37" i="32"/>
  <c r="F37" i="32"/>
  <c r="E37" i="32"/>
  <c r="I36" i="32"/>
  <c r="H36" i="32"/>
  <c r="G36" i="32"/>
  <c r="F36" i="32"/>
  <c r="E36" i="32"/>
  <c r="I35" i="32"/>
  <c r="H35" i="32"/>
  <c r="G35" i="32"/>
  <c r="F35" i="32"/>
  <c r="E35" i="32"/>
  <c r="I34" i="32"/>
  <c r="H34" i="32"/>
  <c r="G34" i="32"/>
  <c r="F34" i="32"/>
  <c r="E34" i="32"/>
  <c r="I33" i="32"/>
  <c r="H33" i="32"/>
  <c r="G33" i="32"/>
  <c r="F33" i="32"/>
  <c r="E33" i="32"/>
  <c r="I32" i="32"/>
  <c r="H32" i="32"/>
  <c r="G32" i="32"/>
  <c r="F32" i="32"/>
  <c r="E32" i="32"/>
  <c r="I31" i="32"/>
  <c r="H31" i="32"/>
  <c r="G31" i="32"/>
  <c r="F31" i="32"/>
  <c r="E31" i="32"/>
  <c r="I30" i="32"/>
  <c r="H30" i="32"/>
  <c r="G30" i="32"/>
  <c r="F30" i="32"/>
  <c r="E30" i="32"/>
  <c r="I29" i="32"/>
  <c r="H29" i="32"/>
  <c r="G29" i="32"/>
  <c r="F29" i="32"/>
  <c r="E29" i="32"/>
  <c r="I28" i="32"/>
  <c r="H28" i="32"/>
  <c r="G28" i="32"/>
  <c r="F28" i="32"/>
  <c r="E28" i="32"/>
  <c r="I27" i="32"/>
  <c r="H27" i="32"/>
  <c r="G27" i="32"/>
  <c r="F27" i="32"/>
  <c r="E27" i="32"/>
  <c r="I26" i="32"/>
  <c r="H26" i="32"/>
  <c r="G26" i="32"/>
  <c r="F26" i="32"/>
  <c r="E26" i="32"/>
  <c r="I25" i="32"/>
  <c r="H25" i="32"/>
  <c r="G25" i="32"/>
  <c r="F25" i="32"/>
  <c r="E25" i="32"/>
  <c r="I24" i="32"/>
  <c r="H24" i="32"/>
  <c r="G24" i="32"/>
  <c r="F24" i="32"/>
  <c r="E24" i="32"/>
  <c r="I23" i="32"/>
  <c r="H23" i="32"/>
  <c r="G23" i="32"/>
  <c r="F23" i="32"/>
  <c r="E23" i="32"/>
  <c r="I22" i="32"/>
  <c r="H22" i="32"/>
  <c r="G22" i="32"/>
  <c r="F22" i="32"/>
  <c r="E22" i="32"/>
  <c r="I21" i="32"/>
  <c r="H21" i="32"/>
  <c r="G21" i="32"/>
  <c r="F21" i="32"/>
  <c r="E21" i="32"/>
  <c r="I20" i="32"/>
  <c r="H20" i="32"/>
  <c r="G20" i="32"/>
  <c r="F20" i="32"/>
  <c r="E20" i="32"/>
  <c r="I19" i="32"/>
  <c r="H19" i="32"/>
  <c r="G19" i="32"/>
  <c r="F19" i="32"/>
  <c r="E19" i="32"/>
  <c r="I18" i="32"/>
  <c r="H18" i="32"/>
  <c r="G18" i="32"/>
  <c r="F18" i="32"/>
  <c r="E18" i="32"/>
  <c r="I17" i="32"/>
  <c r="H17" i="32"/>
  <c r="G17" i="32"/>
  <c r="F17" i="32"/>
  <c r="E17" i="32"/>
  <c r="I16" i="32"/>
  <c r="H16" i="32"/>
  <c r="G16" i="32"/>
  <c r="F16" i="32"/>
  <c r="E16" i="32"/>
  <c r="I15" i="32"/>
  <c r="H15" i="32"/>
  <c r="G15" i="32"/>
  <c r="F15" i="32"/>
  <c r="E15" i="32"/>
  <c r="I14" i="32"/>
  <c r="H14" i="32"/>
  <c r="G14" i="32"/>
  <c r="F14" i="32"/>
  <c r="E14" i="32"/>
  <c r="I13" i="32"/>
  <c r="H13" i="32"/>
  <c r="G13" i="32"/>
  <c r="F13" i="32"/>
  <c r="E13" i="32"/>
  <c r="I12" i="32"/>
  <c r="H12" i="32"/>
  <c r="G12" i="32"/>
  <c r="F12" i="32"/>
  <c r="E12" i="32"/>
  <c r="I11" i="32"/>
  <c r="H11" i="32"/>
  <c r="G11" i="32"/>
  <c r="F11" i="32"/>
  <c r="E11" i="32"/>
  <c r="I10" i="32"/>
  <c r="H10" i="32"/>
  <c r="G10" i="32"/>
  <c r="F10" i="32"/>
  <c r="E10" i="32"/>
  <c r="I9" i="32"/>
  <c r="H9" i="32"/>
  <c r="G9" i="32"/>
  <c r="F9" i="32"/>
  <c r="E9" i="32"/>
  <c r="F66" i="32"/>
  <c r="V61" i="32"/>
  <c r="V60" i="32"/>
  <c r="V59" i="32"/>
  <c r="G59" i="32"/>
  <c r="J59" i="32" s="1"/>
  <c r="O302" i="23" s="1"/>
  <c r="V58" i="32"/>
  <c r="G58" i="32"/>
  <c r="J58" i="32" s="1"/>
  <c r="O301" i="23" s="1"/>
  <c r="V57" i="32"/>
  <c r="G57" i="32"/>
  <c r="J57" i="32" s="1"/>
  <c r="O300" i="23" s="1"/>
  <c r="V56" i="32"/>
  <c r="G56" i="32"/>
  <c r="J56" i="32" s="1"/>
  <c r="O299" i="23" s="1"/>
  <c r="U54" i="32"/>
  <c r="R49" i="32"/>
  <c r="T48" i="32"/>
  <c r="B290" i="23" s="1"/>
  <c r="P48" i="32"/>
  <c r="L48" i="32"/>
  <c r="D48" i="32"/>
  <c r="R47" i="32"/>
  <c r="T46" i="32"/>
  <c r="B288" i="23" s="1"/>
  <c r="P46" i="32"/>
  <c r="L46" i="32"/>
  <c r="D46" i="32"/>
  <c r="R45" i="32"/>
  <c r="T44" i="32"/>
  <c r="B286" i="23" s="1"/>
  <c r="P44" i="32"/>
  <c r="L44" i="32"/>
  <c r="D44" i="32"/>
  <c r="T43" i="32"/>
  <c r="B285" i="23" s="1"/>
  <c r="L43" i="32"/>
  <c r="D43" i="32"/>
  <c r="P43" i="32"/>
  <c r="R42" i="32"/>
  <c r="C42" i="32"/>
  <c r="J48" i="3" s="1"/>
  <c r="J42" i="32"/>
  <c r="U41" i="32"/>
  <c r="T41" i="32"/>
  <c r="B283" i="23" s="1"/>
  <c r="Q41" i="32"/>
  <c r="P41" i="32"/>
  <c r="M41" i="32"/>
  <c r="AF283" i="23" s="1"/>
  <c r="L41" i="32"/>
  <c r="D41" i="32"/>
  <c r="R40" i="32"/>
  <c r="O40" i="32"/>
  <c r="J40" i="32"/>
  <c r="U39" i="32"/>
  <c r="T39" i="32"/>
  <c r="B281" i="23" s="1"/>
  <c r="Q39" i="32"/>
  <c r="P39" i="32"/>
  <c r="M39" i="32"/>
  <c r="AF281" i="23" s="1"/>
  <c r="L39" i="32"/>
  <c r="D39" i="32"/>
  <c r="S38" i="32"/>
  <c r="O38" i="32"/>
  <c r="N38" i="32"/>
  <c r="K38" i="32"/>
  <c r="AK280" i="23" s="1"/>
  <c r="C38" i="32"/>
  <c r="J44" i="3" s="1"/>
  <c r="U37" i="32"/>
  <c r="T37" i="32"/>
  <c r="B279" i="23" s="1"/>
  <c r="Q37" i="32"/>
  <c r="P37" i="32"/>
  <c r="M37" i="32"/>
  <c r="AF279" i="23" s="1"/>
  <c r="L37" i="32"/>
  <c r="D37" i="32"/>
  <c r="U35" i="32"/>
  <c r="T35" i="32"/>
  <c r="B277" i="23" s="1"/>
  <c r="Q35" i="32"/>
  <c r="P35" i="32"/>
  <c r="M35" i="32"/>
  <c r="AF277" i="23" s="1"/>
  <c r="L35" i="32"/>
  <c r="D35" i="32"/>
  <c r="T34" i="32"/>
  <c r="B276" i="23" s="1"/>
  <c r="R34" i="32"/>
  <c r="O34" i="32"/>
  <c r="L34" i="32"/>
  <c r="K34" i="32"/>
  <c r="AK276" i="23" s="1"/>
  <c r="D34" i="32"/>
  <c r="T33" i="32"/>
  <c r="B275" i="23" s="1"/>
  <c r="S33" i="32"/>
  <c r="O33" i="32"/>
  <c r="N33" i="32"/>
  <c r="J33" i="32"/>
  <c r="D33" i="32"/>
  <c r="C33" i="32"/>
  <c r="J39" i="3" s="1"/>
  <c r="R32" i="32"/>
  <c r="L32" i="32"/>
  <c r="T31" i="32"/>
  <c r="B273" i="23" s="1"/>
  <c r="S31" i="32"/>
  <c r="P31" i="32"/>
  <c r="O31" i="32"/>
  <c r="N31" i="32"/>
  <c r="K31" i="32"/>
  <c r="AK273" i="23" s="1"/>
  <c r="J31" i="32"/>
  <c r="D31" i="32"/>
  <c r="C31" i="32"/>
  <c r="J37" i="3" s="1"/>
  <c r="R30" i="32"/>
  <c r="R29" i="32"/>
  <c r="K29" i="32"/>
  <c r="AK271" i="23" s="1"/>
  <c r="D29" i="32"/>
  <c r="U28" i="32"/>
  <c r="T28" i="32"/>
  <c r="B270" i="23" s="1"/>
  <c r="R28" i="32"/>
  <c r="N28" i="32"/>
  <c r="M28" i="32"/>
  <c r="AF270" i="23" s="1"/>
  <c r="J28" i="32"/>
  <c r="D28" i="32"/>
  <c r="S27" i="32"/>
  <c r="N27" i="32"/>
  <c r="L27" i="32"/>
  <c r="U26" i="32"/>
  <c r="Q26" i="32"/>
  <c r="P26" i="32"/>
  <c r="L26" i="32"/>
  <c r="J26" i="32"/>
  <c r="T25" i="32"/>
  <c r="B267" i="23" s="1"/>
  <c r="S25" i="32"/>
  <c r="P25" i="32"/>
  <c r="O25" i="32"/>
  <c r="N25" i="32"/>
  <c r="K25" i="32"/>
  <c r="AK267" i="23" s="1"/>
  <c r="J25" i="32"/>
  <c r="D25" i="32"/>
  <c r="C25" i="32"/>
  <c r="J31" i="3" s="1"/>
  <c r="T24" i="32"/>
  <c r="B266" i="23" s="1"/>
  <c r="T23" i="32"/>
  <c r="B265" i="23" s="1"/>
  <c r="P23" i="32"/>
  <c r="O23" i="32"/>
  <c r="K23" i="32"/>
  <c r="AK265" i="23" s="1"/>
  <c r="J23" i="32"/>
  <c r="D23" i="32"/>
  <c r="T22" i="32"/>
  <c r="B264" i="23" s="1"/>
  <c r="N22" i="32"/>
  <c r="D22" i="32"/>
  <c r="S21" i="32"/>
  <c r="U20" i="32"/>
  <c r="T20" i="32"/>
  <c r="B262" i="23" s="1"/>
  <c r="Q20" i="32"/>
  <c r="P20" i="32"/>
  <c r="N20" i="32"/>
  <c r="L20" i="32"/>
  <c r="J20" i="32"/>
  <c r="D20" i="32"/>
  <c r="S19" i="32"/>
  <c r="N19" i="32"/>
  <c r="C19" i="32"/>
  <c r="J25" i="3" s="1"/>
  <c r="U18" i="32"/>
  <c r="Q18" i="32"/>
  <c r="P18" i="32"/>
  <c r="L18" i="32"/>
  <c r="J18" i="32"/>
  <c r="T17" i="32"/>
  <c r="B259" i="23" s="1"/>
  <c r="S17" i="32"/>
  <c r="P17" i="32"/>
  <c r="O17" i="32"/>
  <c r="N17" i="32"/>
  <c r="K17" i="32"/>
  <c r="AK259" i="23" s="1"/>
  <c r="J17" i="32"/>
  <c r="D17" i="32"/>
  <c r="C17" i="32"/>
  <c r="J23" i="3" s="1"/>
  <c r="M16" i="32"/>
  <c r="AF258" i="23" s="1"/>
  <c r="T16" i="32"/>
  <c r="B258" i="23" s="1"/>
  <c r="T15" i="32"/>
  <c r="B257" i="23" s="1"/>
  <c r="P15" i="32"/>
  <c r="O15" i="32"/>
  <c r="K15" i="32"/>
  <c r="AK257" i="23" s="1"/>
  <c r="J15" i="32"/>
  <c r="D15" i="32"/>
  <c r="T14" i="32"/>
  <c r="B256" i="23" s="1"/>
  <c r="N14" i="32"/>
  <c r="D14" i="32"/>
  <c r="U12" i="32"/>
  <c r="T12" i="32"/>
  <c r="B254" i="23" s="1"/>
  <c r="Q12" i="32"/>
  <c r="P12" i="32"/>
  <c r="N12" i="32"/>
  <c r="L12" i="32"/>
  <c r="J12" i="32"/>
  <c r="D12" i="32"/>
  <c r="U11" i="32"/>
  <c r="T11" i="32"/>
  <c r="B253" i="23" s="1"/>
  <c r="Q11" i="32"/>
  <c r="P11" i="32"/>
  <c r="M11" i="32"/>
  <c r="AF253" i="23" s="1"/>
  <c r="L11" i="32"/>
  <c r="D11" i="32"/>
  <c r="S10" i="32"/>
  <c r="O10" i="32"/>
  <c r="K10" i="32"/>
  <c r="AK252" i="23" s="1"/>
  <c r="C10" i="32"/>
  <c r="J16" i="3" s="1"/>
  <c r="U9" i="32"/>
  <c r="T9" i="32"/>
  <c r="B251" i="23" s="1"/>
  <c r="Q9" i="32"/>
  <c r="E57" i="32" s="1"/>
  <c r="H300" i="23" s="1"/>
  <c r="P9" i="32"/>
  <c r="M9" i="32"/>
  <c r="AF251" i="23" s="1"/>
  <c r="L9" i="32"/>
  <c r="D9" i="32"/>
  <c r="I3" i="32"/>
  <c r="H3" i="32"/>
  <c r="G3" i="32"/>
  <c r="D3" i="32"/>
  <c r="T245" i="23" s="1"/>
  <c r="C3" i="32"/>
  <c r="B3" i="32" s="1"/>
  <c r="M56" i="32" l="1"/>
  <c r="B245" i="23"/>
  <c r="J3" i="32"/>
  <c r="O3" i="32" s="1"/>
  <c r="U13" i="32"/>
  <c r="Q13" i="32"/>
  <c r="M13" i="32"/>
  <c r="AF255" i="23" s="1"/>
  <c r="R13" i="32"/>
  <c r="R16" i="32"/>
  <c r="R21" i="32"/>
  <c r="M24" i="32"/>
  <c r="AF266" i="23" s="1"/>
  <c r="R24" i="32"/>
  <c r="U36" i="32"/>
  <c r="Q36" i="32"/>
  <c r="M36" i="32"/>
  <c r="AF278" i="23" s="1"/>
  <c r="T36" i="32"/>
  <c r="B278" i="23" s="1"/>
  <c r="P36" i="32"/>
  <c r="L36" i="32"/>
  <c r="D36" i="32"/>
  <c r="O36" i="32"/>
  <c r="S36" i="32"/>
  <c r="J36" i="32"/>
  <c r="R36" i="32"/>
  <c r="N36" i="32"/>
  <c r="C36" i="32"/>
  <c r="J42" i="3" s="1"/>
  <c r="J9" i="32"/>
  <c r="N9" i="32"/>
  <c r="R9" i="32"/>
  <c r="D10" i="32"/>
  <c r="L10" i="32"/>
  <c r="P10" i="32"/>
  <c r="T10" i="32"/>
  <c r="B252" i="23" s="1"/>
  <c r="J11" i="32"/>
  <c r="N11" i="32"/>
  <c r="R11" i="32"/>
  <c r="C13" i="32"/>
  <c r="J19" i="3" s="1"/>
  <c r="N13" i="32"/>
  <c r="S13" i="32"/>
  <c r="J14" i="32"/>
  <c r="P14" i="32"/>
  <c r="U14" i="32"/>
  <c r="U15" i="32"/>
  <c r="Q15" i="32"/>
  <c r="M15" i="32"/>
  <c r="AF257" i="23" s="1"/>
  <c r="L15" i="32"/>
  <c r="R15" i="32"/>
  <c r="D16" i="32"/>
  <c r="N16" i="32"/>
  <c r="S18" i="32"/>
  <c r="O18" i="32"/>
  <c r="K18" i="32"/>
  <c r="AK260" i="23" s="1"/>
  <c r="C18" i="32"/>
  <c r="J24" i="3" s="1"/>
  <c r="M18" i="32"/>
  <c r="AF260" i="23" s="1"/>
  <c r="R18" i="32"/>
  <c r="D19" i="32"/>
  <c r="J19" i="32"/>
  <c r="O19" i="32"/>
  <c r="T19" i="32"/>
  <c r="B261" i="23" s="1"/>
  <c r="C21" i="32"/>
  <c r="J27" i="3" s="1"/>
  <c r="N21" i="32"/>
  <c r="J22" i="32"/>
  <c r="P22" i="32"/>
  <c r="U22" i="32"/>
  <c r="U23" i="32"/>
  <c r="Q23" i="32"/>
  <c r="M23" i="32"/>
  <c r="AF265" i="23" s="1"/>
  <c r="L23" i="32"/>
  <c r="R23" i="32"/>
  <c r="D24" i="32"/>
  <c r="N24" i="32"/>
  <c r="S26" i="32"/>
  <c r="O26" i="32"/>
  <c r="K26" i="32"/>
  <c r="AK268" i="23" s="1"/>
  <c r="C26" i="32"/>
  <c r="J32" i="3" s="1"/>
  <c r="M26" i="32"/>
  <c r="AF268" i="23" s="1"/>
  <c r="R26" i="32"/>
  <c r="U27" i="32"/>
  <c r="Q27" i="32"/>
  <c r="M27" i="32"/>
  <c r="AF269" i="23" s="1"/>
  <c r="T27" i="32"/>
  <c r="B269" i="23" s="1"/>
  <c r="O27" i="32"/>
  <c r="J27" i="32"/>
  <c r="D27" i="32"/>
  <c r="P27" i="32"/>
  <c r="L29" i="32"/>
  <c r="T29" i="32"/>
  <c r="B271" i="23" s="1"/>
  <c r="D30" i="32"/>
  <c r="L30" i="32"/>
  <c r="S32" i="32"/>
  <c r="O32" i="32"/>
  <c r="K32" i="32"/>
  <c r="AK274" i="23" s="1"/>
  <c r="C32" i="32"/>
  <c r="J38" i="3" s="1"/>
  <c r="U32" i="32"/>
  <c r="P32" i="32"/>
  <c r="J32" i="32"/>
  <c r="T32" i="32"/>
  <c r="B274" i="23" s="1"/>
  <c r="N32" i="32"/>
  <c r="D32" i="32"/>
  <c r="M32" i="32"/>
  <c r="AF274" i="23" s="1"/>
  <c r="K36" i="32"/>
  <c r="AK278" i="23" s="1"/>
  <c r="S16" i="32"/>
  <c r="O16" i="32"/>
  <c r="K16" i="32"/>
  <c r="AK258" i="23" s="1"/>
  <c r="C16" i="32"/>
  <c r="J22" i="3" s="1"/>
  <c r="U21" i="32"/>
  <c r="Q21" i="32"/>
  <c r="M21" i="32"/>
  <c r="AF263" i="23" s="1"/>
  <c r="L21" i="32"/>
  <c r="S24" i="32"/>
  <c r="O24" i="32"/>
  <c r="K24" i="32"/>
  <c r="AK266" i="23" s="1"/>
  <c r="C24" i="32"/>
  <c r="J30" i="3" s="1"/>
  <c r="S30" i="32"/>
  <c r="O30" i="32"/>
  <c r="K30" i="32"/>
  <c r="AK272" i="23" s="1"/>
  <c r="C30" i="32"/>
  <c r="J36" i="3" s="1"/>
  <c r="U30" i="32"/>
  <c r="P30" i="32"/>
  <c r="J30" i="32"/>
  <c r="Q30" i="32"/>
  <c r="C9" i="32"/>
  <c r="J15" i="3" s="1"/>
  <c r="K9" i="32"/>
  <c r="AK251" i="23" s="1"/>
  <c r="O9" i="32"/>
  <c r="S9" i="32"/>
  <c r="E59" i="32" s="1"/>
  <c r="H302" i="23" s="1"/>
  <c r="M10" i="32"/>
  <c r="AF252" i="23" s="1"/>
  <c r="Q10" i="32"/>
  <c r="U10" i="32"/>
  <c r="C11" i="32"/>
  <c r="J17" i="3" s="1"/>
  <c r="K11" i="32"/>
  <c r="AK253" i="23" s="1"/>
  <c r="O11" i="32"/>
  <c r="S11" i="32"/>
  <c r="S12" i="32"/>
  <c r="O12" i="32"/>
  <c r="K12" i="32"/>
  <c r="AK254" i="23" s="1"/>
  <c r="C12" i="32"/>
  <c r="J18" i="3" s="1"/>
  <c r="M12" i="32"/>
  <c r="AF254" i="23" s="1"/>
  <c r="R12" i="32"/>
  <c r="D13" i="32"/>
  <c r="J13" i="32"/>
  <c r="O13" i="32"/>
  <c r="T13" i="32"/>
  <c r="B255" i="23" s="1"/>
  <c r="L14" i="32"/>
  <c r="Q14" i="32"/>
  <c r="C15" i="32"/>
  <c r="J21" i="3" s="1"/>
  <c r="N15" i="32"/>
  <c r="S15" i="32"/>
  <c r="J16" i="32"/>
  <c r="P16" i="32"/>
  <c r="U16" i="32"/>
  <c r="U17" i="32"/>
  <c r="Q17" i="32"/>
  <c r="M17" i="32"/>
  <c r="AF259" i="23" s="1"/>
  <c r="L17" i="32"/>
  <c r="R17" i="32"/>
  <c r="D18" i="32"/>
  <c r="N18" i="32"/>
  <c r="T18" i="32"/>
  <c r="B260" i="23" s="1"/>
  <c r="K19" i="32"/>
  <c r="AK261" i="23" s="1"/>
  <c r="P19" i="32"/>
  <c r="S20" i="32"/>
  <c r="O20" i="32"/>
  <c r="K20" i="32"/>
  <c r="AK262" i="23" s="1"/>
  <c r="C20" i="32"/>
  <c r="J26" i="3" s="1"/>
  <c r="M20" i="32"/>
  <c r="AF262" i="23" s="1"/>
  <c r="R20" i="32"/>
  <c r="D21" i="32"/>
  <c r="J21" i="32"/>
  <c r="O21" i="32"/>
  <c r="T21" i="32"/>
  <c r="B263" i="23" s="1"/>
  <c r="L22" i="32"/>
  <c r="Q22" i="32"/>
  <c r="C23" i="32"/>
  <c r="J29" i="3" s="1"/>
  <c r="N23" i="32"/>
  <c r="S23" i="32"/>
  <c r="J24" i="32"/>
  <c r="P24" i="32"/>
  <c r="U24" i="32"/>
  <c r="U25" i="32"/>
  <c r="Q25" i="32"/>
  <c r="M25" i="32"/>
  <c r="AF267" i="23" s="1"/>
  <c r="L25" i="32"/>
  <c r="R25" i="32"/>
  <c r="D26" i="32"/>
  <c r="N26" i="32"/>
  <c r="T26" i="32"/>
  <c r="B268" i="23" s="1"/>
  <c r="C27" i="32"/>
  <c r="J33" i="3" s="1"/>
  <c r="K27" i="32"/>
  <c r="AK269" i="23" s="1"/>
  <c r="R27" i="32"/>
  <c r="S28" i="32"/>
  <c r="O28" i="32"/>
  <c r="K28" i="32"/>
  <c r="AK270" i="23" s="1"/>
  <c r="C28" i="32"/>
  <c r="J34" i="3" s="1"/>
  <c r="Q28" i="32"/>
  <c r="L28" i="32"/>
  <c r="P28" i="32"/>
  <c r="O29" i="32"/>
  <c r="M30" i="32"/>
  <c r="AF272" i="23" s="1"/>
  <c r="T30" i="32"/>
  <c r="B272" i="23" s="1"/>
  <c r="Q32" i="32"/>
  <c r="L13" i="32"/>
  <c r="E8" i="32"/>
  <c r="F8" i="32" s="1"/>
  <c r="G8" i="32" s="1"/>
  <c r="H8" i="32" s="1"/>
  <c r="I8" i="32" s="1"/>
  <c r="J8" i="32" s="1"/>
  <c r="J10" i="32"/>
  <c r="N10" i="32"/>
  <c r="R10" i="32"/>
  <c r="K13" i="32"/>
  <c r="AK255" i="23" s="1"/>
  <c r="P13" i="32"/>
  <c r="S14" i="32"/>
  <c r="O14" i="32"/>
  <c r="K14" i="32"/>
  <c r="AK256" i="23" s="1"/>
  <c r="C14" i="32"/>
  <c r="J20" i="3" s="1"/>
  <c r="M14" i="32"/>
  <c r="AF256" i="23" s="1"/>
  <c r="R14" i="32"/>
  <c r="L16" i="32"/>
  <c r="Q16" i="32"/>
  <c r="U19" i="32"/>
  <c r="Q19" i="32"/>
  <c r="M19" i="32"/>
  <c r="AF261" i="23" s="1"/>
  <c r="L19" i="32"/>
  <c r="R19" i="32"/>
  <c r="K21" i="32"/>
  <c r="AK263" i="23" s="1"/>
  <c r="P21" i="32"/>
  <c r="S22" i="32"/>
  <c r="O22" i="32"/>
  <c r="K22" i="32"/>
  <c r="AK264" i="23" s="1"/>
  <c r="C22" i="32"/>
  <c r="J28" i="3" s="1"/>
  <c r="M22" i="32"/>
  <c r="AF264" i="23" s="1"/>
  <c r="R22" i="32"/>
  <c r="L24" i="32"/>
  <c r="Q24" i="32"/>
  <c r="U29" i="32"/>
  <c r="Q29" i="32"/>
  <c r="M29" i="32"/>
  <c r="AF271" i="23" s="1"/>
  <c r="S29" i="32"/>
  <c r="N29" i="32"/>
  <c r="C29" i="32"/>
  <c r="J35" i="3" s="1"/>
  <c r="J29" i="32"/>
  <c r="P29" i="32"/>
  <c r="N30" i="32"/>
  <c r="U31" i="32"/>
  <c r="Q31" i="32"/>
  <c r="M31" i="32"/>
  <c r="AF273" i="23" s="1"/>
  <c r="L31" i="32"/>
  <c r="R31" i="32"/>
  <c r="K33" i="32"/>
  <c r="AK275" i="23" s="1"/>
  <c r="P33" i="32"/>
  <c r="U34" i="32"/>
  <c r="Q34" i="32"/>
  <c r="M34" i="32"/>
  <c r="AF276" i="23" s="1"/>
  <c r="S34" i="32"/>
  <c r="N34" i="32"/>
  <c r="C34" i="32"/>
  <c r="J40" i="3" s="1"/>
  <c r="J34" i="32"/>
  <c r="P34" i="32"/>
  <c r="U40" i="32"/>
  <c r="Q40" i="32"/>
  <c r="M40" i="32"/>
  <c r="AF282" i="23" s="1"/>
  <c r="T40" i="32"/>
  <c r="B282" i="23" s="1"/>
  <c r="P40" i="32"/>
  <c r="L40" i="32"/>
  <c r="D40" i="32"/>
  <c r="S40" i="32"/>
  <c r="K40" i="32"/>
  <c r="AK282" i="23" s="1"/>
  <c r="C40" i="32"/>
  <c r="J46" i="3" s="1"/>
  <c r="N40" i="32"/>
  <c r="U45" i="32"/>
  <c r="Q45" i="32"/>
  <c r="M45" i="32"/>
  <c r="AF287" i="23" s="1"/>
  <c r="T45" i="32"/>
  <c r="B287" i="23" s="1"/>
  <c r="P45" i="32"/>
  <c r="L45" i="32"/>
  <c r="D45" i="32"/>
  <c r="S45" i="32"/>
  <c r="O45" i="32"/>
  <c r="K45" i="32"/>
  <c r="AK287" i="23" s="1"/>
  <c r="C45" i="32"/>
  <c r="J51" i="3" s="1"/>
  <c r="N45" i="32"/>
  <c r="J45" i="32"/>
  <c r="U47" i="32"/>
  <c r="Q47" i="32"/>
  <c r="M47" i="32"/>
  <c r="AF289" i="23" s="1"/>
  <c r="T47" i="32"/>
  <c r="B289" i="23" s="1"/>
  <c r="P47" i="32"/>
  <c r="L47" i="32"/>
  <c r="D47" i="32"/>
  <c r="S47" i="32"/>
  <c r="O47" i="32"/>
  <c r="K47" i="32"/>
  <c r="AK289" i="23" s="1"/>
  <c r="C47" i="32"/>
  <c r="J53" i="3" s="1"/>
  <c r="N47" i="32"/>
  <c r="J47" i="32"/>
  <c r="U49" i="32"/>
  <c r="Q49" i="32"/>
  <c r="M49" i="32"/>
  <c r="AF291" i="23" s="1"/>
  <c r="T49" i="32"/>
  <c r="B291" i="23" s="1"/>
  <c r="P49" i="32"/>
  <c r="L49" i="32"/>
  <c r="D49" i="32"/>
  <c r="S49" i="32"/>
  <c r="O49" i="32"/>
  <c r="K49" i="32"/>
  <c r="AK291" i="23" s="1"/>
  <c r="C49" i="32"/>
  <c r="J55" i="3" s="1"/>
  <c r="N49" i="32"/>
  <c r="J49" i="32"/>
  <c r="U33" i="32"/>
  <c r="Q33" i="32"/>
  <c r="M33" i="32"/>
  <c r="AF275" i="23" s="1"/>
  <c r="L33" i="32"/>
  <c r="R33" i="32"/>
  <c r="S42" i="32"/>
  <c r="O42" i="32"/>
  <c r="U42" i="32"/>
  <c r="Q42" i="32"/>
  <c r="M42" i="32"/>
  <c r="AF284" i="23" s="1"/>
  <c r="N42" i="32"/>
  <c r="T42" i="32"/>
  <c r="B284" i="23" s="1"/>
  <c r="L42" i="32"/>
  <c r="D42" i="32"/>
  <c r="P42" i="32"/>
  <c r="K42" i="32"/>
  <c r="AK284" i="23" s="1"/>
  <c r="U38" i="32"/>
  <c r="Q38" i="32"/>
  <c r="M38" i="32"/>
  <c r="AF280" i="23" s="1"/>
  <c r="T38" i="32"/>
  <c r="B280" i="23" s="1"/>
  <c r="P38" i="32"/>
  <c r="L38" i="32"/>
  <c r="D38" i="32"/>
  <c r="J38" i="32"/>
  <c r="R38" i="32"/>
  <c r="J35" i="32"/>
  <c r="N35" i="32"/>
  <c r="R35" i="32"/>
  <c r="J37" i="32"/>
  <c r="N37" i="32"/>
  <c r="R37" i="32"/>
  <c r="J39" i="32"/>
  <c r="N39" i="32"/>
  <c r="R39" i="32"/>
  <c r="J41" i="32"/>
  <c r="N41" i="32"/>
  <c r="R41" i="32"/>
  <c r="N43" i="32"/>
  <c r="C35" i="32"/>
  <c r="J41" i="3" s="1"/>
  <c r="K35" i="32"/>
  <c r="AK277" i="23" s="1"/>
  <c r="O35" i="32"/>
  <c r="S35" i="32"/>
  <c r="C37" i="32"/>
  <c r="J43" i="3" s="1"/>
  <c r="K37" i="32"/>
  <c r="AK279" i="23" s="1"/>
  <c r="O37" i="32"/>
  <c r="S37" i="32"/>
  <c r="C39" i="32"/>
  <c r="J45" i="3" s="1"/>
  <c r="K39" i="32"/>
  <c r="AK281" i="23" s="1"/>
  <c r="O39" i="32"/>
  <c r="S39" i="32"/>
  <c r="C41" i="32"/>
  <c r="J47" i="3" s="1"/>
  <c r="K41" i="32"/>
  <c r="AK283" i="23" s="1"/>
  <c r="O41" i="32"/>
  <c r="S41" i="32"/>
  <c r="U43" i="32"/>
  <c r="Q43" i="32"/>
  <c r="M43" i="32"/>
  <c r="AF285" i="23" s="1"/>
  <c r="S43" i="32"/>
  <c r="O43" i="32"/>
  <c r="K43" i="32"/>
  <c r="AK285" i="23" s="1"/>
  <c r="C43" i="32"/>
  <c r="J49" i="3" s="1"/>
  <c r="J43" i="32"/>
  <c r="R43" i="32"/>
  <c r="M44" i="32"/>
  <c r="AF286" i="23" s="1"/>
  <c r="Q44" i="32"/>
  <c r="U44" i="32"/>
  <c r="M46" i="32"/>
  <c r="AF288" i="23" s="1"/>
  <c r="Q46" i="32"/>
  <c r="U46" i="32"/>
  <c r="M48" i="32"/>
  <c r="AF290" i="23" s="1"/>
  <c r="Q48" i="32"/>
  <c r="U48" i="32"/>
  <c r="J44" i="32"/>
  <c r="N44" i="32"/>
  <c r="R44" i="32"/>
  <c r="J46" i="32"/>
  <c r="N46" i="32"/>
  <c r="R46" i="32"/>
  <c r="J48" i="32"/>
  <c r="N48" i="32"/>
  <c r="R48" i="32"/>
  <c r="C44" i="32"/>
  <c r="J50" i="3" s="1"/>
  <c r="K44" i="32"/>
  <c r="AK286" i="23" s="1"/>
  <c r="O44" i="32"/>
  <c r="S44" i="32"/>
  <c r="C46" i="32"/>
  <c r="J52" i="3" s="1"/>
  <c r="K46" i="32"/>
  <c r="AK288" i="23" s="1"/>
  <c r="O46" i="32"/>
  <c r="S46" i="32"/>
  <c r="C48" i="32"/>
  <c r="J54" i="3" s="1"/>
  <c r="K48" i="32"/>
  <c r="AK290" i="23" s="1"/>
  <c r="O48" i="32"/>
  <c r="S48" i="32"/>
  <c r="N3" i="32" l="1"/>
  <c r="H245" i="23"/>
  <c r="M58" i="32"/>
  <c r="L55" i="32"/>
  <c r="V298" i="23" s="1"/>
  <c r="G55" i="32"/>
  <c r="S55" i="32"/>
  <c r="I55" i="32"/>
  <c r="H55" i="32"/>
  <c r="K3" i="32"/>
  <c r="I66" i="32"/>
  <c r="L66" i="32" s="1"/>
  <c r="Q66" i="32" s="1"/>
  <c r="G60" i="32"/>
  <c r="J60" i="32" s="1"/>
  <c r="E3" i="32"/>
  <c r="F3" i="32"/>
  <c r="L3" i="32"/>
  <c r="A4" i="31"/>
  <c r="A17" i="31"/>
  <c r="F9" i="31"/>
  <c r="F8" i="31"/>
  <c r="F7" i="31"/>
  <c r="F6" i="31"/>
  <c r="AP298" i="23" l="1"/>
  <c r="T55" i="32"/>
  <c r="Q60" i="32"/>
  <c r="O303" i="23"/>
  <c r="J55" i="32"/>
  <c r="O298" i="23" s="1"/>
  <c r="N59" i="32"/>
  <c r="E67" i="32"/>
  <c r="N58" i="32"/>
  <c r="E58" i="32"/>
  <c r="H301" i="23" s="1"/>
  <c r="E55" i="32"/>
  <c r="H298" i="23" s="1"/>
  <c r="E54" i="32"/>
  <c r="H297" i="23" s="1"/>
  <c r="G61" i="32"/>
  <c r="N57" i="32"/>
  <c r="Q3" i="32"/>
  <c r="D67" i="32" s="1"/>
  <c r="M3" i="32"/>
  <c r="R3" i="32"/>
  <c r="F67" i="32" s="1"/>
  <c r="N56" i="32"/>
  <c r="E56" i="32"/>
  <c r="H299" i="23" s="1"/>
  <c r="P3" i="32"/>
  <c r="C67" i="32" s="1"/>
  <c r="V55" i="32"/>
  <c r="V56" i="21"/>
  <c r="V57" i="21"/>
  <c r="V58" i="21"/>
  <c r="V59" i="21"/>
  <c r="V60" i="21"/>
  <c r="V61" i="21"/>
  <c r="G67" i="32" l="1"/>
  <c r="U60" i="32"/>
  <c r="AH303" i="23"/>
  <c r="J61" i="32"/>
  <c r="O304" i="23" s="1"/>
  <c r="O58" i="32"/>
  <c r="AA301" i="23" s="1"/>
  <c r="O56" i="32"/>
  <c r="AA299" i="23" s="1"/>
  <c r="Q55" i="32"/>
  <c r="AH298" i="23" s="1"/>
  <c r="M59" i="32"/>
  <c r="O59" i="32" s="1"/>
  <c r="AA302" i="23" s="1"/>
  <c r="M57" i="32"/>
  <c r="O57" i="32" s="1"/>
  <c r="AA300" i="23" s="1"/>
  <c r="J54" i="32"/>
  <c r="O297" i="23" s="1"/>
  <c r="E62" i="32"/>
  <c r="H305" i="23" s="1"/>
  <c r="U55" i="32" l="1"/>
  <c r="Q58" i="32"/>
  <c r="Q56" i="32"/>
  <c r="Q61" i="32"/>
  <c r="AH304" i="23" s="1"/>
  <c r="Q54" i="32"/>
  <c r="AH297" i="23" s="1"/>
  <c r="Q59" i="32"/>
  <c r="Q57" i="32"/>
  <c r="G58" i="21"/>
  <c r="J58" i="21" s="1"/>
  <c r="G56" i="21"/>
  <c r="J56" i="21" s="1"/>
  <c r="AH299" i="23" l="1"/>
  <c r="T56" i="32"/>
  <c r="AH301" i="23"/>
  <c r="T58" i="32"/>
  <c r="AH300" i="23"/>
  <c r="T57" i="32"/>
  <c r="T62" i="32" s="1"/>
  <c r="S62" i="32" s="1"/>
  <c r="AP305" i="23" s="1"/>
  <c r="AH302" i="23"/>
  <c r="T59" i="32"/>
  <c r="U61" i="32"/>
  <c r="U56" i="32"/>
  <c r="U58" i="32"/>
  <c r="U59" i="32"/>
  <c r="U57" i="32"/>
  <c r="Q62" i="32"/>
  <c r="AH305" i="23" s="1"/>
  <c r="M308" i="23" s="1"/>
  <c r="V54" i="32"/>
  <c r="U54" i="21"/>
  <c r="C78" i="32" l="1"/>
  <c r="C76" i="32"/>
  <c r="C74" i="32"/>
  <c r="C72" i="32"/>
  <c r="C79" i="32"/>
  <c r="C77" i="32"/>
  <c r="C75" i="32"/>
  <c r="C73" i="32"/>
  <c r="V62" i="32"/>
  <c r="F71" i="32" s="1"/>
  <c r="U62" i="32"/>
  <c r="E71" i="32" s="1"/>
  <c r="C185" i="23"/>
  <c r="F73" i="32" l="1"/>
  <c r="F75" i="32" s="1"/>
  <c r="E73" i="32"/>
  <c r="E75" i="32" s="1"/>
  <c r="E72" i="32"/>
  <c r="G71" i="32"/>
  <c r="W202" i="23"/>
  <c r="C198" i="23"/>
  <c r="AB188" i="23"/>
  <c r="G75" i="32" l="1"/>
  <c r="G72" i="32"/>
  <c r="E76" i="32" s="1"/>
  <c r="Y207" i="23"/>
  <c r="R207" i="23"/>
  <c r="R193" i="23"/>
  <c r="Y193" i="23"/>
  <c r="E77" i="32" l="1"/>
  <c r="E78" i="32"/>
  <c r="G59" i="21"/>
  <c r="J59" i="21" s="1"/>
  <c r="G57" i="21"/>
  <c r="M56" i="21" l="1"/>
  <c r="J57" i="21"/>
  <c r="F78" i="32"/>
  <c r="I308" i="23"/>
  <c r="R308" i="23" s="1"/>
  <c r="C66" i="32"/>
  <c r="G66" i="32" s="1"/>
  <c r="H66" i="32" s="1"/>
  <c r="R66" i="32" s="1"/>
  <c r="D3" i="21"/>
  <c r="S3" i="32" l="1"/>
  <c r="J66" i="32"/>
  <c r="O66" i="32" s="1"/>
  <c r="C12" i="3"/>
  <c r="AU222" i="23"/>
  <c r="AP222" i="23"/>
  <c r="AK222" i="23"/>
  <c r="AF222" i="23"/>
  <c r="AA222" i="23"/>
  <c r="V222" i="23"/>
  <c r="L222" i="23"/>
  <c r="N175" i="23"/>
  <c r="C172" i="23" s="1"/>
  <c r="N145" i="23"/>
  <c r="S145" i="23" s="1"/>
  <c r="S150" i="23" s="1"/>
  <c r="AM86" i="23"/>
  <c r="M86" i="23"/>
  <c r="AP85" i="23"/>
  <c r="AM85" i="23"/>
  <c r="AA85" i="23"/>
  <c r="N205" i="23" s="1"/>
  <c r="L207" i="23" s="1"/>
  <c r="V85" i="23"/>
  <c r="I204" i="23" s="1"/>
  <c r="S85" i="23"/>
  <c r="M85" i="23"/>
  <c r="H85" i="23"/>
  <c r="AP84" i="23"/>
  <c r="AM84" i="23"/>
  <c r="AA84" i="23"/>
  <c r="N191" i="23" s="1"/>
  <c r="L193" i="23" s="1"/>
  <c r="V84" i="23"/>
  <c r="I190" i="23" s="1"/>
  <c r="S84" i="23"/>
  <c r="M84" i="23"/>
  <c r="H84" i="23"/>
  <c r="AP83" i="23"/>
  <c r="AM83" i="23"/>
  <c r="AE83" i="23"/>
  <c r="V83" i="23"/>
  <c r="I177" i="23" s="1"/>
  <c r="S83" i="23"/>
  <c r="M83" i="23"/>
  <c r="AP82" i="23"/>
  <c r="AM82" i="23"/>
  <c r="AE82" i="23"/>
  <c r="V82" i="23"/>
  <c r="I161" i="23" s="1"/>
  <c r="S82" i="23"/>
  <c r="O82" i="23"/>
  <c r="M82" i="23"/>
  <c r="AP81" i="23"/>
  <c r="AM81" i="23"/>
  <c r="AE81" i="23"/>
  <c r="V81" i="23"/>
  <c r="I147" i="23" s="1"/>
  <c r="S81" i="23"/>
  <c r="M81" i="23"/>
  <c r="AP80" i="23"/>
  <c r="AM80" i="23"/>
  <c r="AE80" i="23"/>
  <c r="V80" i="23"/>
  <c r="I131" i="23" s="1"/>
  <c r="S80" i="23"/>
  <c r="O80" i="23"/>
  <c r="M80" i="23"/>
  <c r="AM79" i="23"/>
  <c r="AA79" i="23"/>
  <c r="N116" i="23" s="1"/>
  <c r="L118" i="23" s="1"/>
  <c r="S79" i="23"/>
  <c r="M79" i="23"/>
  <c r="N108" i="23" s="1"/>
  <c r="AP78" i="23"/>
  <c r="AM78" i="23"/>
  <c r="AA78" i="23"/>
  <c r="N100" i="23" s="1"/>
  <c r="L102" i="23" s="1"/>
  <c r="V78" i="23"/>
  <c r="I99" i="23" s="1"/>
  <c r="S78" i="23"/>
  <c r="M78" i="23"/>
  <c r="N91" i="23" s="1"/>
  <c r="T5" i="23"/>
  <c r="B197" i="23"/>
  <c r="Z113" i="23"/>
  <c r="T113" i="23"/>
  <c r="Z110" i="23"/>
  <c r="R118" i="23" s="1"/>
  <c r="Y118" i="23" s="1"/>
  <c r="T110" i="23"/>
  <c r="B105" i="23"/>
  <c r="AA93" i="23"/>
  <c r="R102" i="23" s="1"/>
  <c r="Y102" i="23" s="1"/>
  <c r="G64" i="23"/>
  <c r="G58" i="23"/>
  <c r="G56" i="23"/>
  <c r="G10" i="23"/>
  <c r="L10" i="23" s="1"/>
  <c r="Q10" i="23" s="1"/>
  <c r="V10" i="23" s="1"/>
  <c r="AA10" i="23" s="1"/>
  <c r="G8" i="23"/>
  <c r="K66" i="32" l="1"/>
  <c r="M66" i="32" s="1"/>
  <c r="B89" i="23"/>
  <c r="C142" i="23"/>
  <c r="B154" i="23"/>
  <c r="B121" i="23"/>
  <c r="B141" i="23"/>
  <c r="G62" i="23"/>
  <c r="G59" i="23"/>
  <c r="G63" i="23"/>
  <c r="C90" i="23"/>
  <c r="C122" i="23"/>
  <c r="B171" i="23"/>
  <c r="S175" i="23"/>
  <c r="S180" i="23" s="1"/>
  <c r="G60" i="23"/>
  <c r="C155" i="23"/>
  <c r="G57" i="23"/>
  <c r="G61" i="23"/>
  <c r="Y10" i="32" l="1"/>
  <c r="Y12" i="32"/>
  <c r="Y14" i="32"/>
  <c r="Y16" i="32"/>
  <c r="Y18" i="32"/>
  <c r="Y20" i="32"/>
  <c r="Y22" i="32"/>
  <c r="Y24" i="32"/>
  <c r="Y26" i="32"/>
  <c r="Y28" i="32"/>
  <c r="Y30" i="32"/>
  <c r="Y32" i="32"/>
  <c r="Y34" i="32"/>
  <c r="Y36" i="32"/>
  <c r="Y38" i="32"/>
  <c r="Y40" i="32"/>
  <c r="Y42" i="32"/>
  <c r="Y44" i="32"/>
  <c r="Y46" i="32"/>
  <c r="Y48" i="32"/>
  <c r="Z26" i="32"/>
  <c r="Z34" i="32"/>
  <c r="Z38" i="32"/>
  <c r="Z42" i="32"/>
  <c r="Z46" i="32"/>
  <c r="Z21" i="32"/>
  <c r="Z29" i="32"/>
  <c r="Z33" i="32"/>
  <c r="Z39" i="32"/>
  <c r="Z47" i="32"/>
  <c r="Z10" i="32"/>
  <c r="Z12" i="32"/>
  <c r="Z14" i="32"/>
  <c r="Z16" i="32"/>
  <c r="Z18" i="32"/>
  <c r="Z20" i="32"/>
  <c r="Z22" i="32"/>
  <c r="Z24" i="32"/>
  <c r="Z28" i="32"/>
  <c r="Z30" i="32"/>
  <c r="Z32" i="32"/>
  <c r="Z36" i="32"/>
  <c r="Z40" i="32"/>
  <c r="Z44" i="32"/>
  <c r="Z48" i="32"/>
  <c r="Z25" i="32"/>
  <c r="Z37" i="32"/>
  <c r="Z43" i="32"/>
  <c r="Z49" i="32"/>
  <c r="Y11" i="32"/>
  <c r="Y13" i="32"/>
  <c r="Y15" i="32"/>
  <c r="Y17" i="32"/>
  <c r="Y19" i="32"/>
  <c r="Y21" i="32"/>
  <c r="Y23" i="32"/>
  <c r="Y25" i="32"/>
  <c r="Y27" i="32"/>
  <c r="Y29" i="32"/>
  <c r="Y31" i="32"/>
  <c r="Y33" i="32"/>
  <c r="Y35" i="32"/>
  <c r="Y37" i="32"/>
  <c r="Y39" i="32"/>
  <c r="Y41" i="32"/>
  <c r="Y43" i="32"/>
  <c r="Y45" i="32"/>
  <c r="Y47" i="32"/>
  <c r="Y49" i="32"/>
  <c r="Z11" i="32"/>
  <c r="Z13" i="32"/>
  <c r="Z15" i="32"/>
  <c r="Z17" i="32"/>
  <c r="Z19" i="32"/>
  <c r="Z23" i="32"/>
  <c r="Z27" i="32"/>
  <c r="Z31" i="32"/>
  <c r="Z35" i="32"/>
  <c r="Z41" i="32"/>
  <c r="Z45" i="32"/>
  <c r="Y9" i="32"/>
  <c r="Z9" i="32"/>
  <c r="P66" i="32"/>
  <c r="AA42" i="32" s="1"/>
  <c r="N66" i="32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V44" i="21" l="1"/>
  <c r="W44" i="21"/>
  <c r="AE44" i="21"/>
  <c r="V36" i="21"/>
  <c r="W36" i="21"/>
  <c r="AE36" i="21"/>
  <c r="V32" i="21"/>
  <c r="W32" i="21"/>
  <c r="AE32" i="21"/>
  <c r="W43" i="21"/>
  <c r="AE43" i="21"/>
  <c r="V43" i="21"/>
  <c r="W39" i="21"/>
  <c r="AE39" i="21"/>
  <c r="V39" i="21"/>
  <c r="V35" i="21"/>
  <c r="W35" i="21"/>
  <c r="AE35" i="21"/>
  <c r="W31" i="21"/>
  <c r="AE31" i="21"/>
  <c r="V31" i="21"/>
  <c r="AE46" i="21"/>
  <c r="V46" i="21"/>
  <c r="W46" i="21"/>
  <c r="AE42" i="21"/>
  <c r="V42" i="21"/>
  <c r="W42" i="21"/>
  <c r="AE38" i="21"/>
  <c r="V38" i="21"/>
  <c r="W38" i="21"/>
  <c r="A42" i="31"/>
  <c r="AE34" i="21"/>
  <c r="V34" i="21"/>
  <c r="W34" i="21"/>
  <c r="AE30" i="21"/>
  <c r="V30" i="21"/>
  <c r="W30" i="21"/>
  <c r="V48" i="21"/>
  <c r="W48" i="21"/>
  <c r="AE48" i="21"/>
  <c r="V40" i="21"/>
  <c r="W40" i="21"/>
  <c r="AE40" i="21"/>
  <c r="A55" i="31"/>
  <c r="W47" i="21"/>
  <c r="AE47" i="21"/>
  <c r="V47" i="21"/>
  <c r="V49" i="21"/>
  <c r="AE49" i="21"/>
  <c r="W49" i="21"/>
  <c r="V45" i="21"/>
  <c r="AE45" i="21"/>
  <c r="W45" i="21"/>
  <c r="V41" i="21"/>
  <c r="AE41" i="21"/>
  <c r="W41" i="21"/>
  <c r="A45" i="31"/>
  <c r="V37" i="21"/>
  <c r="AE37" i="21"/>
  <c r="W37" i="21"/>
  <c r="AE33" i="21"/>
  <c r="W33" i="21"/>
  <c r="V33" i="21"/>
  <c r="AE29" i="21"/>
  <c r="W29" i="21"/>
  <c r="V29" i="21"/>
  <c r="AD23" i="32"/>
  <c r="AD33" i="32"/>
  <c r="AD36" i="32"/>
  <c r="AA41" i="32"/>
  <c r="AB19" i="32"/>
  <c r="AD19" i="32"/>
  <c r="AA10" i="32"/>
  <c r="AB43" i="32"/>
  <c r="AD17" i="32"/>
  <c r="AA13" i="32"/>
  <c r="AA20" i="32"/>
  <c r="AD37" i="32"/>
  <c r="AB21" i="32"/>
  <c r="AB15" i="32"/>
  <c r="AD34" i="32"/>
  <c r="AB34" i="32"/>
  <c r="AA38" i="32"/>
  <c r="AA21" i="32"/>
  <c r="AB38" i="32"/>
  <c r="AB44" i="32"/>
  <c r="AC48" i="32"/>
  <c r="AB32" i="32"/>
  <c r="AC35" i="32"/>
  <c r="AC41" i="32"/>
  <c r="AA36" i="32"/>
  <c r="AA11" i="32"/>
  <c r="AA23" i="32"/>
  <c r="AA49" i="32"/>
  <c r="AA35" i="32"/>
  <c r="AC33" i="32"/>
  <c r="AC25" i="32"/>
  <c r="AC28" i="32"/>
  <c r="AB36" i="32"/>
  <c r="AC10" i="32"/>
  <c r="AC12" i="32"/>
  <c r="AD12" i="32"/>
  <c r="AB39" i="32"/>
  <c r="AD21" i="32"/>
  <c r="AD40" i="32"/>
  <c r="AD29" i="32"/>
  <c r="AD47" i="32"/>
  <c r="AD39" i="32"/>
  <c r="AD13" i="32"/>
  <c r="AD35" i="32"/>
  <c r="AD42" i="32"/>
  <c r="AA31" i="32"/>
  <c r="AB13" i="32"/>
  <c r="AA40" i="32"/>
  <c r="AB30" i="32"/>
  <c r="AA12" i="32"/>
  <c r="AB35" i="32"/>
  <c r="AC16" i="32"/>
  <c r="AB49" i="32"/>
  <c r="AD20" i="32"/>
  <c r="AC23" i="32"/>
  <c r="AB45" i="32"/>
  <c r="AA37" i="32"/>
  <c r="AA47" i="32"/>
  <c r="AA22" i="32"/>
  <c r="AC44" i="32"/>
  <c r="AD43" i="32"/>
  <c r="AD11" i="32"/>
  <c r="AD30" i="32"/>
  <c r="AB20" i="32"/>
  <c r="AC19" i="32"/>
  <c r="AB40" i="32"/>
  <c r="AA19" i="32"/>
  <c r="AA34" i="32"/>
  <c r="AB11" i="32"/>
  <c r="AC37" i="32"/>
  <c r="AC40" i="32"/>
  <c r="AC15" i="32"/>
  <c r="AD49" i="32"/>
  <c r="AC43" i="32"/>
  <c r="AB23" i="32"/>
  <c r="AA15" i="32"/>
  <c r="AB28" i="32"/>
  <c r="AC20" i="32"/>
  <c r="AB9" i="32"/>
  <c r="AC38" i="32"/>
  <c r="AA28" i="32"/>
  <c r="AD14" i="32"/>
  <c r="AD46" i="32"/>
  <c r="AD26" i="32"/>
  <c r="AA39" i="32"/>
  <c r="AA24" i="32"/>
  <c r="AB33" i="32"/>
  <c r="AD48" i="32"/>
  <c r="AA43" i="32"/>
  <c r="AC18" i="32"/>
  <c r="AB46" i="32"/>
  <c r="AA33" i="32"/>
  <c r="AA32" i="32"/>
  <c r="AD9" i="32"/>
  <c r="AD44" i="32"/>
  <c r="AD10" i="32"/>
  <c r="AD27" i="32"/>
  <c r="AD15" i="32"/>
  <c r="AB14" i="32"/>
  <c r="AA14" i="32"/>
  <c r="AA9" i="32"/>
  <c r="AC49" i="32"/>
  <c r="AC26" i="32"/>
  <c r="AC45" i="32"/>
  <c r="AC42" i="32"/>
  <c r="AC27" i="32"/>
  <c r="S66" i="32"/>
  <c r="AA26" i="32"/>
  <c r="AC34" i="32"/>
  <c r="AC46" i="32"/>
  <c r="AC9" i="32"/>
  <c r="AA30" i="32"/>
  <c r="AB26" i="32"/>
  <c r="AB10" i="32"/>
  <c r="AC29" i="32"/>
  <c r="AC36" i="32"/>
  <c r="AA27" i="32"/>
  <c r="AD38" i="32"/>
  <c r="AD28" i="32"/>
  <c r="AB37" i="32"/>
  <c r="AC24" i="32"/>
  <c r="AB47" i="32"/>
  <c r="AA44" i="32"/>
  <c r="AC31" i="32"/>
  <c r="AD31" i="32"/>
  <c r="AD45" i="32"/>
  <c r="AA25" i="32"/>
  <c r="AA45" i="32"/>
  <c r="AC14" i="32"/>
  <c r="AB48" i="32"/>
  <c r="AA29" i="32"/>
  <c r="AB27" i="32"/>
  <c r="AA46" i="32"/>
  <c r="AC11" i="32"/>
  <c r="AD22" i="32"/>
  <c r="AD18" i="32"/>
  <c r="AD25" i="32"/>
  <c r="AB31" i="32"/>
  <c r="AC39" i="32"/>
  <c r="AB16" i="32"/>
  <c r="AC47" i="32"/>
  <c r="AB29" i="32"/>
  <c r="AD24" i="32"/>
  <c r="AD32" i="32"/>
  <c r="AD41" i="32"/>
  <c r="AD16" i="32"/>
  <c r="AC22" i="32"/>
  <c r="AB42" i="32"/>
  <c r="AB24" i="32"/>
  <c r="AC17" i="32"/>
  <c r="AC21" i="32"/>
  <c r="AB18" i="32"/>
  <c r="AA17" i="32"/>
  <c r="AC32" i="32"/>
  <c r="AA18" i="32"/>
  <c r="AC30" i="32"/>
  <c r="AC13" i="32"/>
  <c r="AB25" i="32"/>
  <c r="AA16" i="32"/>
  <c r="AB41" i="32"/>
  <c r="AB17" i="32"/>
  <c r="AA48" i="32"/>
  <c r="AB22" i="32"/>
  <c r="AB12" i="32"/>
  <c r="N39" i="21"/>
  <c r="A47" i="31"/>
  <c r="N31" i="21"/>
  <c r="A39" i="31"/>
  <c r="N41" i="21"/>
  <c r="A49" i="31"/>
  <c r="N29" i="21"/>
  <c r="A37" i="31"/>
  <c r="N43" i="21"/>
  <c r="A51" i="31"/>
  <c r="N35" i="21"/>
  <c r="A43" i="31"/>
  <c r="N46" i="21"/>
  <c r="A54" i="31"/>
  <c r="N42" i="21"/>
  <c r="A50" i="31"/>
  <c r="N38" i="21"/>
  <c r="A46" i="31"/>
  <c r="N30" i="21"/>
  <c r="A38" i="31"/>
  <c r="N49" i="21"/>
  <c r="A57" i="31"/>
  <c r="N45" i="21"/>
  <c r="A53" i="31"/>
  <c r="N33" i="21"/>
  <c r="A41" i="31"/>
  <c r="N48" i="21"/>
  <c r="A56" i="31"/>
  <c r="N44" i="21"/>
  <c r="A52" i="31"/>
  <c r="N40" i="21"/>
  <c r="A48" i="31"/>
  <c r="N36" i="21"/>
  <c r="A44" i="31"/>
  <c r="N32" i="21"/>
  <c r="A40" i="31"/>
  <c r="J47" i="21"/>
  <c r="N47" i="21"/>
  <c r="N34" i="21"/>
  <c r="F37" i="21"/>
  <c r="N37" i="21"/>
  <c r="O45" i="21"/>
  <c r="L47" i="23"/>
  <c r="AA47" i="23"/>
  <c r="G47" i="23"/>
  <c r="V47" i="23"/>
  <c r="Q47" i="23"/>
  <c r="O44" i="21"/>
  <c r="L46" i="23"/>
  <c r="AA46" i="23"/>
  <c r="G46" i="23"/>
  <c r="V46" i="23"/>
  <c r="Q46" i="23"/>
  <c r="O40" i="21"/>
  <c r="L42" i="23"/>
  <c r="AA42" i="23"/>
  <c r="G42" i="23"/>
  <c r="V42" i="23"/>
  <c r="Q42" i="23"/>
  <c r="O37" i="21"/>
  <c r="L39" i="23"/>
  <c r="AA39" i="23"/>
  <c r="G39" i="23"/>
  <c r="V39" i="23"/>
  <c r="Q39" i="23"/>
  <c r="L36" i="23"/>
  <c r="V36" i="23"/>
  <c r="Q36" i="23"/>
  <c r="G36" i="23"/>
  <c r="AA36" i="23"/>
  <c r="O31" i="21"/>
  <c r="L33" i="23"/>
  <c r="V33" i="23"/>
  <c r="Q33" i="23"/>
  <c r="G33" i="23"/>
  <c r="AA33" i="23"/>
  <c r="O41" i="21"/>
  <c r="L43" i="23"/>
  <c r="AA43" i="23"/>
  <c r="G43" i="23"/>
  <c r="V43" i="23"/>
  <c r="Q43" i="23"/>
  <c r="O47" i="21"/>
  <c r="L49" i="23"/>
  <c r="AA49" i="23"/>
  <c r="G49" i="23"/>
  <c r="V49" i="23"/>
  <c r="Q49" i="23"/>
  <c r="L45" i="23"/>
  <c r="AA45" i="23"/>
  <c r="G45" i="23"/>
  <c r="V45" i="23"/>
  <c r="Q45" i="23"/>
  <c r="O39" i="21"/>
  <c r="L41" i="23"/>
  <c r="AA41" i="23"/>
  <c r="G41" i="23"/>
  <c r="V41" i="23"/>
  <c r="Q41" i="23"/>
  <c r="O36" i="21"/>
  <c r="L38" i="23"/>
  <c r="AA38" i="23"/>
  <c r="G38" i="23"/>
  <c r="V38" i="23"/>
  <c r="Q38" i="23"/>
  <c r="O33" i="21"/>
  <c r="L35" i="23"/>
  <c r="V35" i="23"/>
  <c r="Q35" i="23"/>
  <c r="G35" i="23"/>
  <c r="AA35" i="23"/>
  <c r="O30" i="21"/>
  <c r="L32" i="23"/>
  <c r="V32" i="23"/>
  <c r="Q32" i="23"/>
  <c r="G32" i="23"/>
  <c r="AA32" i="23"/>
  <c r="O48" i="21"/>
  <c r="L50" i="23"/>
  <c r="AA50" i="23"/>
  <c r="G50" i="23"/>
  <c r="V50" i="23"/>
  <c r="Q50" i="23"/>
  <c r="L51" i="23"/>
  <c r="AA51" i="23"/>
  <c r="G51" i="23"/>
  <c r="V51" i="23"/>
  <c r="Q51" i="23"/>
  <c r="O46" i="21"/>
  <c r="L48" i="23"/>
  <c r="AA48" i="23"/>
  <c r="G48" i="23"/>
  <c r="V48" i="23"/>
  <c r="Q48" i="23"/>
  <c r="O42" i="21"/>
  <c r="L44" i="23"/>
  <c r="AA44" i="23"/>
  <c r="G44" i="23"/>
  <c r="V44" i="23"/>
  <c r="Q44" i="23"/>
  <c r="O38" i="21"/>
  <c r="L40" i="23"/>
  <c r="AA40" i="23"/>
  <c r="G40" i="23"/>
  <c r="V40" i="23"/>
  <c r="Q40" i="23"/>
  <c r="O35" i="21"/>
  <c r="L37" i="23"/>
  <c r="V37" i="23"/>
  <c r="Q37" i="23"/>
  <c r="G37" i="23"/>
  <c r="AA37" i="23"/>
  <c r="O32" i="21"/>
  <c r="L34" i="23"/>
  <c r="V34" i="23"/>
  <c r="Q34" i="23"/>
  <c r="G34" i="23"/>
  <c r="AA34" i="23"/>
  <c r="O29" i="21"/>
  <c r="L31" i="23"/>
  <c r="V31" i="23"/>
  <c r="Q31" i="23"/>
  <c r="G31" i="23"/>
  <c r="AA31" i="23"/>
  <c r="S39" i="21"/>
  <c r="S49" i="21"/>
  <c r="O49" i="21"/>
  <c r="R43" i="21"/>
  <c r="O43" i="21"/>
  <c r="K34" i="21"/>
  <c r="AK36" i="23" s="1"/>
  <c r="O34" i="21"/>
  <c r="S47" i="21"/>
  <c r="P47" i="21"/>
  <c r="G47" i="21"/>
  <c r="A39" i="24"/>
  <c r="A31" i="30"/>
  <c r="A39" i="11"/>
  <c r="F47" i="21"/>
  <c r="A30" i="30"/>
  <c r="A38" i="24"/>
  <c r="A38" i="11"/>
  <c r="T47" i="21"/>
  <c r="B49" i="23" s="1"/>
  <c r="K47" i="21"/>
  <c r="AK49" i="23" s="1"/>
  <c r="C47" i="21"/>
  <c r="B53" i="3" s="1"/>
  <c r="M29" i="21"/>
  <c r="AF31" i="23" s="1"/>
  <c r="A29" i="30"/>
  <c r="A37" i="24"/>
  <c r="A37" i="11"/>
  <c r="S37" i="21"/>
  <c r="J41" i="21"/>
  <c r="J37" i="21"/>
  <c r="S41" i="21"/>
  <c r="G41" i="21"/>
  <c r="J31" i="21"/>
  <c r="P41" i="21"/>
  <c r="F41" i="21"/>
  <c r="S31" i="21"/>
  <c r="G31" i="21"/>
  <c r="R29" i="21"/>
  <c r="P31" i="21"/>
  <c r="F31" i="21"/>
  <c r="M37" i="21"/>
  <c r="AF39" i="23" s="1"/>
  <c r="I37" i="21"/>
  <c r="E37" i="21"/>
  <c r="T41" i="21"/>
  <c r="B43" i="23" s="1"/>
  <c r="K41" i="21"/>
  <c r="AK43" i="23" s="1"/>
  <c r="C41" i="21"/>
  <c r="B47" i="3" s="1"/>
  <c r="U37" i="21"/>
  <c r="Q37" i="21"/>
  <c r="L37" i="21"/>
  <c r="H37" i="21"/>
  <c r="D37" i="21"/>
  <c r="M35" i="21"/>
  <c r="AF37" i="23" s="1"/>
  <c r="R33" i="21"/>
  <c r="T31" i="21"/>
  <c r="B33" i="23" s="1"/>
  <c r="K31" i="21"/>
  <c r="AK33" i="23" s="1"/>
  <c r="C31" i="21"/>
  <c r="B37" i="3" s="1"/>
  <c r="G34" i="21"/>
  <c r="R37" i="21"/>
  <c r="R34" i="21"/>
  <c r="M43" i="21"/>
  <c r="AF45" i="23" s="1"/>
  <c r="T37" i="21"/>
  <c r="B39" i="23" s="1"/>
  <c r="P37" i="21"/>
  <c r="K37" i="21"/>
  <c r="AK39" i="23" s="1"/>
  <c r="G37" i="21"/>
  <c r="C37" i="21"/>
  <c r="B43" i="3" s="1"/>
  <c r="J34" i="21"/>
  <c r="H29" i="21"/>
  <c r="C44" i="21"/>
  <c r="B50" i="3" s="1"/>
  <c r="C39" i="21"/>
  <c r="B45" i="3" s="1"/>
  <c r="T35" i="21"/>
  <c r="B37" i="23" s="1"/>
  <c r="I35" i="21"/>
  <c r="R47" i="21"/>
  <c r="M47" i="21"/>
  <c r="AF49" i="23" s="1"/>
  <c r="I47" i="21"/>
  <c r="E47" i="21"/>
  <c r="R41" i="21"/>
  <c r="M41" i="21"/>
  <c r="AF43" i="23" s="1"/>
  <c r="I41" i="21"/>
  <c r="E41" i="21"/>
  <c r="J39" i="21"/>
  <c r="R35" i="21"/>
  <c r="H35" i="21"/>
  <c r="S34" i="21"/>
  <c r="D49" i="21"/>
  <c r="U47" i="21"/>
  <c r="Q47" i="21"/>
  <c r="L47" i="21"/>
  <c r="H47" i="21"/>
  <c r="D47" i="21"/>
  <c r="D45" i="21"/>
  <c r="D43" i="21"/>
  <c r="U41" i="21"/>
  <c r="Q41" i="21"/>
  <c r="L41" i="21"/>
  <c r="H41" i="21"/>
  <c r="D41" i="21"/>
  <c r="F39" i="21"/>
  <c r="C36" i="21"/>
  <c r="B42" i="3" s="1"/>
  <c r="D35" i="21"/>
  <c r="C34" i="21"/>
  <c r="B40" i="3" s="1"/>
  <c r="C30" i="21"/>
  <c r="B36" i="3" s="1"/>
  <c r="D29" i="21"/>
  <c r="J49" i="21"/>
  <c r="S45" i="21"/>
  <c r="J45" i="21"/>
  <c r="F45" i="21"/>
  <c r="H43" i="21"/>
  <c r="R49" i="21"/>
  <c r="I49" i="21"/>
  <c r="E49" i="21"/>
  <c r="M45" i="21"/>
  <c r="AF47" i="23" s="1"/>
  <c r="E45" i="21"/>
  <c r="Q43" i="21"/>
  <c r="L43" i="21"/>
  <c r="F43" i="21"/>
  <c r="D42" i="21"/>
  <c r="F48" i="3"/>
  <c r="C48" i="3"/>
  <c r="G48" i="3"/>
  <c r="D48" i="3"/>
  <c r="E48" i="3"/>
  <c r="M39" i="21"/>
  <c r="AF41" i="23" s="1"/>
  <c r="E39" i="21"/>
  <c r="D36" i="21"/>
  <c r="F42" i="3"/>
  <c r="C42" i="3"/>
  <c r="G42" i="3"/>
  <c r="D42" i="3"/>
  <c r="E42" i="3"/>
  <c r="C35" i="21"/>
  <c r="B41" i="3" s="1"/>
  <c r="D41" i="3"/>
  <c r="E41" i="3"/>
  <c r="F41" i="3"/>
  <c r="C41" i="3"/>
  <c r="G41" i="3"/>
  <c r="D37" i="3"/>
  <c r="E37" i="3"/>
  <c r="F37" i="3"/>
  <c r="C37" i="3"/>
  <c r="G37" i="3"/>
  <c r="Q29" i="21"/>
  <c r="L29" i="21"/>
  <c r="F29" i="21"/>
  <c r="F49" i="21"/>
  <c r="M49" i="21"/>
  <c r="AF51" i="23" s="1"/>
  <c r="D48" i="21"/>
  <c r="F54" i="3"/>
  <c r="C54" i="3"/>
  <c r="G54" i="3"/>
  <c r="D54" i="3"/>
  <c r="E54" i="3"/>
  <c r="I45" i="21"/>
  <c r="R39" i="21"/>
  <c r="I39" i="21"/>
  <c r="D38" i="21"/>
  <c r="F44" i="3"/>
  <c r="C44" i="3"/>
  <c r="G44" i="3"/>
  <c r="D44" i="3"/>
  <c r="E44" i="3"/>
  <c r="U49" i="21"/>
  <c r="Q49" i="21"/>
  <c r="L49" i="21"/>
  <c r="H49" i="21"/>
  <c r="D53" i="3"/>
  <c r="E53" i="3"/>
  <c r="F53" i="3"/>
  <c r="C53" i="3"/>
  <c r="G53" i="3"/>
  <c r="U45" i="21"/>
  <c r="Q45" i="21"/>
  <c r="L45" i="21"/>
  <c r="H45" i="21"/>
  <c r="U43" i="21"/>
  <c r="P43" i="21"/>
  <c r="J43" i="21"/>
  <c r="E43" i="21"/>
  <c r="D47" i="3"/>
  <c r="E47" i="3"/>
  <c r="F47" i="3"/>
  <c r="C47" i="3"/>
  <c r="G47" i="3"/>
  <c r="U39" i="21"/>
  <c r="Q39" i="21"/>
  <c r="L39" i="21"/>
  <c r="H39" i="21"/>
  <c r="D39" i="21"/>
  <c r="D43" i="3"/>
  <c r="E43" i="3"/>
  <c r="F43" i="3"/>
  <c r="C43" i="3"/>
  <c r="G43" i="3"/>
  <c r="Q35" i="21"/>
  <c r="L35" i="21"/>
  <c r="F35" i="21"/>
  <c r="R31" i="21"/>
  <c r="M31" i="21"/>
  <c r="AF33" i="23" s="1"/>
  <c r="I31" i="21"/>
  <c r="E31" i="21"/>
  <c r="S30" i="21"/>
  <c r="U29" i="21"/>
  <c r="P29" i="21"/>
  <c r="J29" i="21"/>
  <c r="E29" i="21"/>
  <c r="D55" i="3"/>
  <c r="E55" i="3"/>
  <c r="F55" i="3"/>
  <c r="C55" i="3"/>
  <c r="G55" i="3"/>
  <c r="D51" i="3"/>
  <c r="E51" i="3"/>
  <c r="F51" i="3"/>
  <c r="C51" i="3"/>
  <c r="G51" i="3"/>
  <c r="R45" i="21"/>
  <c r="T49" i="21"/>
  <c r="B51" i="23" s="1"/>
  <c r="P49" i="21"/>
  <c r="K49" i="21"/>
  <c r="AK51" i="23" s="1"/>
  <c r="G49" i="21"/>
  <c r="C49" i="21"/>
  <c r="B55" i="3" s="1"/>
  <c r="D46" i="21"/>
  <c r="F52" i="3"/>
  <c r="C52" i="3"/>
  <c r="G52" i="3"/>
  <c r="D52" i="3"/>
  <c r="E52" i="3"/>
  <c r="T45" i="21"/>
  <c r="B47" i="23" s="1"/>
  <c r="P45" i="21"/>
  <c r="K45" i="21"/>
  <c r="AK47" i="23" s="1"/>
  <c r="G45" i="21"/>
  <c r="C45" i="21"/>
  <c r="B51" i="3" s="1"/>
  <c r="T43" i="21"/>
  <c r="B45" i="23" s="1"/>
  <c r="I43" i="21"/>
  <c r="D40" i="21"/>
  <c r="F46" i="3"/>
  <c r="C46" i="3"/>
  <c r="G46" i="3"/>
  <c r="D46" i="3"/>
  <c r="E46" i="3"/>
  <c r="T39" i="21"/>
  <c r="B41" i="23" s="1"/>
  <c r="P39" i="21"/>
  <c r="K39" i="21"/>
  <c r="AK41" i="23" s="1"/>
  <c r="G39" i="21"/>
  <c r="S36" i="21"/>
  <c r="U35" i="21"/>
  <c r="P35" i="21"/>
  <c r="J35" i="21"/>
  <c r="E35" i="21"/>
  <c r="D34" i="21"/>
  <c r="F40" i="3"/>
  <c r="C40" i="3"/>
  <c r="G40" i="3"/>
  <c r="D40" i="3"/>
  <c r="E40" i="3"/>
  <c r="C33" i="21"/>
  <c r="B39" i="3" s="1"/>
  <c r="D39" i="3"/>
  <c r="E39" i="3"/>
  <c r="F39" i="3"/>
  <c r="C39" i="3"/>
  <c r="G39" i="3"/>
  <c r="U31" i="21"/>
  <c r="Q31" i="21"/>
  <c r="L31" i="21"/>
  <c r="H31" i="21"/>
  <c r="D31" i="21"/>
  <c r="T29" i="21"/>
  <c r="B31" i="23" s="1"/>
  <c r="I29" i="21"/>
  <c r="D44" i="21"/>
  <c r="F50" i="3"/>
  <c r="C50" i="3"/>
  <c r="G50" i="3"/>
  <c r="D50" i="3"/>
  <c r="E50" i="3"/>
  <c r="C43" i="21"/>
  <c r="B49" i="3" s="1"/>
  <c r="D49" i="3"/>
  <c r="E49" i="3"/>
  <c r="F49" i="3"/>
  <c r="C49" i="3"/>
  <c r="G49" i="3"/>
  <c r="D45" i="3"/>
  <c r="E45" i="3"/>
  <c r="F45" i="3"/>
  <c r="C45" i="3"/>
  <c r="G45" i="3"/>
  <c r="D32" i="21"/>
  <c r="F38" i="3"/>
  <c r="C38" i="3"/>
  <c r="G38" i="3"/>
  <c r="D38" i="3"/>
  <c r="E38" i="3"/>
  <c r="D30" i="21"/>
  <c r="F36" i="3"/>
  <c r="C36" i="3"/>
  <c r="G36" i="3"/>
  <c r="D36" i="3"/>
  <c r="E36" i="3"/>
  <c r="C29" i="21"/>
  <c r="B35" i="3" s="1"/>
  <c r="D35" i="3"/>
  <c r="E35" i="3"/>
  <c r="F35" i="3"/>
  <c r="C35" i="3"/>
  <c r="G35" i="3"/>
  <c r="J33" i="21"/>
  <c r="F33" i="21"/>
  <c r="R32" i="21"/>
  <c r="K44" i="21"/>
  <c r="AK46" i="23" s="1"/>
  <c r="K48" i="21"/>
  <c r="AK50" i="23" s="1"/>
  <c r="K46" i="21"/>
  <c r="AK48" i="23" s="1"/>
  <c r="K38" i="21"/>
  <c r="AK40" i="23" s="1"/>
  <c r="U33" i="21"/>
  <c r="Q33" i="21"/>
  <c r="M33" i="21"/>
  <c r="AF35" i="23" s="1"/>
  <c r="E33" i="21"/>
  <c r="G32" i="21"/>
  <c r="R48" i="21"/>
  <c r="G48" i="21"/>
  <c r="R46" i="21"/>
  <c r="G46" i="21"/>
  <c r="R44" i="21"/>
  <c r="J44" i="21"/>
  <c r="S43" i="21"/>
  <c r="K43" i="21"/>
  <c r="AK45" i="23" s="1"/>
  <c r="G43" i="21"/>
  <c r="S42" i="21"/>
  <c r="G42" i="21"/>
  <c r="R40" i="21"/>
  <c r="G40" i="21"/>
  <c r="R38" i="21"/>
  <c r="G38" i="21"/>
  <c r="K36" i="21"/>
  <c r="AK38" i="23" s="1"/>
  <c r="S35" i="21"/>
  <c r="K35" i="21"/>
  <c r="AK37" i="23" s="1"/>
  <c r="G35" i="21"/>
  <c r="T33" i="21"/>
  <c r="B35" i="23" s="1"/>
  <c r="P33" i="21"/>
  <c r="L33" i="21"/>
  <c r="H33" i="21"/>
  <c r="D33" i="21"/>
  <c r="F32" i="21"/>
  <c r="K30" i="21"/>
  <c r="AK32" i="23" s="1"/>
  <c r="S29" i="21"/>
  <c r="K29" i="21"/>
  <c r="AK31" i="23" s="1"/>
  <c r="G29" i="21"/>
  <c r="J32" i="21"/>
  <c r="S48" i="21"/>
  <c r="S46" i="21"/>
  <c r="S44" i="21"/>
  <c r="K42" i="21"/>
  <c r="AK44" i="23" s="1"/>
  <c r="S40" i="21"/>
  <c r="K40" i="21"/>
  <c r="AK42" i="23" s="1"/>
  <c r="S38" i="21"/>
  <c r="I33" i="21"/>
  <c r="C48" i="21"/>
  <c r="B54" i="3" s="1"/>
  <c r="C46" i="21"/>
  <c r="B52" i="3" s="1"/>
  <c r="G44" i="21"/>
  <c r="R42" i="21"/>
  <c r="C42" i="21"/>
  <c r="B48" i="3" s="1"/>
  <c r="C40" i="21"/>
  <c r="B46" i="3" s="1"/>
  <c r="C38" i="21"/>
  <c r="B44" i="3" s="1"/>
  <c r="G36" i="21"/>
  <c r="S33" i="21"/>
  <c r="K33" i="21"/>
  <c r="AK35" i="23" s="1"/>
  <c r="G33" i="21"/>
  <c r="S32" i="21"/>
  <c r="K32" i="21"/>
  <c r="AK34" i="23" s="1"/>
  <c r="C32" i="21"/>
  <c r="B38" i="3" s="1"/>
  <c r="G30" i="21"/>
  <c r="F44" i="21"/>
  <c r="J40" i="21"/>
  <c r="F40" i="21"/>
  <c r="F34" i="21"/>
  <c r="U48" i="21"/>
  <c r="I48" i="21"/>
  <c r="U46" i="21"/>
  <c r="M46" i="21"/>
  <c r="AF48" i="23" s="1"/>
  <c r="E46" i="21"/>
  <c r="Q44" i="21"/>
  <c r="I44" i="21"/>
  <c r="U42" i="21"/>
  <c r="M42" i="21"/>
  <c r="AF44" i="23" s="1"/>
  <c r="I42" i="21"/>
  <c r="E42" i="21"/>
  <c r="U40" i="21"/>
  <c r="Q40" i="21"/>
  <c r="M40" i="21"/>
  <c r="AF42" i="23" s="1"/>
  <c r="I40" i="21"/>
  <c r="E40" i="21"/>
  <c r="U38" i="21"/>
  <c r="Q38" i="21"/>
  <c r="M38" i="21"/>
  <c r="AF40" i="23" s="1"/>
  <c r="I38" i="21"/>
  <c r="E38" i="21"/>
  <c r="U36" i="21"/>
  <c r="Q36" i="21"/>
  <c r="M36" i="21"/>
  <c r="AF38" i="23" s="1"/>
  <c r="I36" i="21"/>
  <c r="E36" i="21"/>
  <c r="U34" i="21"/>
  <c r="Q34" i="21"/>
  <c r="M34" i="21"/>
  <c r="AF36" i="23" s="1"/>
  <c r="I34" i="21"/>
  <c r="E34" i="21"/>
  <c r="U32" i="21"/>
  <c r="Q32" i="21"/>
  <c r="M32" i="21"/>
  <c r="AF34" i="23" s="1"/>
  <c r="I32" i="21"/>
  <c r="E32" i="21"/>
  <c r="U30" i="21"/>
  <c r="Q30" i="21"/>
  <c r="M30" i="21"/>
  <c r="AF32" i="23" s="1"/>
  <c r="I30" i="21"/>
  <c r="E30" i="21"/>
  <c r="J48" i="21"/>
  <c r="F48" i="21"/>
  <c r="J46" i="21"/>
  <c r="F46" i="21"/>
  <c r="J42" i="21"/>
  <c r="F42" i="21"/>
  <c r="J38" i="21"/>
  <c r="F38" i="21"/>
  <c r="R36" i="21"/>
  <c r="J36" i="21"/>
  <c r="F36" i="21"/>
  <c r="R30" i="21"/>
  <c r="J30" i="21"/>
  <c r="F30" i="21"/>
  <c r="Q48" i="21"/>
  <c r="M48" i="21"/>
  <c r="AF50" i="23" s="1"/>
  <c r="E48" i="21"/>
  <c r="Q46" i="21"/>
  <c r="I46" i="21"/>
  <c r="U44" i="21"/>
  <c r="M44" i="21"/>
  <c r="AF46" i="23" s="1"/>
  <c r="E44" i="21"/>
  <c r="Q42" i="21"/>
  <c r="T48" i="21"/>
  <c r="B50" i="23" s="1"/>
  <c r="P48" i="21"/>
  <c r="L48" i="21"/>
  <c r="H48" i="21"/>
  <c r="T46" i="21"/>
  <c r="B48" i="23" s="1"/>
  <c r="P46" i="21"/>
  <c r="L46" i="21"/>
  <c r="H46" i="21"/>
  <c r="T44" i="21"/>
  <c r="B46" i="23" s="1"/>
  <c r="P44" i="21"/>
  <c r="L44" i="21"/>
  <c r="H44" i="21"/>
  <c r="T42" i="21"/>
  <c r="B44" i="23" s="1"/>
  <c r="P42" i="21"/>
  <c r="L42" i="21"/>
  <c r="H42" i="21"/>
  <c r="T40" i="21"/>
  <c r="B42" i="23" s="1"/>
  <c r="P40" i="21"/>
  <c r="L40" i="21"/>
  <c r="H40" i="21"/>
  <c r="T38" i="21"/>
  <c r="B40" i="23" s="1"/>
  <c r="P38" i="21"/>
  <c r="L38" i="21"/>
  <c r="H38" i="21"/>
  <c r="T36" i="21"/>
  <c r="B38" i="23" s="1"/>
  <c r="P36" i="21"/>
  <c r="L36" i="21"/>
  <c r="H36" i="21"/>
  <c r="T34" i="21"/>
  <c r="B36" i="23" s="1"/>
  <c r="P34" i="21"/>
  <c r="L34" i="21"/>
  <c r="H34" i="21"/>
  <c r="T32" i="21"/>
  <c r="B34" i="23" s="1"/>
  <c r="P32" i="21"/>
  <c r="L32" i="21"/>
  <c r="H32" i="21"/>
  <c r="T30" i="21"/>
  <c r="B32" i="23" s="1"/>
  <c r="P30" i="21"/>
  <c r="L30" i="21"/>
  <c r="H30" i="21"/>
  <c r="AF10" i="32" l="1"/>
  <c r="AF14" i="32"/>
  <c r="AF18" i="32"/>
  <c r="AF22" i="32"/>
  <c r="AF26" i="32"/>
  <c r="AF30" i="32"/>
  <c r="AF34" i="32"/>
  <c r="AF38" i="32"/>
  <c r="AF42" i="32"/>
  <c r="AF46" i="32"/>
  <c r="AF11" i="32"/>
  <c r="AF15" i="32"/>
  <c r="AF19" i="32"/>
  <c r="AF23" i="32"/>
  <c r="AF27" i="32"/>
  <c r="AF31" i="32"/>
  <c r="AF35" i="32"/>
  <c r="AF39" i="32"/>
  <c r="AF43" i="32"/>
  <c r="AF47" i="32"/>
  <c r="AF12" i="32"/>
  <c r="AF16" i="32"/>
  <c r="AF20" i="32"/>
  <c r="AF24" i="32"/>
  <c r="AF28" i="32"/>
  <c r="AF32" i="32"/>
  <c r="AF36" i="32"/>
  <c r="AF40" i="32"/>
  <c r="AF44" i="32"/>
  <c r="AF48" i="32"/>
  <c r="AF13" i="32"/>
  <c r="AF17" i="32"/>
  <c r="AF21" i="32"/>
  <c r="AF25" i="32"/>
  <c r="AF29" i="32"/>
  <c r="AF33" i="32"/>
  <c r="AF37" i="32"/>
  <c r="AF41" i="32"/>
  <c r="AF45" i="32"/>
  <c r="AF49" i="32"/>
  <c r="AF9" i="32"/>
  <c r="T66" i="32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N9" i="21"/>
  <c r="I3" i="21"/>
  <c r="E8" i="21" s="1"/>
  <c r="F8" i="21" s="1"/>
  <c r="G8" i="21" s="1"/>
  <c r="H8" i="21" s="1"/>
  <c r="I8" i="21" s="1"/>
  <c r="J8" i="21" s="1"/>
  <c r="H3" i="21"/>
  <c r="G3" i="21"/>
  <c r="C8" i="3" s="1"/>
  <c r="C3" i="21"/>
  <c r="B3" i="21" s="1"/>
  <c r="F66" i="21"/>
  <c r="O83" i="23"/>
  <c r="O81" i="23"/>
  <c r="W11" i="21" l="1"/>
  <c r="AE11" i="21"/>
  <c r="V11" i="21"/>
  <c r="AE27" i="21"/>
  <c r="W27" i="21"/>
  <c r="V27" i="21"/>
  <c r="AE10" i="21"/>
  <c r="V10" i="21"/>
  <c r="W10" i="21"/>
  <c r="AE23" i="21"/>
  <c r="W23" i="21"/>
  <c r="V23" i="21"/>
  <c r="V12" i="21"/>
  <c r="W12" i="21"/>
  <c r="AE12" i="21"/>
  <c r="V16" i="21"/>
  <c r="W16" i="21"/>
  <c r="AE16" i="21"/>
  <c r="V20" i="21"/>
  <c r="W20" i="21"/>
  <c r="AE20" i="21"/>
  <c r="V24" i="21"/>
  <c r="W24" i="21"/>
  <c r="AE24" i="21"/>
  <c r="V28" i="21"/>
  <c r="W28" i="21"/>
  <c r="AE28" i="21"/>
  <c r="AE14" i="21"/>
  <c r="V14" i="21"/>
  <c r="W14" i="21"/>
  <c r="W15" i="21"/>
  <c r="AE15" i="21"/>
  <c r="V15" i="21"/>
  <c r="AE19" i="21"/>
  <c r="W19" i="21"/>
  <c r="V19" i="21"/>
  <c r="AE13" i="21"/>
  <c r="W13" i="21"/>
  <c r="V13" i="21"/>
  <c r="AE17" i="21"/>
  <c r="W17" i="21"/>
  <c r="V17" i="21"/>
  <c r="AE21" i="21"/>
  <c r="W21" i="21"/>
  <c r="V21" i="21"/>
  <c r="W25" i="21"/>
  <c r="AE25" i="21"/>
  <c r="V25" i="21"/>
  <c r="AE18" i="21"/>
  <c r="V18" i="21"/>
  <c r="W18" i="21"/>
  <c r="AE22" i="21"/>
  <c r="V22" i="21"/>
  <c r="W22" i="21"/>
  <c r="AE26" i="21"/>
  <c r="V26" i="21"/>
  <c r="W26" i="21"/>
  <c r="N13" i="21"/>
  <c r="A21" i="31"/>
  <c r="N17" i="21"/>
  <c r="A25" i="31"/>
  <c r="N21" i="21"/>
  <c r="A29" i="31"/>
  <c r="N25" i="21"/>
  <c r="A33" i="31"/>
  <c r="N10" i="21"/>
  <c r="A18" i="31"/>
  <c r="N14" i="21"/>
  <c r="A22" i="31"/>
  <c r="N18" i="21"/>
  <c r="A26" i="31"/>
  <c r="N22" i="21"/>
  <c r="A30" i="31"/>
  <c r="N26" i="21"/>
  <c r="A34" i="31"/>
  <c r="N11" i="21"/>
  <c r="A19" i="31"/>
  <c r="N15" i="21"/>
  <c r="A23" i="31"/>
  <c r="N19" i="21"/>
  <c r="A27" i="31"/>
  <c r="N23" i="21"/>
  <c r="A31" i="31"/>
  <c r="N27" i="21"/>
  <c r="A35" i="31"/>
  <c r="N12" i="21"/>
  <c r="A20" i="31"/>
  <c r="N16" i="21"/>
  <c r="A24" i="31"/>
  <c r="N20" i="21"/>
  <c r="A28" i="31"/>
  <c r="N24" i="21"/>
  <c r="A32" i="31"/>
  <c r="N28" i="21"/>
  <c r="A36" i="31"/>
  <c r="O12" i="21"/>
  <c r="L14" i="23"/>
  <c r="V14" i="23"/>
  <c r="G14" i="23"/>
  <c r="AA14" i="23"/>
  <c r="Q14" i="23"/>
  <c r="O20" i="21"/>
  <c r="L22" i="23"/>
  <c r="V22" i="23"/>
  <c r="G22" i="23"/>
  <c r="AA22" i="23"/>
  <c r="Q22" i="23"/>
  <c r="O28" i="21"/>
  <c r="L30" i="23"/>
  <c r="V30" i="23"/>
  <c r="Q30" i="23"/>
  <c r="G30" i="23"/>
  <c r="AA30" i="23"/>
  <c r="O9" i="21"/>
  <c r="R9" i="21" s="1"/>
  <c r="L11" i="23"/>
  <c r="Q11" i="23"/>
  <c r="O17" i="21"/>
  <c r="L19" i="23"/>
  <c r="V19" i="23"/>
  <c r="G19" i="23"/>
  <c r="Q19" i="23"/>
  <c r="AA19" i="23"/>
  <c r="O25" i="21"/>
  <c r="L27" i="23"/>
  <c r="V27" i="23"/>
  <c r="G27" i="23"/>
  <c r="AA27" i="23"/>
  <c r="Q27" i="23"/>
  <c r="O10" i="21"/>
  <c r="V12" i="23"/>
  <c r="Q12" i="23"/>
  <c r="L12" i="23"/>
  <c r="AA12" i="23"/>
  <c r="G12" i="23"/>
  <c r="O14" i="21"/>
  <c r="L16" i="23"/>
  <c r="V16" i="23"/>
  <c r="G16" i="23"/>
  <c r="AA16" i="23"/>
  <c r="Q16" i="23"/>
  <c r="O18" i="21"/>
  <c r="L20" i="23"/>
  <c r="V20" i="23"/>
  <c r="G20" i="23"/>
  <c r="AA20" i="23"/>
  <c r="Q20" i="23"/>
  <c r="O22" i="21"/>
  <c r="L24" i="23"/>
  <c r="V24" i="23"/>
  <c r="Q24" i="23"/>
  <c r="G24" i="23"/>
  <c r="AA24" i="23"/>
  <c r="O26" i="21"/>
  <c r="L28" i="23"/>
  <c r="V28" i="23"/>
  <c r="Q28" i="23"/>
  <c r="G28" i="23"/>
  <c r="AA28" i="23"/>
  <c r="B5" i="23"/>
  <c r="O16" i="21"/>
  <c r="L18" i="23"/>
  <c r="V18" i="23"/>
  <c r="Q18" i="23"/>
  <c r="G18" i="23"/>
  <c r="AA18" i="23"/>
  <c r="O24" i="21"/>
  <c r="L26" i="23"/>
  <c r="V26" i="23"/>
  <c r="Q26" i="23"/>
  <c r="G26" i="23"/>
  <c r="AA26" i="23"/>
  <c r="O13" i="21"/>
  <c r="L15" i="23"/>
  <c r="V15" i="23"/>
  <c r="G15" i="23"/>
  <c r="AA15" i="23"/>
  <c r="Q15" i="23"/>
  <c r="O21" i="21"/>
  <c r="L23" i="23"/>
  <c r="V23" i="23"/>
  <c r="G23" i="23"/>
  <c r="Q23" i="23"/>
  <c r="AA23" i="23"/>
  <c r="O11" i="21"/>
  <c r="L13" i="23"/>
  <c r="V13" i="23"/>
  <c r="G13" i="23"/>
  <c r="AA13" i="23"/>
  <c r="Q13" i="23"/>
  <c r="O15" i="21"/>
  <c r="L17" i="23"/>
  <c r="V17" i="23"/>
  <c r="G17" i="23"/>
  <c r="AA17" i="23"/>
  <c r="Q17" i="23"/>
  <c r="O19" i="21"/>
  <c r="L21" i="23"/>
  <c r="V21" i="23"/>
  <c r="Q21" i="23"/>
  <c r="G21" i="23"/>
  <c r="AA21" i="23"/>
  <c r="O23" i="21"/>
  <c r="L25" i="23"/>
  <c r="V25" i="23"/>
  <c r="G25" i="23"/>
  <c r="AA25" i="23"/>
  <c r="Q25" i="23"/>
  <c r="O27" i="21"/>
  <c r="L29" i="23"/>
  <c r="V29" i="23"/>
  <c r="G29" i="23"/>
  <c r="AA29" i="23"/>
  <c r="Q29" i="23"/>
  <c r="A14" i="30"/>
  <c r="A22" i="24"/>
  <c r="A22" i="11"/>
  <c r="A22" i="30"/>
  <c r="A30" i="24"/>
  <c r="A30" i="11"/>
  <c r="A11" i="30"/>
  <c r="A19" i="24"/>
  <c r="A19" i="11"/>
  <c r="A27" i="24"/>
  <c r="A19" i="30"/>
  <c r="A27" i="11"/>
  <c r="A24" i="24"/>
  <c r="A16" i="30"/>
  <c r="A24" i="11"/>
  <c r="A20" i="30"/>
  <c r="A28" i="24"/>
  <c r="A28" i="11"/>
  <c r="A32" i="24"/>
  <c r="A24" i="30"/>
  <c r="A32" i="11"/>
  <c r="A36" i="24"/>
  <c r="A28" i="30"/>
  <c r="A36" i="11"/>
  <c r="A10" i="30"/>
  <c r="A18" i="24"/>
  <c r="A18" i="11"/>
  <c r="A18" i="30"/>
  <c r="A26" i="24"/>
  <c r="A26" i="11"/>
  <c r="A26" i="30"/>
  <c r="A34" i="24"/>
  <c r="A34" i="11"/>
  <c r="A15" i="30"/>
  <c r="A23" i="24"/>
  <c r="A23" i="11"/>
  <c r="A23" i="30"/>
  <c r="A31" i="24"/>
  <c r="A31" i="11"/>
  <c r="A27" i="30"/>
  <c r="A35" i="24"/>
  <c r="A35" i="11"/>
  <c r="A20" i="24"/>
  <c r="A12" i="30"/>
  <c r="A20" i="11"/>
  <c r="A17" i="24"/>
  <c r="A9" i="30"/>
  <c r="A17" i="11"/>
  <c r="A13" i="30"/>
  <c r="A21" i="24"/>
  <c r="A21" i="11"/>
  <c r="A25" i="24"/>
  <c r="A17" i="30"/>
  <c r="A25" i="11"/>
  <c r="A21" i="30"/>
  <c r="A29" i="24"/>
  <c r="A29" i="11"/>
  <c r="A33" i="24"/>
  <c r="A25" i="30"/>
  <c r="A33" i="11"/>
  <c r="C19" i="21"/>
  <c r="B25" i="3" s="1"/>
  <c r="C10" i="21"/>
  <c r="B16" i="3" s="1"/>
  <c r="C26" i="21"/>
  <c r="B32" i="3" s="1"/>
  <c r="C17" i="21"/>
  <c r="B23" i="3" s="1"/>
  <c r="C21" i="21"/>
  <c r="B27" i="3" s="1"/>
  <c r="C25" i="21"/>
  <c r="B31" i="3" s="1"/>
  <c r="C15" i="21"/>
  <c r="B21" i="3" s="1"/>
  <c r="C23" i="21"/>
  <c r="B29" i="3" s="1"/>
  <c r="C27" i="21"/>
  <c r="B33" i="3" s="1"/>
  <c r="C14" i="21"/>
  <c r="B20" i="3" s="1"/>
  <c r="C18" i="21"/>
  <c r="B24" i="3" s="1"/>
  <c r="C22" i="21"/>
  <c r="B28" i="3" s="1"/>
  <c r="C12" i="21"/>
  <c r="B18" i="3" s="1"/>
  <c r="C16" i="21"/>
  <c r="B22" i="3" s="1"/>
  <c r="C20" i="21"/>
  <c r="B26" i="3" s="1"/>
  <c r="C24" i="21"/>
  <c r="B30" i="3" s="1"/>
  <c r="C28" i="21"/>
  <c r="B34" i="3" s="1"/>
  <c r="C11" i="21"/>
  <c r="B17" i="3" s="1"/>
  <c r="S9" i="21"/>
  <c r="C9" i="21"/>
  <c r="K13" i="21"/>
  <c r="AK15" i="23" s="1"/>
  <c r="C13" i="21"/>
  <c r="B19" i="3" s="1"/>
  <c r="J3" i="21"/>
  <c r="K12" i="21"/>
  <c r="AK14" i="23" s="1"/>
  <c r="K20" i="21"/>
  <c r="AK22" i="23" s="1"/>
  <c r="K10" i="21"/>
  <c r="AK12" i="23" s="1"/>
  <c r="K14" i="21"/>
  <c r="AK16" i="23" s="1"/>
  <c r="K18" i="21"/>
  <c r="AK20" i="23" s="1"/>
  <c r="K22" i="21"/>
  <c r="AK24" i="23" s="1"/>
  <c r="K26" i="21"/>
  <c r="AK28" i="23" s="1"/>
  <c r="K17" i="21"/>
  <c r="AK19" i="23" s="1"/>
  <c r="K21" i="21"/>
  <c r="AK23" i="23" s="1"/>
  <c r="K25" i="21"/>
  <c r="AK27" i="23" s="1"/>
  <c r="K28" i="21"/>
  <c r="AK30" i="23" s="1"/>
  <c r="K16" i="21"/>
  <c r="AK18" i="23" s="1"/>
  <c r="K24" i="21"/>
  <c r="AK26" i="23" s="1"/>
  <c r="K11" i="21"/>
  <c r="AK13" i="23" s="1"/>
  <c r="K15" i="21"/>
  <c r="AK17" i="23" s="1"/>
  <c r="K19" i="21"/>
  <c r="AK21" i="23" s="1"/>
  <c r="K23" i="21"/>
  <c r="AK25" i="23" s="1"/>
  <c r="K27" i="21"/>
  <c r="AK29" i="23" s="1"/>
  <c r="I9" i="21"/>
  <c r="AA11" i="23" s="1"/>
  <c r="I13" i="21"/>
  <c r="I17" i="21"/>
  <c r="I21" i="21"/>
  <c r="I25" i="21"/>
  <c r="I11" i="21"/>
  <c r="I15" i="21"/>
  <c r="I19" i="21"/>
  <c r="I23" i="21"/>
  <c r="I27" i="21"/>
  <c r="U23" i="21"/>
  <c r="D16" i="3"/>
  <c r="S23" i="21"/>
  <c r="D24" i="3"/>
  <c r="C16" i="3"/>
  <c r="F29" i="3"/>
  <c r="E30" i="3"/>
  <c r="G16" i="3"/>
  <c r="G24" i="3"/>
  <c r="F30" i="3"/>
  <c r="F22" i="3"/>
  <c r="T25" i="21"/>
  <c r="B27" i="23" s="1"/>
  <c r="C21" i="3"/>
  <c r="C29" i="3"/>
  <c r="E34" i="3"/>
  <c r="D8" i="3"/>
  <c r="J14" i="3" s="1"/>
  <c r="K14" i="3" s="1"/>
  <c r="L14" i="3" s="1"/>
  <c r="M14" i="3" s="1"/>
  <c r="N14" i="3" s="1"/>
  <c r="O14" i="3" s="1"/>
  <c r="D32" i="3"/>
  <c r="T21" i="21"/>
  <c r="B23" i="23" s="1"/>
  <c r="F21" i="3"/>
  <c r="D23" i="3"/>
  <c r="D31" i="3"/>
  <c r="G32" i="3"/>
  <c r="Q25" i="21"/>
  <c r="F17" i="3"/>
  <c r="G21" i="3"/>
  <c r="E23" i="3"/>
  <c r="F25" i="3"/>
  <c r="G29" i="3"/>
  <c r="E31" i="3"/>
  <c r="F33" i="3"/>
  <c r="E18" i="3"/>
  <c r="E22" i="3"/>
  <c r="C24" i="3"/>
  <c r="E26" i="3"/>
  <c r="C32" i="3"/>
  <c r="C20" i="3"/>
  <c r="C17" i="3"/>
  <c r="G17" i="3"/>
  <c r="F18" i="3"/>
  <c r="E19" i="3"/>
  <c r="D20" i="3"/>
  <c r="C25" i="3"/>
  <c r="G25" i="3"/>
  <c r="F26" i="3"/>
  <c r="E27" i="3"/>
  <c r="D28" i="3"/>
  <c r="C33" i="3"/>
  <c r="G33" i="3"/>
  <c r="F34" i="3"/>
  <c r="C28" i="3"/>
  <c r="U21" i="21"/>
  <c r="T13" i="21"/>
  <c r="B15" i="23" s="1"/>
  <c r="P21" i="21"/>
  <c r="E16" i="3"/>
  <c r="D17" i="3"/>
  <c r="C18" i="3"/>
  <c r="G18" i="3"/>
  <c r="F19" i="3"/>
  <c r="E20" i="3"/>
  <c r="D21" i="3"/>
  <c r="C22" i="3"/>
  <c r="G22" i="3"/>
  <c r="F23" i="3"/>
  <c r="E24" i="3"/>
  <c r="D25" i="3"/>
  <c r="C26" i="3"/>
  <c r="G26" i="3"/>
  <c r="F27" i="3"/>
  <c r="E28" i="3"/>
  <c r="D29" i="3"/>
  <c r="C30" i="3"/>
  <c r="G30" i="3"/>
  <c r="F31" i="3"/>
  <c r="E32" i="3"/>
  <c r="D33" i="3"/>
  <c r="C34" i="3"/>
  <c r="G34" i="3"/>
  <c r="D19" i="3"/>
  <c r="G20" i="3"/>
  <c r="D27" i="3"/>
  <c r="G28" i="3"/>
  <c r="S21" i="21"/>
  <c r="Q27" i="21"/>
  <c r="F16" i="3"/>
  <c r="E17" i="3"/>
  <c r="D18" i="3"/>
  <c r="C19" i="3"/>
  <c r="G19" i="3"/>
  <c r="F20" i="3"/>
  <c r="E21" i="3"/>
  <c r="D22" i="3"/>
  <c r="C23" i="3"/>
  <c r="G23" i="3"/>
  <c r="F24" i="3"/>
  <c r="E25" i="3"/>
  <c r="D26" i="3"/>
  <c r="C27" i="3"/>
  <c r="G27" i="3"/>
  <c r="F28" i="3"/>
  <c r="E29" i="3"/>
  <c r="D30" i="3"/>
  <c r="C31" i="3"/>
  <c r="G31" i="3"/>
  <c r="F32" i="3"/>
  <c r="E33" i="3"/>
  <c r="D34" i="3"/>
  <c r="L9" i="21"/>
  <c r="L11" i="21"/>
  <c r="L13" i="21"/>
  <c r="L15" i="21"/>
  <c r="L17" i="21"/>
  <c r="L19" i="21"/>
  <c r="L21" i="21"/>
  <c r="L23" i="21"/>
  <c r="L25" i="21"/>
  <c r="L27" i="21"/>
  <c r="M11" i="21"/>
  <c r="AF13" i="23" s="1"/>
  <c r="M13" i="21"/>
  <c r="AF15" i="23" s="1"/>
  <c r="M15" i="21"/>
  <c r="AF17" i="23" s="1"/>
  <c r="M17" i="21"/>
  <c r="AF19" i="23" s="1"/>
  <c r="M19" i="21"/>
  <c r="AF21" i="23" s="1"/>
  <c r="M21" i="21"/>
  <c r="AF23" i="23" s="1"/>
  <c r="M23" i="21"/>
  <c r="AF25" i="23" s="1"/>
  <c r="M25" i="21"/>
  <c r="AF27" i="23" s="1"/>
  <c r="M27" i="21"/>
  <c r="AF29" i="23" s="1"/>
  <c r="J20" i="21"/>
  <c r="U22" i="21"/>
  <c r="S24" i="21"/>
  <c r="F9" i="21"/>
  <c r="F11" i="21"/>
  <c r="F13" i="21"/>
  <c r="F15" i="21"/>
  <c r="F17" i="21"/>
  <c r="F19" i="21"/>
  <c r="F21" i="21"/>
  <c r="F23" i="21"/>
  <c r="F25" i="21"/>
  <c r="F27" i="21"/>
  <c r="R16" i="21"/>
  <c r="U20" i="21"/>
  <c r="Q26" i="21"/>
  <c r="G9" i="21"/>
  <c r="G11" i="21"/>
  <c r="G13" i="21"/>
  <c r="G15" i="21"/>
  <c r="G17" i="21"/>
  <c r="G19" i="21"/>
  <c r="G21" i="21"/>
  <c r="G23" i="21"/>
  <c r="G25" i="21"/>
  <c r="G27" i="21"/>
  <c r="E10" i="21"/>
  <c r="I14" i="21"/>
  <c r="E16" i="21"/>
  <c r="E22" i="21"/>
  <c r="E24" i="21"/>
  <c r="E28" i="21"/>
  <c r="R22" i="21"/>
  <c r="J26" i="21"/>
  <c r="S26" i="21"/>
  <c r="D9" i="21"/>
  <c r="H9" i="21"/>
  <c r="V11" i="23" s="1"/>
  <c r="F10" i="21"/>
  <c r="L10" i="21"/>
  <c r="D11" i="21"/>
  <c r="H11" i="21"/>
  <c r="F12" i="21"/>
  <c r="L12" i="21"/>
  <c r="D13" i="21"/>
  <c r="H13" i="21"/>
  <c r="F14" i="21"/>
  <c r="L14" i="21"/>
  <c r="D15" i="21"/>
  <c r="H15" i="21"/>
  <c r="F16" i="21"/>
  <c r="L16" i="21"/>
  <c r="D17" i="21"/>
  <c r="H17" i="21"/>
  <c r="F18" i="21"/>
  <c r="L18" i="21"/>
  <c r="D19" i="21"/>
  <c r="H19" i="21"/>
  <c r="F20" i="21"/>
  <c r="L20" i="21"/>
  <c r="D21" i="21"/>
  <c r="H21" i="21"/>
  <c r="F22" i="21"/>
  <c r="L22" i="21"/>
  <c r="D23" i="21"/>
  <c r="H23" i="21"/>
  <c r="F24" i="21"/>
  <c r="L24" i="21"/>
  <c r="D25" i="21"/>
  <c r="H25" i="21"/>
  <c r="F26" i="21"/>
  <c r="L26" i="21"/>
  <c r="D27" i="21"/>
  <c r="H27" i="21"/>
  <c r="F28" i="21"/>
  <c r="L28" i="21"/>
  <c r="I10" i="21"/>
  <c r="E12" i="21"/>
  <c r="E18" i="21"/>
  <c r="I18" i="21"/>
  <c r="I20" i="21"/>
  <c r="I22" i="21"/>
  <c r="I26" i="21"/>
  <c r="I28" i="21"/>
  <c r="R20" i="21"/>
  <c r="Q24" i="21"/>
  <c r="U26" i="21"/>
  <c r="E9" i="21"/>
  <c r="K9" i="21" s="1"/>
  <c r="AK11" i="23" s="1"/>
  <c r="G10" i="21"/>
  <c r="M10" i="21"/>
  <c r="AF12" i="23" s="1"/>
  <c r="E11" i="21"/>
  <c r="G12" i="21"/>
  <c r="M12" i="21"/>
  <c r="AF14" i="23" s="1"/>
  <c r="E13" i="21"/>
  <c r="G14" i="21"/>
  <c r="M14" i="21"/>
  <c r="AF16" i="23" s="1"/>
  <c r="E15" i="21"/>
  <c r="G16" i="21"/>
  <c r="M16" i="21"/>
  <c r="AF18" i="23" s="1"/>
  <c r="E17" i="21"/>
  <c r="G18" i="21"/>
  <c r="M18" i="21"/>
  <c r="AF20" i="23" s="1"/>
  <c r="E19" i="21"/>
  <c r="G20" i="21"/>
  <c r="M20" i="21"/>
  <c r="AF22" i="23" s="1"/>
  <c r="E21" i="21"/>
  <c r="G22" i="21"/>
  <c r="M22" i="21"/>
  <c r="AF24" i="23" s="1"/>
  <c r="E23" i="21"/>
  <c r="G24" i="21"/>
  <c r="M24" i="21"/>
  <c r="AF26" i="23" s="1"/>
  <c r="E25" i="21"/>
  <c r="G26" i="21"/>
  <c r="M26" i="21"/>
  <c r="AF28" i="23" s="1"/>
  <c r="E27" i="21"/>
  <c r="G28" i="21"/>
  <c r="M28" i="21"/>
  <c r="AF30" i="23" s="1"/>
  <c r="I12" i="21"/>
  <c r="E14" i="21"/>
  <c r="I16" i="21"/>
  <c r="E20" i="21"/>
  <c r="I24" i="21"/>
  <c r="E26" i="21"/>
  <c r="R12" i="21"/>
  <c r="S20" i="21"/>
  <c r="R24" i="21"/>
  <c r="D10" i="21"/>
  <c r="H10" i="21"/>
  <c r="D12" i="21"/>
  <c r="H12" i="21"/>
  <c r="D14" i="21"/>
  <c r="H14" i="21"/>
  <c r="D16" i="21"/>
  <c r="H16" i="21"/>
  <c r="D18" i="21"/>
  <c r="H18" i="21"/>
  <c r="D20" i="21"/>
  <c r="H20" i="21"/>
  <c r="D22" i="21"/>
  <c r="H22" i="21"/>
  <c r="D24" i="21"/>
  <c r="H24" i="21"/>
  <c r="D26" i="21"/>
  <c r="H26" i="21"/>
  <c r="D28" i="21"/>
  <c r="H28" i="21"/>
  <c r="S16" i="21"/>
  <c r="S12" i="21"/>
  <c r="S17" i="21"/>
  <c r="S13" i="21"/>
  <c r="S11" i="21"/>
  <c r="S19" i="21"/>
  <c r="S15" i="21"/>
  <c r="P27" i="21"/>
  <c r="T28" i="21"/>
  <c r="B30" i="23" s="1"/>
  <c r="P28" i="21"/>
  <c r="U28" i="21"/>
  <c r="J28" i="21"/>
  <c r="Q9" i="21"/>
  <c r="E57" i="21" s="1"/>
  <c r="H81" i="23" s="1"/>
  <c r="T10" i="21"/>
  <c r="B12" i="23" s="1"/>
  <c r="R10" i="21"/>
  <c r="S10" i="21"/>
  <c r="T11" i="21"/>
  <c r="B13" i="23" s="1"/>
  <c r="T12" i="21"/>
  <c r="B14" i="23" s="1"/>
  <c r="P12" i="21"/>
  <c r="Q12" i="21"/>
  <c r="P13" i="21"/>
  <c r="J13" i="21"/>
  <c r="Q13" i="21"/>
  <c r="S14" i="21"/>
  <c r="T15" i="21"/>
  <c r="B17" i="23" s="1"/>
  <c r="T16" i="21"/>
  <c r="B18" i="23" s="1"/>
  <c r="P16" i="21"/>
  <c r="Q16" i="21"/>
  <c r="P17" i="21"/>
  <c r="J17" i="21"/>
  <c r="Q17" i="21"/>
  <c r="T18" i="21"/>
  <c r="B20" i="23" s="1"/>
  <c r="R18" i="21"/>
  <c r="S18" i="21"/>
  <c r="T19" i="21"/>
  <c r="B21" i="23" s="1"/>
  <c r="T20" i="21"/>
  <c r="B22" i="23" s="1"/>
  <c r="P20" i="21"/>
  <c r="Q20" i="21"/>
  <c r="R21" i="21"/>
  <c r="J21" i="21"/>
  <c r="Q21" i="21"/>
  <c r="S22" i="21"/>
  <c r="T23" i="21"/>
  <c r="B25" i="23" s="1"/>
  <c r="T24" i="21"/>
  <c r="B26" i="23" s="1"/>
  <c r="P24" i="21"/>
  <c r="U24" i="21"/>
  <c r="J24" i="21"/>
  <c r="S25" i="21"/>
  <c r="T26" i="21"/>
  <c r="B28" i="23" s="1"/>
  <c r="P26" i="21"/>
  <c r="R26" i="21"/>
  <c r="Q28" i="21"/>
  <c r="R27" i="21"/>
  <c r="J27" i="21"/>
  <c r="S27" i="21"/>
  <c r="J11" i="21"/>
  <c r="J14" i="21"/>
  <c r="P14" i="21"/>
  <c r="P15" i="21"/>
  <c r="J22" i="21"/>
  <c r="P23" i="21"/>
  <c r="T27" i="21"/>
  <c r="B29" i="23" s="1"/>
  <c r="R28" i="21"/>
  <c r="T9" i="21"/>
  <c r="B11" i="23" s="1"/>
  <c r="P10" i="21"/>
  <c r="U10" i="21"/>
  <c r="Q10" i="21"/>
  <c r="R11" i="21"/>
  <c r="Q11" i="21"/>
  <c r="T14" i="21"/>
  <c r="B16" i="23" s="1"/>
  <c r="Q14" i="21"/>
  <c r="R15" i="21"/>
  <c r="J15" i="21"/>
  <c r="U15" i="21"/>
  <c r="Q15" i="21"/>
  <c r="P18" i="21"/>
  <c r="U18" i="21"/>
  <c r="Q18" i="21"/>
  <c r="R19" i="21"/>
  <c r="Q19" i="21"/>
  <c r="T22" i="21"/>
  <c r="B24" i="23" s="1"/>
  <c r="P22" i="21"/>
  <c r="Q22" i="21"/>
  <c r="R23" i="21"/>
  <c r="J23" i="21"/>
  <c r="Q23" i="21"/>
  <c r="R25" i="21"/>
  <c r="J25" i="21"/>
  <c r="U25" i="21"/>
  <c r="P25" i="21"/>
  <c r="U27" i="21"/>
  <c r="S28" i="21"/>
  <c r="AE8" i="21" l="1"/>
  <c r="U3" i="21" s="1"/>
  <c r="G11" i="23"/>
  <c r="J9" i="21"/>
  <c r="M9" i="21" s="1"/>
  <c r="AF11" i="23" s="1"/>
  <c r="R132" i="23"/>
  <c r="H144" i="23"/>
  <c r="Q109" i="23"/>
  <c r="Q110" i="23" s="1"/>
  <c r="W110" i="23" s="1"/>
  <c r="N3" i="21"/>
  <c r="O3" i="21" s="1"/>
  <c r="H5" i="23"/>
  <c r="E59" i="21"/>
  <c r="M58" i="21" s="1"/>
  <c r="P3" i="21"/>
  <c r="Q113" i="23" s="1"/>
  <c r="W113" i="23" s="1"/>
  <c r="S55" i="21"/>
  <c r="T55" i="21" s="1"/>
  <c r="L55" i="21"/>
  <c r="V55" i="21" s="1"/>
  <c r="I55" i="21"/>
  <c r="H55" i="21"/>
  <c r="T17" i="21"/>
  <c r="B19" i="23" s="1"/>
  <c r="B15" i="3"/>
  <c r="F3" i="21"/>
  <c r="E3" i="21"/>
  <c r="P11" i="21"/>
  <c r="U11" i="21" s="1"/>
  <c r="J10" i="21"/>
  <c r="R14" i="21"/>
  <c r="U14" i="21" s="1"/>
  <c r="J19" i="21"/>
  <c r="P9" i="21"/>
  <c r="U9" i="21" s="1"/>
  <c r="U13" i="21"/>
  <c r="J12" i="21"/>
  <c r="J16" i="21"/>
  <c r="P19" i="21"/>
  <c r="U19" i="21" s="1"/>
  <c r="J18" i="21"/>
  <c r="R17" i="21"/>
  <c r="U17" i="21" s="1"/>
  <c r="U16" i="21"/>
  <c r="R13" i="21"/>
  <c r="U12" i="21"/>
  <c r="F13" i="31" l="1"/>
  <c r="F13" i="11"/>
  <c r="F13" i="24"/>
  <c r="V79" i="23"/>
  <c r="I115" i="23" s="1"/>
  <c r="AP79" i="23"/>
  <c r="Q222" i="23"/>
  <c r="H83" i="23"/>
  <c r="G55" i="21"/>
  <c r="G60" i="21"/>
  <c r="J60" i="21" s="1"/>
  <c r="I66" i="21"/>
  <c r="L66" i="21" s="1"/>
  <c r="Q66" i="21" s="1"/>
  <c r="L3" i="21"/>
  <c r="B8" i="3"/>
  <c r="K3" i="21"/>
  <c r="J55" i="21" l="1"/>
  <c r="O79" i="23" s="1"/>
  <c r="E15" i="3"/>
  <c r="G15" i="3"/>
  <c r="D15" i="3"/>
  <c r="C15" i="3"/>
  <c r="F15" i="3"/>
  <c r="V96" i="23"/>
  <c r="M3" i="21"/>
  <c r="F12" i="31" s="1"/>
  <c r="AL96" i="23"/>
  <c r="G61" i="21"/>
  <c r="J61" i="21" s="1"/>
  <c r="O84" i="23"/>
  <c r="T188" i="23"/>
  <c r="S162" i="23"/>
  <c r="H174" i="23"/>
  <c r="S3" i="21"/>
  <c r="F67" i="21" s="1"/>
  <c r="R3" i="21"/>
  <c r="D67" i="21" s="1"/>
  <c r="Q3" i="21"/>
  <c r="C67" i="21" s="1"/>
  <c r="E55" i="21"/>
  <c r="N59" i="21"/>
  <c r="AA178" i="23" s="1"/>
  <c r="N57" i="21"/>
  <c r="Z148" i="23" s="1"/>
  <c r="E54" i="21"/>
  <c r="N58" i="21"/>
  <c r="W162" i="23" s="1"/>
  <c r="E56" i="21"/>
  <c r="E67" i="21"/>
  <c r="E58" i="21"/>
  <c r="N56" i="21"/>
  <c r="V132" i="23" s="1"/>
  <c r="AB132" i="23" s="1"/>
  <c r="L134" i="23" s="1"/>
  <c r="AA134" i="23" s="1"/>
  <c r="C9" i="25"/>
  <c r="C8" i="25"/>
  <c r="C7" i="25"/>
  <c r="C6" i="25"/>
  <c r="F12" i="24" l="1"/>
  <c r="F12" i="11"/>
  <c r="H82" i="23"/>
  <c r="H78" i="23"/>
  <c r="H79" i="23"/>
  <c r="H80" i="23"/>
  <c r="M57" i="21"/>
  <c r="O57" i="21" s="1"/>
  <c r="Q60" i="21"/>
  <c r="U60" i="21" s="1"/>
  <c r="AC162" i="23"/>
  <c r="L164" i="23" s="1"/>
  <c r="AA164" i="23" s="1"/>
  <c r="P187" i="23"/>
  <c r="Y188" i="23"/>
  <c r="O193" i="23" s="1"/>
  <c r="V193" i="23" s="1"/>
  <c r="O85" i="23"/>
  <c r="O202" i="23"/>
  <c r="Q93" i="23"/>
  <c r="R96" i="23"/>
  <c r="J54" i="21"/>
  <c r="G67" i="21"/>
  <c r="E62" i="21"/>
  <c r="O56" i="21"/>
  <c r="AA80" i="23" s="1"/>
  <c r="O58" i="21"/>
  <c r="AA82" i="23" s="1"/>
  <c r="M59" i="21"/>
  <c r="O59" i="21" s="1"/>
  <c r="Q55" i="21"/>
  <c r="U55" i="21" s="1"/>
  <c r="AA81" i="23" l="1"/>
  <c r="H86" i="23"/>
  <c r="AA83" i="23"/>
  <c r="AH84" i="23"/>
  <c r="H214" i="23"/>
  <c r="AP221" i="23"/>
  <c r="Q61" i="21"/>
  <c r="U61" i="21" s="1"/>
  <c r="O201" i="23"/>
  <c r="T202" i="23"/>
  <c r="O207" i="23" s="1"/>
  <c r="V207" i="23" s="1"/>
  <c r="Q221" i="23"/>
  <c r="M213" i="23"/>
  <c r="AH79" i="23"/>
  <c r="O118" i="23" s="1"/>
  <c r="V118" i="23" s="1"/>
  <c r="O102" i="23"/>
  <c r="O78" i="23"/>
  <c r="Q59" i="21"/>
  <c r="T59" i="21" s="1"/>
  <c r="Q58" i="21"/>
  <c r="Q57" i="21"/>
  <c r="T57" i="21" s="1"/>
  <c r="Q56" i="21"/>
  <c r="Q54" i="21"/>
  <c r="U56" i="21" l="1"/>
  <c r="T56" i="21"/>
  <c r="T62" i="21" s="1"/>
  <c r="U58" i="21"/>
  <c r="T58" i="21"/>
  <c r="AH85" i="23"/>
  <c r="V54" i="21"/>
  <c r="U59" i="21"/>
  <c r="O214" i="23"/>
  <c r="AU221" i="23"/>
  <c r="U57" i="21"/>
  <c r="AH82" i="23"/>
  <c r="AA221" i="23"/>
  <c r="AA213" i="23"/>
  <c r="V221" i="23"/>
  <c r="T213" i="23"/>
  <c r="AH80" i="23"/>
  <c r="A48" i="13"/>
  <c r="AO213" i="23"/>
  <c r="AH83" i="23"/>
  <c r="AK221" i="23"/>
  <c r="L221" i="23"/>
  <c r="F213" i="23"/>
  <c r="AH78" i="23"/>
  <c r="AF221" i="23"/>
  <c r="AH213" i="23"/>
  <c r="AH81" i="23"/>
  <c r="Q62" i="21"/>
  <c r="F9" i="24"/>
  <c r="F8" i="24"/>
  <c r="F7" i="24"/>
  <c r="F6" i="24"/>
  <c r="A4" i="24"/>
  <c r="H4" i="3"/>
  <c r="E4" i="3"/>
  <c r="C4" i="3"/>
  <c r="H3" i="3"/>
  <c r="E3" i="3"/>
  <c r="C3" i="3"/>
  <c r="S62" i="21" l="1"/>
  <c r="AZ220" i="23" s="1"/>
  <c r="C77" i="21"/>
  <c r="C79" i="21"/>
  <c r="C78" i="21"/>
  <c r="C72" i="21"/>
  <c r="C76" i="21"/>
  <c r="C74" i="21"/>
  <c r="C75" i="21"/>
  <c r="C73" i="21"/>
  <c r="V62" i="21"/>
  <c r="F71" i="21" s="1"/>
  <c r="U62" i="21"/>
  <c r="E71" i="21" s="1"/>
  <c r="F215" i="23"/>
  <c r="AH86" i="23"/>
  <c r="F9" i="11"/>
  <c r="F8" i="11"/>
  <c r="F7" i="11"/>
  <c r="F6" i="11"/>
  <c r="AP86" i="23" l="1"/>
  <c r="G71" i="21"/>
  <c r="E73" i="21"/>
  <c r="E75" i="21" s="1"/>
  <c r="F73" i="21"/>
  <c r="F75" i="21" s="1"/>
  <c r="E72" i="21"/>
  <c r="A4" i="11"/>
  <c r="G75" i="21" l="1"/>
  <c r="G72" i="21"/>
  <c r="E76" i="21" s="1"/>
  <c r="E78" i="21" s="1"/>
  <c r="G59" i="31" l="1"/>
  <c r="F42" i="11"/>
  <c r="E77" i="21"/>
  <c r="F78" i="21" s="1"/>
  <c r="F43" i="24"/>
  <c r="A43" i="24"/>
  <c r="F42" i="24"/>
  <c r="B14" i="3"/>
  <c r="C14" i="3" s="1"/>
  <c r="D14" i="3" s="1"/>
  <c r="E14" i="3" s="1"/>
  <c r="F14" i="3" s="1"/>
  <c r="G14" i="3" s="1"/>
  <c r="G42" i="24" l="1"/>
  <c r="H59" i="31"/>
  <c r="G42" i="11"/>
  <c r="I235" i="23"/>
  <c r="C66" i="21"/>
  <c r="G66" i="21" s="1"/>
  <c r="H66" i="21" s="1"/>
  <c r="R66" i="21" s="1"/>
  <c r="J66" i="21" l="1"/>
  <c r="O66" i="21" s="1"/>
  <c r="T3" i="21" l="1"/>
  <c r="C43" i="13" s="1"/>
  <c r="K66" i="21"/>
  <c r="M66" i="21" s="1"/>
  <c r="AI96" i="23"/>
  <c r="I91" i="23"/>
  <c r="Z9" i="21" l="1"/>
  <c r="Y10" i="21"/>
  <c r="Y12" i="21"/>
  <c r="Y14" i="21"/>
  <c r="Y16" i="21"/>
  <c r="Y18" i="21"/>
  <c r="Y20" i="21"/>
  <c r="Y22" i="21"/>
  <c r="Y24" i="21"/>
  <c r="Y26" i="21"/>
  <c r="Y28" i="21"/>
  <c r="Y30" i="21"/>
  <c r="Y32" i="21"/>
  <c r="Y34" i="21"/>
  <c r="Y36" i="21"/>
  <c r="Y38" i="21"/>
  <c r="Y40" i="21"/>
  <c r="Y42" i="21"/>
  <c r="Y44" i="21"/>
  <c r="Y46" i="21"/>
  <c r="Y48" i="21"/>
  <c r="Z13" i="21"/>
  <c r="Z17" i="21"/>
  <c r="Z25" i="21"/>
  <c r="Z31" i="21"/>
  <c r="Z37" i="21"/>
  <c r="Z43" i="21"/>
  <c r="Z49" i="21"/>
  <c r="Z10" i="21"/>
  <c r="Z12" i="21"/>
  <c r="Z14" i="21"/>
  <c r="Z16" i="21"/>
  <c r="Z18" i="21"/>
  <c r="Z20" i="21"/>
  <c r="Z22" i="21"/>
  <c r="Z24" i="21"/>
  <c r="Z26" i="21"/>
  <c r="Z28" i="21"/>
  <c r="Z30" i="21"/>
  <c r="Z32" i="21"/>
  <c r="Z34" i="21"/>
  <c r="Z36" i="21"/>
  <c r="Z38" i="21"/>
  <c r="Z40" i="21"/>
  <c r="Z42" i="21"/>
  <c r="Z44" i="21"/>
  <c r="Z46" i="21"/>
  <c r="Z48" i="21"/>
  <c r="Z11" i="21"/>
  <c r="Z19" i="21"/>
  <c r="Z23" i="21"/>
  <c r="Z29" i="21"/>
  <c r="Z35" i="21"/>
  <c r="Z41" i="21"/>
  <c r="Z47" i="21"/>
  <c r="Y11" i="21"/>
  <c r="Y13" i="21"/>
  <c r="Y15" i="21"/>
  <c r="Y17" i="21"/>
  <c r="Y19" i="21"/>
  <c r="Y21" i="21"/>
  <c r="Y23" i="21"/>
  <c r="Y25" i="21"/>
  <c r="Y27" i="21"/>
  <c r="Y29" i="21"/>
  <c r="Y31" i="21"/>
  <c r="Y33" i="21"/>
  <c r="Y35" i="21"/>
  <c r="Y37" i="21"/>
  <c r="Y39" i="21"/>
  <c r="Y41" i="21"/>
  <c r="Y43" i="21"/>
  <c r="Y45" i="21"/>
  <c r="Y47" i="21"/>
  <c r="Y49" i="21"/>
  <c r="Z15" i="21"/>
  <c r="Z21" i="21"/>
  <c r="Z27" i="21"/>
  <c r="Z33" i="21"/>
  <c r="Z39" i="21"/>
  <c r="Z45" i="21"/>
  <c r="P66" i="21"/>
  <c r="AC23" i="21" s="1"/>
  <c r="Y9" i="21"/>
  <c r="N66" i="21"/>
  <c r="I108" i="23"/>
  <c r="AE96" i="23"/>
  <c r="N98" i="23" s="1"/>
  <c r="X93" i="23"/>
  <c r="L56" i="31" l="1"/>
  <c r="H11" i="30"/>
  <c r="L31" i="31"/>
  <c r="L35" i="31"/>
  <c r="AD25" i="21"/>
  <c r="H33" i="31" s="1"/>
  <c r="AA41" i="21"/>
  <c r="F49" i="31" s="1"/>
  <c r="L26" i="31"/>
  <c r="L18" i="31"/>
  <c r="L51" i="31"/>
  <c r="L48" i="31"/>
  <c r="L47" i="31"/>
  <c r="L44" i="31"/>
  <c r="L38" i="31"/>
  <c r="L46" i="31"/>
  <c r="L30" i="31"/>
  <c r="L52" i="31"/>
  <c r="AA16" i="21"/>
  <c r="F24" i="31" s="1"/>
  <c r="AA48" i="21"/>
  <c r="F56" i="31" s="1"/>
  <c r="H9" i="30"/>
  <c r="AC30" i="21"/>
  <c r="G38" i="24" s="1"/>
  <c r="L54" i="31"/>
  <c r="L45" i="31"/>
  <c r="L25" i="31"/>
  <c r="L37" i="31"/>
  <c r="AD44" i="21"/>
  <c r="H52" i="31" s="1"/>
  <c r="AB20" i="21"/>
  <c r="F20" i="30" s="1"/>
  <c r="AA34" i="21"/>
  <c r="F42" i="31" s="1"/>
  <c r="AC21" i="21"/>
  <c r="G29" i="11" s="1"/>
  <c r="L39" i="31"/>
  <c r="L42" i="31"/>
  <c r="L43" i="31"/>
  <c r="L55" i="31"/>
  <c r="L28" i="31"/>
  <c r="L21" i="31"/>
  <c r="H12" i="30"/>
  <c r="L57" i="31"/>
  <c r="H24" i="30"/>
  <c r="L24" i="31"/>
  <c r="L34" i="31"/>
  <c r="L50" i="31"/>
  <c r="L29" i="31"/>
  <c r="L41" i="31"/>
  <c r="L23" i="31"/>
  <c r="L49" i="31"/>
  <c r="L33" i="31"/>
  <c r="L22" i="31"/>
  <c r="L27" i="31"/>
  <c r="AD48" i="21"/>
  <c r="H56" i="31" s="1"/>
  <c r="L40" i="31"/>
  <c r="K31" i="31"/>
  <c r="G31" i="11"/>
  <c r="AB26" i="21"/>
  <c r="J34" i="31" s="1"/>
  <c r="L53" i="31"/>
  <c r="L36" i="31"/>
  <c r="AC29" i="21"/>
  <c r="G37" i="24" s="1"/>
  <c r="AC27" i="21"/>
  <c r="K35" i="31" s="1"/>
  <c r="AA40" i="21"/>
  <c r="F48" i="31" s="1"/>
  <c r="AB41" i="21"/>
  <c r="J49" i="31" s="1"/>
  <c r="AC13" i="21"/>
  <c r="K21" i="31" s="1"/>
  <c r="AC19" i="21"/>
  <c r="G27" i="11" s="1"/>
  <c r="AB49" i="21"/>
  <c r="J57" i="31" s="1"/>
  <c r="AD49" i="21"/>
  <c r="H57" i="31" s="1"/>
  <c r="AD11" i="21"/>
  <c r="H19" i="31" s="1"/>
  <c r="AD28" i="21"/>
  <c r="G28" i="30" s="1"/>
  <c r="AC11" i="21"/>
  <c r="G19" i="24" s="1"/>
  <c r="AA28" i="21"/>
  <c r="F36" i="31" s="1"/>
  <c r="AD33" i="21"/>
  <c r="H41" i="31" s="1"/>
  <c r="AA38" i="21"/>
  <c r="F46" i="31" s="1"/>
  <c r="AA30" i="21"/>
  <c r="E30" i="30" s="1"/>
  <c r="AA49" i="21"/>
  <c r="F57" i="31" s="1"/>
  <c r="AC26" i="21"/>
  <c r="G34" i="24" s="1"/>
  <c r="AB14" i="21"/>
  <c r="J22" i="31" s="1"/>
  <c r="AB48" i="21"/>
  <c r="J56" i="31" s="1"/>
  <c r="AA14" i="21"/>
  <c r="F22" i="24" s="1"/>
  <c r="AA47" i="21"/>
  <c r="F55" i="31" s="1"/>
  <c r="AA13" i="21"/>
  <c r="F21" i="11" s="1"/>
  <c r="AD34" i="21"/>
  <c r="H42" i="31" s="1"/>
  <c r="AA36" i="21"/>
  <c r="F44" i="31" s="1"/>
  <c r="AB30" i="21"/>
  <c r="F30" i="30" s="1"/>
  <c r="AA9" i="21"/>
  <c r="F17" i="31" s="1"/>
  <c r="AD10" i="21"/>
  <c r="H18" i="31" s="1"/>
  <c r="AD31" i="21"/>
  <c r="H39" i="31" s="1"/>
  <c r="AD17" i="21"/>
  <c r="G17" i="30" s="1"/>
  <c r="AD29" i="21"/>
  <c r="G29" i="30" s="1"/>
  <c r="AC43" i="21"/>
  <c r="K51" i="31" s="1"/>
  <c r="AA25" i="21"/>
  <c r="E25" i="30" s="1"/>
  <c r="AB21" i="21"/>
  <c r="J29" i="31" s="1"/>
  <c r="AB13" i="21"/>
  <c r="J21" i="31" s="1"/>
  <c r="AD30" i="21"/>
  <c r="H38" i="31" s="1"/>
  <c r="AC31" i="21"/>
  <c r="K39" i="31" s="1"/>
  <c r="AB47" i="21"/>
  <c r="J55" i="31" s="1"/>
  <c r="AD22" i="21"/>
  <c r="G22" i="30" s="1"/>
  <c r="AB36" i="21"/>
  <c r="J44" i="31" s="1"/>
  <c r="AA17" i="21"/>
  <c r="F25" i="31" s="1"/>
  <c r="AA37" i="21"/>
  <c r="F45" i="31" s="1"/>
  <c r="AB25" i="21"/>
  <c r="J33" i="31" s="1"/>
  <c r="AC24" i="21"/>
  <c r="K32" i="31" s="1"/>
  <c r="AD32" i="21"/>
  <c r="H40" i="31" s="1"/>
  <c r="AC36" i="21"/>
  <c r="K44" i="31" s="1"/>
  <c r="AD23" i="21"/>
  <c r="H31" i="31" s="1"/>
  <c r="AC42" i="21"/>
  <c r="K50" i="31" s="1"/>
  <c r="AD37" i="21"/>
  <c r="H45" i="31" s="1"/>
  <c r="AD46" i="21"/>
  <c r="H54" i="31" s="1"/>
  <c r="AB39" i="21"/>
  <c r="J47" i="31" s="1"/>
  <c r="AA10" i="21"/>
  <c r="F18" i="24" s="1"/>
  <c r="AC37" i="21"/>
  <c r="K45" i="31" s="1"/>
  <c r="AB31" i="21"/>
  <c r="F31" i="30" s="1"/>
  <c r="AB40" i="21"/>
  <c r="J48" i="31" s="1"/>
  <c r="AC25" i="21"/>
  <c r="G33" i="24" s="1"/>
  <c r="AB42" i="21"/>
  <c r="J50" i="31" s="1"/>
  <c r="AD9" i="21"/>
  <c r="H17" i="31" s="1"/>
  <c r="S66" i="21"/>
  <c r="AC12" i="21"/>
  <c r="G20" i="24" s="1"/>
  <c r="AA46" i="21"/>
  <c r="F54" i="31" s="1"/>
  <c r="AA27" i="21"/>
  <c r="F35" i="11" s="1"/>
  <c r="AC48" i="21"/>
  <c r="K56" i="31" s="1"/>
  <c r="AB44" i="21"/>
  <c r="J52" i="31" s="1"/>
  <c r="AA44" i="21"/>
  <c r="F52" i="31" s="1"/>
  <c r="AD24" i="21"/>
  <c r="H32" i="31" s="1"/>
  <c r="AD36" i="21"/>
  <c r="H44" i="31" s="1"/>
  <c r="AC28" i="21"/>
  <c r="G36" i="11" s="1"/>
  <c r="AC49" i="21"/>
  <c r="K57" i="31" s="1"/>
  <c r="AC39" i="21"/>
  <c r="K47" i="31" s="1"/>
  <c r="AC46" i="21"/>
  <c r="K54" i="31" s="1"/>
  <c r="AC45" i="21"/>
  <c r="K53" i="31" s="1"/>
  <c r="AB33" i="21"/>
  <c r="J41" i="31" s="1"/>
  <c r="AA20" i="21"/>
  <c r="E20" i="30" s="1"/>
  <c r="AB28" i="21"/>
  <c r="F28" i="30" s="1"/>
  <c r="AA35" i="21"/>
  <c r="F43" i="31" s="1"/>
  <c r="AA33" i="21"/>
  <c r="F41" i="31" s="1"/>
  <c r="AB35" i="21"/>
  <c r="J43" i="31" s="1"/>
  <c r="AA29" i="21"/>
  <c r="F37" i="31" s="1"/>
  <c r="AB29" i="21"/>
  <c r="F29" i="30" s="1"/>
  <c r="AB24" i="21"/>
  <c r="F24" i="30" s="1"/>
  <c r="AA42" i="21"/>
  <c r="F50" i="31" s="1"/>
  <c r="AD20" i="21"/>
  <c r="G20" i="30" s="1"/>
  <c r="AC17" i="21"/>
  <c r="G25" i="24" s="1"/>
  <c r="AA32" i="21"/>
  <c r="F40" i="31" s="1"/>
  <c r="AA45" i="21"/>
  <c r="F53" i="31" s="1"/>
  <c r="AA31" i="21"/>
  <c r="E31" i="30" s="1"/>
  <c r="AA15" i="21"/>
  <c r="F23" i="31" s="1"/>
  <c r="AD12" i="21"/>
  <c r="H20" i="31" s="1"/>
  <c r="AD26" i="21"/>
  <c r="H34" i="31" s="1"/>
  <c r="AD14" i="21"/>
  <c r="G14" i="30" s="1"/>
  <c r="AB15" i="21"/>
  <c r="J23" i="31" s="1"/>
  <c r="AC9" i="21"/>
  <c r="G17" i="11" s="1"/>
  <c r="AC44" i="21"/>
  <c r="K52" i="31" s="1"/>
  <c r="AA11" i="21"/>
  <c r="F19" i="24" s="1"/>
  <c r="AA19" i="21"/>
  <c r="F27" i="31" s="1"/>
  <c r="AB38" i="21"/>
  <c r="J46" i="31" s="1"/>
  <c r="AC22" i="21"/>
  <c r="G30" i="24" s="1"/>
  <c r="AB27" i="21"/>
  <c r="F27" i="30" s="1"/>
  <c r="AA39" i="21"/>
  <c r="F47" i="31" s="1"/>
  <c r="AA24" i="21"/>
  <c r="F32" i="31" s="1"/>
  <c r="AA43" i="21"/>
  <c r="F51" i="31" s="1"/>
  <c r="AA18" i="21"/>
  <c r="F26" i="31" s="1"/>
  <c r="AC33" i="21"/>
  <c r="K41" i="31" s="1"/>
  <c r="AC32" i="21"/>
  <c r="K40" i="31" s="1"/>
  <c r="AB34" i="21"/>
  <c r="J42" i="31" s="1"/>
  <c r="AD27" i="21"/>
  <c r="G27" i="30" s="1"/>
  <c r="AC14" i="21"/>
  <c r="G22" i="24" s="1"/>
  <c r="AD15" i="21"/>
  <c r="H23" i="31" s="1"/>
  <c r="AC18" i="21"/>
  <c r="G26" i="11" s="1"/>
  <c r="AD21" i="21"/>
  <c r="G21" i="30" s="1"/>
  <c r="G31" i="24"/>
  <c r="AD38" i="21"/>
  <c r="H46" i="31" s="1"/>
  <c r="AD35" i="21"/>
  <c r="H43" i="31" s="1"/>
  <c r="AD43" i="21"/>
  <c r="H51" i="31" s="1"/>
  <c r="AD16" i="21"/>
  <c r="H24" i="31" s="1"/>
  <c r="AD45" i="21"/>
  <c r="H53" i="31" s="1"/>
  <c r="AD40" i="21"/>
  <c r="H48" i="31" s="1"/>
  <c r="AD39" i="21"/>
  <c r="H47" i="31" s="1"/>
  <c r="AD47" i="21"/>
  <c r="H55" i="31" s="1"/>
  <c r="AC15" i="21"/>
  <c r="G23" i="11" s="1"/>
  <c r="AB16" i="21"/>
  <c r="F16" i="30" s="1"/>
  <c r="AA21" i="21"/>
  <c r="F29" i="24" s="1"/>
  <c r="AC16" i="21"/>
  <c r="G24" i="11" s="1"/>
  <c r="AA22" i="21"/>
  <c r="F30" i="31" s="1"/>
  <c r="AB43" i="21"/>
  <c r="J51" i="31" s="1"/>
  <c r="AC38" i="21"/>
  <c r="K46" i="31" s="1"/>
  <c r="AD19" i="21"/>
  <c r="G19" i="30" s="1"/>
  <c r="AD42" i="21"/>
  <c r="H50" i="31" s="1"/>
  <c r="AB12" i="21"/>
  <c r="J20" i="31" s="1"/>
  <c r="AC35" i="21"/>
  <c r="K43" i="31" s="1"/>
  <c r="AB9" i="21"/>
  <c r="F9" i="30" s="1"/>
  <c r="AB22" i="21"/>
  <c r="F22" i="30" s="1"/>
  <c r="AA23" i="21"/>
  <c r="F31" i="31" s="1"/>
  <c r="AC34" i="21"/>
  <c r="K42" i="31" s="1"/>
  <c r="AD41" i="21"/>
  <c r="H49" i="31" s="1"/>
  <c r="AB46" i="21"/>
  <c r="J54" i="31" s="1"/>
  <c r="AB19" i="21"/>
  <c r="F19" i="30" s="1"/>
  <c r="AC10" i="21"/>
  <c r="G18" i="11" s="1"/>
  <c r="AC40" i="21"/>
  <c r="K48" i="31" s="1"/>
  <c r="AC41" i="21"/>
  <c r="K49" i="31" s="1"/>
  <c r="AB23" i="21"/>
  <c r="F23" i="30" s="1"/>
  <c r="AC47" i="21"/>
  <c r="K55" i="31" s="1"/>
  <c r="AD18" i="21"/>
  <c r="H26" i="31" s="1"/>
  <c r="AB11" i="21"/>
  <c r="J19" i="31" s="1"/>
  <c r="AB32" i="21"/>
  <c r="J40" i="31" s="1"/>
  <c r="AC20" i="21"/>
  <c r="G28" i="11" s="1"/>
  <c r="AB18" i="21"/>
  <c r="J26" i="31" s="1"/>
  <c r="AB37" i="21"/>
  <c r="J45" i="31" s="1"/>
  <c r="AB17" i="21"/>
  <c r="J25" i="31" s="1"/>
  <c r="AD13" i="21"/>
  <c r="H21" i="31" s="1"/>
  <c r="AA12" i="21"/>
  <c r="F20" i="24" s="1"/>
  <c r="AA26" i="21"/>
  <c r="F34" i="31" s="1"/>
  <c r="AB10" i="21"/>
  <c r="F10" i="30" s="1"/>
  <c r="AB45" i="21"/>
  <c r="J53" i="31" s="1"/>
  <c r="V102" i="23"/>
  <c r="R148" i="23"/>
  <c r="AF148" i="23" s="1"/>
  <c r="L150" i="23" s="1"/>
  <c r="Y150" i="23" s="1"/>
  <c r="H123" i="23"/>
  <c r="S178" i="23"/>
  <c r="AG178" i="23" s="1"/>
  <c r="L180" i="23" s="1"/>
  <c r="Y180" i="23" s="1"/>
  <c r="H156" i="23"/>
  <c r="AF10" i="21" l="1"/>
  <c r="AF14" i="21"/>
  <c r="Q22" i="31" s="1"/>
  <c r="AF18" i="21"/>
  <c r="Q26" i="31" s="1"/>
  <c r="AF22" i="21"/>
  <c r="Q30" i="31" s="1"/>
  <c r="AF26" i="21"/>
  <c r="Q34" i="31" s="1"/>
  <c r="AF30" i="21"/>
  <c r="Q38" i="31" s="1"/>
  <c r="AF34" i="21"/>
  <c r="Q42" i="31" s="1"/>
  <c r="AF38" i="21"/>
  <c r="Q46" i="31" s="1"/>
  <c r="AF42" i="21"/>
  <c r="Q50" i="31" s="1"/>
  <c r="AF46" i="21"/>
  <c r="Q54" i="31" s="1"/>
  <c r="AF11" i="21"/>
  <c r="Q19" i="31" s="1"/>
  <c r="AF15" i="21"/>
  <c r="Q23" i="31" s="1"/>
  <c r="AF19" i="21"/>
  <c r="Q27" i="31" s="1"/>
  <c r="AF23" i="21"/>
  <c r="AF27" i="21"/>
  <c r="Q35" i="31" s="1"/>
  <c r="AF31" i="21"/>
  <c r="Q39" i="31" s="1"/>
  <c r="AF35" i="21"/>
  <c r="Q43" i="31" s="1"/>
  <c r="AF39" i="21"/>
  <c r="AF43" i="21"/>
  <c r="Q51" i="31" s="1"/>
  <c r="AF47" i="21"/>
  <c r="Q55" i="31" s="1"/>
  <c r="AF12" i="21"/>
  <c r="Q20" i="31" s="1"/>
  <c r="AF16" i="21"/>
  <c r="Q24" i="31" s="1"/>
  <c r="AF20" i="21"/>
  <c r="Q28" i="31" s="1"/>
  <c r="AF24" i="21"/>
  <c r="Q32" i="31" s="1"/>
  <c r="AF28" i="21"/>
  <c r="Q36" i="31" s="1"/>
  <c r="AF32" i="21"/>
  <c r="Q40" i="31" s="1"/>
  <c r="AF36" i="21"/>
  <c r="Q44" i="31" s="1"/>
  <c r="AF40" i="21"/>
  <c r="Q48" i="31" s="1"/>
  <c r="AF44" i="21"/>
  <c r="Q52" i="31" s="1"/>
  <c r="AF48" i="21"/>
  <c r="Q56" i="31" s="1"/>
  <c r="AF13" i="21"/>
  <c r="Q21" i="31" s="1"/>
  <c r="AF17" i="21"/>
  <c r="Q25" i="31" s="1"/>
  <c r="AF21" i="21"/>
  <c r="Q29" i="31" s="1"/>
  <c r="AF25" i="21"/>
  <c r="Q33" i="31" s="1"/>
  <c r="AF29" i="21"/>
  <c r="Q37" i="31" s="1"/>
  <c r="AF33" i="21"/>
  <c r="Q41" i="31" s="1"/>
  <c r="AF37" i="21"/>
  <c r="Q45" i="31" s="1"/>
  <c r="AF41" i="21"/>
  <c r="Q49" i="31" s="1"/>
  <c r="AF45" i="21"/>
  <c r="Q53" i="31" s="1"/>
  <c r="AF49" i="21"/>
  <c r="Q57" i="31" s="1"/>
  <c r="T66" i="21"/>
  <c r="AF9" i="21"/>
  <c r="Q17" i="31" s="1"/>
  <c r="H18" i="30"/>
  <c r="L19" i="31"/>
  <c r="H23" i="30"/>
  <c r="H27" i="30"/>
  <c r="G25" i="30"/>
  <c r="H10" i="30"/>
  <c r="H20" i="30"/>
  <c r="G39" i="11"/>
  <c r="E16" i="30"/>
  <c r="F24" i="11"/>
  <c r="H30" i="30"/>
  <c r="F24" i="24"/>
  <c r="L32" i="31"/>
  <c r="F38" i="31"/>
  <c r="H31" i="30"/>
  <c r="F38" i="11"/>
  <c r="L17" i="31"/>
  <c r="H17" i="30"/>
  <c r="G10" i="30"/>
  <c r="H21" i="30"/>
  <c r="H25" i="30"/>
  <c r="G19" i="11"/>
  <c r="F38" i="24"/>
  <c r="K19" i="31"/>
  <c r="E14" i="30"/>
  <c r="E28" i="30"/>
  <c r="K17" i="31"/>
  <c r="K23" i="31"/>
  <c r="H28" i="30"/>
  <c r="H16" i="30"/>
  <c r="F22" i="11"/>
  <c r="H14" i="30"/>
  <c r="H13" i="30"/>
  <c r="J30" i="31"/>
  <c r="F32" i="11"/>
  <c r="H22" i="30"/>
  <c r="G12" i="30"/>
  <c r="F33" i="24"/>
  <c r="F36" i="24"/>
  <c r="G39" i="24"/>
  <c r="J28" i="31"/>
  <c r="E17" i="30"/>
  <c r="F22" i="31"/>
  <c r="G31" i="30"/>
  <c r="F33" i="11"/>
  <c r="F36" i="11"/>
  <c r="F25" i="24"/>
  <c r="F33" i="31"/>
  <c r="F30" i="11"/>
  <c r="H29" i="30"/>
  <c r="K38" i="31"/>
  <c r="G38" i="11"/>
  <c r="F28" i="11"/>
  <c r="F28" i="31"/>
  <c r="F15" i="30"/>
  <c r="F27" i="24"/>
  <c r="E26" i="30"/>
  <c r="F31" i="24"/>
  <c r="J27" i="31"/>
  <c r="K26" i="31"/>
  <c r="F28" i="24"/>
  <c r="J39" i="31"/>
  <c r="G11" i="30"/>
  <c r="F21" i="30"/>
  <c r="G26" i="30"/>
  <c r="F34" i="24"/>
  <c r="H15" i="30"/>
  <c r="H19" i="30"/>
  <c r="F31" i="11"/>
  <c r="F12" i="30"/>
  <c r="F13" i="30"/>
  <c r="Q47" i="31"/>
  <c r="K29" i="31"/>
  <c r="L20" i="31"/>
  <c r="K37" i="31"/>
  <c r="H26" i="30"/>
  <c r="G29" i="24"/>
  <c r="E27" i="30"/>
  <c r="G21" i="24"/>
  <c r="J38" i="31"/>
  <c r="G21" i="11"/>
  <c r="H25" i="31"/>
  <c r="E9" i="30"/>
  <c r="Q31" i="31"/>
  <c r="G37" i="11"/>
  <c r="K30" i="31"/>
  <c r="F35" i="24"/>
  <c r="F17" i="11"/>
  <c r="F35" i="31"/>
  <c r="A50" i="13"/>
  <c r="G9" i="30"/>
  <c r="E23" i="30"/>
  <c r="G34" i="11"/>
  <c r="J24" i="31"/>
  <c r="G30" i="11"/>
  <c r="G24" i="30"/>
  <c r="J31" i="31"/>
  <c r="K34" i="31"/>
  <c r="G26" i="24"/>
  <c r="F39" i="11"/>
  <c r="E29" i="30"/>
  <c r="F26" i="11"/>
  <c r="H35" i="31"/>
  <c r="H22" i="31"/>
  <c r="K28" i="31"/>
  <c r="F19" i="11"/>
  <c r="J36" i="31"/>
  <c r="F39" i="31"/>
  <c r="F29" i="31"/>
  <c r="F19" i="31"/>
  <c r="G35" i="11"/>
  <c r="G23" i="30"/>
  <c r="F17" i="24"/>
  <c r="E21" i="30"/>
  <c r="G35" i="24"/>
  <c r="F21" i="24"/>
  <c r="E13" i="30"/>
  <c r="E11" i="30"/>
  <c r="K18" i="31"/>
  <c r="J18" i="31"/>
  <c r="F14" i="30"/>
  <c r="G27" i="24"/>
  <c r="J35" i="31"/>
  <c r="F26" i="24"/>
  <c r="F39" i="24"/>
  <c r="F29" i="11"/>
  <c r="F21" i="31"/>
  <c r="H28" i="31"/>
  <c r="H29" i="31"/>
  <c r="H30" i="31"/>
  <c r="H37" i="31"/>
  <c r="H36" i="31"/>
  <c r="G13" i="30"/>
  <c r="G28" i="24"/>
  <c r="F37" i="11"/>
  <c r="G18" i="24"/>
  <c r="F17" i="30"/>
  <c r="F26" i="30"/>
  <c r="K27" i="31"/>
  <c r="F25" i="30"/>
  <c r="E18" i="30"/>
  <c r="F37" i="24"/>
  <c r="F34" i="11"/>
  <c r="F20" i="31"/>
  <c r="E19" i="30"/>
  <c r="G30" i="30"/>
  <c r="G18" i="30"/>
  <c r="K25" i="31"/>
  <c r="K22" i="31"/>
  <c r="K36" i="31"/>
  <c r="J37" i="31"/>
  <c r="F23" i="24"/>
  <c r="G24" i="24"/>
  <c r="F27" i="11"/>
  <c r="G22" i="11"/>
  <c r="E15" i="30"/>
  <c r="G36" i="24"/>
  <c r="F18" i="31"/>
  <c r="H27" i="31"/>
  <c r="G33" i="11"/>
  <c r="K24" i="31"/>
  <c r="G20" i="11"/>
  <c r="G16" i="30"/>
  <c r="K33" i="31"/>
  <c r="G17" i="24"/>
  <c r="E12" i="30"/>
  <c r="F11" i="30"/>
  <c r="E24" i="30"/>
  <c r="G32" i="24"/>
  <c r="J32" i="31"/>
  <c r="G25" i="11"/>
  <c r="G15" i="30"/>
  <c r="F18" i="11"/>
  <c r="F20" i="11"/>
  <c r="Q18" i="31"/>
  <c r="G23" i="24"/>
  <c r="F30" i="24"/>
  <c r="J17" i="31"/>
  <c r="E10" i="30"/>
  <c r="E22" i="30"/>
  <c r="K20" i="31"/>
  <c r="F18" i="30"/>
  <c r="F32" i="24"/>
  <c r="F25" i="11"/>
  <c r="F23" i="11"/>
  <c r="G32" i="11"/>
  <c r="F217" i="23"/>
  <c r="F41" i="24" l="1"/>
  <c r="F41" i="11"/>
  <c r="L220" i="23"/>
  <c r="M235" i="23"/>
  <c r="R235" i="23" l="1"/>
</calcChain>
</file>

<file path=xl/sharedStrings.xml><?xml version="1.0" encoding="utf-8"?>
<sst xmlns="http://schemas.openxmlformats.org/spreadsheetml/2006/main" count="1070" uniqueCount="523">
  <si>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</si>
  <si>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</si>
  <si>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</si>
  <si>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</si>
  <si>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</si>
  <si>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</si>
  <si>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</si>
  <si>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</si>
  <si>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</si>
  <si>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</si>
  <si>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</si>
  <si>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</si>
  <si>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</si>
  <si>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</si>
  <si>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</si>
  <si>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</si>
  <si>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</si>
  <si>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</si>
  <si>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</si>
  <si>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</si>
  <si>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</si>
  <si>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</si>
  <si>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</si>
  <si>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</si>
  <si>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</si>
  <si>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</si>
  <si>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</si>
  <si>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</si>
  <si>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</si>
  <si>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</si>
  <si>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</si>
  <si>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</si>
  <si>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</si>
  <si>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</si>
  <si>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</si>
  <si>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</si>
  <si>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</si>
  <si>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</si>
  <si>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</si>
  <si>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</si>
  <si>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</si>
  <si>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</si>
  <si>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</si>
  <si>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</si>
  <si>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</si>
  <si>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</si>
  <si>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</si>
  <si>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</si>
  <si>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</si>
  <si>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</si>
  <si>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</si>
  <si>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</si>
  <si>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</si>
  <si>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</si>
  <si>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</si>
  <si>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</si>
  <si>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</si>
  <si>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</si>
  <si>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</si>
  <si>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</si>
  <si>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</si>
  <si>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</si>
  <si>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최소눈금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</si>
  <si>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</si>
  <si>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</si>
  <si>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</si>
  <si>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6" type="noConversion"/>
  </si>
  <si>
    <t>기기명(종류)</t>
    <phoneticPr fontId="76" type="noConversion"/>
  </si>
  <si>
    <t>측정값</t>
    <phoneticPr fontId="76" type="noConversion"/>
  </si>
  <si>
    <t>단위</t>
    <phoneticPr fontId="76" type="noConversion"/>
  </si>
  <si>
    <t>보정값</t>
    <phoneticPr fontId="76" type="noConversion"/>
  </si>
  <si>
    <t>불확도 1</t>
    <phoneticPr fontId="76" type="noConversion"/>
  </si>
  <si>
    <t>불확도 단위</t>
    <phoneticPr fontId="76" type="noConversion"/>
  </si>
  <si>
    <t>포함인자</t>
    <phoneticPr fontId="76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</si>
  <si>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</si>
  <si>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</si>
  <si>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</si>
  <si>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2회</t>
  </si>
  <si>
    <t>3회</t>
  </si>
  <si>
    <t>◆ 측정불확도 추정보고서 ◆</t>
    <phoneticPr fontId="4" type="noConversion"/>
  </si>
  <si>
    <t>환산계수</t>
    <phoneticPr fontId="4" type="noConversion"/>
  </si>
  <si>
    <t>표준편차</t>
    <phoneticPr fontId="4" type="noConversion"/>
  </si>
  <si>
    <t>C</t>
    <phoneticPr fontId="4" type="noConversion"/>
  </si>
  <si>
    <t>D</t>
    <phoneticPr fontId="4" type="noConversion"/>
  </si>
  <si>
    <t>A5. 불확도 기여도 :</t>
    <phoneticPr fontId="4" type="noConversion"/>
  </si>
  <si>
    <t>|</t>
    <phoneticPr fontId="4" type="noConversion"/>
  </si>
  <si>
    <t>×</t>
    <phoneticPr fontId="4" type="noConversion"/>
  </si>
  <si>
    <t>A6. 자유도 :</t>
    <phoneticPr fontId="4" type="noConversion"/>
  </si>
  <si>
    <t>U</t>
    <phoneticPr fontId="4" type="noConversion"/>
  </si>
  <si>
    <t>k</t>
    <phoneticPr fontId="4" type="noConversion"/>
  </si>
  <si>
    <t>B2. 표준불확도 :</t>
    <phoneticPr fontId="4" type="noConversion"/>
  </si>
  <si>
    <t>B3. 확률분포 :</t>
    <phoneticPr fontId="4" type="noConversion"/>
  </si>
  <si>
    <t>B4. 감도계수 :</t>
    <phoneticPr fontId="4" type="noConversion"/>
  </si>
  <si>
    <t>B6.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</si>
  <si>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</si>
  <si>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C3. 확률분포 :</t>
    <phoneticPr fontId="4" type="noConversion"/>
  </si>
  <si>
    <t>C4. 감도계수 :</t>
    <phoneticPr fontId="4" type="noConversion"/>
  </si>
  <si>
    <t>C6. 자유도 :</t>
    <phoneticPr fontId="4" type="noConversion"/>
  </si>
  <si>
    <t>D1. 추정값 :</t>
    <phoneticPr fontId="4" type="noConversion"/>
  </si>
  <si>
    <t>D4. 감도계수 :</t>
    <phoneticPr fontId="4" type="noConversion"/>
  </si>
  <si>
    <t>D6. 자유도 :</t>
    <phoneticPr fontId="4" type="noConversion"/>
  </si>
  <si>
    <t>+</t>
    <phoneticPr fontId="4" type="noConversion"/>
  </si>
  <si>
    <t>1회</t>
    <phoneticPr fontId="4" type="noConversion"/>
  </si>
  <si>
    <t>● Calibration Result</t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</si>
  <si>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</si>
  <si>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</si>
  <si>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교정번호</t>
    <phoneticPr fontId="4" type="noConversion"/>
  </si>
  <si>
    <t>교정일자</t>
    <phoneticPr fontId="4" type="noConversion"/>
  </si>
  <si>
    <t>● Range 1</t>
    <phoneticPr fontId="4" type="noConversion"/>
  </si>
  <si>
    <t>○ 측정데이터</t>
    <phoneticPr fontId="4" type="noConversion"/>
  </si>
  <si>
    <t>교정자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</si>
  <si>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</si>
  <si>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</si>
  <si>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</si>
  <si>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</si>
  <si>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명목값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</si>
  <si>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</si>
  <si>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</si>
  <si>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</si>
  <si>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</si>
  <si>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번호</t>
    <phoneticPr fontId="76" type="noConversion"/>
  </si>
  <si>
    <t>측정위치</t>
    <phoneticPr fontId="76" type="noConversion"/>
  </si>
  <si>
    <t>명목값</t>
    <phoneticPr fontId="76" type="noConversion"/>
  </si>
  <si>
    <t>기준값</t>
    <phoneticPr fontId="76" type="noConversion"/>
  </si>
  <si>
    <t>단위</t>
    <phoneticPr fontId="76" type="noConversion"/>
  </si>
  <si>
    <t>불확도 2</t>
  </si>
  <si>
    <t>비고</t>
    <phoneticPr fontId="4" type="noConversion"/>
  </si>
  <si>
    <t>열팽창계수</t>
    <phoneticPr fontId="76" type="noConversion"/>
  </si>
  <si>
    <t>단위</t>
    <phoneticPr fontId="4" type="noConversion"/>
  </si>
  <si>
    <t>개수</t>
    <phoneticPr fontId="4" type="noConversion"/>
  </si>
  <si>
    <t>교정일자</t>
    <phoneticPr fontId="76" type="noConversion"/>
  </si>
  <si>
    <t>최대범위</t>
    <phoneticPr fontId="4" type="noConversion"/>
  </si>
  <si>
    <t>CMC2</t>
    <phoneticPr fontId="4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</si>
  <si>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</si>
  <si>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</si>
  <si>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</si>
  <si>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α_avr</t>
  </si>
  <si>
    <t>열팽창계수차</t>
    <phoneticPr fontId="4" type="noConversion"/>
  </si>
  <si>
    <t>Δα</t>
  </si>
  <si>
    <t>Δt</t>
  </si>
  <si>
    <t>t_avr-20</t>
  </si>
  <si>
    <t>δt</t>
  </si>
  <si>
    <t>최소범위</t>
    <phoneticPr fontId="4" type="noConversion"/>
  </si>
  <si>
    <t>Res. (mm)</t>
    <phoneticPr fontId="4" type="noConversion"/>
  </si>
  <si>
    <t>μm</t>
    <phoneticPr fontId="4" type="noConversion"/>
  </si>
  <si>
    <t>평균열팽창계수</t>
    <phoneticPr fontId="4" type="noConversion"/>
  </si>
  <si>
    <t>/℃</t>
    <phoneticPr fontId="4" type="noConversion"/>
  </si>
  <si>
    <t>℃·μm</t>
    <phoneticPr fontId="4" type="noConversion"/>
  </si>
  <si>
    <t>CMC단위</t>
    <phoneticPr fontId="4" type="noConversion"/>
  </si>
  <si>
    <t>2. 교정결과</t>
    <phoneticPr fontId="4" type="noConversion"/>
  </si>
  <si>
    <t>사용?</t>
    <phoneticPr fontId="4" type="noConversion"/>
  </si>
  <si>
    <t>지시값</t>
    <phoneticPr fontId="4" type="noConversion"/>
  </si>
  <si>
    <t>온도차</t>
    <phoneticPr fontId="4" type="noConversion"/>
  </si>
  <si>
    <t>2회</t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</si>
  <si>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</si>
  <si>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</si>
  <si>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</si>
  <si>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</si>
  <si>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t>℃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</si>
  <si>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</si>
  <si>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</si>
  <si>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최대범위</t>
    <phoneticPr fontId="4" type="noConversion"/>
  </si>
  <si>
    <t>분해능</t>
    <phoneticPr fontId="4" type="noConversion"/>
  </si>
  <si>
    <t>단위</t>
    <phoneticPr fontId="4" type="noConversion"/>
  </si>
  <si>
    <t>환산계수</t>
    <phoneticPr fontId="4" type="noConversion"/>
  </si>
  <si>
    <t>Div. (mm)</t>
    <phoneticPr fontId="4" type="noConversion"/>
  </si>
  <si>
    <t>CMC1</t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</si>
  <si>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</si>
  <si>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</si>
  <si>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3. 불확도 계산</t>
    <phoneticPr fontId="4" type="noConversion"/>
  </si>
  <si>
    <t>4. 성적서용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</si>
  <si>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</si>
  <si>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</si>
  <si>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</si>
  <si>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단위</t>
    <phoneticPr fontId="4" type="noConversion"/>
  </si>
  <si>
    <t>요인(값)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</si>
  <si>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</si>
  <si>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</si>
  <si>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</si>
  <si>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</si>
  <si>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</si>
  <si>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눈금값</t>
    <phoneticPr fontId="4" type="noConversion"/>
  </si>
  <si>
    <t>표기용</t>
    <phoneticPr fontId="4" type="noConversion"/>
  </si>
  <si>
    <t>A</t>
    <phoneticPr fontId="4" type="noConversion"/>
  </si>
  <si>
    <t>지시값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</si>
  <si>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</si>
  <si>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mm</t>
    <phoneticPr fontId="4" type="noConversion"/>
  </si>
  <si>
    <t>μm</t>
    <phoneticPr fontId="4" type="noConversion"/>
  </si>
  <si>
    <t>μm</t>
    <phoneticPr fontId="4" type="noConversion"/>
  </si>
  <si>
    <t>B</t>
    <phoneticPr fontId="4" type="noConversion"/>
  </si>
  <si>
    <t>기준기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</si>
  <si>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</si>
  <si>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정규</t>
    <phoneticPr fontId="4" type="noConversion"/>
  </si>
  <si>
    <t>∞</t>
    <phoneticPr fontId="4" type="noConversion"/>
  </si>
  <si>
    <t>℃·μm</t>
    <phoneticPr fontId="4" type="noConversion"/>
  </si>
  <si>
    <t>∞</t>
    <phoneticPr fontId="4" type="noConversion"/>
  </si>
  <si>
    <t>E</t>
    <phoneticPr fontId="4" type="noConversion"/>
  </si>
  <si>
    <t>직사각형</t>
    <phoneticPr fontId="4" type="noConversion"/>
  </si>
  <si>
    <t>/℃·μm</t>
    <phoneticPr fontId="4" type="noConversion"/>
  </si>
  <si>
    <t>F</t>
    <phoneticPr fontId="4" type="noConversion"/>
  </si>
  <si>
    <t>G</t>
    <phoneticPr fontId="4" type="noConversion"/>
  </si>
  <si>
    <t>분해능</t>
    <phoneticPr fontId="4" type="noConversion"/>
  </si>
  <si>
    <t>직사각형</t>
    <phoneticPr fontId="4" type="noConversion"/>
  </si>
  <si>
    <t>H</t>
    <phoneticPr fontId="4" type="noConversion"/>
  </si>
  <si>
    <t>mm</t>
    <phoneticPr fontId="4" type="noConversion"/>
  </si>
  <si>
    <t>I</t>
    <phoneticPr fontId="4" type="noConversion"/>
  </si>
  <si>
    <t>합성표준</t>
    <phoneticPr fontId="4" type="noConversion"/>
  </si>
  <si>
    <t>※ 직사각형 확률분포가 합성표준불확도에 미치는 영향</t>
    <phoneticPr fontId="4" type="noConversion"/>
  </si>
  <si>
    <t>측정불확도</t>
    <phoneticPr fontId="4" type="noConversion"/>
  </si>
  <si>
    <t>선택</t>
    <phoneticPr fontId="4" type="noConversion"/>
  </si>
  <si>
    <t>분해능</t>
    <phoneticPr fontId="4" type="noConversion"/>
  </si>
  <si>
    <t>소수점 자리수</t>
    <phoneticPr fontId="4" type="noConversion"/>
  </si>
  <si>
    <t>Number Format</t>
    <phoneticPr fontId="4" type="noConversion"/>
  </si>
  <si>
    <t>신뢰수준(%)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</si>
  <si>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</si>
  <si>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단위</t>
    <phoneticPr fontId="4" type="noConversion"/>
  </si>
  <si>
    <t>계산(mm)</t>
    <phoneticPr fontId="4" type="noConversion"/>
  </si>
  <si>
    <t>mm</t>
    <phoneticPr fontId="4" type="noConversion"/>
  </si>
  <si>
    <t>mm</t>
    <phoneticPr fontId="4" type="noConversion"/>
  </si>
  <si>
    <t>불확도</t>
    <phoneticPr fontId="4" type="noConversion"/>
  </si>
  <si>
    <t>CMC</t>
    <phoneticPr fontId="4" type="noConversion"/>
  </si>
  <si>
    <t>Number</t>
    <phoneticPr fontId="4" type="noConversion"/>
  </si>
  <si>
    <t>소수점</t>
    <phoneticPr fontId="4" type="noConversion"/>
  </si>
  <si>
    <t>Format</t>
    <phoneticPr fontId="4" type="noConversion"/>
  </si>
  <si>
    <t>자리수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</si>
  <si>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</si>
  <si>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</si>
  <si>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</si>
  <si>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</si>
  <si>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</si>
  <si>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</si>
  <si>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</si>
  <si>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</si>
  <si>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</si>
  <si>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</si>
  <si>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최소범위 (mm)</t>
    <phoneticPr fontId="4" type="noConversion"/>
  </si>
  <si>
    <t>최대범위 (mm)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</si>
  <si>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</si>
  <si>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4회</t>
  </si>
  <si>
    <t>5회</t>
  </si>
  <si>
    <t>(mm)</t>
    <phoneticPr fontId="4" type="noConversion"/>
  </si>
  <si>
    <t>1. 교정결과</t>
    <phoneticPr fontId="4" type="noConversion"/>
  </si>
  <si>
    <t>(mm)</t>
    <phoneticPr fontId="4" type="noConversion"/>
  </si>
  <si>
    <t>■ 측정기본정보</t>
    <phoneticPr fontId="4" type="noConversion"/>
  </si>
  <si>
    <t>■ 반복 측정 결과</t>
    <phoneticPr fontId="4" type="noConversion"/>
  </si>
  <si>
    <t>평균값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</si>
  <si>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</si>
  <si>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</si>
  <si>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</si>
  <si>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■ 수학적 모델</t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</si>
  <si>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</si>
  <si>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</si>
  <si>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</si>
  <si>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</si>
  <si>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</si>
  <si>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</si>
  <si>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</si>
  <si>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불확도 기여량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</si>
  <si>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</si>
  <si>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t>■ 표준불확도 성분의 계산</t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</si>
  <si>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</si>
  <si>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</si>
  <si>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A2.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</si>
  <si>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</si>
  <si>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s</t>
    <phoneticPr fontId="4" type="noConversion"/>
  </si>
  <si>
    <t>=</t>
    <phoneticPr fontId="4" type="noConversion"/>
  </si>
  <si>
    <t>A4. 감도계수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</si>
  <si>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</si>
  <si>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t>B1. 추정값 :</t>
    <phoneticPr fontId="4" type="noConversion"/>
  </si>
  <si>
    <t>B5. 불확도 기여도 :</t>
    <phoneticPr fontId="4" type="noConversion"/>
  </si>
  <si>
    <t>C1.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</si>
  <si>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</si>
  <si>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C2. 표준불확도 :</t>
    <phoneticPr fontId="4" type="noConversion"/>
  </si>
  <si>
    <t>※ 불확도 전파법칙에 의한 수식 :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</si>
  <si>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</si>
  <si>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</si>
  <si>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</si>
  <si>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</si>
  <si>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</si>
  <si>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℃×</t>
    <phoneticPr fontId="4" type="noConversion"/>
  </si>
  <si>
    <t>C5. 불확도 기여량 :</t>
    <phoneticPr fontId="4" type="noConversion"/>
  </si>
  <si>
    <t>｜</t>
    <phoneticPr fontId="4" type="noConversion"/>
  </si>
  <si>
    <r>
      <t>℃·μm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</si>
  <si>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D2. 표준불확도 :</t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</si>
  <si>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</si>
  <si>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</si>
  <si>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D3. 확률분포 :</t>
    <phoneticPr fontId="4" type="noConversion"/>
  </si>
  <si>
    <t>D5. 불확도 기여량 :</t>
    <phoneticPr fontId="4" type="noConversion"/>
  </si>
  <si>
    <r>
      <t>℃·μm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</si>
  <si>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E1. 추정값 :</t>
    <phoneticPr fontId="4" type="noConversion"/>
  </si>
  <si>
    <t>E2. 표준불확도 :</t>
    <phoneticPr fontId="4" type="noConversion"/>
  </si>
  <si>
    <t>E3. 확률분포 :</t>
    <phoneticPr fontId="4" type="noConversion"/>
  </si>
  <si>
    <t>E4. 감도계수 :</t>
    <phoneticPr fontId="4" type="noConversion"/>
  </si>
  <si>
    <t>E5. 불확도 기여량 :</t>
    <phoneticPr fontId="4" type="noConversion"/>
  </si>
  <si>
    <t>E6. 자유도 :</t>
    <phoneticPr fontId="4" type="noConversion"/>
  </si>
  <si>
    <t>F1. 추정값 :</t>
    <phoneticPr fontId="4" type="noConversion"/>
  </si>
  <si>
    <t>F2. 표준불확도 :</t>
    <phoneticPr fontId="4" type="noConversion"/>
  </si>
  <si>
    <t>F3. 확률분포 :</t>
    <phoneticPr fontId="4" type="noConversion"/>
  </si>
  <si>
    <t>F4. 감도계수 :</t>
    <phoneticPr fontId="4" type="noConversion"/>
  </si>
  <si>
    <t>F5. 불확도 기여량 :</t>
    <phoneticPr fontId="4" type="noConversion"/>
  </si>
  <si>
    <t>F6. 자유도 :</t>
    <phoneticPr fontId="4" type="noConversion"/>
  </si>
  <si>
    <t>G1. 추정값 :</t>
    <phoneticPr fontId="4" type="noConversion"/>
  </si>
  <si>
    <t>G2. 표준불확도 :</t>
    <phoneticPr fontId="4" type="noConversion"/>
  </si>
  <si>
    <t>G3. 확률분포 :</t>
    <phoneticPr fontId="4" type="noConversion"/>
  </si>
  <si>
    <t>G4. 감도계수 :</t>
    <phoneticPr fontId="4" type="noConversion"/>
  </si>
  <si>
    <t>G5. 불확도 기여량 :</t>
    <phoneticPr fontId="4" type="noConversion"/>
  </si>
  <si>
    <t>G6. 자유도 :</t>
    <phoneticPr fontId="4" type="noConversion"/>
  </si>
  <si>
    <t>H1. 추정값 :</t>
    <phoneticPr fontId="4" type="noConversion"/>
  </si>
  <si>
    <t>H2. 표준불확도 :</t>
    <phoneticPr fontId="4" type="noConversion"/>
  </si>
  <si>
    <t>H3. 확률분포 :</t>
    <phoneticPr fontId="4" type="noConversion"/>
  </si>
  <si>
    <t>H4. 감도계수 :</t>
    <phoneticPr fontId="4" type="noConversion"/>
  </si>
  <si>
    <t>H5. 불확도 기여량 :</t>
    <phoneticPr fontId="4" type="noConversion"/>
  </si>
  <si>
    <t>H6. 자유도 :</t>
    <phoneticPr fontId="4" type="noConversion"/>
  </si>
  <si>
    <t>■ 합성표준불확도 계산</t>
    <phoneticPr fontId="4" type="noConversion"/>
  </si>
  <si>
    <t>■ 유효자유도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</si>
  <si>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</si>
  <si>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</si>
  <si>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</si>
  <si>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</si>
  <si>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×</t>
  </si>
  <si>
    <t>전체의 대부분을 차지하는 경우, 주된 성분에 대한 잔여 성분의 크기가 0.3보다 작은지 점검한다.</t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</si>
  <si>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</si>
  <si>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≒</t>
    <phoneticPr fontId="4" type="noConversion"/>
  </si>
  <si>
    <t>※ 5회 측정한 표준편차가 0 일 때, 최소한 분해능 1눈금의 차이는 있을 수 있다고 추정하여 다음과 같이 계산한다. (이 내용은 KOLAS 평가시 제외)</t>
    <phoneticPr fontId="4" type="noConversion"/>
  </si>
  <si>
    <t>d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</si>
  <si>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</si>
  <si>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A1. 추정값 :</t>
    <phoneticPr fontId="4" type="noConversion"/>
  </si>
  <si>
    <t>A3. 확률분포 :</t>
    <phoneticPr fontId="4" type="noConversion"/>
  </si>
  <si>
    <t>※ 여현오차 :</t>
    <phoneticPr fontId="4" type="noConversion"/>
  </si>
  <si>
    <t>여현오차</t>
    <phoneticPr fontId="4" type="noConversion"/>
  </si>
  <si>
    <r>
      <t>B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</si>
  <si>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</si>
  <si>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● 교정료 계산</t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</si>
  <si>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</si>
  <si>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t>명목값</t>
    <phoneticPr fontId="4" type="noConversion"/>
  </si>
  <si>
    <t>■ 측정불확도</t>
    <phoneticPr fontId="4" type="noConversion"/>
  </si>
  <si>
    <t>사용중지?</t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</si>
  <si>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</si>
  <si>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</si>
  <si>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</si>
  <si>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</si>
  <si>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</si>
  <si>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</si>
  <si>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4" type="noConversion"/>
  </si>
  <si>
    <t>삼각형</t>
    <phoneticPr fontId="4" type="noConversion"/>
  </si>
  <si>
    <t>2) 게이지 블록 사용 시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</si>
  <si>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</si>
  <si>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t>기준기명</t>
  </si>
  <si>
    <t>명목값</t>
  </si>
  <si>
    <t>단위</t>
  </si>
  <si>
    <t>교정값</t>
  </si>
  <si>
    <t>불확도 단위</t>
  </si>
  <si>
    <t>k</t>
  </si>
  <si>
    <t>열팽창계수</t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</si>
  <si>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</si>
  <si>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</si>
  <si>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t>fees</t>
    <phoneticPr fontId="4" type="noConversion"/>
  </si>
  <si>
    <t>P/F</t>
    <phoneticPr fontId="4" type="noConversion"/>
  </si>
  <si>
    <t>보정값</t>
    <phoneticPr fontId="4" type="noConversion"/>
  </si>
  <si>
    <t>Indication value</t>
    <phoneticPr fontId="4" type="noConversion"/>
  </si>
  <si>
    <t>Correction value</t>
    <phoneticPr fontId="4" type="noConversion"/>
  </si>
  <si>
    <t>기준기명</t>
    <phoneticPr fontId="4" type="noConversion"/>
  </si>
  <si>
    <t>Dial Gauge Tester</t>
  </si>
  <si>
    <t>Gauge Block</t>
  </si>
  <si>
    <t>Laser Interferometer</t>
  </si>
  <si>
    <t>Laser Extensometer</t>
  </si>
  <si>
    <t>다이얼 게이지 시험기</t>
    <phoneticPr fontId="4" type="noConversion"/>
  </si>
  <si>
    <t>게이지 블록</t>
    <phoneticPr fontId="4" type="noConversion"/>
  </si>
  <si>
    <t>레이저 간섭계</t>
    <phoneticPr fontId="4" type="noConversion"/>
  </si>
  <si>
    <t>레이저 변위계</t>
    <phoneticPr fontId="4" type="noConversion"/>
  </si>
  <si>
    <t>변위계 설치시 여현오차에 의한 보정값 (기대값=0)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</si>
  <si>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</si>
  <si>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1) 다이얼 게이지 시험기, 레이저 간섭계, 레이저 변위계 사용 시</t>
    <phoneticPr fontId="4" type="noConversion"/>
  </si>
  <si>
    <t>mm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</si>
  <si>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</si>
  <si>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</si>
  <si>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Δα</t>
    </r>
    <r>
      <rPr>
        <b/>
        <sz val="10"/>
        <rFont val="Times New Roman"/>
        <family val="1"/>
      </rPr>
      <t>)</t>
    </r>
    <phoneticPr fontId="4" type="noConversion"/>
  </si>
  <si>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</si>
  <si>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</si>
  <si>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t>길이 변위계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</si>
  <si>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c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</si>
  <si>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c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</si>
  <si>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c</t>
    </r>
    <r>
      <rPr>
        <b/>
        <sz val="10"/>
        <rFont val="Times New Roman"/>
        <family val="1"/>
      </rPr>
      <t>)</t>
    </r>
    <phoneticPr fontId="4" type="noConversion"/>
  </si>
  <si>
    <t>사용블럭#1</t>
    <phoneticPr fontId="4" type="noConversion"/>
  </si>
  <si>
    <t>사용블럭#2</t>
  </si>
  <si>
    <t>사용블럭#3</t>
  </si>
  <si>
    <t>사용블럭#4</t>
  </si>
  <si>
    <t>사용교정값#1</t>
    <phoneticPr fontId="4" type="noConversion"/>
  </si>
  <si>
    <t>사용교정값#2</t>
  </si>
  <si>
    <t>사용교정값#3</t>
  </si>
  <si>
    <t>사용교정값#4</t>
  </si>
  <si>
    <t>비고</t>
    <phoneticPr fontId="4" type="noConversion"/>
  </si>
  <si>
    <t>길이 변위계 지시값</t>
    <phoneticPr fontId="4" type="noConversion"/>
  </si>
  <si>
    <t>표준편차</t>
    <phoneticPr fontId="4" type="noConversion"/>
  </si>
  <si>
    <t>기준값</t>
    <phoneticPr fontId="4" type="noConversion"/>
  </si>
  <si>
    <t>지시값</t>
    <phoneticPr fontId="4" type="noConversion"/>
  </si>
  <si>
    <t>열팽창계수</t>
    <phoneticPr fontId="4" type="noConversion"/>
  </si>
  <si>
    <t>열팽창계수차</t>
    <phoneticPr fontId="4" type="noConversion"/>
  </si>
  <si>
    <t>t_avr-20</t>
    <phoneticPr fontId="4" type="noConversion"/>
  </si>
  <si>
    <t>명목값</t>
    <phoneticPr fontId="4" type="noConversion"/>
  </si>
  <si>
    <t>보정값</t>
    <phoneticPr fontId="4" type="noConversion"/>
  </si>
  <si>
    <t>자리수 맞춤</t>
    <phoneticPr fontId="4" type="noConversion"/>
  </si>
  <si>
    <t>Spec</t>
    <phoneticPr fontId="4" type="noConversion"/>
  </si>
  <si>
    <t>1회</t>
    <phoneticPr fontId="4" type="noConversion"/>
  </si>
  <si>
    <t>2회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</si>
  <si>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</si>
  <si>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</si>
  <si>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</si>
  <si>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</si>
  <si>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α_avr</t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</si>
  <si>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</si>
  <si>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</si>
  <si>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</si>
  <si>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</si>
  <si>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r>
      <t>B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</si>
  <si>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보정값</t>
    <phoneticPr fontId="4" type="noConversion"/>
  </si>
  <si>
    <t>교정값</t>
    <phoneticPr fontId="4" type="noConversion"/>
  </si>
  <si>
    <t>Min</t>
    <phoneticPr fontId="4" type="noConversion"/>
  </si>
  <si>
    <t>Max</t>
    <phoneticPr fontId="4" type="noConversion"/>
  </si>
  <si>
    <t>눈금값</t>
    <phoneticPr fontId="4" type="noConversion"/>
  </si>
  <si>
    <t>Spec</t>
    <phoneticPr fontId="4" type="noConversion"/>
  </si>
  <si>
    <t>Pass/Fail</t>
    <phoneticPr fontId="4" type="noConversion"/>
  </si>
  <si>
    <t>mm</t>
    <phoneticPr fontId="4" type="noConversion"/>
  </si>
  <si>
    <t>/℃</t>
    <phoneticPr fontId="4" type="noConversion"/>
  </si>
  <si>
    <t>℃</t>
    <phoneticPr fontId="4" type="noConversion"/>
  </si>
  <si>
    <t>추정하여 직사각형 확률분포를 적용하여 계산하면</t>
    <phoneticPr fontId="4" type="noConversion"/>
  </si>
  <si>
    <t>℃</t>
    <phoneticPr fontId="4" type="noConversion"/>
  </si>
  <si>
    <t>℃</t>
    <phoneticPr fontId="4" type="noConversion"/>
  </si>
  <si>
    <t>여기에 직사각형 확률분포를 적용하여 계산하면</t>
    <phoneticPr fontId="4" type="noConversion"/>
  </si>
  <si>
    <t>℃</t>
    <phoneticPr fontId="4" type="noConversion"/>
  </si>
  <si>
    <r>
      <t>※</t>
    </r>
    <r>
      <rPr>
        <sz val="10"/>
        <rFont val="맑은 고딕"/>
        <family val="1"/>
        <scheme val="major"/>
      </rPr>
      <t xml:space="preserve"> 분해능 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)=</t>
    </r>
    <phoneticPr fontId="4" type="noConversion"/>
  </si>
  <si>
    <t>mm</t>
    <phoneticPr fontId="4" type="noConversion"/>
  </si>
  <si>
    <t>μm</t>
    <phoneticPr fontId="4" type="noConversion"/>
  </si>
  <si>
    <t>=</t>
    <phoneticPr fontId="4" type="noConversion"/>
  </si>
  <si>
    <t xml:space="preserve"> 여현오차가 발생한다. 이때 발생하는 여현오차에 직사각형 확률 분포를 적용하여 계산한다.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</si>
  <si>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>)</t>
    </r>
    <phoneticPr fontId="4" type="noConversion"/>
  </si>
  <si>
    <t>=</t>
    <phoneticPr fontId="4" type="noConversion"/>
  </si>
  <si>
    <t>μm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</si>
  <si>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</si>
  <si>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</si>
  <si>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</si>
  <si>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</si>
  <si>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</si>
  <si>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주 기여량</t>
    <phoneticPr fontId="4" type="noConversion"/>
  </si>
  <si>
    <t>β</t>
    <phoneticPr fontId="4" type="noConversion"/>
  </si>
  <si>
    <t>요인(값)</t>
    <phoneticPr fontId="4" type="noConversion"/>
  </si>
  <si>
    <t>나눔수</t>
    <phoneticPr fontId="4" type="noConversion"/>
  </si>
  <si>
    <t>분모</t>
    <phoneticPr fontId="4" type="noConversion"/>
  </si>
  <si>
    <t>최대범위 (표기용)</t>
    <phoneticPr fontId="4" type="noConversion"/>
  </si>
  <si>
    <t>mm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</si>
  <si>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</si>
  <si>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Indication Value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</si>
  <si>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</si>
  <si>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</si>
  <si>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</si>
  <si>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</si>
  <si>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</si>
  <si>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불확도</t>
    <phoneticPr fontId="4" type="noConversion"/>
  </si>
  <si>
    <t>MEASURED VALUE (After Adjust)</t>
    <phoneticPr fontId="4" type="noConversion"/>
  </si>
  <si>
    <t>○ 측정데이터 (조정후)</t>
    <phoneticPr fontId="4" type="noConversion"/>
  </si>
  <si>
    <t>◆ 측정불확도 추정보고서 (조정후)◆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</si>
  <si>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</si>
  <si>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</si>
  <si>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</si>
  <si>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측정불확도1</t>
    <phoneticPr fontId="4" type="noConversion"/>
  </si>
  <si>
    <t>측정불확도2</t>
  </si>
  <si>
    <t>U &amp; r</t>
  </si>
  <si>
    <t>U+α</t>
    <phoneticPr fontId="4" type="noConversion"/>
  </si>
  <si>
    <t>U&amp;r</t>
    <phoneticPr fontId="4" type="noConversion"/>
  </si>
  <si>
    <t>HCT</t>
    <phoneticPr fontId="4" type="noConversion"/>
  </si>
  <si>
    <t>표기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</si>
  <si>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</si>
  <si>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직사각형분포</t>
    <phoneticPr fontId="4" type="noConversion"/>
  </si>
  <si>
    <t>번호</t>
    <phoneticPr fontId="4" type="noConversion"/>
  </si>
  <si>
    <t>크기순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</si>
  <si>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</si>
  <si>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</si>
  <si>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5% rule</t>
    <phoneticPr fontId="4" type="noConversion"/>
  </si>
  <si>
    <t>성적서</t>
    <phoneticPr fontId="4" type="noConversion"/>
  </si>
  <si>
    <t>선택</t>
    <phoneticPr fontId="4" type="noConversion"/>
  </si>
  <si>
    <t>CMC초과?</t>
    <phoneticPr fontId="4" type="noConversion"/>
  </si>
  <si>
    <t>불확도</t>
    <phoneticPr fontId="4" type="noConversion"/>
  </si>
  <si>
    <t>Rawdata</t>
    <phoneticPr fontId="4" type="noConversion"/>
  </si>
  <si>
    <t>영향</t>
    <phoneticPr fontId="4" type="noConversion"/>
  </si>
  <si>
    <t>기타</t>
    <phoneticPr fontId="4" type="noConversion"/>
  </si>
  <si>
    <t>비율</t>
    <phoneticPr fontId="4" type="noConversion"/>
  </si>
  <si>
    <t>잔여 기여량</t>
    <phoneticPr fontId="4" type="noConversion"/>
  </si>
  <si>
    <t>직사각형
분포 성분</t>
    <phoneticPr fontId="4" type="noConversion"/>
  </si>
  <si>
    <t>확률분포</t>
    <phoneticPr fontId="4" type="noConversion"/>
  </si>
  <si>
    <t>k</t>
    <phoneticPr fontId="4" type="noConversion"/>
  </si>
  <si>
    <t>확률분포별 불확도기여량</t>
    <phoneticPr fontId="4" type="noConversion"/>
  </si>
  <si>
    <t>직사각형</t>
    <phoneticPr fontId="4" type="noConversion"/>
  </si>
  <si>
    <t>기타</t>
    <phoneticPr fontId="4" type="noConversion"/>
  </si>
  <si>
    <t>영향</t>
    <phoneticPr fontId="4" type="noConversion"/>
  </si>
  <si>
    <t>기타</t>
    <phoneticPr fontId="4" type="noConversion"/>
  </si>
  <si>
    <t>비율</t>
    <phoneticPr fontId="4" type="noConversion"/>
  </si>
  <si>
    <t>잔여 기여량</t>
    <phoneticPr fontId="4" type="noConversion"/>
  </si>
  <si>
    <t>주 기여량</t>
    <phoneticPr fontId="4" type="noConversion"/>
  </si>
  <si>
    <t>직사각형
분포 성분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</si>
  <si>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</si>
  <si>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</si>
  <si>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β</t>
    <phoneticPr fontId="4" type="noConversion"/>
  </si>
  <si>
    <t>확률분포</t>
    <phoneticPr fontId="4" type="noConversion"/>
  </si>
  <si>
    <t>확률분포별 불확도기여량</t>
    <phoneticPr fontId="4" type="noConversion"/>
  </si>
  <si>
    <t>직사각형</t>
    <phoneticPr fontId="4" type="noConversion"/>
  </si>
  <si>
    <t>기타</t>
    <phoneticPr fontId="4" type="noConversion"/>
  </si>
  <si>
    <t>0점블럭#1</t>
    <phoneticPr fontId="4" type="noConversion"/>
  </si>
  <si>
    <t>0점교정값#1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</si>
  <si>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</si>
  <si>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</si>
  <si>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</si>
  <si>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</si>
  <si>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</si>
  <si>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</si>
  <si>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t>불확도표기</t>
    <phoneticPr fontId="4" type="noConversion"/>
  </si>
  <si>
    <t>값</t>
    <phoneticPr fontId="4" type="noConversion"/>
  </si>
  <si>
    <t>단위포함</t>
    <phoneticPr fontId="4" type="noConversion"/>
  </si>
  <si>
    <t>불확도표기</t>
    <phoneticPr fontId="4" type="noConversion"/>
  </si>
  <si>
    <t>값</t>
    <phoneticPr fontId="4" type="noConversion"/>
  </si>
  <si>
    <t>단위포함</t>
    <phoneticPr fontId="4" type="noConversion"/>
  </si>
  <si>
    <t>최소눈금 표기용</t>
    <phoneticPr fontId="4" type="noConversion"/>
  </si>
  <si>
    <t>실비</t>
    <phoneticPr fontId="4" type="noConversion"/>
  </si>
  <si>
    <t>기본수수료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</si>
</sst>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8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.000000_ "/>
    <numFmt numFmtId="191" formatCode="0.00\ &quot;mg&quot;"/>
    <numFmt numFmtId="192" formatCode="0.000\ &quot;kg&quot;"/>
    <numFmt numFmtId="193" formatCode="0.0_ "/>
    <numFmt numFmtId="194" formatCode="0.0\ &quot;kg&quot;"/>
    <numFmt numFmtId="195" formatCode="#\ ##0.0\ &quot;mg&quot;"/>
    <numFmt numFmtId="196" formatCode="0.000"/>
    <numFmt numFmtId="197" formatCode="0.00000"/>
    <numFmt numFmtId="198" formatCode="####\-##\-##"/>
    <numFmt numFmtId="199" formatCode="0.000_);[Red]\(0.000\)"/>
    <numFmt numFmtId="200" formatCode="0.0000_);[Red]\(0.0000\)"/>
    <numFmt numFmtId="201" formatCode="0.0000_ "/>
    <numFmt numFmtId="202" formatCode="\√\(0\)"/>
    <numFmt numFmtId="203" formatCode="0.0"/>
    <numFmt numFmtId="204" formatCode="#0.0\ E+00"/>
    <numFmt numFmtId="205" formatCode="&quot;0&quot;.0#\ E+00"/>
    <numFmt numFmtId="206" formatCode="\(0.00\ &quot;μm&quot;\)"/>
    <numFmt numFmtId="207" formatCode="0.00\ &quot;μm&quot;"/>
    <numFmt numFmtId="208" formatCode="0.0\ \℃"/>
    <numFmt numFmtId="209" formatCode="0.00\ \℃"/>
    <numFmt numFmtId="210" formatCode="&quot;0.58 ℃×( -&quot;0.00"/>
    <numFmt numFmtId="211" formatCode="0.000\ &quot;mm&quot;"/>
    <numFmt numFmtId="212" formatCode="0.0####\ &quot;mm&quot;"/>
    <numFmt numFmtId="213" formatCode="0.000\ 00"/>
    <numFmt numFmtId="214" formatCode="#\ ###\ ###"/>
    <numFmt numFmtId="215" formatCode="0.0\ &quot;μm&quot;"/>
    <numFmt numFmtId="216" formatCode="0.000\ &quot;μm&quot;"/>
    <numFmt numFmtId="217" formatCode="_-* #,##0_-;\-* #,##0_-;_-* &quot;-&quot;??_-;_-@_-"/>
    <numFmt numFmtId="218" formatCode="0.00_);[Red]\(0.00\)"/>
    <numFmt numFmtId="219" formatCode="General\ &quot;μm&quot;"/>
    <numFmt numFmtId="220" formatCode="0_ "/>
    <numFmt numFmtId="221" formatCode="0.0E+00"/>
  </numFmts>
  <fonts count="106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ajor"/>
    </font>
    <font>
      <vertAlign val="superscript"/>
      <sz val="10"/>
      <name val="맑은 고딕"/>
      <family val="3"/>
      <charset val="129"/>
      <scheme val="major"/>
    </font>
    <font>
      <b/>
      <i/>
      <sz val="10"/>
      <name val="맑은 고딕"/>
      <family val="3"/>
      <charset val="129"/>
    </font>
    <font>
      <i/>
      <vertAlign val="superscript"/>
      <sz val="10"/>
      <name val="Times New Roman"/>
      <family val="1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b/>
      <sz val="10"/>
      <color rgb="FFFF0000"/>
      <name val="맑은 고딕"/>
      <family val="3"/>
      <charset val="129"/>
      <scheme val="major"/>
    </font>
    <font>
      <sz val="10"/>
      <name val="바탕"/>
      <family val="1"/>
      <charset val="129"/>
    </font>
    <font>
      <b/>
      <sz val="10"/>
      <name val="맑은 고딕"/>
      <family val="3"/>
      <charset val="129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  <font>
      <sz val="9"/>
      <color rgb="FFFF0000"/>
      <name val="Tahoma"/>
      <family val="2"/>
    </font>
    <font>
      <sz val="9"/>
      <color indexed="10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24994659260841701"/>
      </bottom>
      <diagonal/>
    </border>
  </borders>
  <cellStyleXfs count="161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5" applyNumberFormat="0" applyBorder="0" applyAlignment="0" applyProtection="0"/>
    <xf numFmtId="0" fontId="17" fillId="22" borderId="66" applyNumberFormat="0" applyAlignment="0" applyProtection="0">
      <alignment vertical="center"/>
    </xf>
    <xf numFmtId="0" fontId="3" fillId="23" borderId="63" applyNumberFormat="0" applyFont="0" applyAlignment="0" applyProtection="0">
      <alignment vertical="center"/>
    </xf>
    <xf numFmtId="0" fontId="24" fillId="0" borderId="67" applyNumberFormat="0" applyFill="0" applyAlignment="0" applyProtection="0">
      <alignment vertical="center"/>
    </xf>
    <xf numFmtId="0" fontId="25" fillId="7" borderId="66" applyNumberFormat="0" applyAlignment="0" applyProtection="0">
      <alignment vertical="center"/>
    </xf>
    <xf numFmtId="0" fontId="31" fillId="22" borderId="68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70" applyNumberFormat="0" applyBorder="0" applyAlignment="0" applyProtection="0"/>
    <xf numFmtId="0" fontId="17" fillId="22" borderId="71" applyNumberFormat="0" applyAlignment="0" applyProtection="0">
      <alignment vertical="center"/>
    </xf>
    <xf numFmtId="0" fontId="3" fillId="23" borderId="69" applyNumberFormat="0" applyFont="0" applyAlignment="0" applyProtection="0">
      <alignment vertical="center"/>
    </xf>
    <xf numFmtId="0" fontId="24" fillId="0" borderId="72" applyNumberFormat="0" applyFill="0" applyAlignment="0" applyProtection="0">
      <alignment vertical="center"/>
    </xf>
    <xf numFmtId="0" fontId="25" fillId="7" borderId="71" applyNumberFormat="0" applyAlignment="0" applyProtection="0">
      <alignment vertical="center"/>
    </xf>
    <xf numFmtId="0" fontId="31" fillId="22" borderId="73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70" applyNumberFormat="0" applyBorder="0" applyAlignment="0" applyProtection="0"/>
    <xf numFmtId="0" fontId="17" fillId="22" borderId="71" applyNumberFormat="0" applyAlignment="0" applyProtection="0">
      <alignment vertical="center"/>
    </xf>
    <xf numFmtId="0" fontId="3" fillId="23" borderId="69" applyNumberFormat="0" applyFont="0" applyAlignment="0" applyProtection="0">
      <alignment vertical="center"/>
    </xf>
    <xf numFmtId="0" fontId="24" fillId="0" borderId="72" applyNumberFormat="0" applyFill="0" applyAlignment="0" applyProtection="0">
      <alignment vertical="center"/>
    </xf>
    <xf numFmtId="0" fontId="25" fillId="7" borderId="71" applyNumberFormat="0" applyAlignment="0" applyProtection="0">
      <alignment vertical="center"/>
    </xf>
    <xf numFmtId="0" fontId="31" fillId="22" borderId="73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70" applyNumberFormat="0" applyBorder="0" applyAlignment="0" applyProtection="0"/>
    <xf numFmtId="0" fontId="3" fillId="23" borderId="69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70" applyNumberFormat="0" applyBorder="0" applyAlignment="0" applyProtection="0"/>
    <xf numFmtId="0" fontId="17" fillId="22" borderId="71" applyNumberFormat="0" applyAlignment="0" applyProtection="0">
      <alignment vertical="center"/>
    </xf>
    <xf numFmtId="0" fontId="3" fillId="23" borderId="69" applyNumberFormat="0" applyFont="0" applyAlignment="0" applyProtection="0">
      <alignment vertical="center"/>
    </xf>
    <xf numFmtId="0" fontId="24" fillId="0" borderId="72" applyNumberFormat="0" applyFill="0" applyAlignment="0" applyProtection="0">
      <alignment vertical="center"/>
    </xf>
    <xf numFmtId="0" fontId="25" fillId="7" borderId="71" applyNumberFormat="0" applyAlignment="0" applyProtection="0">
      <alignment vertical="center"/>
    </xf>
    <xf numFmtId="0" fontId="31" fillId="22" borderId="73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70" applyNumberFormat="0" applyBorder="0" applyAlignment="0" applyProtection="0"/>
    <xf numFmtId="0" fontId="3" fillId="23" borderId="69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69" applyNumberFormat="0" applyFont="0" applyAlignment="0" applyProtection="0">
      <alignment vertical="center"/>
    </xf>
    <xf numFmtId="0" fontId="3" fillId="23" borderId="69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70" applyNumberFormat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69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69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521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7" fillId="0" borderId="0" xfId="0" applyFont="1" applyBorder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1" fontId="67" fillId="0" borderId="0" xfId="0" applyNumberFormat="1" applyFont="1" applyBorder="1" applyAlignment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90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3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1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48" fillId="0" borderId="36" xfId="79" applyNumberFormat="1" applyFont="1" applyFill="1" applyBorder="1" applyAlignment="1">
      <alignment horizontal="right" vertical="center"/>
    </xf>
    <xf numFmtId="0" fontId="50" fillId="0" borderId="36" xfId="80" applyNumberFormat="1" applyFont="1" applyFill="1" applyBorder="1" applyAlignment="1">
      <alignment horizontal="right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9" xfId="79" applyNumberFormat="1" applyFont="1" applyFill="1" applyBorder="1" applyAlignment="1">
      <alignment vertical="center"/>
    </xf>
    <xf numFmtId="0" fontId="48" fillId="0" borderId="39" xfId="79" applyNumberFormat="1" applyFont="1" applyFill="1" applyBorder="1" applyAlignment="1">
      <alignment horizontal="left" vertical="center"/>
    </xf>
    <xf numFmtId="0" fontId="48" fillId="0" borderId="39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7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5" fillId="0" borderId="38" xfId="0" applyFont="1" applyBorder="1" applyAlignment="1">
      <alignment horizontal="center" vertical="center"/>
    </xf>
    <xf numFmtId="0" fontId="78" fillId="0" borderId="0" xfId="0" applyFont="1" applyBorder="1">
      <alignment vertical="center"/>
    </xf>
    <xf numFmtId="195" fontId="67" fillId="0" borderId="39" xfId="0" applyNumberFormat="1" applyFont="1" applyBorder="1" applyAlignment="1">
      <alignment vertical="center"/>
    </xf>
    <xf numFmtId="0" fontId="48" fillId="0" borderId="39" xfId="79" applyNumberFormat="1" applyFont="1" applyFill="1" applyBorder="1" applyAlignment="1">
      <alignment horizontal="center" vertical="center"/>
    </xf>
    <xf numFmtId="0" fontId="50" fillId="0" borderId="39" xfId="80" applyNumberFormat="1" applyFont="1" applyFill="1" applyBorder="1" applyAlignment="1">
      <alignment horizontal="right" vertical="center"/>
    </xf>
    <xf numFmtId="0" fontId="48" fillId="0" borderId="40" xfId="79" applyNumberFormat="1" applyFont="1" applyFill="1" applyBorder="1" applyAlignment="1">
      <alignment horizontal="center" vertical="center"/>
    </xf>
    <xf numFmtId="0" fontId="7" fillId="28" borderId="42" xfId="0" applyNumberFormat="1" applyFont="1" applyFill="1" applyBorder="1" applyAlignment="1">
      <alignment horizontal="center" vertical="center"/>
    </xf>
    <xf numFmtId="0" fontId="1" fillId="0" borderId="41" xfId="78" applyNumberFormat="1" applyFont="1" applyFill="1" applyBorder="1" applyAlignment="1">
      <alignment horizontal="center" vertical="center"/>
    </xf>
    <xf numFmtId="49" fontId="1" fillId="0" borderId="41" xfId="78" applyNumberFormat="1" applyFont="1" applyFill="1" applyBorder="1" applyAlignment="1">
      <alignment horizontal="center" vertical="center"/>
    </xf>
    <xf numFmtId="198" fontId="1" fillId="0" borderId="41" xfId="78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3" xfId="79" applyNumberFormat="1" applyFont="1" applyFill="1" applyBorder="1" applyAlignment="1">
      <alignment horizontal="center" vertical="center"/>
    </xf>
    <xf numFmtId="0" fontId="60" fillId="31" borderId="43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9" xfId="0" applyNumberFormat="1" applyFont="1" applyBorder="1" applyAlignment="1">
      <alignment horizontal="center" vertical="center"/>
    </xf>
    <xf numFmtId="0" fontId="53" fillId="26" borderId="49" xfId="0" applyFont="1" applyFill="1" applyBorder="1" applyAlignment="1">
      <alignment horizontal="center" vertical="center" wrapText="1"/>
    </xf>
    <xf numFmtId="0" fontId="55" fillId="0" borderId="49" xfId="0" applyFont="1" applyBorder="1" applyAlignment="1">
      <alignment horizontal="center" vertical="center"/>
    </xf>
    <xf numFmtId="0" fontId="52" fillId="0" borderId="49" xfId="0" applyFont="1" applyBorder="1" applyAlignment="1">
      <alignment horizontal="center" vertical="center"/>
    </xf>
    <xf numFmtId="0" fontId="52" fillId="0" borderId="49" xfId="0" applyNumberFormat="1" applyFont="1" applyBorder="1" applyAlignment="1">
      <alignment horizontal="center" vertical="center"/>
    </xf>
    <xf numFmtId="0" fontId="75" fillId="33" borderId="49" xfId="0" applyFont="1" applyFill="1" applyBorder="1">
      <alignment vertical="center"/>
    </xf>
    <xf numFmtId="0" fontId="79" fillId="0" borderId="0" xfId="0" applyNumberFormat="1" applyFont="1" applyFill="1" applyAlignment="1">
      <alignment horizontal="left" vertical="center" indent="1"/>
    </xf>
    <xf numFmtId="0" fontId="80" fillId="0" borderId="0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Border="1" applyAlignment="1">
      <alignment horizontal="left" vertical="center"/>
    </xf>
    <xf numFmtId="0" fontId="80" fillId="0" borderId="0" xfId="0" applyNumberFormat="1" applyFo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0" fillId="0" borderId="48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vertical="center"/>
    </xf>
    <xf numFmtId="0" fontId="79" fillId="0" borderId="0" xfId="0" applyNumberFormat="1" applyFont="1" applyFill="1" applyBorder="1" applyAlignment="1">
      <alignment vertical="center"/>
    </xf>
    <xf numFmtId="0" fontId="80" fillId="0" borderId="48" xfId="78" applyNumberFormat="1" applyFont="1" applyFill="1" applyBorder="1" applyAlignment="1">
      <alignment horizontal="center" vertical="center"/>
    </xf>
    <xf numFmtId="188" fontId="80" fillId="0" borderId="48" xfId="78" applyNumberFormat="1" applyFont="1" applyFill="1" applyBorder="1" applyAlignment="1">
      <alignment horizontal="center" vertical="center"/>
    </xf>
    <xf numFmtId="188" fontId="80" fillId="0" borderId="48" xfId="0" applyNumberFormat="1" applyFont="1" applyFill="1" applyBorder="1" applyAlignment="1">
      <alignment horizontal="center" vertical="center"/>
    </xf>
    <xf numFmtId="0" fontId="80" fillId="32" borderId="48" xfId="0" applyNumberFormat="1" applyFont="1" applyFill="1" applyBorder="1" applyAlignment="1">
      <alignment horizontal="center" vertical="center"/>
    </xf>
    <xf numFmtId="0" fontId="80" fillId="29" borderId="48" xfId="0" applyNumberFormat="1" applyFont="1" applyFill="1" applyBorder="1" applyAlignment="1">
      <alignment horizontal="center" vertical="center"/>
    </xf>
    <xf numFmtId="0" fontId="80" fillId="34" borderId="48" xfId="0" applyNumberFormat="1" applyFont="1" applyFill="1" applyBorder="1" applyAlignment="1">
      <alignment horizontal="center" vertical="center"/>
    </xf>
    <xf numFmtId="189" fontId="80" fillId="36" borderId="48" xfId="0" applyNumberFormat="1" applyFont="1" applyFill="1" applyBorder="1" applyAlignment="1">
      <alignment horizontal="center" vertical="center"/>
    </xf>
    <xf numFmtId="0" fontId="80" fillId="0" borderId="48" xfId="0" applyNumberFormat="1" applyFont="1" applyFill="1" applyBorder="1" applyAlignment="1">
      <alignment horizontal="left" vertical="center"/>
    </xf>
    <xf numFmtId="49" fontId="80" fillId="0" borderId="48" xfId="0" applyNumberFormat="1" applyFont="1" applyFill="1" applyBorder="1" applyAlignment="1">
      <alignment horizontal="left" vertical="center"/>
    </xf>
    <xf numFmtId="0" fontId="80" fillId="0" borderId="54" xfId="0" applyNumberFormat="1" applyFont="1" applyFill="1" applyBorder="1" applyAlignment="1">
      <alignment horizontal="center" vertical="center"/>
    </xf>
    <xf numFmtId="199" fontId="80" fillId="29" borderId="55" xfId="0" applyNumberFormat="1" applyFont="1" applyFill="1" applyBorder="1" applyAlignment="1">
      <alignment horizontal="center" vertical="center"/>
    </xf>
    <xf numFmtId="199" fontId="80" fillId="0" borderId="57" xfId="0" applyNumberFormat="1" applyFont="1" applyFill="1" applyBorder="1" applyAlignment="1">
      <alignment horizontal="center" vertical="center"/>
    </xf>
    <xf numFmtId="200" fontId="80" fillId="0" borderId="54" xfId="0" applyNumberFormat="1" applyFont="1" applyFill="1" applyBorder="1" applyAlignment="1">
      <alignment horizontal="center" vertical="center"/>
    </xf>
    <xf numFmtId="0" fontId="80" fillId="35" borderId="54" xfId="0" applyNumberFormat="1" applyFont="1" applyFill="1" applyBorder="1" applyAlignment="1">
      <alignment horizontal="center" vertical="center"/>
    </xf>
    <xf numFmtId="201" fontId="80" fillId="0" borderId="48" xfId="0" applyNumberFormat="1" applyFont="1" applyFill="1" applyBorder="1" applyAlignment="1">
      <alignment horizontal="center" vertical="center"/>
    </xf>
    <xf numFmtId="0" fontId="79" fillId="0" borderId="0" xfId="0" applyNumberFormat="1" applyFont="1" applyFill="1" applyAlignment="1">
      <alignment vertical="center"/>
    </xf>
    <xf numFmtId="0" fontId="80" fillId="32" borderId="48" xfId="0" applyNumberFormat="1" applyFont="1" applyFill="1" applyBorder="1" applyAlignment="1">
      <alignment horizontal="center" vertical="center" wrapText="1"/>
    </xf>
    <xf numFmtId="0" fontId="80" fillId="0" borderId="48" xfId="0" applyNumberFormat="1" applyFont="1" applyFill="1" applyBorder="1" applyAlignment="1">
      <alignment horizontal="center" vertical="center" wrapText="1"/>
    </xf>
    <xf numFmtId="0" fontId="80" fillId="0" borderId="48" xfId="0" applyNumberFormat="1" applyFont="1" applyBorder="1" applyAlignment="1">
      <alignment horizontal="center" vertical="center"/>
    </xf>
    <xf numFmtId="193" fontId="80" fillId="0" borderId="48" xfId="0" applyNumberFormat="1" applyFont="1" applyFill="1" applyBorder="1" applyAlignment="1">
      <alignment horizontal="center" vertical="center"/>
    </xf>
    <xf numFmtId="202" fontId="80" fillId="0" borderId="48" xfId="0" applyNumberFormat="1" applyFont="1" applyFill="1" applyBorder="1" applyAlignment="1">
      <alignment horizontal="center" vertical="center"/>
    </xf>
    <xf numFmtId="203" fontId="80" fillId="0" borderId="48" xfId="0" applyNumberFormat="1" applyFont="1" applyFill="1" applyBorder="1" applyAlignment="1">
      <alignment horizontal="center" vertical="center"/>
    </xf>
    <xf numFmtId="0" fontId="77" fillId="0" borderId="49" xfId="0" applyFont="1" applyBorder="1" applyAlignment="1">
      <alignment horizontal="center" vertical="center"/>
    </xf>
    <xf numFmtId="204" fontId="80" fillId="0" borderId="48" xfId="0" applyNumberFormat="1" applyFont="1" applyFill="1" applyBorder="1" applyAlignment="1">
      <alignment horizontal="center" vertical="center"/>
    </xf>
    <xf numFmtId="204" fontId="80" fillId="31" borderId="48" xfId="0" applyNumberFormat="1" applyFont="1" applyFill="1" applyBorder="1" applyAlignment="1">
      <alignment horizontal="center" vertical="center"/>
    </xf>
    <xf numFmtId="2" fontId="80" fillId="29" borderId="48" xfId="0" applyNumberFormat="1" applyFont="1" applyFill="1" applyBorder="1" applyAlignment="1">
      <alignment horizontal="center" vertical="center"/>
    </xf>
    <xf numFmtId="205" fontId="80" fillId="0" borderId="48" xfId="0" applyNumberFormat="1" applyFont="1" applyFill="1" applyBorder="1" applyAlignment="1">
      <alignment horizontal="center" vertical="center"/>
    </xf>
    <xf numFmtId="203" fontId="80" fillId="29" borderId="48" xfId="0" applyNumberFormat="1" applyFont="1" applyFill="1" applyBorder="1" applyAlignment="1">
      <alignment horizontal="center" vertical="center"/>
    </xf>
    <xf numFmtId="0" fontId="81" fillId="28" borderId="47" xfId="0" applyNumberFormat="1" applyFont="1" applyFill="1" applyBorder="1" applyAlignment="1">
      <alignment horizontal="center" vertical="center" wrapText="1"/>
    </xf>
    <xf numFmtId="0" fontId="81" fillId="28" borderId="53" xfId="0" applyNumberFormat="1" applyFont="1" applyFill="1" applyBorder="1" applyAlignment="1">
      <alignment horizontal="center" vertical="center"/>
    </xf>
    <xf numFmtId="0" fontId="81" fillId="28" borderId="48" xfId="0" applyNumberFormat="1" applyFont="1" applyFill="1" applyBorder="1" applyAlignment="1">
      <alignment horizontal="center" vertical="center" wrapText="1"/>
    </xf>
    <xf numFmtId="0" fontId="81" fillId="28" borderId="48" xfId="0" applyNumberFormat="1" applyFont="1" applyFill="1" applyBorder="1" applyAlignment="1">
      <alignment horizontal="center" vertical="center"/>
    </xf>
    <xf numFmtId="189" fontId="80" fillId="0" borderId="48" xfId="0" applyNumberFormat="1" applyFont="1" applyFill="1" applyBorder="1" applyAlignment="1">
      <alignment horizontal="center" vertical="center"/>
    </xf>
    <xf numFmtId="0" fontId="5" fillId="28" borderId="47" xfId="0" applyNumberFormat="1" applyFont="1" applyFill="1" applyBorder="1" applyAlignment="1">
      <alignment horizontal="center" vertical="center"/>
    </xf>
    <xf numFmtId="0" fontId="85" fillId="35" borderId="53" xfId="78" applyNumberFormat="1" applyFont="1" applyFill="1" applyBorder="1" applyAlignment="1">
      <alignment horizontal="center" vertical="center"/>
    </xf>
    <xf numFmtId="0" fontId="79" fillId="0" borderId="0" xfId="0" applyNumberFormat="1" applyFont="1" applyFill="1" applyAlignment="1">
      <alignment horizontal="left" vertical="center"/>
    </xf>
    <xf numFmtId="201" fontId="80" fillId="0" borderId="56" xfId="0" applyNumberFormat="1" applyFont="1" applyFill="1" applyBorder="1" applyAlignment="1">
      <alignment horizontal="center" vertical="center"/>
    </xf>
    <xf numFmtId="201" fontId="80" fillId="0" borderId="54" xfId="0" applyNumberFormat="1" applyFont="1" applyFill="1" applyBorder="1" applyAlignment="1">
      <alignment horizontal="center" vertical="center"/>
    </xf>
    <xf numFmtId="0" fontId="80" fillId="35" borderId="56" xfId="0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50" xfId="79" applyNumberFormat="1" applyFont="1" applyFill="1" applyBorder="1" applyAlignment="1">
      <alignment horizontal="center" vertical="center"/>
    </xf>
    <xf numFmtId="0" fontId="48" fillId="0" borderId="49" xfId="79" applyNumberFormat="1" applyFont="1" applyFill="1" applyBorder="1" applyAlignment="1">
      <alignment horizontal="center" vertical="center"/>
    </xf>
    <xf numFmtId="196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5" fillId="0" borderId="0" xfId="0" quotePrefix="1" applyFont="1" applyBorder="1" applyAlignment="1">
      <alignment vertical="center"/>
    </xf>
    <xf numFmtId="0" fontId="67" fillId="0" borderId="0" xfId="0" applyFont="1" applyBorder="1" applyAlignment="1">
      <alignment vertical="center" shrinkToFit="1"/>
    </xf>
    <xf numFmtId="206" fontId="67" fillId="0" borderId="0" xfId="0" applyNumberFormat="1" applyFont="1" applyBorder="1" applyAlignment="1">
      <alignment vertical="center"/>
    </xf>
    <xf numFmtId="207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210" fontId="67" fillId="0" borderId="0" xfId="0" applyNumberFormat="1" applyFont="1" applyBorder="1" applyAlignment="1"/>
    <xf numFmtId="0" fontId="67" fillId="0" borderId="0" xfId="0" applyNumberFormat="1" applyFont="1" applyBorder="1" applyAlignment="1"/>
    <xf numFmtId="185" fontId="67" fillId="0" borderId="0" xfId="0" applyNumberFormat="1" applyFont="1" applyBorder="1" applyAlignment="1">
      <alignment vertical="center"/>
    </xf>
    <xf numFmtId="209" fontId="67" fillId="0" borderId="0" xfId="0" applyNumberFormat="1" applyFont="1" applyBorder="1" applyAlignment="1">
      <alignment vertical="center"/>
    </xf>
    <xf numFmtId="0" fontId="92" fillId="0" borderId="0" xfId="0" applyFont="1" applyBorder="1" applyAlignment="1">
      <alignment vertical="center"/>
    </xf>
    <xf numFmtId="203" fontId="92" fillId="0" borderId="0" xfId="0" applyNumberFormat="1" applyFont="1" applyBorder="1" applyAlignment="1">
      <alignment vertical="center"/>
    </xf>
    <xf numFmtId="203" fontId="92" fillId="0" borderId="0" xfId="0" applyNumberFormat="1" applyFont="1" applyBorder="1" applyAlignment="1">
      <alignment vertical="center" shrinkToFit="1"/>
    </xf>
    <xf numFmtId="0" fontId="67" fillId="0" borderId="0" xfId="0" applyFont="1" applyBorder="1" applyAlignment="1">
      <alignment horizontal="left" vertical="center" shrinkToFit="1"/>
    </xf>
    <xf numFmtId="213" fontId="67" fillId="0" borderId="0" xfId="0" applyNumberFormat="1" applyFont="1" applyBorder="1" applyAlignment="1">
      <alignment vertical="center"/>
    </xf>
    <xf numFmtId="213" fontId="67" fillId="0" borderId="0" xfId="0" applyNumberFormat="1" applyFont="1" applyBorder="1" applyAlignment="1">
      <alignment horizontal="center" vertical="center"/>
    </xf>
    <xf numFmtId="214" fontId="67" fillId="0" borderId="0" xfId="0" applyNumberFormat="1" applyFont="1" applyBorder="1" applyAlignment="1">
      <alignment vertical="center"/>
    </xf>
    <xf numFmtId="216" fontId="67" fillId="0" borderId="0" xfId="0" applyNumberFormat="1" applyFont="1" applyBorder="1" applyAlignment="1">
      <alignment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93" fillId="0" borderId="0" xfId="0" applyNumberFormat="1" applyFont="1" applyAlignment="1">
      <alignment horizontal="left" vertical="center" indent="1"/>
    </xf>
    <xf numFmtId="0" fontId="92" fillId="0" borderId="0" xfId="0" applyFont="1" applyBorder="1">
      <alignment vertical="center"/>
    </xf>
    <xf numFmtId="0" fontId="80" fillId="0" borderId="63" xfId="0" applyNumberFormat="1" applyFont="1" applyFill="1" applyBorder="1" applyAlignment="1">
      <alignment horizontal="center" vertical="center"/>
    </xf>
    <xf numFmtId="0" fontId="80" fillId="0" borderId="56" xfId="0" applyNumberFormat="1" applyFont="1" applyFill="1" applyBorder="1" applyAlignment="1">
      <alignment horizontal="center" vertical="center"/>
    </xf>
    <xf numFmtId="218" fontId="80" fillId="0" borderId="48" xfId="0" applyNumberFormat="1" applyFont="1" applyFill="1" applyBorder="1" applyAlignment="1">
      <alignment horizontal="center" vertical="center"/>
    </xf>
    <xf numFmtId="2" fontId="80" fillId="29" borderId="63" xfId="0" applyNumberFormat="1" applyFont="1" applyFill="1" applyBorder="1" applyAlignment="1">
      <alignment horizontal="center" vertical="center"/>
    </xf>
    <xf numFmtId="0" fontId="75" fillId="33" borderId="49" xfId="0" applyFont="1" applyFill="1" applyBorder="1">
      <alignment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81" fillId="28" borderId="69" xfId="0" applyNumberFormat="1" applyFont="1" applyFill="1" applyBorder="1" applyAlignment="1">
      <alignment horizontal="center" vertical="center" wrapText="1"/>
    </xf>
    <xf numFmtId="0" fontId="81" fillId="28" borderId="69" xfId="0" applyNumberFormat="1" applyFont="1" applyFill="1" applyBorder="1" applyAlignment="1">
      <alignment horizontal="center" vertical="center"/>
    </xf>
    <xf numFmtId="0" fontId="48" fillId="0" borderId="43" xfId="79" applyNumberFormat="1" applyFont="1" applyFill="1" applyBorder="1" applyAlignment="1">
      <alignment horizontal="center" vertical="center"/>
    </xf>
    <xf numFmtId="0" fontId="80" fillId="0" borderId="69" xfId="0" applyNumberFormat="1" applyFont="1" applyFill="1" applyBorder="1" applyAlignment="1">
      <alignment horizontal="center" vertical="center"/>
    </xf>
    <xf numFmtId="0" fontId="96" fillId="0" borderId="69" xfId="0" applyNumberFormat="1" applyFont="1" applyFill="1" applyBorder="1" applyAlignment="1">
      <alignment horizontal="center" vertical="center"/>
    </xf>
    <xf numFmtId="193" fontId="80" fillId="0" borderId="69" xfId="0" applyNumberFormat="1" applyFont="1" applyFill="1" applyBorder="1" applyAlignment="1">
      <alignment horizontal="center" vertical="center"/>
    </xf>
    <xf numFmtId="196" fontId="80" fillId="0" borderId="48" xfId="0" applyNumberFormat="1" applyFont="1" applyFill="1" applyBorder="1" applyAlignment="1">
      <alignment horizontal="center" vertical="center"/>
    </xf>
    <xf numFmtId="196" fontId="80" fillId="32" borderId="48" xfId="0" applyNumberFormat="1" applyFont="1" applyFill="1" applyBorder="1" applyAlignment="1">
      <alignment horizontal="center" vertical="center"/>
    </xf>
    <xf numFmtId="0" fontId="98" fillId="0" borderId="0" xfId="0" applyFont="1" applyBorder="1">
      <alignment vertical="center"/>
    </xf>
    <xf numFmtId="0" fontId="67" fillId="0" borderId="39" xfId="0" applyFont="1" applyBorder="1">
      <alignment vertical="center"/>
    </xf>
    <xf numFmtId="0" fontId="52" fillId="0" borderId="0" xfId="0" applyFont="1" applyBorder="1" applyAlignment="1">
      <alignment vertical="center"/>
    </xf>
    <xf numFmtId="214" fontId="67" fillId="0" borderId="0" xfId="0" applyNumberFormat="1" applyFont="1" applyBorder="1" applyAlignment="1">
      <alignment vertical="center" shrinkToFit="1"/>
    </xf>
    <xf numFmtId="0" fontId="59" fillId="27" borderId="51" xfId="8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0" fontId="80" fillId="34" borderId="69" xfId="0" applyNumberFormat="1" applyFont="1" applyFill="1" applyBorder="1" applyAlignment="1">
      <alignment horizontal="center" vertical="center"/>
    </xf>
    <xf numFmtId="0" fontId="48" fillId="0" borderId="61" xfId="79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48" fillId="0" borderId="61" xfId="79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48" fillId="0" borderId="70" xfId="79" applyNumberFormat="1" applyFont="1" applyFill="1" applyBorder="1" applyAlignment="1">
      <alignment horizontal="center" vertical="center"/>
    </xf>
    <xf numFmtId="0" fontId="52" fillId="0" borderId="59" xfId="0" applyNumberFormat="1" applyFont="1" applyBorder="1" applyAlignment="1">
      <alignment horizontal="center" vertical="center"/>
    </xf>
    <xf numFmtId="0" fontId="81" fillId="28" borderId="48" xfId="0" applyNumberFormat="1" applyFont="1" applyFill="1" applyBorder="1" applyAlignment="1">
      <alignment horizontal="center" vertical="center" wrapText="1"/>
    </xf>
    <xf numFmtId="0" fontId="52" fillId="0" borderId="58" xfId="0" applyNumberFormat="1" applyFont="1" applyBorder="1" applyAlignment="1">
      <alignment horizontal="left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 shrinkToFit="1"/>
    </xf>
    <xf numFmtId="2" fontId="67" fillId="0" borderId="0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0" fontId="67" fillId="0" borderId="43" xfId="0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0" fontId="65" fillId="0" borderId="0" xfId="0" applyFont="1" applyBorder="1" applyAlignment="1">
      <alignment horizontal="right" vertical="center"/>
    </xf>
    <xf numFmtId="0" fontId="67" fillId="0" borderId="0" xfId="0" applyNumberFormat="1" applyFont="1" applyBorder="1" applyAlignment="1">
      <alignment horizontal="center" vertical="center"/>
    </xf>
    <xf numFmtId="207" fontId="67" fillId="0" borderId="0" xfId="0" applyNumberFormat="1" applyFont="1" applyBorder="1" applyAlignment="1">
      <alignment horizontal="center" vertical="center"/>
    </xf>
    <xf numFmtId="0" fontId="87" fillId="0" borderId="0" xfId="0" applyFont="1" applyBorder="1">
      <alignment vertical="center"/>
    </xf>
    <xf numFmtId="0" fontId="100" fillId="0" borderId="0" xfId="0" applyFont="1" applyBorder="1" applyAlignment="1">
      <alignment vertical="center"/>
    </xf>
    <xf numFmtId="0" fontId="87" fillId="0" borderId="0" xfId="0" applyFont="1" applyBorder="1" applyAlignment="1">
      <alignment vertical="center"/>
    </xf>
    <xf numFmtId="0" fontId="55" fillId="0" borderId="70" xfId="0" applyFont="1" applyBorder="1" applyAlignment="1">
      <alignment horizontal="center" vertical="center"/>
    </xf>
    <xf numFmtId="0" fontId="80" fillId="31" borderId="48" xfId="0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81" fillId="28" borderId="69" xfId="0" applyNumberFormat="1" applyFont="1" applyFill="1" applyBorder="1" applyAlignment="1">
      <alignment horizontal="center" vertical="center" shrinkToFit="1"/>
    </xf>
    <xf numFmtId="190" fontId="81" fillId="28" borderId="69" xfId="0" applyNumberFormat="1" applyFont="1" applyFill="1" applyBorder="1" applyAlignment="1">
      <alignment horizontal="center" vertical="center" wrapText="1"/>
    </xf>
    <xf numFmtId="49" fontId="81" fillId="28" borderId="69" xfId="0" applyNumberFormat="1" applyFont="1" applyFill="1" applyBorder="1" applyAlignment="1">
      <alignment horizontal="center" vertical="center"/>
    </xf>
    <xf numFmtId="190" fontId="81" fillId="28" borderId="69" xfId="0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 shrinkToFit="1"/>
    </xf>
    <xf numFmtId="0" fontId="67" fillId="0" borderId="39" xfId="0" applyNumberFormat="1" applyFont="1" applyBorder="1" applyAlignment="1">
      <alignment vertical="center"/>
    </xf>
    <xf numFmtId="208" fontId="67" fillId="0" borderId="39" xfId="0" applyNumberFormat="1" applyFont="1" applyBorder="1" applyAlignment="1">
      <alignment horizontal="center" vertical="center"/>
    </xf>
    <xf numFmtId="0" fontId="67" fillId="0" borderId="39" xfId="0" applyNumberFormat="1" applyFont="1" applyBorder="1" applyAlignment="1">
      <alignment horizontal="center" vertical="center"/>
    </xf>
    <xf numFmtId="212" fontId="67" fillId="0" borderId="0" xfId="0" applyNumberFormat="1" applyFont="1" applyBorder="1" applyAlignment="1">
      <alignment vertical="center"/>
    </xf>
    <xf numFmtId="219" fontId="67" fillId="0" borderId="39" xfId="0" applyNumberFormat="1" applyFont="1" applyBorder="1" applyAlignment="1">
      <alignment vertical="center"/>
    </xf>
    <xf numFmtId="203" fontId="69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>
      <alignment vertical="center"/>
    </xf>
    <xf numFmtId="0" fontId="81" fillId="28" borderId="69" xfId="0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196" fontId="80" fillId="0" borderId="69" xfId="0" applyNumberFormat="1" applyFont="1" applyFill="1" applyBorder="1" applyAlignment="1">
      <alignment horizontal="center" vertical="center"/>
    </xf>
    <xf numFmtId="0" fontId="80" fillId="0" borderId="69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vertical="center"/>
    </xf>
    <xf numFmtId="0" fontId="79" fillId="0" borderId="0" xfId="0" applyNumberFormat="1" applyFont="1" applyFill="1" applyAlignment="1">
      <alignment vertical="center"/>
    </xf>
    <xf numFmtId="0" fontId="81" fillId="28" borderId="69" xfId="0" applyNumberFormat="1" applyFont="1" applyFill="1" applyBorder="1" applyAlignment="1">
      <alignment horizontal="center" vertical="center" wrapText="1"/>
    </xf>
    <xf numFmtId="189" fontId="80" fillId="0" borderId="69" xfId="0" applyNumberFormat="1" applyFont="1" applyFill="1" applyBorder="1" applyAlignment="1">
      <alignment horizontal="center" vertical="center"/>
    </xf>
    <xf numFmtId="0" fontId="80" fillId="32" borderId="64" xfId="0" applyNumberFormat="1" applyFont="1" applyFill="1" applyBorder="1" applyAlignment="1">
      <alignment horizontal="center" vertical="center" wrapText="1"/>
    </xf>
    <xf numFmtId="0" fontId="94" fillId="28" borderId="69" xfId="0" applyNumberFormat="1" applyFont="1" applyFill="1" applyBorder="1" applyAlignment="1">
      <alignment horizontal="center" vertical="center"/>
    </xf>
    <xf numFmtId="2" fontId="80" fillId="32" borderId="69" xfId="86" applyNumberFormat="1" applyFont="1" applyFill="1" applyBorder="1" applyAlignment="1">
      <alignment horizontal="center" vertical="center" wrapText="1"/>
    </xf>
    <xf numFmtId="0" fontId="81" fillId="28" borderId="69" xfId="0" applyNumberFormat="1" applyFont="1" applyFill="1" applyBorder="1" applyAlignment="1">
      <alignment horizontal="center" vertical="center" wrapText="1"/>
    </xf>
    <xf numFmtId="204" fontId="80" fillId="0" borderId="69" xfId="0" applyNumberFormat="1" applyFont="1" applyFill="1" applyBorder="1" applyAlignment="1">
      <alignment horizontal="center" vertical="center"/>
    </xf>
    <xf numFmtId="202" fontId="80" fillId="0" borderId="69" xfId="0" applyNumberFormat="1" applyFont="1" applyFill="1" applyBorder="1" applyAlignment="1">
      <alignment horizontal="center" vertical="center"/>
    </xf>
    <xf numFmtId="205" fontId="80" fillId="29" borderId="69" xfId="0" applyNumberFormat="1" applyFont="1" applyFill="1" applyBorder="1" applyAlignment="1">
      <alignment horizontal="center" vertical="center"/>
    </xf>
    <xf numFmtId="196" fontId="80" fillId="31" borderId="69" xfId="0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5" fillId="0" borderId="0" xfId="0" applyFont="1" applyBorder="1" applyAlignment="1">
      <alignment horizontal="right" vertical="center"/>
    </xf>
    <xf numFmtId="0" fontId="67" fillId="0" borderId="0" xfId="0" applyFont="1" applyBorder="1">
      <alignment vertical="center"/>
    </xf>
    <xf numFmtId="0" fontId="67" fillId="0" borderId="0" xfId="0" applyNumberFormat="1" applyFont="1" applyBorder="1" applyAlignment="1">
      <alignment horizontal="center" vertical="center"/>
    </xf>
    <xf numFmtId="0" fontId="52" fillId="0" borderId="59" xfId="0" applyNumberFormat="1" applyFont="1" applyBorder="1" applyAlignment="1">
      <alignment horizontal="center" vertical="center"/>
    </xf>
    <xf numFmtId="189" fontId="80" fillId="0" borderId="69" xfId="0" applyNumberFormat="1" applyFont="1" applyFill="1" applyBorder="1" applyAlignment="1">
      <alignment horizontal="center" vertical="center"/>
    </xf>
    <xf numFmtId="0" fontId="81" fillId="28" borderId="47" xfId="0" applyNumberFormat="1" applyFont="1" applyFill="1" applyBorder="1" applyAlignment="1">
      <alignment horizontal="center" vertical="center" wrapText="1"/>
    </xf>
    <xf numFmtId="0" fontId="81" fillId="28" borderId="69" xfId="0" applyNumberFormat="1" applyFont="1" applyFill="1" applyBorder="1" applyAlignment="1">
      <alignment horizontal="center" vertical="center" wrapText="1"/>
    </xf>
    <xf numFmtId="0" fontId="81" fillId="28" borderId="53" xfId="0" applyNumberFormat="1" applyFont="1" applyFill="1" applyBorder="1" applyAlignment="1">
      <alignment horizontal="center" vertical="center"/>
    </xf>
    <xf numFmtId="0" fontId="81" fillId="28" borderId="69" xfId="0" applyNumberFormat="1" applyFont="1" applyFill="1" applyBorder="1" applyAlignment="1">
      <alignment horizontal="center" vertical="center"/>
    </xf>
    <xf numFmtId="0" fontId="80" fillId="38" borderId="56" xfId="0" applyNumberFormat="1" applyFont="1" applyFill="1" applyBorder="1" applyAlignment="1">
      <alignment horizontal="center" vertical="center"/>
    </xf>
    <xf numFmtId="220" fontId="101" fillId="37" borderId="39" xfId="121" applyNumberFormat="1" applyFont="1" applyFill="1" applyBorder="1" applyAlignment="1">
      <alignment horizontal="center" vertical="center" wrapText="1"/>
    </xf>
    <xf numFmtId="49" fontId="60" fillId="37" borderId="39" xfId="79" applyNumberFormat="1" applyFont="1" applyFill="1" applyBorder="1" applyAlignment="1">
      <alignment horizontal="center" vertical="center" wrapText="1"/>
    </xf>
    <xf numFmtId="0" fontId="1" fillId="0" borderId="0" xfId="0" applyFont="1" applyFill="1" applyBorder="1">
      <alignment vertical="center"/>
    </xf>
    <xf numFmtId="0" fontId="80" fillId="0" borderId="0" xfId="0" applyNumberFormat="1" applyFont="1">
      <alignment vertical="center"/>
    </xf>
    <xf numFmtId="0" fontId="80" fillId="0" borderId="0" xfId="0" applyNumberFormat="1" applyFont="1" applyFill="1" applyAlignment="1">
      <alignment vertical="center"/>
    </xf>
    <xf numFmtId="0" fontId="79" fillId="0" borderId="0" xfId="0" applyNumberFormat="1" applyFont="1" applyFill="1" applyBorder="1" applyAlignment="1">
      <alignment vertical="center"/>
    </xf>
    <xf numFmtId="0" fontId="80" fillId="0" borderId="69" xfId="0" applyNumberFormat="1" applyFont="1" applyFill="1" applyBorder="1" applyAlignment="1">
      <alignment horizontal="center" vertical="center"/>
    </xf>
    <xf numFmtId="0" fontId="81" fillId="28" borderId="69" xfId="0" applyNumberFormat="1" applyFont="1" applyFill="1" applyBorder="1" applyAlignment="1">
      <alignment horizontal="center" vertical="center" wrapText="1"/>
    </xf>
    <xf numFmtId="0" fontId="81" fillId="28" borderId="69" xfId="0" applyNumberFormat="1" applyFont="1" applyFill="1" applyBorder="1" applyAlignment="1">
      <alignment horizontal="center" vertical="center" wrapText="1"/>
    </xf>
    <xf numFmtId="0" fontId="81" fillId="28" borderId="69" xfId="0" applyNumberFormat="1" applyFont="1" applyFill="1" applyBorder="1" applyAlignment="1">
      <alignment horizontal="center" vertical="center"/>
    </xf>
    <xf numFmtId="189" fontId="80" fillId="0" borderId="69" xfId="0" applyNumberFormat="1" applyFont="1" applyFill="1" applyBorder="1" applyAlignment="1">
      <alignment horizontal="center" vertical="center"/>
    </xf>
    <xf numFmtId="189" fontId="80" fillId="0" borderId="69" xfId="0" applyNumberFormat="1" applyFont="1" applyFill="1" applyBorder="1" applyAlignment="1">
      <alignment horizontal="center" vertical="center"/>
    </xf>
    <xf numFmtId="0" fontId="81" fillId="28" borderId="69" xfId="0" applyNumberFormat="1" applyFont="1" applyFill="1" applyBorder="1" applyAlignment="1">
      <alignment horizontal="center" vertical="center" wrapText="1"/>
    </xf>
    <xf numFmtId="0" fontId="81" fillId="28" borderId="69" xfId="0" applyNumberFormat="1" applyFont="1" applyFill="1" applyBorder="1" applyAlignment="1">
      <alignment horizontal="center" vertical="center"/>
    </xf>
    <xf numFmtId="0" fontId="103" fillId="28" borderId="69" xfId="0" applyNumberFormat="1" applyFont="1" applyFill="1" applyBorder="1" applyAlignment="1">
      <alignment horizontal="center" vertical="center"/>
    </xf>
    <xf numFmtId="0" fontId="80" fillId="36" borderId="69" xfId="0" applyNumberFormat="1" applyFont="1" applyFill="1" applyBorder="1" applyAlignment="1">
      <alignment horizontal="center" vertical="center"/>
    </xf>
    <xf numFmtId="196" fontId="80" fillId="32" borderId="69" xfId="0" applyNumberFormat="1" applyFont="1" applyFill="1" applyBorder="1" applyAlignment="1">
      <alignment horizontal="center" vertical="center"/>
    </xf>
    <xf numFmtId="0" fontId="80" fillId="39" borderId="69" xfId="0" applyNumberFormat="1" applyFont="1" applyFill="1" applyBorder="1" applyAlignment="1">
      <alignment horizontal="center" vertical="center"/>
    </xf>
    <xf numFmtId="196" fontId="80" fillId="29" borderId="69" xfId="0" applyNumberFormat="1" applyFont="1" applyFill="1" applyBorder="1" applyAlignment="1">
      <alignment horizontal="center" vertical="center"/>
    </xf>
    <xf numFmtId="221" fontId="80" fillId="31" borderId="69" xfId="0" applyNumberFormat="1" applyFont="1" applyFill="1" applyBorder="1" applyAlignment="1">
      <alignment horizontal="center" vertical="center"/>
    </xf>
    <xf numFmtId="189" fontId="80" fillId="0" borderId="69" xfId="0" applyNumberFormat="1" applyFont="1" applyFill="1" applyBorder="1" applyAlignment="1">
      <alignment horizontal="center" vertical="center"/>
    </xf>
    <xf numFmtId="0" fontId="81" fillId="28" borderId="69" xfId="0" applyNumberFormat="1" applyFont="1" applyFill="1" applyBorder="1" applyAlignment="1">
      <alignment horizontal="center" vertical="center" wrapText="1"/>
    </xf>
    <xf numFmtId="0" fontId="81" fillId="28" borderId="69" xfId="0" applyNumberFormat="1" applyFont="1" applyFill="1" applyBorder="1" applyAlignment="1">
      <alignment horizontal="center" vertical="center" wrapText="1"/>
    </xf>
    <xf numFmtId="189" fontId="80" fillId="0" borderId="69" xfId="0" applyNumberFormat="1" applyFont="1" applyFill="1" applyBorder="1" applyAlignment="1">
      <alignment horizontal="center" vertical="center"/>
    </xf>
    <xf numFmtId="0" fontId="81" fillId="28" borderId="69" xfId="0" applyNumberFormat="1" applyFont="1" applyFill="1" applyBorder="1" applyAlignment="1">
      <alignment horizontal="center" vertical="center" wrapText="1"/>
    </xf>
    <xf numFmtId="0" fontId="104" fillId="35" borderId="53" xfId="78" applyNumberFormat="1" applyFont="1" applyFill="1" applyBorder="1" applyAlignment="1">
      <alignment horizontal="center" vertical="center"/>
    </xf>
    <xf numFmtId="0" fontId="105" fillId="35" borderId="53" xfId="78" applyNumberFormat="1" applyFont="1" applyFill="1" applyBorder="1" applyAlignment="1">
      <alignment horizontal="center" vertical="center"/>
    </xf>
    <xf numFmtId="0" fontId="81" fillId="28" borderId="69" xfId="0" applyNumberFormat="1" applyFont="1" applyFill="1" applyBorder="1" applyAlignment="1">
      <alignment horizontal="center" vertical="center" wrapText="1"/>
    </xf>
    <xf numFmtId="217" fontId="52" fillId="0" borderId="70" xfId="87" applyNumberFormat="1" applyFont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horizontal="left" vertical="center" shrinkToFit="1"/>
    </xf>
    <xf numFmtId="0" fontId="11" fillId="0" borderId="1" xfId="0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0" borderId="26" xfId="0" applyFont="1" applyFill="1" applyBorder="1" applyAlignment="1">
      <alignment horizontal="center" vertical="center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63" fillId="0" borderId="35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47" fillId="0" borderId="0" xfId="79" applyNumberFormat="1" applyFont="1" applyAlignment="1">
      <alignment horizontal="center" wrapText="1"/>
    </xf>
    <xf numFmtId="49" fontId="74" fillId="0" borderId="0" xfId="82" applyNumberFormat="1" applyFont="1" applyFill="1" applyBorder="1" applyAlignment="1">
      <alignment horizontal="center" vertical="center" wrapText="1"/>
    </xf>
    <xf numFmtId="0" fontId="60" fillId="37" borderId="0" xfId="0" applyNumberFormat="1" applyFont="1" applyFill="1" applyAlignment="1">
      <alignment horizontal="center" vertical="center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39" xfId="79" applyNumberFormat="1" applyFont="1" applyFill="1" applyBorder="1" applyAlignment="1">
      <alignment horizontal="center" vertical="center"/>
    </xf>
    <xf numFmtId="220" fontId="60" fillId="37" borderId="0" xfId="0" applyNumberFormat="1" applyFont="1" applyFill="1" applyBorder="1" applyAlignment="1">
      <alignment horizontal="center" vertical="center" wrapText="1"/>
    </xf>
    <xf numFmtId="220" fontId="60" fillId="37" borderId="39" xfId="0" applyNumberFormat="1" applyFont="1" applyFill="1" applyBorder="1" applyAlignment="1">
      <alignment horizontal="center" vertical="center" wrapText="1"/>
    </xf>
    <xf numFmtId="49" fontId="60" fillId="37" borderId="0" xfId="0" applyNumberFormat="1" applyFont="1" applyFill="1" applyBorder="1" applyAlignment="1">
      <alignment horizontal="center" vertical="center"/>
    </xf>
    <xf numFmtId="49" fontId="60" fillId="37" borderId="39" xfId="0" applyNumberFormat="1" applyFont="1" applyFill="1" applyBorder="1" applyAlignment="1">
      <alignment horizontal="center" vertical="center"/>
    </xf>
    <xf numFmtId="220" fontId="48" fillId="37" borderId="0" xfId="0" applyNumberFormat="1" applyFont="1" applyFill="1" applyAlignment="1">
      <alignment horizontal="center" vertical="center"/>
    </xf>
    <xf numFmtId="220" fontId="48" fillId="37" borderId="39" xfId="0" applyNumberFormat="1" applyFont="1" applyFill="1" applyBorder="1" applyAlignment="1">
      <alignment horizontal="center" vertical="center"/>
    </xf>
    <xf numFmtId="220" fontId="101" fillId="37" borderId="0" xfId="121" applyNumberFormat="1" applyFont="1" applyFill="1" applyBorder="1" applyAlignment="1">
      <alignment horizontal="center" vertical="center" wrapText="1"/>
    </xf>
    <xf numFmtId="220" fontId="101" fillId="37" borderId="39" xfId="121" applyNumberFormat="1" applyFont="1" applyFill="1" applyBorder="1" applyAlignment="1">
      <alignment horizontal="center" vertical="center" wrapText="1"/>
    </xf>
    <xf numFmtId="220" fontId="101" fillId="37" borderId="0" xfId="121" applyNumberFormat="1" applyFont="1" applyFill="1" applyBorder="1" applyAlignment="1">
      <alignment horizontal="center" vertical="center"/>
    </xf>
    <xf numFmtId="220" fontId="101" fillId="37" borderId="39" xfId="121" applyNumberFormat="1" applyFont="1" applyFill="1" applyBorder="1" applyAlignment="1">
      <alignment horizontal="center" vertical="center"/>
    </xf>
    <xf numFmtId="0" fontId="60" fillId="37" borderId="0" xfId="0" applyNumberFormat="1" applyFont="1" applyFill="1" applyBorder="1" applyAlignment="1">
      <alignment horizontal="center" vertical="center"/>
    </xf>
    <xf numFmtId="0" fontId="60" fillId="37" borderId="39" xfId="0" applyNumberFormat="1" applyFont="1" applyFill="1" applyBorder="1" applyAlignment="1">
      <alignment horizontal="center" vertical="center"/>
    </xf>
    <xf numFmtId="220" fontId="48" fillId="37" borderId="0" xfId="0" applyNumberFormat="1" applyFont="1" applyFill="1" applyBorder="1" applyAlignment="1">
      <alignment horizontal="center" vertical="center"/>
    </xf>
    <xf numFmtId="220" fontId="60" fillId="37" borderId="0" xfId="0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48" fillId="0" borderId="61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7" fillId="28" borderId="44" xfId="0" applyNumberFormat="1" applyFont="1" applyFill="1" applyBorder="1" applyAlignment="1">
      <alignment horizontal="center" vertical="center"/>
    </xf>
    <xf numFmtId="0" fontId="7" fillId="28" borderId="45" xfId="0" applyNumberFormat="1" applyFont="1" applyFill="1" applyBorder="1" applyAlignment="1">
      <alignment horizontal="center" vertical="center"/>
    </xf>
    <xf numFmtId="0" fontId="7" fillId="28" borderId="46" xfId="0" applyNumberFormat="1" applyFont="1" applyFill="1" applyBorder="1" applyAlignment="1">
      <alignment horizontal="center" vertical="center"/>
    </xf>
    <xf numFmtId="0" fontId="7" fillId="28" borderId="47" xfId="0" applyNumberFormat="1" applyFont="1" applyFill="1" applyBorder="1" applyAlignment="1">
      <alignment horizontal="center" vertical="center" wrapText="1"/>
    </xf>
    <xf numFmtId="0" fontId="7" fillId="28" borderId="53" xfId="0" applyNumberFormat="1" applyFont="1" applyFill="1" applyBorder="1" applyAlignment="1">
      <alignment horizontal="center" vertical="center" wrapText="1"/>
    </xf>
    <xf numFmtId="198" fontId="1" fillId="0" borderId="44" xfId="78" applyNumberFormat="1" applyFont="1" applyFill="1" applyBorder="1" applyAlignment="1">
      <alignment horizontal="center" vertical="center"/>
    </xf>
    <xf numFmtId="198" fontId="1" fillId="0" borderId="46" xfId="78" applyNumberFormat="1" applyFont="1" applyFill="1" applyBorder="1" applyAlignment="1">
      <alignment horizontal="center" vertical="center"/>
    </xf>
    <xf numFmtId="49" fontId="1" fillId="0" borderId="44" xfId="78" applyNumberFormat="1" applyFont="1" applyFill="1" applyBorder="1" applyAlignment="1">
      <alignment horizontal="center" vertical="center"/>
    </xf>
    <xf numFmtId="49" fontId="1" fillId="0" borderId="46" xfId="78" applyNumberFormat="1" applyFont="1" applyFill="1" applyBorder="1" applyAlignment="1">
      <alignment horizontal="center" vertical="center"/>
    </xf>
    <xf numFmtId="0" fontId="52" fillId="32" borderId="49" xfId="0" applyNumberFormat="1" applyFont="1" applyFill="1" applyBorder="1" applyAlignment="1">
      <alignment horizontal="center" vertical="center" shrinkToFit="1"/>
    </xf>
    <xf numFmtId="0" fontId="52" fillId="32" borderId="49" xfId="0" applyNumberFormat="1" applyFont="1" applyFill="1" applyBorder="1" applyAlignment="1">
      <alignment horizontal="center" vertical="center"/>
    </xf>
    <xf numFmtId="0" fontId="67" fillId="0" borderId="49" xfId="0" applyNumberFormat="1" applyFont="1" applyBorder="1" applyAlignment="1">
      <alignment horizontal="center" vertical="center" shrinkToFit="1"/>
    </xf>
    <xf numFmtId="0" fontId="52" fillId="29" borderId="49" xfId="0" applyNumberFormat="1" applyFont="1" applyFill="1" applyBorder="1" applyAlignment="1">
      <alignment horizontal="center" vertical="center"/>
    </xf>
    <xf numFmtId="0" fontId="67" fillId="32" borderId="50" xfId="0" applyFont="1" applyFill="1" applyBorder="1" applyAlignment="1">
      <alignment horizontal="center" vertical="center" wrapText="1"/>
    </xf>
    <xf numFmtId="0" fontId="67" fillId="32" borderId="43" xfId="0" applyFont="1" applyFill="1" applyBorder="1" applyAlignment="1">
      <alignment horizontal="center" vertical="center" wrapText="1"/>
    </xf>
    <xf numFmtId="0" fontId="67" fillId="32" borderId="51" xfId="0" applyFont="1" applyFill="1" applyBorder="1" applyAlignment="1">
      <alignment horizontal="center" vertical="center" wrapText="1"/>
    </xf>
    <xf numFmtId="0" fontId="67" fillId="32" borderId="37" xfId="0" applyFont="1" applyFill="1" applyBorder="1" applyAlignment="1">
      <alignment horizontal="center" vertical="center" wrapText="1"/>
    </xf>
    <xf numFmtId="0" fontId="67" fillId="32" borderId="39" xfId="0" applyFont="1" applyFill="1" applyBorder="1" applyAlignment="1">
      <alignment horizontal="center" vertical="center" wrapText="1"/>
    </xf>
    <xf numFmtId="0" fontId="67" fillId="32" borderId="52" xfId="0" applyFont="1" applyFill="1" applyBorder="1" applyAlignment="1">
      <alignment horizontal="center" vertical="center" wrapText="1"/>
    </xf>
    <xf numFmtId="0" fontId="67" fillId="32" borderId="58" xfId="0" applyFont="1" applyFill="1" applyBorder="1" applyAlignment="1">
      <alignment horizontal="center" vertical="center" wrapText="1"/>
    </xf>
    <xf numFmtId="0" fontId="67" fillId="32" borderId="62" xfId="0" applyFont="1" applyFill="1" applyBorder="1" applyAlignment="1">
      <alignment horizontal="center" vertical="center" wrapText="1"/>
    </xf>
    <xf numFmtId="0" fontId="67" fillId="32" borderId="59" xfId="0" applyFont="1" applyFill="1" applyBorder="1" applyAlignment="1">
      <alignment horizontal="center" vertical="center" wrapText="1"/>
    </xf>
    <xf numFmtId="0" fontId="67" fillId="0" borderId="58" xfId="0" applyNumberFormat="1" applyFont="1" applyBorder="1" applyAlignment="1">
      <alignment horizontal="center" vertical="center"/>
    </xf>
    <xf numFmtId="0" fontId="67" fillId="0" borderId="62" xfId="0" applyNumberFormat="1" applyFont="1" applyBorder="1" applyAlignment="1">
      <alignment horizontal="center" vertical="center"/>
    </xf>
    <xf numFmtId="0" fontId="67" fillId="0" borderId="59" xfId="0" applyNumberFormat="1" applyFont="1" applyBorder="1" applyAlignment="1">
      <alignment horizontal="center" vertical="center"/>
    </xf>
    <xf numFmtId="0" fontId="67" fillId="0" borderId="49" xfId="0" applyFont="1" applyBorder="1" applyAlignment="1">
      <alignment horizontal="center" vertical="center"/>
    </xf>
    <xf numFmtId="0" fontId="67" fillId="0" borderId="58" xfId="0" applyFont="1" applyBorder="1" applyAlignment="1">
      <alignment horizontal="center" vertical="center"/>
    </xf>
    <xf numFmtId="0" fontId="67" fillId="0" borderId="62" xfId="0" applyFont="1" applyBorder="1" applyAlignment="1">
      <alignment horizontal="center" vertical="center"/>
    </xf>
    <xf numFmtId="0" fontId="67" fillId="0" borderId="59" xfId="0" applyFont="1" applyBorder="1" applyAlignment="1">
      <alignment horizontal="center" vertical="center"/>
    </xf>
    <xf numFmtId="0" fontId="67" fillId="0" borderId="50" xfId="0" applyFont="1" applyBorder="1" applyAlignment="1">
      <alignment horizontal="center" vertical="center"/>
    </xf>
    <xf numFmtId="0" fontId="67" fillId="0" borderId="51" xfId="0" applyFont="1" applyBorder="1" applyAlignment="1">
      <alignment horizontal="center" vertical="center"/>
    </xf>
    <xf numFmtId="0" fontId="67" fillId="0" borderId="31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37" xfId="0" applyFont="1" applyBorder="1" applyAlignment="1">
      <alignment horizontal="center" vertical="center"/>
    </xf>
    <xf numFmtId="0" fontId="67" fillId="0" borderId="52" xfId="0" applyFont="1" applyBorder="1" applyAlignment="1">
      <alignment horizontal="center" vertical="center"/>
    </xf>
    <xf numFmtId="0" fontId="67" fillId="0" borderId="43" xfId="0" applyFont="1" applyBorder="1" applyAlignment="1">
      <alignment horizontal="center" vertical="center"/>
    </xf>
    <xf numFmtId="0" fontId="65" fillId="0" borderId="37" xfId="0" applyFont="1" applyBorder="1" applyAlignment="1">
      <alignment horizontal="center" vertical="center"/>
    </xf>
    <xf numFmtId="0" fontId="65" fillId="0" borderId="39" xfId="0" applyFont="1" applyBorder="1" applyAlignment="1">
      <alignment horizontal="center" vertical="center"/>
    </xf>
    <xf numFmtId="0" fontId="65" fillId="0" borderId="52" xfId="0" applyFont="1" applyBorder="1" applyAlignment="1">
      <alignment horizontal="center" vertical="center"/>
    </xf>
    <xf numFmtId="0" fontId="69" fillId="0" borderId="61" xfId="0" applyFont="1" applyBorder="1" applyAlignment="1">
      <alignment horizontal="center" vertical="center"/>
    </xf>
    <xf numFmtId="0" fontId="69" fillId="0" borderId="37" xfId="0" applyFont="1" applyBorder="1" applyAlignment="1">
      <alignment horizontal="center" vertical="center"/>
    </xf>
    <xf numFmtId="0" fontId="69" fillId="0" borderId="39" xfId="0" applyFont="1" applyBorder="1" applyAlignment="1">
      <alignment horizontal="center" vertical="center"/>
    </xf>
    <xf numFmtId="0" fontId="69" fillId="0" borderId="52" xfId="0" applyFont="1" applyBorder="1" applyAlignment="1">
      <alignment horizontal="center" vertical="center"/>
    </xf>
    <xf numFmtId="0" fontId="67" fillId="0" borderId="60" xfId="0" applyFont="1" applyBorder="1" applyAlignment="1">
      <alignment horizontal="center" vertical="center"/>
    </xf>
    <xf numFmtId="0" fontId="65" fillId="0" borderId="58" xfId="0" applyFont="1" applyBorder="1" applyAlignment="1">
      <alignment horizontal="center" vertical="center"/>
    </xf>
    <xf numFmtId="0" fontId="65" fillId="0" borderId="62" xfId="0" applyFont="1" applyBorder="1" applyAlignment="1">
      <alignment horizontal="center" vertical="center"/>
    </xf>
    <xf numFmtId="0" fontId="65" fillId="0" borderId="59" xfId="0" applyFont="1" applyBorder="1" applyAlignment="1">
      <alignment horizontal="center" vertical="center"/>
    </xf>
    <xf numFmtId="0" fontId="67" fillId="0" borderId="58" xfId="0" applyNumberFormat="1" applyFont="1" applyBorder="1" applyAlignment="1">
      <alignment horizontal="right" vertical="center"/>
    </xf>
    <xf numFmtId="0" fontId="67" fillId="0" borderId="62" xfId="0" applyNumberFormat="1" applyFont="1" applyBorder="1" applyAlignment="1">
      <alignment horizontal="right" vertical="center"/>
    </xf>
    <xf numFmtId="0" fontId="67" fillId="0" borderId="62" xfId="0" applyNumberFormat="1" applyFont="1" applyBorder="1" applyAlignment="1">
      <alignment vertical="center"/>
    </xf>
    <xf numFmtId="0" fontId="67" fillId="0" borderId="59" xfId="0" applyNumberFormat="1" applyFont="1" applyBorder="1" applyAlignment="1">
      <alignment vertical="center"/>
    </xf>
    <xf numFmtId="2" fontId="67" fillId="0" borderId="58" xfId="0" applyNumberFormat="1" applyFont="1" applyBorder="1" applyAlignment="1">
      <alignment vertical="center"/>
    </xf>
    <xf numFmtId="2" fontId="67" fillId="0" borderId="62" xfId="0" applyNumberFormat="1" applyFont="1" applyBorder="1" applyAlignment="1">
      <alignment vertical="center"/>
    </xf>
    <xf numFmtId="192" fontId="67" fillId="0" borderId="62" xfId="0" applyNumberFormat="1" applyFont="1" applyBorder="1" applyAlignment="1">
      <alignment vertical="center"/>
    </xf>
    <xf numFmtId="192" fontId="67" fillId="0" borderId="59" xfId="0" applyNumberFormat="1" applyFont="1" applyBorder="1" applyAlignment="1">
      <alignment vertical="center"/>
    </xf>
    <xf numFmtId="0" fontId="67" fillId="0" borderId="58" xfId="0" applyFont="1" applyBorder="1" applyAlignment="1">
      <alignment vertical="center"/>
    </xf>
    <xf numFmtId="0" fontId="67" fillId="0" borderId="62" xfId="0" applyFont="1" applyBorder="1" applyAlignment="1">
      <alignment vertical="center"/>
    </xf>
    <xf numFmtId="0" fontId="67" fillId="0" borderId="62" xfId="0" applyFont="1" applyBorder="1" applyAlignment="1">
      <alignment horizontal="left" vertical="center"/>
    </xf>
    <xf numFmtId="0" fontId="67" fillId="0" borderId="59" xfId="0" applyFont="1" applyBorder="1" applyAlignment="1">
      <alignment horizontal="left" vertical="center"/>
    </xf>
    <xf numFmtId="0" fontId="67" fillId="0" borderId="58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207" fontId="67" fillId="0" borderId="0" xfId="0" applyNumberFormat="1" applyFont="1" applyBorder="1" applyAlignment="1">
      <alignment horizontal="center" vertical="center"/>
    </xf>
    <xf numFmtId="215" fontId="67" fillId="0" borderId="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 shrinkToFit="1"/>
    </xf>
    <xf numFmtId="0" fontId="67" fillId="0" borderId="0" xfId="0" applyNumberFormat="1" applyFont="1" applyBorder="1" applyAlignment="1">
      <alignment vertical="center"/>
    </xf>
    <xf numFmtId="2" fontId="67" fillId="0" borderId="39" xfId="0" applyNumberFormat="1" applyFont="1" applyBorder="1" applyAlignment="1">
      <alignment horizontal="center" vertical="center"/>
    </xf>
    <xf numFmtId="2" fontId="67" fillId="0" borderId="0" xfId="0" applyNumberFormat="1" applyFont="1" applyBorder="1" applyAlignment="1">
      <alignment vertical="center"/>
    </xf>
    <xf numFmtId="0" fontId="67" fillId="0" borderId="43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203" fontId="69" fillId="0" borderId="0" xfId="0" applyNumberFormat="1" applyFont="1" applyBorder="1" applyAlignment="1">
      <alignment horizontal="center" vertical="center"/>
    </xf>
    <xf numFmtId="2" fontId="67" fillId="0" borderId="0" xfId="0" applyNumberFormat="1" applyFont="1" applyBorder="1" applyAlignment="1">
      <alignment horizontal="right" vertical="center"/>
    </xf>
    <xf numFmtId="0" fontId="67" fillId="0" borderId="0" xfId="0" applyFont="1" applyBorder="1" applyAlignment="1">
      <alignment vertical="center"/>
    </xf>
    <xf numFmtId="0" fontId="67" fillId="0" borderId="39" xfId="0" applyNumberFormat="1" applyFont="1" applyBorder="1" applyAlignment="1">
      <alignment vertical="center"/>
    </xf>
    <xf numFmtId="196" fontId="67" fillId="0" borderId="0" xfId="0" applyNumberFormat="1" applyFont="1" applyBorder="1" applyAlignment="1">
      <alignment vertical="center"/>
    </xf>
    <xf numFmtId="209" fontId="67" fillId="0" borderId="0" xfId="0" applyNumberFormat="1" applyFont="1" applyBorder="1" applyAlignment="1">
      <alignment vertical="center"/>
    </xf>
    <xf numFmtId="0" fontId="67" fillId="0" borderId="0" xfId="0" applyFont="1" applyBorder="1">
      <alignment vertical="center"/>
    </xf>
    <xf numFmtId="0" fontId="65" fillId="0" borderId="43" xfId="0" applyFont="1" applyBorder="1" applyAlignment="1">
      <alignment horizontal="center" vertical="center"/>
    </xf>
    <xf numFmtId="2" fontId="67" fillId="0" borderId="39" xfId="0" applyNumberFormat="1" applyFont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189" fontId="67" fillId="0" borderId="0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197" fontId="67" fillId="0" borderId="0" xfId="0" applyNumberFormat="1" applyFont="1" applyBorder="1" applyAlignment="1">
      <alignment vertical="center"/>
    </xf>
    <xf numFmtId="211" fontId="67" fillId="0" borderId="0" xfId="0" applyNumberFormat="1" applyFont="1" applyBorder="1" applyAlignment="1">
      <alignment horizontal="left" vertical="center"/>
    </xf>
    <xf numFmtId="207" fontId="65" fillId="0" borderId="39" xfId="0" applyNumberFormat="1" applyFont="1" applyBorder="1" applyAlignment="1">
      <alignment horizontal="center" vertical="center"/>
    </xf>
    <xf numFmtId="207" fontId="67" fillId="0" borderId="39" xfId="0" applyNumberFormat="1" applyFont="1" applyBorder="1" applyAlignment="1">
      <alignment horizontal="center" vertical="center"/>
    </xf>
    <xf numFmtId="203" fontId="67" fillId="0" borderId="0" xfId="0" applyNumberFormat="1" applyFont="1" applyBorder="1" applyAlignment="1">
      <alignment horizontal="center" vertical="center"/>
    </xf>
    <xf numFmtId="0" fontId="65" fillId="0" borderId="0" xfId="0" applyFont="1" applyBorder="1" applyAlignment="1">
      <alignment horizontal="right" vertical="center"/>
    </xf>
    <xf numFmtId="0" fontId="67" fillId="0" borderId="39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194" fontId="67" fillId="0" borderId="39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 shrinkToFit="1"/>
    </xf>
    <xf numFmtId="185" fontId="67" fillId="0" borderId="0" xfId="0" applyNumberFormat="1" applyFont="1" applyBorder="1" applyAlignment="1">
      <alignment horizontal="left" vertical="center"/>
    </xf>
    <xf numFmtId="0" fontId="67" fillId="0" borderId="0" xfId="0" applyNumberFormat="1" applyFont="1" applyBorder="1" applyAlignment="1">
      <alignment horizontal="right" vertical="center"/>
    </xf>
    <xf numFmtId="188" fontId="67" fillId="0" borderId="39" xfId="0" applyNumberFormat="1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207" fontId="67" fillId="0" borderId="0" xfId="0" applyNumberFormat="1" applyFont="1" applyBorder="1" applyAlignment="1">
      <alignment vertical="center"/>
    </xf>
    <xf numFmtId="203" fontId="69" fillId="0" borderId="0" xfId="0" applyNumberFormat="1" applyFont="1" applyBorder="1" applyAlignment="1">
      <alignment horizontal="right" vertical="center"/>
    </xf>
    <xf numFmtId="209" fontId="67" fillId="0" borderId="0" xfId="0" applyNumberFormat="1" applyFont="1" applyBorder="1" applyAlignment="1">
      <alignment horizontal="center" vertical="center"/>
    </xf>
    <xf numFmtId="214" fontId="67" fillId="0" borderId="0" xfId="0" applyNumberFormat="1" applyFont="1" applyBorder="1" applyAlignment="1">
      <alignment horizontal="left" vertical="center" shrinkToFit="1"/>
    </xf>
    <xf numFmtId="2" fontId="67" fillId="0" borderId="0" xfId="0" applyNumberFormat="1" applyFont="1" applyBorder="1" applyAlignment="1">
      <alignment horizontal="center" vertical="center"/>
    </xf>
    <xf numFmtId="0" fontId="67" fillId="0" borderId="39" xfId="0" applyFont="1" applyBorder="1" applyAlignment="1">
      <alignment horizontal="center"/>
    </xf>
    <xf numFmtId="188" fontId="67" fillId="0" borderId="39" xfId="0" applyNumberFormat="1" applyFont="1" applyBorder="1" applyAlignment="1">
      <alignment horizontal="center" vertical="center" shrinkToFit="1"/>
    </xf>
    <xf numFmtId="0" fontId="81" fillId="28" borderId="44" xfId="0" applyNumberFormat="1" applyFont="1" applyFill="1" applyBorder="1" applyAlignment="1">
      <alignment horizontal="center" vertical="center" wrapText="1"/>
    </xf>
    <xf numFmtId="0" fontId="81" fillId="28" borderId="46" xfId="0" applyNumberFormat="1" applyFont="1" applyFill="1" applyBorder="1" applyAlignment="1">
      <alignment horizontal="center" vertical="center" wrapText="1"/>
    </xf>
    <xf numFmtId="193" fontId="80" fillId="0" borderId="44" xfId="0" applyNumberFormat="1" applyFont="1" applyFill="1" applyBorder="1" applyAlignment="1">
      <alignment horizontal="center" vertical="center"/>
    </xf>
    <xf numFmtId="193" fontId="80" fillId="0" borderId="45" xfId="0" applyNumberFormat="1" applyFont="1" applyFill="1" applyBorder="1" applyAlignment="1">
      <alignment horizontal="center" vertical="center"/>
    </xf>
    <xf numFmtId="193" fontId="80" fillId="0" borderId="46" xfId="0" applyNumberFormat="1" applyFont="1" applyFill="1" applyBorder="1" applyAlignment="1">
      <alignment horizontal="center" vertical="center"/>
    </xf>
    <xf numFmtId="0" fontId="81" fillId="28" borderId="45" xfId="0" applyNumberFormat="1" applyFont="1" applyFill="1" applyBorder="1" applyAlignment="1">
      <alignment horizontal="center" vertical="center" wrapText="1"/>
    </xf>
    <xf numFmtId="190" fontId="81" fillId="28" borderId="64" xfId="0" applyNumberFormat="1" applyFont="1" applyFill="1" applyBorder="1" applyAlignment="1">
      <alignment horizontal="center" vertical="center" wrapText="1"/>
    </xf>
    <xf numFmtId="190" fontId="81" fillId="28" borderId="53" xfId="0" applyNumberFormat="1" applyFont="1" applyFill="1" applyBorder="1" applyAlignment="1">
      <alignment horizontal="center" vertical="center" wrapText="1"/>
    </xf>
    <xf numFmtId="190" fontId="81" fillId="28" borderId="44" xfId="0" applyNumberFormat="1" applyFont="1" applyFill="1" applyBorder="1" applyAlignment="1">
      <alignment horizontal="center" vertical="center" wrapText="1"/>
    </xf>
    <xf numFmtId="190" fontId="81" fillId="28" borderId="46" xfId="0" applyNumberFormat="1" applyFont="1" applyFill="1" applyBorder="1" applyAlignment="1">
      <alignment horizontal="center" vertical="center" wrapText="1"/>
    </xf>
    <xf numFmtId="0" fontId="81" fillId="28" borderId="75" xfId="0" applyNumberFormat="1" applyFont="1" applyFill="1" applyBorder="1" applyAlignment="1">
      <alignment horizontal="center" vertical="center" wrapText="1"/>
    </xf>
    <xf numFmtId="0" fontId="81" fillId="28" borderId="76" xfId="0" applyNumberFormat="1" applyFont="1" applyFill="1" applyBorder="1" applyAlignment="1">
      <alignment horizontal="center" vertical="center" wrapText="1"/>
    </xf>
    <xf numFmtId="189" fontId="80" fillId="0" borderId="69" xfId="0" applyNumberFormat="1" applyFont="1" applyFill="1" applyBorder="1" applyAlignment="1">
      <alignment horizontal="center" vertical="center"/>
    </xf>
    <xf numFmtId="188" fontId="80" fillId="32" borderId="64" xfId="86" applyNumberFormat="1" applyFont="1" applyFill="1" applyBorder="1" applyAlignment="1">
      <alignment horizontal="center" vertical="center" wrapText="1"/>
    </xf>
    <xf numFmtId="188" fontId="80" fillId="32" borderId="53" xfId="86" applyNumberFormat="1" applyFont="1" applyFill="1" applyBorder="1" applyAlignment="1">
      <alignment horizontal="center" vertical="center" wrapText="1"/>
    </xf>
    <xf numFmtId="0" fontId="81" fillId="28" borderId="64" xfId="0" applyNumberFormat="1" applyFont="1" applyFill="1" applyBorder="1" applyAlignment="1">
      <alignment horizontal="center" vertical="center" wrapText="1"/>
    </xf>
    <xf numFmtId="0" fontId="81" fillId="28" borderId="77" xfId="0" applyNumberFormat="1" applyFont="1" applyFill="1" applyBorder="1" applyAlignment="1">
      <alignment horizontal="center" vertical="center" wrapText="1"/>
    </xf>
    <xf numFmtId="0" fontId="81" fillId="28" borderId="44" xfId="0" applyNumberFormat="1" applyFont="1" applyFill="1" applyBorder="1" applyAlignment="1">
      <alignment horizontal="center" vertical="center"/>
    </xf>
    <xf numFmtId="0" fontId="81" fillId="28" borderId="46" xfId="0" applyNumberFormat="1" applyFont="1" applyFill="1" applyBorder="1" applyAlignment="1">
      <alignment horizontal="center" vertical="center"/>
    </xf>
    <xf numFmtId="0" fontId="81" fillId="28" borderId="78" xfId="0" applyNumberFormat="1" applyFont="1" applyFill="1" applyBorder="1" applyAlignment="1">
      <alignment horizontal="center" vertical="center" wrapText="1"/>
    </xf>
    <xf numFmtId="0" fontId="81" fillId="28" borderId="53" xfId="0" applyNumberFormat="1" applyFont="1" applyFill="1" applyBorder="1" applyAlignment="1">
      <alignment horizontal="center" vertical="center" wrapText="1"/>
    </xf>
    <xf numFmtId="0" fontId="81" fillId="28" borderId="69" xfId="0" applyNumberFormat="1" applyFont="1" applyFill="1" applyBorder="1" applyAlignment="1">
      <alignment horizontal="center" vertical="center" wrapText="1"/>
    </xf>
    <xf numFmtId="0" fontId="81" fillId="28" borderId="47" xfId="0" applyNumberFormat="1" applyFont="1" applyFill="1" applyBorder="1" applyAlignment="1">
      <alignment horizontal="center" vertical="center" wrapText="1"/>
    </xf>
    <xf numFmtId="0" fontId="81" fillId="28" borderId="47" xfId="0" applyNumberFormat="1" applyFont="1" applyFill="1" applyBorder="1" applyAlignment="1">
      <alignment horizontal="center" vertical="center"/>
    </xf>
    <xf numFmtId="0" fontId="81" fillId="28" borderId="53" xfId="0" applyNumberFormat="1" applyFont="1" applyFill="1" applyBorder="1" applyAlignment="1">
      <alignment horizontal="center" vertical="center"/>
    </xf>
    <xf numFmtId="0" fontId="81" fillId="28" borderId="64" xfId="0" applyNumberFormat="1" applyFont="1" applyFill="1" applyBorder="1" applyAlignment="1">
      <alignment horizontal="center" vertical="center"/>
    </xf>
    <xf numFmtId="0" fontId="81" fillId="28" borderId="74" xfId="0" applyNumberFormat="1" applyFont="1" applyFill="1" applyBorder="1" applyAlignment="1">
      <alignment horizontal="center" vertical="center"/>
    </xf>
    <xf numFmtId="0" fontId="81" fillId="28" borderId="69" xfId="0" applyNumberFormat="1" applyFont="1" applyFill="1" applyBorder="1" applyAlignment="1">
      <alignment horizontal="center" vertical="center"/>
    </xf>
  </cellXfs>
  <cellStyles count="161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2 2" xfId="104"/>
    <cellStyle name="Input [yellow] 2 3" xfId="129"/>
    <cellStyle name="Input [yellow] 2 3 2" xfId="151"/>
    <cellStyle name="Input [yellow] 3" xfId="97"/>
    <cellStyle name="Input [yellow] 3 2" xfId="138"/>
    <cellStyle name="Input [yellow] 4" xfId="126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2 2" xfId="105"/>
    <cellStyle name="계산 2 3" xfId="130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2 2" xfId="106"/>
    <cellStyle name="메모 2 2 2" xfId="157"/>
    <cellStyle name="메모 2 3" xfId="131"/>
    <cellStyle name="메모 3" xfId="99"/>
    <cellStyle name="메모 3 2" xfId="139"/>
    <cellStyle name="메모 3 2 2" xfId="155"/>
    <cellStyle name="메모 3 3" xfId="148"/>
    <cellStyle name="메모 4" xfId="127"/>
    <cellStyle name="메모 4 2" xfId="149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2 2 2" xfId="112"/>
    <cellStyle name="쉼표 [0] 2 2 2 2" xfId="120"/>
    <cellStyle name="쉼표 [0] 2 2 2 2 2" xfId="160"/>
    <cellStyle name="쉼표 [0] 2 2 2 3" xfId="143"/>
    <cellStyle name="쉼표 [0] 2 2 3" xfId="116"/>
    <cellStyle name="쉼표 [0] 2 2 3 2" xfId="154"/>
    <cellStyle name="쉼표 [0] 2 2 3 3" xfId="137"/>
    <cellStyle name="쉼표 [0] 2 2 4" xfId="147"/>
    <cellStyle name="쉼표 [0] 2 2 5" xfId="125"/>
    <cellStyle name="쉼표 [0] 2 3" xfId="110"/>
    <cellStyle name="쉼표 [0] 2 3 2" xfId="118"/>
    <cellStyle name="쉼표 [0] 2 3 2 2" xfId="158"/>
    <cellStyle name="쉼표 [0] 2 3 3" xfId="141"/>
    <cellStyle name="쉼표 [0] 2 4" xfId="114"/>
    <cellStyle name="쉼표 [0] 2 4 2" xfId="152"/>
    <cellStyle name="쉼표 [0] 2 4 3" xfId="135"/>
    <cellStyle name="쉼표 [0] 2 5" xfId="145"/>
    <cellStyle name="쉼표 [0] 2 6" xfId="123"/>
    <cellStyle name="쉼표 [0] 3" xfId="95"/>
    <cellStyle name="쉼표 [0] 3 2" xfId="111"/>
    <cellStyle name="쉼표 [0] 3 2 2" xfId="119"/>
    <cellStyle name="쉼표 [0] 3 2 2 2" xfId="159"/>
    <cellStyle name="쉼표 [0] 3 2 3" xfId="142"/>
    <cellStyle name="쉼표 [0] 3 3" xfId="115"/>
    <cellStyle name="쉼표 [0] 3 3 2" xfId="153"/>
    <cellStyle name="쉼표 [0] 3 3 3" xfId="136"/>
    <cellStyle name="쉼표 [0] 3 4" xfId="146"/>
    <cellStyle name="쉼표 [0] 3 5" xfId="124"/>
    <cellStyle name="쉼표 [0] 4" xfId="103"/>
    <cellStyle name="쉼표 [0] 4 2" xfId="117"/>
    <cellStyle name="쉼표 [0] 4 2 2" xfId="156"/>
    <cellStyle name="쉼표 [0] 4 3" xfId="140"/>
    <cellStyle name="쉼표 [0] 5" xfId="113"/>
    <cellStyle name="쉼표 [0] 5 2" xfId="150"/>
    <cellStyle name="쉼표 [0] 5 3" xfId="128"/>
    <cellStyle name="쉼표 [0] 6" xfId="144"/>
    <cellStyle name="쉼표 [0] 7" xfId="122"/>
    <cellStyle name="스타일 1" xfId="56"/>
    <cellStyle name="연결된 셀" xfId="57" builtinId="24" customBuiltin="1"/>
    <cellStyle name="요약" xfId="58" builtinId="25" customBuiltin="1"/>
    <cellStyle name="요약 2" xfId="91"/>
    <cellStyle name="요약 2 2" xfId="107"/>
    <cellStyle name="요약 2 3" xfId="132"/>
    <cellStyle name="요약 3" xfId="100"/>
    <cellStyle name="입력" xfId="59" builtinId="20" customBuiltin="1"/>
    <cellStyle name="입력 2" xfId="92"/>
    <cellStyle name="입력 2 2" xfId="108"/>
    <cellStyle name="입력 2 3" xfId="133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2 2" xfId="109"/>
    <cellStyle name="출력 2 3" xfId="134"/>
    <cellStyle name="출력 3" xfId="102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21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41</xdr:row>
      <xdr:rowOff>14287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409950" y="8234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409950" y="8234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41</xdr:row>
      <xdr:rowOff>9525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705225" y="8420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05225" y="8420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58</xdr:row>
      <xdr:rowOff>9525</xdr:rowOff>
    </xdr:from>
    <xdr:to>
      <xdr:col>7</xdr:col>
      <xdr:colOff>267929</xdr:colOff>
      <xdr:row>58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99</xdr:row>
      <xdr:rowOff>57150</xdr:rowOff>
    </xdr:from>
    <xdr:ext cx="741678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4"/>
            <xdr:cNvSpPr txBox="1"/>
          </xdr:nvSpPr>
          <xdr:spPr>
            <a:xfrm>
              <a:off x="1247775" y="23793450"/>
              <a:ext cx="74167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0" name="TextBox 4"/>
            <xdr:cNvSpPr txBox="1"/>
          </xdr:nvSpPr>
          <xdr:spPr>
            <a:xfrm>
              <a:off x="1247775" y="23793450"/>
              <a:ext cx="74167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9526</xdr:colOff>
      <xdr:row>69</xdr:row>
      <xdr:rowOff>4767</xdr:rowOff>
    </xdr:from>
    <xdr:ext cx="5500224" cy="8731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/>
            <xdr:cNvSpPr txBox="1"/>
          </xdr:nvSpPr>
          <xdr:spPr>
            <a:xfrm>
              <a:off x="314326" y="16597317"/>
              <a:ext cx="5500224" cy="873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63" name="TextBox 62"/>
            <xdr:cNvSpPr txBox="1"/>
          </xdr:nvSpPr>
          <xdr:spPr>
            <a:xfrm>
              <a:off x="314326" y="16597317"/>
              <a:ext cx="5500224" cy="873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)=−1,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)=1,  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)=1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67</xdr:row>
      <xdr:rowOff>14286</xdr:rowOff>
    </xdr:from>
    <xdr:to>
      <xdr:col>50</xdr:col>
      <xdr:colOff>47625</xdr:colOff>
      <xdr:row>68</xdr:row>
      <xdr:rowOff>3320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2"/>
            <xdr:cNvSpPr txBox="1">
              <a:spLocks/>
            </xdr:cNvSpPr>
          </xdr:nvSpPr>
          <xdr:spPr>
            <a:xfrm>
              <a:off x="161925" y="16130586"/>
              <a:ext cx="7505700" cy="227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ko-KR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</m:acc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𝛼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5" name="TextBox 2"/>
            <xdr:cNvSpPr txBox="1">
              <a:spLocks/>
            </xdr:cNvSpPr>
          </xdr:nvSpPr>
          <xdr:spPr>
            <a:xfrm>
              <a:off x="161925" y="16130586"/>
              <a:ext cx="7505700" cy="227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̅∙𝑙_0 )^2 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∙𝑙_0 )^2 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𝑙〗_𝑟)+𝑢^2 (〖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𝑙〗_𝑐)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53</xdr:row>
      <xdr:rowOff>80961</xdr:rowOff>
    </xdr:from>
    <xdr:to>
      <xdr:col>37</xdr:col>
      <xdr:colOff>51862</xdr:colOff>
      <xdr:row>54</xdr:row>
      <xdr:rowOff>187290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89"/>
            <xdr:cNvSpPr txBox="1">
              <a:spLocks noChangeAspect="1"/>
            </xdr:cNvSpPr>
          </xdr:nvSpPr>
          <xdr:spPr>
            <a:xfrm>
              <a:off x="0" y="12863511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  <m:r>
                          <a:rPr lang="en-US" altLang="ko-KR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∙∆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+∆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90" name="TextBox 89"/>
            <xdr:cNvSpPr txBox="1">
              <a:spLocks noChangeAspect="1"/>
            </xdr:cNvSpPr>
          </xdr:nvSpPr>
          <xdr:spPr>
            <a:xfrm>
              <a:off x="0" y="12863511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𝐵_𝑥=𝑙_𝑠−𝑙_𝑥−(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 ̅</a:t>
              </a:r>
              <a:r>
                <a:rPr lang="en-US" altLang="ko-K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∙∆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𝑡+∆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𝛼∙𝛿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 𝑙_0+〖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𝑙〗_𝑐</a:t>
              </a:r>
              <a:endParaRPr lang="ko-KR" altLang="en-US" sz="2000"/>
            </a:p>
          </xdr:txBody>
        </xdr:sp>
      </mc:Fallback>
    </mc:AlternateContent>
    <xdr:clientData/>
  </xdr:twoCellAnchor>
  <xdr:oneCellAnchor>
    <xdr:from>
      <xdr:col>16</xdr:col>
      <xdr:colOff>47624</xdr:colOff>
      <xdr:row>94</xdr:row>
      <xdr:rowOff>228600</xdr:rowOff>
    </xdr:from>
    <xdr:ext cx="1724025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6"/>
            <xdr:cNvSpPr txBox="1"/>
          </xdr:nvSpPr>
          <xdr:spPr>
            <a:xfrm>
              <a:off x="2486024" y="22774275"/>
              <a:ext cx="172402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ko-KR" altLang="en-US" sz="1100"/>
                <a:t> 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91" name="TextBox 6"/>
            <xdr:cNvSpPr txBox="1"/>
          </xdr:nvSpPr>
          <xdr:spPr>
            <a:xfrm>
              <a:off x="2486024" y="22774275"/>
              <a:ext cx="172402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√(〖 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𝑙_0 )^2 )</a:t>
              </a:r>
              <a:r>
                <a:rPr lang="ko-KR" altLang="en-US" sz="1100"/>
                <a:t> 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29</xdr:col>
      <xdr:colOff>47623</xdr:colOff>
      <xdr:row>94</xdr:row>
      <xdr:rowOff>228600</xdr:rowOff>
    </xdr:from>
    <xdr:ext cx="2724151" cy="2056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6"/>
            <xdr:cNvSpPr txBox="1"/>
          </xdr:nvSpPr>
          <xdr:spPr>
            <a:xfrm>
              <a:off x="4467223" y="22774275"/>
              <a:ext cx="2724151" cy="2056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             </m:t>
                              </m:r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ko-KR" altLang="en-US" sz="1100"/>
                <a:t> 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119" name="TextBox 6"/>
            <xdr:cNvSpPr txBox="1"/>
          </xdr:nvSpPr>
          <xdr:spPr>
            <a:xfrm>
              <a:off x="4467223" y="22774275"/>
              <a:ext cx="2724151" cy="2056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√(〖 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        )^2 )</a:t>
              </a:r>
              <a:r>
                <a:rPr lang="ko-KR" altLang="en-US" sz="1100"/>
                <a:t> 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38100</xdr:colOff>
      <xdr:row>110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5"/>
            <xdr:cNvSpPr txBox="1"/>
          </xdr:nvSpPr>
          <xdr:spPr>
            <a:xfrm>
              <a:off x="1866900" y="2637472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0" name="TextBox 5"/>
            <xdr:cNvSpPr txBox="1"/>
          </xdr:nvSpPr>
          <xdr:spPr>
            <a:xfrm>
              <a:off x="1866900" y="2637472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123825</xdr:colOff>
      <xdr:row>110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TextBox 5"/>
            <xdr:cNvSpPr txBox="1"/>
          </xdr:nvSpPr>
          <xdr:spPr>
            <a:xfrm>
              <a:off x="2562225" y="26374725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1" name="TextBox 5"/>
            <xdr:cNvSpPr txBox="1"/>
          </xdr:nvSpPr>
          <xdr:spPr>
            <a:xfrm>
              <a:off x="2562225" y="26374725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142874</xdr:colOff>
      <xdr:row>113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TextBox 5"/>
            <xdr:cNvSpPr txBox="1"/>
          </xdr:nvSpPr>
          <xdr:spPr>
            <a:xfrm>
              <a:off x="1819274" y="27089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2" name="TextBox 5"/>
            <xdr:cNvSpPr txBox="1"/>
          </xdr:nvSpPr>
          <xdr:spPr>
            <a:xfrm>
              <a:off x="1819274" y="27089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95249</xdr:colOff>
      <xdr:row>113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TextBox 5"/>
            <xdr:cNvSpPr txBox="1"/>
          </xdr:nvSpPr>
          <xdr:spPr>
            <a:xfrm>
              <a:off x="2533649" y="27089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3" name="TextBox 5"/>
            <xdr:cNvSpPr txBox="1"/>
          </xdr:nvSpPr>
          <xdr:spPr>
            <a:xfrm>
              <a:off x="2533649" y="27089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115</xdr:row>
      <xdr:rowOff>57150</xdr:rowOff>
    </xdr:from>
    <xdr:ext cx="777521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TextBox 4"/>
            <xdr:cNvSpPr txBox="1"/>
          </xdr:nvSpPr>
          <xdr:spPr>
            <a:xfrm>
              <a:off x="1228725" y="27603450"/>
              <a:ext cx="77752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4" name="TextBox 4"/>
            <xdr:cNvSpPr txBox="1"/>
          </xdr:nvSpPr>
          <xdr:spPr>
            <a:xfrm>
              <a:off x="1228725" y="27603450"/>
              <a:ext cx="77752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𝑐_(𝑙_𝑥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79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TextBox 4"/>
            <xdr:cNvSpPr txBox="1"/>
          </xdr:nvSpPr>
          <xdr:spPr>
            <a:xfrm>
              <a:off x="704850" y="190023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5" name="TextBox 4"/>
            <xdr:cNvSpPr txBox="1"/>
          </xdr:nvSpPr>
          <xdr:spPr>
            <a:xfrm>
              <a:off x="704850" y="190023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28575</xdr:colOff>
      <xdr:row>59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TextBox 4"/>
            <xdr:cNvSpPr txBox="1"/>
          </xdr:nvSpPr>
          <xdr:spPr>
            <a:xfrm>
              <a:off x="485775" y="142398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6" name="TextBox 4"/>
            <xdr:cNvSpPr txBox="1"/>
          </xdr:nvSpPr>
          <xdr:spPr>
            <a:xfrm>
              <a:off x="485775" y="142398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9525</xdr:colOff>
      <xdr:row>121</xdr:row>
      <xdr:rowOff>38100</xdr:rowOff>
    </xdr:from>
    <xdr:ext cx="1162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4"/>
            <xdr:cNvSpPr txBox="1"/>
          </xdr:nvSpPr>
          <xdr:spPr>
            <a:xfrm>
              <a:off x="3362325" y="2901315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)/2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7" name="TextBox 4"/>
            <xdr:cNvSpPr txBox="1"/>
          </xdr:nvSpPr>
          <xdr:spPr>
            <a:xfrm>
              <a:off x="3362325" y="2901315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123</xdr:row>
      <xdr:rowOff>69881</xdr:rowOff>
    </xdr:from>
    <xdr:ext cx="2209799" cy="348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8" name="TextBox 4"/>
            <xdr:cNvSpPr txBox="1"/>
          </xdr:nvSpPr>
          <xdr:spPr>
            <a:xfrm>
              <a:off x="3514725" y="29521181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8" name="TextBox 4"/>
            <xdr:cNvSpPr txBox="1"/>
          </xdr:nvSpPr>
          <xdr:spPr>
            <a:xfrm>
              <a:off x="3514725" y="29521181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)+1/4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66674</xdr:colOff>
      <xdr:row>126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5"/>
            <xdr:cNvSpPr txBox="1"/>
          </xdr:nvSpPr>
          <xdr:spPr>
            <a:xfrm>
              <a:off x="4181474" y="301847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9" name="TextBox 5"/>
            <xdr:cNvSpPr txBox="1"/>
          </xdr:nvSpPr>
          <xdr:spPr>
            <a:xfrm>
              <a:off x="4181474" y="301847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9524</xdr:colOff>
      <xdr:row>127</xdr:row>
      <xdr:rowOff>203231</xdr:rowOff>
    </xdr:from>
    <xdr:ext cx="341947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TextBox 4"/>
            <xdr:cNvSpPr txBox="1"/>
          </xdr:nvSpPr>
          <xdr:spPr>
            <a:xfrm>
              <a:off x="1381124" y="30607031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0" name="TextBox 4"/>
            <xdr:cNvSpPr txBox="1"/>
          </xdr:nvSpPr>
          <xdr:spPr>
            <a:xfrm>
              <a:off x="1381124" y="30607031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1/4 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^2+1/4 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131</xdr:row>
      <xdr:rowOff>57150</xdr:rowOff>
    </xdr:from>
    <xdr:ext cx="1375698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TextBox 130"/>
            <xdr:cNvSpPr txBox="1"/>
          </xdr:nvSpPr>
          <xdr:spPr>
            <a:xfrm>
              <a:off x="1228725" y="31413450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1" name="TextBox 130"/>
            <xdr:cNvSpPr txBox="1"/>
          </xdr:nvSpPr>
          <xdr:spPr>
            <a:xfrm>
              <a:off x="1228725" y="31413450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134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5"/>
            <xdr:cNvSpPr txBox="1"/>
          </xdr:nvSpPr>
          <xdr:spPr>
            <a:xfrm>
              <a:off x="1076324" y="3208020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2" name="TextBox 5"/>
            <xdr:cNvSpPr txBox="1"/>
          </xdr:nvSpPr>
          <xdr:spPr>
            <a:xfrm>
              <a:off x="1076324" y="3208020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104775</xdr:colOff>
      <xdr:row>161</xdr:row>
      <xdr:rowOff>57150</xdr:rowOff>
    </xdr:from>
    <xdr:ext cx="1452129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132"/>
            <xdr:cNvSpPr txBox="1"/>
          </xdr:nvSpPr>
          <xdr:spPr>
            <a:xfrm>
              <a:off x="1323975" y="38557200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3" name="TextBox 132"/>
            <xdr:cNvSpPr txBox="1"/>
          </xdr:nvSpPr>
          <xdr:spPr>
            <a:xfrm>
              <a:off x="1323975" y="38557200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147</xdr:row>
      <xdr:rowOff>57150</xdr:rowOff>
    </xdr:from>
    <xdr:ext cx="1346010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133"/>
            <xdr:cNvSpPr txBox="1"/>
          </xdr:nvSpPr>
          <xdr:spPr>
            <a:xfrm>
              <a:off x="1228725" y="35223450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4" name="TextBox 133"/>
            <xdr:cNvSpPr txBox="1"/>
          </xdr:nvSpPr>
          <xdr:spPr>
            <a:xfrm>
              <a:off x="1228725" y="35223450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177</xdr:row>
      <xdr:rowOff>57150</xdr:rowOff>
    </xdr:from>
    <xdr:ext cx="1443344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134"/>
            <xdr:cNvSpPr txBox="1"/>
          </xdr:nvSpPr>
          <xdr:spPr>
            <a:xfrm>
              <a:off x="1333500" y="42367200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5" name="TextBox 134"/>
            <xdr:cNvSpPr txBox="1"/>
          </xdr:nvSpPr>
          <xdr:spPr>
            <a:xfrm>
              <a:off x="1333500" y="42367200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190</xdr:row>
      <xdr:rowOff>57150</xdr:rowOff>
    </xdr:from>
    <xdr:ext cx="845552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135"/>
            <xdr:cNvSpPr txBox="1"/>
          </xdr:nvSpPr>
          <xdr:spPr>
            <a:xfrm>
              <a:off x="1228725" y="45462825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6" name="TextBox 135"/>
            <xdr:cNvSpPr txBox="1"/>
          </xdr:nvSpPr>
          <xdr:spPr>
            <a:xfrm>
              <a:off x="1228725" y="45462825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204</xdr:row>
      <xdr:rowOff>57150</xdr:rowOff>
    </xdr:from>
    <xdr:ext cx="828675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Box 136"/>
            <xdr:cNvSpPr txBox="1"/>
          </xdr:nvSpPr>
          <xdr:spPr>
            <a:xfrm>
              <a:off x="1228725" y="48796575"/>
              <a:ext cx="828675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137" name="TextBox 136"/>
            <xdr:cNvSpPr txBox="1"/>
          </xdr:nvSpPr>
          <xdr:spPr>
            <a:xfrm>
              <a:off x="1228725" y="48796575"/>
              <a:ext cx="828675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136</xdr:row>
      <xdr:rowOff>47625</xdr:rowOff>
    </xdr:from>
    <xdr:ext cx="3124201" cy="602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Box 5"/>
            <xdr:cNvSpPr txBox="1"/>
          </xdr:nvSpPr>
          <xdr:spPr>
            <a:xfrm>
              <a:off x="1076324" y="32594550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(0.41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8" name="TextBox 5"/>
            <xdr:cNvSpPr txBox="1"/>
          </xdr:nvSpPr>
          <xdr:spPr>
            <a:xfrm>
              <a:off x="1076324" y="32594550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ν(¯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(0.41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9524</xdr:colOff>
      <xdr:row>159</xdr:row>
      <xdr:rowOff>12731</xdr:rowOff>
    </xdr:from>
    <xdr:ext cx="4371976" cy="216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TextBox 4"/>
            <xdr:cNvSpPr txBox="1"/>
          </xdr:nvSpPr>
          <xdr:spPr>
            <a:xfrm>
              <a:off x="1533524" y="3803653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=0.82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9" name="TextBox 4"/>
            <xdr:cNvSpPr txBox="1"/>
          </xdr:nvSpPr>
          <xdr:spPr>
            <a:xfrm>
              <a:off x="1533524" y="3803653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133349</xdr:colOff>
      <xdr:row>145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5"/>
            <xdr:cNvSpPr txBox="1"/>
          </xdr:nvSpPr>
          <xdr:spPr>
            <a:xfrm>
              <a:off x="2114549" y="347186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0" name="TextBox 5"/>
            <xdr:cNvSpPr txBox="1"/>
          </xdr:nvSpPr>
          <xdr:spPr>
            <a:xfrm>
              <a:off x="2114549" y="347186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164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Box 5"/>
            <xdr:cNvSpPr txBox="1"/>
          </xdr:nvSpPr>
          <xdr:spPr>
            <a:xfrm>
              <a:off x="1076324" y="3922395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1" name="TextBox 5"/>
            <xdr:cNvSpPr txBox="1"/>
          </xdr:nvSpPr>
          <xdr:spPr>
            <a:xfrm>
              <a:off x="1076324" y="3922395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166</xdr:row>
      <xdr:rowOff>47625</xdr:rowOff>
    </xdr:from>
    <xdr:ext cx="2733676" cy="4966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Box 5"/>
            <xdr:cNvSpPr txBox="1"/>
          </xdr:nvSpPr>
          <xdr:spPr>
            <a:xfrm>
              <a:off x="1076325" y="39738300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(0.82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2" name="TextBox 5"/>
            <xdr:cNvSpPr txBox="1"/>
          </xdr:nvSpPr>
          <xdr:spPr>
            <a:xfrm>
              <a:off x="1076325" y="39738300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142874</xdr:colOff>
      <xdr:row>175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TextBox 5"/>
            <xdr:cNvSpPr txBox="1"/>
          </xdr:nvSpPr>
          <xdr:spPr>
            <a:xfrm>
              <a:off x="2124074" y="418623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3" name="TextBox 5"/>
            <xdr:cNvSpPr txBox="1"/>
          </xdr:nvSpPr>
          <xdr:spPr>
            <a:xfrm>
              <a:off x="2124074" y="418623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188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TextBox 5"/>
            <xdr:cNvSpPr txBox="1"/>
          </xdr:nvSpPr>
          <xdr:spPr>
            <a:xfrm>
              <a:off x="2124074" y="447103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4" name="TextBox 5"/>
            <xdr:cNvSpPr txBox="1"/>
          </xdr:nvSpPr>
          <xdr:spPr>
            <a:xfrm>
              <a:off x="2124074" y="447103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152399</xdr:colOff>
      <xdr:row>188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TextBox 5"/>
            <xdr:cNvSpPr txBox="1"/>
          </xdr:nvSpPr>
          <xdr:spPr>
            <a:xfrm>
              <a:off x="2895599" y="447103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5" name="TextBox 5"/>
            <xdr:cNvSpPr txBox="1"/>
          </xdr:nvSpPr>
          <xdr:spPr>
            <a:xfrm>
              <a:off x="2895599" y="447103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193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TextBox 5"/>
            <xdr:cNvSpPr txBox="1"/>
          </xdr:nvSpPr>
          <xdr:spPr>
            <a:xfrm>
              <a:off x="1076325" y="4589145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6" name="TextBox 5"/>
            <xdr:cNvSpPr txBox="1"/>
          </xdr:nvSpPr>
          <xdr:spPr>
            <a:xfrm>
              <a:off x="1076325" y="4589145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𝑙_𝑟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19049</xdr:colOff>
      <xdr:row>202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TextBox 5"/>
            <xdr:cNvSpPr txBox="1"/>
          </xdr:nvSpPr>
          <xdr:spPr>
            <a:xfrm>
              <a:off x="2152649" y="480536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7" name="TextBox 5"/>
            <xdr:cNvSpPr txBox="1"/>
          </xdr:nvSpPr>
          <xdr:spPr>
            <a:xfrm>
              <a:off x="2152649" y="480536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207</xdr:row>
      <xdr:rowOff>9525</xdr:rowOff>
    </xdr:from>
    <xdr:ext cx="2266950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TextBox 5"/>
            <xdr:cNvSpPr txBox="1"/>
          </xdr:nvSpPr>
          <xdr:spPr>
            <a:xfrm>
              <a:off x="1076325" y="49225200"/>
              <a:ext cx="2266950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8" name="TextBox 5"/>
            <xdr:cNvSpPr txBox="1"/>
          </xdr:nvSpPr>
          <xdr:spPr>
            <a:xfrm>
              <a:off x="1076325" y="49225200"/>
              <a:ext cx="2266950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𝑙_𝑐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47625</xdr:colOff>
      <xdr:row>211</xdr:row>
      <xdr:rowOff>9525</xdr:rowOff>
    </xdr:from>
    <xdr:to>
      <xdr:col>50</xdr:col>
      <xdr:colOff>85725</xdr:colOff>
      <xdr:row>211</xdr:row>
      <xdr:rowOff>236684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TextBox 2"/>
            <xdr:cNvSpPr txBox="1">
              <a:spLocks/>
            </xdr:cNvSpPr>
          </xdr:nvSpPr>
          <xdr:spPr>
            <a:xfrm>
              <a:off x="200025" y="50415825"/>
              <a:ext cx="7505700" cy="227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9" name="TextBox 2"/>
            <xdr:cNvSpPr txBox="1">
              <a:spLocks/>
            </xdr:cNvSpPr>
          </xdr:nvSpPr>
          <xdr:spPr>
            <a:xfrm>
              <a:off x="200025" y="50415825"/>
              <a:ext cx="7505700" cy="227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𝑙〗_𝑥)+𝑢^2 (〖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𝑙〗_𝑐)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212</xdr:row>
      <xdr:rowOff>38101</xdr:rowOff>
    </xdr:from>
    <xdr:to>
      <xdr:col>10</xdr:col>
      <xdr:colOff>104775</xdr:colOff>
      <xdr:row>213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TextBox 2"/>
            <xdr:cNvSpPr txBox="1">
              <a:spLocks/>
            </xdr:cNvSpPr>
          </xdr:nvSpPr>
          <xdr:spPr>
            <a:xfrm>
              <a:off x="447675" y="504444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0" name="TextBox 2"/>
            <xdr:cNvSpPr txBox="1">
              <a:spLocks/>
            </xdr:cNvSpPr>
          </xdr:nvSpPr>
          <xdr:spPr>
            <a:xfrm>
              <a:off x="447675" y="504444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142875</xdr:colOff>
      <xdr:row>212</xdr:row>
      <xdr:rowOff>38101</xdr:rowOff>
    </xdr:from>
    <xdr:to>
      <xdr:col>17</xdr:col>
      <xdr:colOff>104775</xdr:colOff>
      <xdr:row>213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1" name="TextBox 2"/>
            <xdr:cNvSpPr txBox="1">
              <a:spLocks/>
            </xdr:cNvSpPr>
          </xdr:nvSpPr>
          <xdr:spPr>
            <a:xfrm>
              <a:off x="1514475" y="504444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1" name="TextBox 2"/>
            <xdr:cNvSpPr txBox="1">
              <a:spLocks/>
            </xdr:cNvSpPr>
          </xdr:nvSpPr>
          <xdr:spPr>
            <a:xfrm>
              <a:off x="1514475" y="504444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18</xdr:col>
      <xdr:colOff>142875</xdr:colOff>
      <xdr:row>212</xdr:row>
      <xdr:rowOff>38101</xdr:rowOff>
    </xdr:from>
    <xdr:to>
      <xdr:col>24</xdr:col>
      <xdr:colOff>104775</xdr:colOff>
      <xdr:row>213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TextBox 2"/>
            <xdr:cNvSpPr txBox="1">
              <a:spLocks/>
            </xdr:cNvSpPr>
          </xdr:nvSpPr>
          <xdr:spPr>
            <a:xfrm>
              <a:off x="2581275" y="504444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2" name="TextBox 2"/>
            <xdr:cNvSpPr txBox="1">
              <a:spLocks/>
            </xdr:cNvSpPr>
          </xdr:nvSpPr>
          <xdr:spPr>
            <a:xfrm>
              <a:off x="2581275" y="504444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133350</xdr:colOff>
      <xdr:row>212</xdr:row>
      <xdr:rowOff>38101</xdr:rowOff>
    </xdr:from>
    <xdr:to>
      <xdr:col>31</xdr:col>
      <xdr:colOff>95250</xdr:colOff>
      <xdr:row>213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TextBox 2"/>
            <xdr:cNvSpPr txBox="1">
              <a:spLocks/>
            </xdr:cNvSpPr>
          </xdr:nvSpPr>
          <xdr:spPr>
            <a:xfrm>
              <a:off x="3638550" y="504444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3" name="TextBox 2"/>
            <xdr:cNvSpPr txBox="1">
              <a:spLocks/>
            </xdr:cNvSpPr>
          </xdr:nvSpPr>
          <xdr:spPr>
            <a:xfrm>
              <a:off x="3638550" y="504444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32</xdr:col>
      <xdr:colOff>133350</xdr:colOff>
      <xdr:row>212</xdr:row>
      <xdr:rowOff>38101</xdr:rowOff>
    </xdr:from>
    <xdr:to>
      <xdr:col>38</xdr:col>
      <xdr:colOff>95250</xdr:colOff>
      <xdr:row>213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4" name="TextBox 2"/>
            <xdr:cNvSpPr txBox="1">
              <a:spLocks/>
            </xdr:cNvSpPr>
          </xdr:nvSpPr>
          <xdr:spPr>
            <a:xfrm>
              <a:off x="4705350" y="504444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4" name="TextBox 2"/>
            <xdr:cNvSpPr txBox="1">
              <a:spLocks/>
            </xdr:cNvSpPr>
          </xdr:nvSpPr>
          <xdr:spPr>
            <a:xfrm>
              <a:off x="4705350" y="504444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39</xdr:col>
      <xdr:colOff>142875</xdr:colOff>
      <xdr:row>212</xdr:row>
      <xdr:rowOff>28576</xdr:rowOff>
    </xdr:from>
    <xdr:to>
      <xdr:col>45</xdr:col>
      <xdr:colOff>104775</xdr:colOff>
      <xdr:row>212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5" name="TextBox 2"/>
            <xdr:cNvSpPr txBox="1">
              <a:spLocks/>
            </xdr:cNvSpPr>
          </xdr:nvSpPr>
          <xdr:spPr>
            <a:xfrm>
              <a:off x="752475" y="506730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5" name="TextBox 2"/>
            <xdr:cNvSpPr txBox="1">
              <a:spLocks/>
            </xdr:cNvSpPr>
          </xdr:nvSpPr>
          <xdr:spPr>
            <a:xfrm>
              <a:off x="752475" y="506730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6</xdr:col>
      <xdr:colOff>142875</xdr:colOff>
      <xdr:row>213</xdr:row>
      <xdr:rowOff>28576</xdr:rowOff>
    </xdr:from>
    <xdr:to>
      <xdr:col>12</xdr:col>
      <xdr:colOff>104775</xdr:colOff>
      <xdr:row>213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6" name="TextBox 2"/>
            <xdr:cNvSpPr txBox="1">
              <a:spLocks/>
            </xdr:cNvSpPr>
          </xdr:nvSpPr>
          <xdr:spPr>
            <a:xfrm>
              <a:off x="1819275" y="506730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6" name="TextBox 2"/>
            <xdr:cNvSpPr txBox="1">
              <a:spLocks/>
            </xdr:cNvSpPr>
          </xdr:nvSpPr>
          <xdr:spPr>
            <a:xfrm>
              <a:off x="1819275" y="506730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13</xdr:col>
      <xdr:colOff>142875</xdr:colOff>
      <xdr:row>213</xdr:row>
      <xdr:rowOff>28576</xdr:rowOff>
    </xdr:from>
    <xdr:to>
      <xdr:col>19</xdr:col>
      <xdr:colOff>104775</xdr:colOff>
      <xdr:row>213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7" name="TextBox 2"/>
            <xdr:cNvSpPr txBox="1">
              <a:spLocks/>
            </xdr:cNvSpPr>
          </xdr:nvSpPr>
          <xdr:spPr>
            <a:xfrm>
              <a:off x="2886075" y="506730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7" name="TextBox 2"/>
            <xdr:cNvSpPr txBox="1">
              <a:spLocks/>
            </xdr:cNvSpPr>
          </xdr:nvSpPr>
          <xdr:spPr>
            <a:xfrm>
              <a:off x="2886075" y="506730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214</xdr:row>
      <xdr:rowOff>38101</xdr:rowOff>
    </xdr:from>
    <xdr:to>
      <xdr:col>10</xdr:col>
      <xdr:colOff>104775</xdr:colOff>
      <xdr:row>215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8" name="TextBox 2"/>
            <xdr:cNvSpPr txBox="1">
              <a:spLocks/>
            </xdr:cNvSpPr>
          </xdr:nvSpPr>
          <xdr:spPr>
            <a:xfrm>
              <a:off x="447675" y="50920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8" name="TextBox 2"/>
            <xdr:cNvSpPr txBox="1">
              <a:spLocks/>
            </xdr:cNvSpPr>
          </xdr:nvSpPr>
          <xdr:spPr>
            <a:xfrm>
              <a:off x="447675" y="50920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0</xdr:colOff>
      <xdr:row>220</xdr:row>
      <xdr:rowOff>19050</xdr:rowOff>
    </xdr:from>
    <xdr:to>
      <xdr:col>15</xdr:col>
      <xdr:colOff>123825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9" name="TextBox 2"/>
            <xdr:cNvSpPr txBox="1">
              <a:spLocks/>
            </xdr:cNvSpPr>
          </xdr:nvSpPr>
          <xdr:spPr>
            <a:xfrm>
              <a:off x="1676400" y="5233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9" name="TextBox 2"/>
            <xdr:cNvSpPr txBox="1">
              <a:spLocks/>
            </xdr:cNvSpPr>
          </xdr:nvSpPr>
          <xdr:spPr>
            <a:xfrm>
              <a:off x="1676400" y="5233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28</xdr:col>
      <xdr:colOff>47625</xdr:colOff>
      <xdr:row>219</xdr:row>
      <xdr:rowOff>28575</xdr:rowOff>
    </xdr:from>
    <xdr:to>
      <xdr:col>33</xdr:col>
      <xdr:colOff>19050</xdr:colOff>
      <xdr:row>219</xdr:row>
      <xdr:rowOff>238124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0" name="TextBox 2"/>
            <xdr:cNvSpPr txBox="1">
              <a:spLocks/>
            </xdr:cNvSpPr>
          </xdr:nvSpPr>
          <xdr:spPr>
            <a:xfrm>
              <a:off x="4314825" y="521017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0" name="TextBox 2"/>
            <xdr:cNvSpPr txBox="1">
              <a:spLocks/>
            </xdr:cNvSpPr>
          </xdr:nvSpPr>
          <xdr:spPr>
            <a:xfrm>
              <a:off x="4314825" y="521017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15</xdr:col>
      <xdr:colOff>85725</xdr:colOff>
      <xdr:row>220</xdr:row>
      <xdr:rowOff>19050</xdr:rowOff>
    </xdr:from>
    <xdr:to>
      <xdr:col>20</xdr:col>
      <xdr:colOff>57150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1" name="TextBox 2"/>
            <xdr:cNvSpPr txBox="1">
              <a:spLocks/>
            </xdr:cNvSpPr>
          </xdr:nvSpPr>
          <xdr:spPr>
            <a:xfrm>
              <a:off x="2371725" y="5233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1" name="TextBox 2"/>
            <xdr:cNvSpPr txBox="1">
              <a:spLocks/>
            </xdr:cNvSpPr>
          </xdr:nvSpPr>
          <xdr:spPr>
            <a:xfrm>
              <a:off x="2371725" y="5233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114300</xdr:colOff>
      <xdr:row>220</xdr:row>
      <xdr:rowOff>19050</xdr:rowOff>
    </xdr:from>
    <xdr:to>
      <xdr:col>25</xdr:col>
      <xdr:colOff>85725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2" name="TextBox 2"/>
            <xdr:cNvSpPr txBox="1">
              <a:spLocks/>
            </xdr:cNvSpPr>
          </xdr:nvSpPr>
          <xdr:spPr>
            <a:xfrm>
              <a:off x="3162300" y="5233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2" name="TextBox 2"/>
            <xdr:cNvSpPr txBox="1">
              <a:spLocks/>
            </xdr:cNvSpPr>
          </xdr:nvSpPr>
          <xdr:spPr>
            <a:xfrm>
              <a:off x="3162300" y="5233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95250</xdr:colOff>
      <xdr:row>220</xdr:row>
      <xdr:rowOff>19050</xdr:rowOff>
    </xdr:from>
    <xdr:to>
      <xdr:col>30</xdr:col>
      <xdr:colOff>66675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3" name="TextBox 2"/>
            <xdr:cNvSpPr txBox="1">
              <a:spLocks/>
            </xdr:cNvSpPr>
          </xdr:nvSpPr>
          <xdr:spPr>
            <a:xfrm>
              <a:off x="3905250" y="5233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3" name="TextBox 2"/>
            <xdr:cNvSpPr txBox="1">
              <a:spLocks/>
            </xdr:cNvSpPr>
          </xdr:nvSpPr>
          <xdr:spPr>
            <a:xfrm>
              <a:off x="3905250" y="5233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30</xdr:col>
      <xdr:colOff>104775</xdr:colOff>
      <xdr:row>220</xdr:row>
      <xdr:rowOff>19050</xdr:rowOff>
    </xdr:from>
    <xdr:to>
      <xdr:col>35</xdr:col>
      <xdr:colOff>76200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4" name="TextBox 2"/>
            <xdr:cNvSpPr txBox="1">
              <a:spLocks/>
            </xdr:cNvSpPr>
          </xdr:nvSpPr>
          <xdr:spPr>
            <a:xfrm>
              <a:off x="4676775" y="5233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4" name="TextBox 2"/>
            <xdr:cNvSpPr txBox="1">
              <a:spLocks/>
            </xdr:cNvSpPr>
          </xdr:nvSpPr>
          <xdr:spPr>
            <a:xfrm>
              <a:off x="4676775" y="5233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35</xdr:col>
      <xdr:colOff>95250</xdr:colOff>
      <xdr:row>220</xdr:row>
      <xdr:rowOff>19050</xdr:rowOff>
    </xdr:from>
    <xdr:to>
      <xdr:col>40</xdr:col>
      <xdr:colOff>66675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5" name="TextBox 2"/>
            <xdr:cNvSpPr txBox="1">
              <a:spLocks/>
            </xdr:cNvSpPr>
          </xdr:nvSpPr>
          <xdr:spPr>
            <a:xfrm>
              <a:off x="5429250" y="5233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5" name="TextBox 2"/>
            <xdr:cNvSpPr txBox="1">
              <a:spLocks/>
            </xdr:cNvSpPr>
          </xdr:nvSpPr>
          <xdr:spPr>
            <a:xfrm>
              <a:off x="5429250" y="5233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40</xdr:col>
      <xdr:colOff>85725</xdr:colOff>
      <xdr:row>220</xdr:row>
      <xdr:rowOff>19050</xdr:rowOff>
    </xdr:from>
    <xdr:to>
      <xdr:col>45</xdr:col>
      <xdr:colOff>57150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" name="TextBox 2"/>
            <xdr:cNvSpPr txBox="1">
              <a:spLocks/>
            </xdr:cNvSpPr>
          </xdr:nvSpPr>
          <xdr:spPr>
            <a:xfrm>
              <a:off x="6181725" y="5233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6" name="TextBox 2"/>
            <xdr:cNvSpPr txBox="1">
              <a:spLocks/>
            </xdr:cNvSpPr>
          </xdr:nvSpPr>
          <xdr:spPr>
            <a:xfrm>
              <a:off x="6181725" y="5233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45</xdr:col>
      <xdr:colOff>95250</xdr:colOff>
      <xdr:row>220</xdr:row>
      <xdr:rowOff>19050</xdr:rowOff>
    </xdr:from>
    <xdr:to>
      <xdr:col>50</xdr:col>
      <xdr:colOff>66675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7" name="TextBox 2"/>
            <xdr:cNvSpPr txBox="1">
              <a:spLocks/>
            </xdr:cNvSpPr>
          </xdr:nvSpPr>
          <xdr:spPr>
            <a:xfrm>
              <a:off x="6953250" y="5233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7" name="TextBox 2"/>
            <xdr:cNvSpPr txBox="1">
              <a:spLocks/>
            </xdr:cNvSpPr>
          </xdr:nvSpPr>
          <xdr:spPr>
            <a:xfrm>
              <a:off x="6953250" y="5233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</xdr:col>
      <xdr:colOff>47625</xdr:colOff>
      <xdr:row>219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8" name="TextBox 167"/>
            <xdr:cNvSpPr txBox="1"/>
          </xdr:nvSpPr>
          <xdr:spPr>
            <a:xfrm>
              <a:off x="200025" y="5212527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8" name="TextBox 167"/>
            <xdr:cNvSpPr txBox="1"/>
          </xdr:nvSpPr>
          <xdr:spPr>
            <a:xfrm>
              <a:off x="200025" y="5212527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150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" name="TextBox 5"/>
            <xdr:cNvSpPr txBox="1"/>
          </xdr:nvSpPr>
          <xdr:spPr>
            <a:xfrm>
              <a:off x="1076325" y="3589019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69" name="TextBox 5"/>
            <xdr:cNvSpPr txBox="1"/>
          </xdr:nvSpPr>
          <xdr:spPr>
            <a:xfrm>
              <a:off x="1076325" y="3589019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180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TextBox 5"/>
            <xdr:cNvSpPr txBox="1"/>
          </xdr:nvSpPr>
          <xdr:spPr>
            <a:xfrm>
              <a:off x="1076325" y="4303395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0" name="TextBox 5"/>
            <xdr:cNvSpPr txBox="1"/>
          </xdr:nvSpPr>
          <xdr:spPr>
            <a:xfrm>
              <a:off x="1076325" y="4303395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9525</xdr:colOff>
      <xdr:row>120</xdr:row>
      <xdr:rowOff>38100</xdr:rowOff>
    </xdr:from>
    <xdr:ext cx="3143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1" name="TextBox 4"/>
            <xdr:cNvSpPr txBox="1"/>
          </xdr:nvSpPr>
          <xdr:spPr>
            <a:xfrm>
              <a:off x="3971925" y="28775025"/>
              <a:ext cx="3143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1" name="TextBox 4"/>
            <xdr:cNvSpPr txBox="1"/>
          </xdr:nvSpPr>
          <xdr:spPr>
            <a:xfrm>
              <a:off x="3971925" y="28775025"/>
              <a:ext cx="3143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298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4"/>
            <xdr:cNvSpPr txBox="1"/>
          </xdr:nvSpPr>
          <xdr:spPr>
            <a:xfrm>
              <a:off x="704850" y="1383982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1" name="TextBox 4"/>
            <xdr:cNvSpPr txBox="1"/>
          </xdr:nvSpPr>
          <xdr:spPr>
            <a:xfrm>
              <a:off x="704850" y="1383982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28575</xdr:colOff>
      <xdr:row>292</xdr:row>
      <xdr:rowOff>0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4"/>
            <xdr:cNvSpPr txBox="1"/>
          </xdr:nvSpPr>
          <xdr:spPr>
            <a:xfrm>
              <a:off x="485775" y="123825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2" name="TextBox 4"/>
            <xdr:cNvSpPr txBox="1"/>
          </xdr:nvSpPr>
          <xdr:spPr>
            <a:xfrm>
              <a:off x="485775" y="123825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28" t="s">
        <v>0</v>
      </c>
      <c r="B1" s="329"/>
      <c r="C1" s="329"/>
      <c r="D1" s="329"/>
      <c r="E1" s="329"/>
      <c r="F1" s="329"/>
      <c r="G1" s="329"/>
      <c r="H1" s="330"/>
      <c r="I1" s="331"/>
      <c r="J1" s="332"/>
    </row>
    <row r="2" spans="1:13" ht="12.95" customHeight="1">
      <c r="A2" s="333" t="s">
        <v>1</v>
      </c>
      <c r="B2" s="333"/>
      <c r="C2" s="333"/>
      <c r="D2" s="333"/>
      <c r="E2" s="333"/>
      <c r="F2" s="333"/>
      <c r="G2" s="333"/>
      <c r="H2" s="333"/>
      <c r="I2" s="333"/>
      <c r="J2" s="333"/>
    </row>
    <row r="3" spans="1:13" ht="12.95" customHeight="1">
      <c r="A3" s="325" t="s">
        <v>2</v>
      </c>
      <c r="B3" s="322"/>
      <c r="C3" s="334"/>
      <c r="D3" s="334"/>
      <c r="E3" s="334"/>
      <c r="F3" s="322" t="s">
        <v>3</v>
      </c>
      <c r="G3" s="322"/>
      <c r="H3" s="335"/>
      <c r="I3" s="324"/>
      <c r="J3" s="324"/>
    </row>
    <row r="4" spans="1:13" ht="12.95" customHeight="1">
      <c r="A4" s="322" t="s">
        <v>4</v>
      </c>
      <c r="B4" s="322"/>
      <c r="C4" s="323"/>
      <c r="D4" s="322"/>
      <c r="E4" s="322"/>
      <c r="F4" s="322" t="s">
        <v>5</v>
      </c>
      <c r="G4" s="322"/>
      <c r="H4" s="322"/>
      <c r="I4" s="324"/>
      <c r="J4" s="324"/>
    </row>
    <row r="5" spans="1:13" ht="12.95" customHeight="1">
      <c r="A5" s="322" t="s">
        <v>6</v>
      </c>
      <c r="B5" s="322"/>
      <c r="C5" s="322"/>
      <c r="D5" s="324"/>
      <c r="E5" s="324"/>
      <c r="F5" s="325" t="s">
        <v>7</v>
      </c>
      <c r="G5" s="322"/>
      <c r="H5" s="326"/>
      <c r="I5" s="327"/>
      <c r="J5" s="327"/>
    </row>
    <row r="6" spans="1:13" ht="12.95" customHeight="1">
      <c r="A6" s="322" t="s">
        <v>8</v>
      </c>
      <c r="B6" s="322"/>
      <c r="C6" s="322"/>
      <c r="D6" s="324"/>
      <c r="E6" s="324"/>
      <c r="F6" s="325" t="s">
        <v>9</v>
      </c>
      <c r="G6" s="322"/>
      <c r="H6" s="326"/>
      <c r="I6" s="327"/>
      <c r="J6" s="327"/>
    </row>
    <row r="7" spans="1:13" ht="12.95" customHeight="1">
      <c r="A7" s="322" t="s">
        <v>10</v>
      </c>
      <c r="B7" s="322"/>
      <c r="C7" s="337"/>
      <c r="D7" s="324"/>
      <c r="E7" s="324"/>
      <c r="F7" s="325" t="s">
        <v>11</v>
      </c>
      <c r="G7" s="322"/>
      <c r="H7" s="322"/>
      <c r="I7" s="324"/>
      <c r="J7" s="324"/>
    </row>
    <row r="8" spans="1:13" ht="12.95" customHeight="1">
      <c r="A8" s="322" t="s">
        <v>12</v>
      </c>
      <c r="B8" s="322"/>
      <c r="C8" s="335"/>
      <c r="D8" s="336"/>
      <c r="E8" s="336"/>
      <c r="F8" s="325" t="s">
        <v>13</v>
      </c>
      <c r="G8" s="322"/>
      <c r="H8" s="322"/>
      <c r="I8" s="324"/>
      <c r="J8" s="324"/>
    </row>
    <row r="9" spans="1:13" ht="12.95" customHeight="1">
      <c r="A9" s="325" t="s">
        <v>35</v>
      </c>
      <c r="B9" s="322"/>
      <c r="C9" s="326"/>
      <c r="D9" s="327"/>
      <c r="E9" s="327"/>
      <c r="F9" s="338" t="s">
        <v>14</v>
      </c>
      <c r="G9" s="338"/>
      <c r="H9" s="326"/>
      <c r="I9" s="327"/>
      <c r="J9" s="327"/>
    </row>
    <row r="10" spans="1:13" ht="23.25" customHeight="1">
      <c r="A10" s="322" t="s">
        <v>15</v>
      </c>
      <c r="B10" s="322"/>
      <c r="C10" s="326"/>
      <c r="D10" s="327"/>
      <c r="E10" s="327"/>
      <c r="F10" s="322" t="s">
        <v>16</v>
      </c>
      <c r="G10" s="322"/>
      <c r="H10" s="34"/>
      <c r="I10" s="346" t="s">
        <v>17</v>
      </c>
      <c r="J10" s="347"/>
      <c r="K10" s="4"/>
    </row>
    <row r="11" spans="1:13" ht="12.95" customHeight="1">
      <c r="A11" s="333" t="s">
        <v>18</v>
      </c>
      <c r="B11" s="333"/>
      <c r="C11" s="333"/>
      <c r="D11" s="333"/>
      <c r="E11" s="333"/>
      <c r="F11" s="333"/>
      <c r="G11" s="333"/>
      <c r="H11" s="333"/>
      <c r="I11" s="333"/>
      <c r="J11" s="333"/>
      <c r="K11" s="5"/>
    </row>
    <row r="12" spans="1:13" ht="17.25" customHeight="1">
      <c r="A12" s="3" t="s">
        <v>19</v>
      </c>
      <c r="B12" s="89"/>
      <c r="C12" s="6" t="s">
        <v>20</v>
      </c>
      <c r="D12" s="90"/>
      <c r="E12" s="6" t="s">
        <v>21</v>
      </c>
      <c r="F12" s="91"/>
      <c r="G12" s="348" t="s">
        <v>22</v>
      </c>
      <c r="H12" s="344"/>
      <c r="I12" s="350" t="s">
        <v>23</v>
      </c>
      <c r="J12" s="351"/>
      <c r="K12" s="4"/>
      <c r="L12" s="7"/>
      <c r="M12" s="7"/>
    </row>
    <row r="13" spans="1:13" ht="17.25" customHeight="1">
      <c r="A13" s="8" t="s">
        <v>24</v>
      </c>
      <c r="B13" s="89"/>
      <c r="C13" s="8" t="s">
        <v>25</v>
      </c>
      <c r="D13" s="90"/>
      <c r="E13" s="6" t="s">
        <v>26</v>
      </c>
      <c r="F13" s="91"/>
      <c r="G13" s="349"/>
      <c r="H13" s="345"/>
      <c r="I13" s="352"/>
      <c r="J13" s="353"/>
      <c r="K13" s="5"/>
    </row>
    <row r="14" spans="1:13" ht="12.95" customHeight="1">
      <c r="A14" s="333" t="s">
        <v>27</v>
      </c>
      <c r="B14" s="333"/>
      <c r="C14" s="333"/>
      <c r="D14" s="333"/>
      <c r="E14" s="333"/>
      <c r="F14" s="333"/>
      <c r="G14" s="333"/>
      <c r="H14" s="333"/>
      <c r="I14" s="333"/>
      <c r="J14" s="333"/>
      <c r="K14" s="5"/>
    </row>
    <row r="15" spans="1:13" ht="39" customHeight="1">
      <c r="A15" s="341"/>
      <c r="B15" s="342"/>
      <c r="C15" s="342"/>
      <c r="D15" s="342"/>
      <c r="E15" s="342"/>
      <c r="F15" s="342"/>
      <c r="G15" s="342"/>
      <c r="H15" s="342"/>
      <c r="I15" s="342"/>
      <c r="J15" s="343"/>
    </row>
    <row r="16" spans="1:13" ht="12.95" customHeight="1">
      <c r="A16" s="333" t="s">
        <v>28</v>
      </c>
      <c r="B16" s="333"/>
      <c r="C16" s="333"/>
      <c r="D16" s="333"/>
      <c r="E16" s="333"/>
      <c r="F16" s="333"/>
      <c r="G16" s="333"/>
      <c r="H16" s="333"/>
      <c r="I16" s="333"/>
      <c r="J16" s="333"/>
    </row>
    <row r="17" spans="1:12" ht="12.95" customHeight="1">
      <c r="A17" s="3" t="s">
        <v>29</v>
      </c>
      <c r="B17" s="325" t="s">
        <v>30</v>
      </c>
      <c r="C17" s="322"/>
      <c r="D17" s="322"/>
      <c r="E17" s="322"/>
      <c r="F17" s="325" t="s">
        <v>31</v>
      </c>
      <c r="G17" s="322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339"/>
      <c r="C18" s="340"/>
      <c r="D18" s="340"/>
      <c r="E18" s="340"/>
      <c r="F18" s="339"/>
      <c r="G18" s="340"/>
      <c r="H18" s="40"/>
      <c r="I18" s="18"/>
      <c r="J18" s="88"/>
      <c r="L18" s="5"/>
    </row>
    <row r="19" spans="1:12" ht="12.95" customHeight="1">
      <c r="A19" s="35"/>
      <c r="B19" s="339"/>
      <c r="C19" s="340"/>
      <c r="D19" s="340"/>
      <c r="E19" s="340"/>
      <c r="F19" s="339"/>
      <c r="G19" s="340"/>
      <c r="H19" s="21"/>
      <c r="I19" s="21"/>
      <c r="J19" s="88"/>
      <c r="L19" s="5"/>
    </row>
    <row r="20" spans="1:12" ht="12.95" customHeight="1">
      <c r="A20" s="35"/>
      <c r="B20" s="339"/>
      <c r="C20" s="340"/>
      <c r="D20" s="340"/>
      <c r="E20" s="340"/>
      <c r="F20" s="339"/>
      <c r="G20" s="340"/>
      <c r="H20" s="32"/>
      <c r="I20" s="32"/>
      <c r="J20" s="88"/>
      <c r="L20" s="5"/>
    </row>
    <row r="21" spans="1:12" ht="12.95" customHeight="1">
      <c r="A21" s="35"/>
      <c r="B21" s="339"/>
      <c r="C21" s="340"/>
      <c r="D21" s="340"/>
      <c r="E21" s="340"/>
      <c r="F21" s="339"/>
      <c r="G21" s="340"/>
      <c r="H21" s="32"/>
      <c r="I21" s="9"/>
      <c r="J21" s="88"/>
      <c r="L21" s="5"/>
    </row>
    <row r="22" spans="1:12" ht="12.95" customHeight="1">
      <c r="A22" s="35"/>
      <c r="B22" s="339"/>
      <c r="C22" s="340"/>
      <c r="D22" s="340"/>
      <c r="E22" s="340"/>
      <c r="F22" s="339"/>
      <c r="G22" s="340"/>
      <c r="H22" s="20"/>
      <c r="I22" s="11"/>
      <c r="J22" s="88"/>
      <c r="L22" s="5"/>
    </row>
    <row r="23" spans="1:12" ht="12.95" customHeight="1">
      <c r="A23" s="35"/>
      <c r="B23" s="339"/>
      <c r="C23" s="340"/>
      <c r="D23" s="340"/>
      <c r="E23" s="340"/>
      <c r="F23" s="339"/>
      <c r="G23" s="340"/>
      <c r="H23" s="11"/>
      <c r="I23" s="9"/>
      <c r="J23" s="88"/>
      <c r="L23" s="5"/>
    </row>
    <row r="24" spans="1:12" ht="12.95" customHeight="1">
      <c r="A24" s="35"/>
      <c r="B24" s="339"/>
      <c r="C24" s="340"/>
      <c r="D24" s="340"/>
      <c r="E24" s="340"/>
      <c r="F24" s="339"/>
      <c r="G24" s="340"/>
      <c r="H24" s="16"/>
      <c r="I24" s="9"/>
      <c r="J24" s="88"/>
      <c r="L24" s="5"/>
    </row>
    <row r="25" spans="1:12" ht="12.95" customHeight="1">
      <c r="A25" s="35"/>
      <c r="B25" s="339"/>
      <c r="C25" s="340"/>
      <c r="D25" s="340"/>
      <c r="E25" s="340"/>
      <c r="F25" s="339"/>
      <c r="G25" s="340"/>
      <c r="H25" s="16"/>
      <c r="I25" s="9"/>
      <c r="J25" s="88"/>
      <c r="L25" s="5"/>
    </row>
    <row r="26" spans="1:12" ht="12.95" customHeight="1">
      <c r="A26" s="35"/>
      <c r="B26" s="339"/>
      <c r="C26" s="340"/>
      <c r="D26" s="340"/>
      <c r="E26" s="340"/>
      <c r="F26" s="339"/>
      <c r="G26" s="340"/>
      <c r="H26" s="16"/>
      <c r="I26" s="9"/>
      <c r="J26" s="88"/>
      <c r="L26" s="5"/>
    </row>
    <row r="27" spans="1:12" ht="12.95" customHeight="1">
      <c r="A27" s="35"/>
      <c r="B27" s="339"/>
      <c r="C27" s="340"/>
      <c r="D27" s="340"/>
      <c r="E27" s="340"/>
      <c r="F27" s="339"/>
      <c r="G27" s="340"/>
      <c r="H27" s="9"/>
      <c r="I27" s="9"/>
      <c r="J27" s="88"/>
    </row>
    <row r="28" spans="1:12" ht="12.95" customHeight="1">
      <c r="A28" s="35"/>
      <c r="B28" s="339"/>
      <c r="C28" s="340"/>
      <c r="D28" s="340"/>
      <c r="E28" s="340"/>
      <c r="F28" s="339"/>
      <c r="G28" s="340"/>
      <c r="H28" s="9"/>
      <c r="I28" s="9"/>
      <c r="J28" s="88"/>
    </row>
    <row r="29" spans="1:12" ht="12.95" customHeight="1">
      <c r="A29" s="35"/>
      <c r="B29" s="339"/>
      <c r="C29" s="340"/>
      <c r="D29" s="340"/>
      <c r="E29" s="340"/>
      <c r="F29" s="339"/>
      <c r="G29" s="340"/>
      <c r="H29" s="9"/>
      <c r="I29" s="9"/>
      <c r="J29" s="88"/>
    </row>
    <row r="30" spans="1:12" ht="12.95" customHeight="1">
      <c r="A30" s="35"/>
      <c r="B30" s="339"/>
      <c r="C30" s="340"/>
      <c r="D30" s="340"/>
      <c r="E30" s="340"/>
      <c r="F30" s="339"/>
      <c r="G30" s="340"/>
      <c r="H30" s="9"/>
      <c r="I30" s="9"/>
      <c r="J30" s="88"/>
    </row>
    <row r="31" spans="1:12" ht="12.95" customHeight="1">
      <c r="A31" s="35"/>
      <c r="B31" s="339"/>
      <c r="C31" s="340"/>
      <c r="D31" s="340"/>
      <c r="E31" s="340"/>
      <c r="F31" s="339"/>
      <c r="G31" s="340"/>
      <c r="H31" s="9"/>
      <c r="I31" s="9"/>
      <c r="J31" s="88"/>
    </row>
    <row r="32" spans="1:12" ht="12.95" customHeight="1">
      <c r="A32" s="35"/>
      <c r="B32" s="339"/>
      <c r="C32" s="340"/>
      <c r="D32" s="340"/>
      <c r="E32" s="340"/>
      <c r="F32" s="339"/>
      <c r="G32" s="340"/>
      <c r="H32" s="9"/>
      <c r="I32" s="9"/>
      <c r="J32" s="88"/>
    </row>
    <row r="33" spans="1:10" ht="12.95" customHeight="1">
      <c r="A33" s="35"/>
      <c r="B33" s="339"/>
      <c r="C33" s="340"/>
      <c r="D33" s="340"/>
      <c r="E33" s="340"/>
      <c r="F33" s="339"/>
      <c r="G33" s="340"/>
      <c r="H33" s="9"/>
      <c r="I33" s="9"/>
      <c r="J33" s="88"/>
    </row>
    <row r="34" spans="1:10" ht="12.95" customHeight="1">
      <c r="A34" s="35"/>
      <c r="B34" s="339"/>
      <c r="C34" s="340"/>
      <c r="D34" s="340"/>
      <c r="E34" s="340"/>
      <c r="F34" s="339"/>
      <c r="G34" s="340"/>
      <c r="H34" s="9"/>
      <c r="I34" s="9"/>
      <c r="J34" s="88"/>
    </row>
    <row r="35" spans="1:10" ht="12.95" customHeight="1">
      <c r="A35" s="35"/>
      <c r="B35" s="339"/>
      <c r="C35" s="340"/>
      <c r="D35" s="340"/>
      <c r="E35" s="340"/>
      <c r="F35" s="339"/>
      <c r="G35" s="340"/>
      <c r="H35" s="9"/>
      <c r="I35" s="9"/>
      <c r="J35" s="88"/>
    </row>
    <row r="36" spans="1:10" ht="12.95" customHeight="1">
      <c r="A36" s="35"/>
      <c r="B36" s="339"/>
      <c r="C36" s="340"/>
      <c r="D36" s="340"/>
      <c r="E36" s="340"/>
      <c r="F36" s="339"/>
      <c r="G36" s="340"/>
      <c r="H36" s="9"/>
      <c r="I36" s="9"/>
      <c r="J36" s="88"/>
    </row>
    <row r="37" spans="1:10" ht="12.95" customHeight="1">
      <c r="A37" s="35"/>
      <c r="B37" s="339"/>
      <c r="C37" s="340"/>
      <c r="D37" s="340"/>
      <c r="E37" s="340"/>
      <c r="F37" s="339"/>
      <c r="G37" s="340"/>
      <c r="H37" s="9"/>
      <c r="I37" s="9"/>
      <c r="J37" s="88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363" t="s">
        <v>37</v>
      </c>
      <c r="B39" s="363"/>
      <c r="C39" s="363"/>
      <c r="D39" s="363"/>
      <c r="E39" s="363"/>
      <c r="F39" s="366" t="s">
        <v>38</v>
      </c>
      <c r="G39" s="354"/>
      <c r="H39" s="355"/>
      <c r="I39" s="355"/>
      <c r="J39" s="356"/>
    </row>
    <row r="40" spans="1:10" ht="12.95" customHeight="1">
      <c r="A40" s="363" t="s">
        <v>39</v>
      </c>
      <c r="B40" s="363"/>
      <c r="C40" s="363"/>
      <c r="D40" s="363"/>
      <c r="E40" s="363"/>
      <c r="F40" s="367"/>
      <c r="G40" s="357"/>
      <c r="H40" s="358"/>
      <c r="I40" s="358"/>
      <c r="J40" s="359"/>
    </row>
    <row r="41" spans="1:10" ht="12.95" customHeight="1">
      <c r="A41" s="363" t="s">
        <v>40</v>
      </c>
      <c r="B41" s="363"/>
      <c r="C41" s="363"/>
      <c r="D41" s="363"/>
      <c r="E41" s="363"/>
      <c r="F41" s="367"/>
      <c r="G41" s="357"/>
      <c r="H41" s="358"/>
      <c r="I41" s="358"/>
      <c r="J41" s="359"/>
    </row>
    <row r="42" spans="1:10" ht="12.95" customHeight="1">
      <c r="A42" s="363" t="s">
        <v>41</v>
      </c>
      <c r="B42" s="363"/>
      <c r="C42" s="364" t="s">
        <v>42</v>
      </c>
      <c r="D42" s="364"/>
      <c r="E42" s="364"/>
      <c r="F42" s="368"/>
      <c r="G42" s="360"/>
      <c r="H42" s="361"/>
      <c r="I42" s="361"/>
      <c r="J42" s="362"/>
    </row>
    <row r="43" spans="1:10" ht="12.95" customHeight="1">
      <c r="A43" s="365" t="s">
        <v>52</v>
      </c>
      <c r="B43" s="365"/>
      <c r="C43" s="365" t="e">
        <f ca="1">IF(Calcu_ADJ!B9=FALSE,Calcu!T3,Calcu_ADJ!S3)</f>
        <v>#N/A</v>
      </c>
      <c r="D43" s="365"/>
      <c r="E43" s="365"/>
    </row>
    <row r="46" spans="1:10" ht="12.95" customHeight="1">
      <c r="B46" s="1" t="s">
        <v>341</v>
      </c>
    </row>
    <row r="47" spans="1:10" ht="12.95" customHeight="1">
      <c r="B47" s="1" t="s">
        <v>342</v>
      </c>
    </row>
    <row r="48" spans="1:10" ht="12.95" customHeight="1">
      <c r="A48" s="1" t="str">
        <f>Calcu!C84</f>
        <v>실비</v>
      </c>
      <c r="B48" s="1" t="s">
        <v>356</v>
      </c>
    </row>
    <row r="49" spans="1:2" ht="12.95" customHeight="1">
      <c r="A49" s="117"/>
    </row>
    <row r="50" spans="1:2" ht="12.95" customHeight="1">
      <c r="A50" s="1" t="str">
        <f>IF(Calcu_ADJ!B9=FALSE,Calcu!U3,Calcu_ADJ!T3)</f>
        <v>PASS</v>
      </c>
      <c r="B50" s="1" t="s">
        <v>357</v>
      </c>
    </row>
    <row r="52" spans="1:2" ht="12.95" customHeight="1">
      <c r="B52" s="295" t="s">
        <v>466</v>
      </c>
    </row>
  </sheetData>
  <sheetProtection selectLockedCells="1"/>
  <mergeCells count="95">
    <mergeCell ref="A43:B43"/>
    <mergeCell ref="C43:E43"/>
    <mergeCell ref="A39:B39"/>
    <mergeCell ref="C39:E39"/>
    <mergeCell ref="F39:F42"/>
    <mergeCell ref="G39:J42"/>
    <mergeCell ref="A40:B40"/>
    <mergeCell ref="C40:E40"/>
    <mergeCell ref="A41:B41"/>
    <mergeCell ref="C41:E41"/>
    <mergeCell ref="A42:B42"/>
    <mergeCell ref="C42:E42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A1:J1"/>
    <mergeCell ref="A2:J2"/>
    <mergeCell ref="A3:B3"/>
    <mergeCell ref="C3:E3"/>
    <mergeCell ref="F3:G3"/>
    <mergeCell ref="H3:J3"/>
    <mergeCell ref="A4:B4"/>
    <mergeCell ref="C4:E4"/>
    <mergeCell ref="F4:G4"/>
    <mergeCell ref="H4:J4"/>
    <mergeCell ref="A5:B5"/>
    <mergeCell ref="C5:E5"/>
    <mergeCell ref="F5:G5"/>
    <mergeCell ref="H5:J5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F84"/>
  <sheetViews>
    <sheetView showGridLines="0" zoomScaleNormal="100" workbookViewId="0"/>
  </sheetViews>
  <sheetFormatPr defaultColWidth="8.77734375" defaultRowHeight="18" customHeight="1"/>
  <cols>
    <col min="1" max="1" width="2.77734375" style="127" customWidth="1"/>
    <col min="2" max="2" width="8.77734375" style="267"/>
    <col min="3" max="3" width="10.77734375" style="267" bestFit="1" customWidth="1"/>
    <col min="4" max="4" width="8.77734375" style="267"/>
    <col min="5" max="21" width="8.77734375" style="128"/>
    <col min="22" max="16384" width="8.77734375" style="127"/>
  </cols>
  <sheetData>
    <row r="1" spans="1:32" ht="15" customHeight="1">
      <c r="A1" s="124" t="s">
        <v>159</v>
      </c>
      <c r="B1" s="125"/>
      <c r="C1" s="125"/>
      <c r="D1" s="125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</row>
    <row r="2" spans="1:32" ht="24">
      <c r="B2" s="224" t="s">
        <v>160</v>
      </c>
      <c r="C2" s="224" t="s">
        <v>331</v>
      </c>
      <c r="D2" s="224" t="s">
        <v>361</v>
      </c>
      <c r="E2" s="224" t="s">
        <v>142</v>
      </c>
      <c r="F2" s="224" t="s">
        <v>131</v>
      </c>
      <c r="G2" s="224" t="s">
        <v>62</v>
      </c>
      <c r="H2" s="224" t="s">
        <v>162</v>
      </c>
      <c r="I2" s="224" t="s">
        <v>163</v>
      </c>
      <c r="J2" s="224" t="s">
        <v>164</v>
      </c>
      <c r="K2" s="224" t="s">
        <v>235</v>
      </c>
      <c r="L2" s="224" t="s">
        <v>236</v>
      </c>
      <c r="M2" s="289" t="s">
        <v>448</v>
      </c>
      <c r="N2" s="224" t="s">
        <v>165</v>
      </c>
      <c r="O2" s="224" t="s">
        <v>143</v>
      </c>
      <c r="P2" s="224" t="s">
        <v>166</v>
      </c>
      <c r="Q2" s="224" t="s">
        <v>132</v>
      </c>
      <c r="R2" s="224" t="s">
        <v>148</v>
      </c>
      <c r="S2" s="165" t="s">
        <v>167</v>
      </c>
      <c r="T2" s="165" t="s">
        <v>168</v>
      </c>
      <c r="U2" s="127"/>
    </row>
    <row r="3" spans="1:32" ht="15" customHeight="1">
      <c r="B3" s="129" t="e">
        <f>C3</f>
        <v>#DIV/0!</v>
      </c>
      <c r="C3" s="129" t="e">
        <f>AVERAGE(기본정보!B12:B13)</f>
        <v>#DIV/0!</v>
      </c>
      <c r="D3" s="129" t="str">
        <f>IFERROR(VLOOKUP(Length_1_STD1,R69:U72,3,FALSE),"게이지 블록")</f>
        <v>게이지 블록</v>
      </c>
      <c r="E3" s="129">
        <f>MIN(C9:C49)</f>
        <v>0</v>
      </c>
      <c r="F3" s="129">
        <f>MAX(C9:C49)</f>
        <v>0</v>
      </c>
      <c r="G3" s="129">
        <f>Length_1!H4</f>
        <v>0</v>
      </c>
      <c r="H3" s="129">
        <f>Length_1!I4</f>
        <v>0</v>
      </c>
      <c r="I3" s="129">
        <f>Length_1!J4</f>
        <v>0</v>
      </c>
      <c r="J3" s="129">
        <f>IF(I3="inch",25.4,1)</f>
        <v>1</v>
      </c>
      <c r="K3" s="129">
        <f>MIN(T9:T49)</f>
        <v>0</v>
      </c>
      <c r="L3" s="129">
        <f>MAX(T9:T49)</f>
        <v>0</v>
      </c>
      <c r="M3" s="266" t="str">
        <f>TEXT(L3,IF(L3&gt;=1000,"# ###","G/표준"))</f>
        <v>0</v>
      </c>
      <c r="N3" s="129">
        <f>G3*J3</f>
        <v>0</v>
      </c>
      <c r="O3" s="129">
        <f>H3*J3</f>
        <v>0</v>
      </c>
      <c r="P3" s="129" t="e">
        <f ca="1">OFFSET(Length_1!D3,MATCH($L3,$T9:$T49,0),0)</f>
        <v>#N/A</v>
      </c>
      <c r="Q3" s="129" t="e">
        <f ca="1">OFFSET(Length_1!E3,MATCH($L3,$T9:$T49,0),0)</f>
        <v>#N/A</v>
      </c>
      <c r="R3" s="129" t="e">
        <f ca="1">OFFSET(Length_1!F3,MATCH($L3,$T9:$T49,0),0)</f>
        <v>#N/A</v>
      </c>
      <c r="S3" s="145" t="e">
        <f ca="1">IF(SUM(R66)=0,"","초과")</f>
        <v>#N/A</v>
      </c>
      <c r="T3" s="166" t="str">
        <f>IF(SUM(AE8)=0,"PASS","FAIL")</f>
        <v>PASS</v>
      </c>
      <c r="U3" s="127"/>
    </row>
    <row r="4" spans="1:32" ht="15" customHeight="1">
      <c r="B4" s="125"/>
      <c r="C4" s="125"/>
      <c r="D4" s="125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</row>
    <row r="5" spans="1:32" ht="15" customHeight="1">
      <c r="A5" s="124" t="s">
        <v>149</v>
      </c>
      <c r="C5" s="125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27"/>
      <c r="Y5" s="167" t="s">
        <v>170</v>
      </c>
    </row>
    <row r="6" spans="1:32" ht="15" customHeight="1">
      <c r="B6" s="514" t="s">
        <v>150</v>
      </c>
      <c r="C6" s="518" t="s">
        <v>115</v>
      </c>
      <c r="D6" s="518" t="s">
        <v>128</v>
      </c>
      <c r="E6" s="520" t="s">
        <v>392</v>
      </c>
      <c r="F6" s="520"/>
      <c r="G6" s="520"/>
      <c r="H6" s="520"/>
      <c r="I6" s="520"/>
      <c r="J6" s="520"/>
      <c r="K6" s="499" t="s">
        <v>393</v>
      </c>
      <c r="L6" s="289" t="s">
        <v>394</v>
      </c>
      <c r="M6" s="289" t="s">
        <v>395</v>
      </c>
      <c r="N6" s="493" t="s">
        <v>396</v>
      </c>
      <c r="O6" s="498"/>
      <c r="P6" s="494"/>
      <c r="Q6" s="289" t="s">
        <v>152</v>
      </c>
      <c r="R6" s="245" t="s">
        <v>397</v>
      </c>
      <c r="S6" s="289" t="s">
        <v>398</v>
      </c>
      <c r="T6" s="289" t="s">
        <v>334</v>
      </c>
      <c r="U6" s="289" t="s">
        <v>400</v>
      </c>
      <c r="V6" s="493" t="s">
        <v>401</v>
      </c>
      <c r="W6" s="494"/>
      <c r="X6" s="131"/>
      <c r="Y6" s="501" t="s">
        <v>402</v>
      </c>
      <c r="Z6" s="502"/>
      <c r="AA6" s="503" t="s">
        <v>182</v>
      </c>
      <c r="AB6" s="504"/>
      <c r="AC6" s="504"/>
      <c r="AD6" s="504"/>
      <c r="AE6" s="504"/>
      <c r="AF6" s="504"/>
    </row>
    <row r="7" spans="1:32" ht="15" customHeight="1">
      <c r="B7" s="514"/>
      <c r="C7" s="519"/>
      <c r="D7" s="519"/>
      <c r="E7" s="247" t="s">
        <v>102</v>
      </c>
      <c r="F7" s="291" t="s">
        <v>404</v>
      </c>
      <c r="G7" s="247" t="s">
        <v>133</v>
      </c>
      <c r="H7" s="291" t="s">
        <v>134</v>
      </c>
      <c r="I7" s="247" t="s">
        <v>135</v>
      </c>
      <c r="J7" s="291" t="s">
        <v>405</v>
      </c>
      <c r="K7" s="500"/>
      <c r="L7" s="289" t="s">
        <v>406</v>
      </c>
      <c r="M7" s="289" t="s">
        <v>407</v>
      </c>
      <c r="N7" s="289" t="s">
        <v>154</v>
      </c>
      <c r="O7" s="289" t="s">
        <v>408</v>
      </c>
      <c r="P7" s="289" t="s">
        <v>409</v>
      </c>
      <c r="Q7" s="289" t="s">
        <v>410</v>
      </c>
      <c r="R7" s="289" t="s">
        <v>411</v>
      </c>
      <c r="S7" s="289" t="s">
        <v>157</v>
      </c>
      <c r="T7" s="289" t="s">
        <v>413</v>
      </c>
      <c r="U7" s="289" t="s">
        <v>414</v>
      </c>
      <c r="V7" s="289" t="s">
        <v>415</v>
      </c>
      <c r="W7" s="289" t="s">
        <v>416</v>
      </c>
      <c r="X7" s="131"/>
      <c r="Y7" s="248" t="s">
        <v>417</v>
      </c>
      <c r="Z7" s="248" t="s">
        <v>418</v>
      </c>
      <c r="AA7" s="289" t="s">
        <v>419</v>
      </c>
      <c r="AB7" s="289" t="s">
        <v>416</v>
      </c>
      <c r="AC7" s="289" t="s">
        <v>415</v>
      </c>
      <c r="AD7" s="246" t="s">
        <v>420</v>
      </c>
      <c r="AE7" s="246" t="s">
        <v>421</v>
      </c>
      <c r="AF7" s="246" t="s">
        <v>457</v>
      </c>
    </row>
    <row r="8" spans="1:32" ht="15" customHeight="1">
      <c r="B8" s="514"/>
      <c r="C8" s="517"/>
      <c r="D8" s="517"/>
      <c r="E8" s="291">
        <f>I3</f>
        <v>0</v>
      </c>
      <c r="F8" s="291">
        <f t="shared" ref="F8:J8" si="0">E8</f>
        <v>0</v>
      </c>
      <c r="G8" s="291">
        <f t="shared" si="0"/>
        <v>0</v>
      </c>
      <c r="H8" s="291">
        <f t="shared" si="0"/>
        <v>0</v>
      </c>
      <c r="I8" s="291">
        <f t="shared" si="0"/>
        <v>0</v>
      </c>
      <c r="J8" s="291">
        <f t="shared" si="0"/>
        <v>0</v>
      </c>
      <c r="K8" s="289" t="s">
        <v>217</v>
      </c>
      <c r="L8" s="289" t="s">
        <v>217</v>
      </c>
      <c r="M8" s="289" t="s">
        <v>217</v>
      </c>
      <c r="N8" s="289" t="s">
        <v>423</v>
      </c>
      <c r="O8" s="289" t="s">
        <v>423</v>
      </c>
      <c r="P8" s="289" t="s">
        <v>423</v>
      </c>
      <c r="Q8" s="289" t="s">
        <v>424</v>
      </c>
      <c r="R8" s="289" t="s">
        <v>423</v>
      </c>
      <c r="S8" s="289" t="s">
        <v>424</v>
      </c>
      <c r="T8" s="289" t="s">
        <v>217</v>
      </c>
      <c r="U8" s="289" t="s">
        <v>217</v>
      </c>
      <c r="V8" s="289" t="s">
        <v>217</v>
      </c>
      <c r="W8" s="289" t="s">
        <v>217</v>
      </c>
      <c r="X8" s="131"/>
      <c r="Y8" s="289" t="s">
        <v>217</v>
      </c>
      <c r="Z8" s="289" t="s">
        <v>217</v>
      </c>
      <c r="AA8" s="289" t="s">
        <v>217</v>
      </c>
      <c r="AB8" s="289" t="s">
        <v>217</v>
      </c>
      <c r="AC8" s="289" t="s">
        <v>217</v>
      </c>
      <c r="AD8" s="289" t="s">
        <v>217</v>
      </c>
      <c r="AE8" s="319">
        <f>IF(TYPE(MATCH("FAIL",AE9:AE49,0))=16,0,1)</f>
        <v>0</v>
      </c>
      <c r="AF8" s="246" t="s">
        <v>186</v>
      </c>
    </row>
    <row r="9" spans="1:32" ht="15" customHeight="1">
      <c r="B9" s="132" t="b">
        <f>IF(Length_1!T4="",FALSE,TRUE)</f>
        <v>0</v>
      </c>
      <c r="C9" s="129" t="str">
        <f>IF($B9=FALSE,"",VALUE(Length_1!A4))</f>
        <v/>
      </c>
      <c r="D9" s="129" t="str">
        <f>IF($B9=FALSE,"",Length_1!B4)</f>
        <v/>
      </c>
      <c r="E9" s="133" t="str">
        <f>IF($B9=FALSE,"",Length_1!T4)</f>
        <v/>
      </c>
      <c r="F9" s="133" t="str">
        <f>IF($B9=FALSE,"",Length_1!U4)</f>
        <v/>
      </c>
      <c r="G9" s="133" t="str">
        <f>IF($B9=FALSE,"",Length_1!V4)</f>
        <v/>
      </c>
      <c r="H9" s="133" t="str">
        <f>IF($B9=FALSE,"",Length_1!W4)</f>
        <v/>
      </c>
      <c r="I9" s="133" t="str">
        <f>IF($B9=FALSE,"",Length_1!X4)</f>
        <v/>
      </c>
      <c r="J9" s="134" t="str">
        <f t="shared" ref="J9:J49" si="1">IF(B9=FALSE,"",AVERAGE(E9:I9))</f>
        <v/>
      </c>
      <c r="K9" s="146" t="str">
        <f t="shared" ref="K9:K49" si="2">IF(B9=FALSE,"",STDEV(E9:I9)*J$3)</f>
        <v/>
      </c>
      <c r="L9" s="135" t="str">
        <f>IF(B9=FALSE,"",Length_1!D48)</f>
        <v/>
      </c>
      <c r="M9" s="136" t="str">
        <f>IF(B9=FALSE,"",Calcu_ADJ!J9*J$3)</f>
        <v/>
      </c>
      <c r="N9" s="155" t="str">
        <f>IF(B9=FALSE,"",IF(Length_1!C4="Laser",0,11.5*10^-6))</f>
        <v/>
      </c>
      <c r="O9" s="155" t="str">
        <f ca="1">IF(B9=FALSE,"",OFFSET(Length_1!A48,0,MATCH("열팽창계수",Length_1!$47:$47,0)-1))</f>
        <v/>
      </c>
      <c r="P9" s="156" t="str">
        <f t="shared" ref="P9:P49" si="3">IF(B9=FALSE,"",AVERAGE(N9:O9))</f>
        <v/>
      </c>
      <c r="Q9" s="242" t="str">
        <f t="shared" ref="Q9:Q49" si="4">IF(B9=FALSE,"",B$3-C$3)</f>
        <v/>
      </c>
      <c r="R9" s="242" t="str">
        <f t="shared" ref="R9:R49" si="5">IF(B9=FALSE,"",N9-O9)</f>
        <v/>
      </c>
      <c r="S9" s="242" t="str">
        <f t="shared" ref="S9:S49" si="6">IF(B9=FALSE,"",AVERAGE(B$3:C$3)-20)</f>
        <v/>
      </c>
      <c r="T9" s="137" t="str">
        <f t="shared" ref="T9:T49" si="7">IF(B9=FALSE,"",C9*J$3)</f>
        <v/>
      </c>
      <c r="U9" s="138" t="str">
        <f t="shared" ref="U9:U49" si="8">IF(B9=FALSE,"",L9-M9-(P9*Q9+R9*S9)*T9)</f>
        <v/>
      </c>
      <c r="V9" s="129" t="str">
        <f>IF($B9=FALSE,"",ROUND(U9,$M$66))</f>
        <v/>
      </c>
      <c r="W9" s="129" t="str">
        <f>IF($B9=FALSE,"",ROUND(T9+V9,$M$66))</f>
        <v/>
      </c>
      <c r="X9" s="131"/>
      <c r="Y9" s="197" t="e">
        <f ca="1">IF(Length_1!K4&lt;0,ROUNDUP(Length_1!K4*J$3,$M$66),ROUNDDOWN(Length_1!K4*J$3,$M$66))</f>
        <v>#N/A</v>
      </c>
      <c r="Z9" s="197" t="e">
        <f ca="1">IF(Length_1!L4&lt;0,ROUNDDOWN(Length_1!L4*J$3,$M$66),ROUNDUP(Length_1!L4*J$3,$M$66))</f>
        <v>#N/A</v>
      </c>
      <c r="AA9" s="129" t="e">
        <f t="shared" ref="AA9:AA49" ca="1" si="9">TEXT(T9,IF(T9&gt;=1000,"# ##","")&amp;$P$66)</f>
        <v>#N/A</v>
      </c>
      <c r="AB9" s="129" t="e">
        <f t="shared" ref="AB9:AB49" ca="1" si="10">TEXT(W9,IF(W9&gt;=1000,"# ##","")&amp;$P$66)</f>
        <v>#N/A</v>
      </c>
      <c r="AC9" s="266" t="e">
        <f t="shared" ref="AC9:AC49" ca="1" si="11">TEXT(V9,$P$66)</f>
        <v>#N/A</v>
      </c>
      <c r="AD9" s="129" t="e">
        <f t="shared" ref="AD9:AD49" ca="1" si="12">"± "&amp;TEXT(Z9-T9,P$66)</f>
        <v>#N/A</v>
      </c>
      <c r="AE9" s="129" t="str">
        <f>IF($B9=FALSE,"",IF(AND(Y9&lt;=W9,W9&lt;=Z9),"PASS","FAIL"))</f>
        <v/>
      </c>
      <c r="AF9" s="266" t="e">
        <f ca="1">S$66</f>
        <v>#N/A</v>
      </c>
    </row>
    <row r="10" spans="1:32" ht="15" customHeight="1">
      <c r="B10" s="132" t="b">
        <f>IF(Length_1!T5="",FALSE,TRUE)</f>
        <v>0</v>
      </c>
      <c r="C10" s="129" t="str">
        <f>IF($B10=FALSE,"",VALUE(Length_1!A5))</f>
        <v/>
      </c>
      <c r="D10" s="129" t="str">
        <f>IF($B10=FALSE,"",Length_1!B5)</f>
        <v/>
      </c>
      <c r="E10" s="133" t="str">
        <f>IF($B10=FALSE,"",Length_1!T5)</f>
        <v/>
      </c>
      <c r="F10" s="133" t="str">
        <f>IF($B10=FALSE,"",Length_1!U5)</f>
        <v/>
      </c>
      <c r="G10" s="133" t="str">
        <f>IF($B10=FALSE,"",Length_1!V5)</f>
        <v/>
      </c>
      <c r="H10" s="133" t="str">
        <f>IF($B10=FALSE,"",Length_1!W5)</f>
        <v/>
      </c>
      <c r="I10" s="133" t="str">
        <f>IF($B10=FALSE,"",Length_1!X5)</f>
        <v/>
      </c>
      <c r="J10" s="134" t="str">
        <f t="shared" si="1"/>
        <v/>
      </c>
      <c r="K10" s="146" t="str">
        <f t="shared" si="2"/>
        <v/>
      </c>
      <c r="L10" s="135" t="str">
        <f>IF(B10=FALSE,"",Length_1!D49)</f>
        <v/>
      </c>
      <c r="M10" s="136" t="str">
        <f>IF(B10=FALSE,"",Calcu_ADJ!J10*J$3)</f>
        <v/>
      </c>
      <c r="N10" s="155" t="str">
        <f>IF(B10=FALSE,"",IF(Length_1!C5="Laser",0,11.5*10^-6))</f>
        <v/>
      </c>
      <c r="O10" s="155" t="str">
        <f ca="1">IF(B10=FALSE,"",OFFSET(Length_1!A49,0,MATCH("열팽창계수",Length_1!$47:$47,0)-1))</f>
        <v/>
      </c>
      <c r="P10" s="156" t="str">
        <f t="shared" si="3"/>
        <v/>
      </c>
      <c r="Q10" s="242" t="str">
        <f t="shared" si="4"/>
        <v/>
      </c>
      <c r="R10" s="242" t="str">
        <f t="shared" si="5"/>
        <v/>
      </c>
      <c r="S10" s="242" t="str">
        <f t="shared" si="6"/>
        <v/>
      </c>
      <c r="T10" s="137" t="str">
        <f t="shared" si="7"/>
        <v/>
      </c>
      <c r="U10" s="138" t="str">
        <f t="shared" si="8"/>
        <v/>
      </c>
      <c r="V10" s="129" t="str">
        <f t="shared" ref="V10:V49" si="13">IF($B10=FALSE,"",ROUND(U10,$M$66))</f>
        <v/>
      </c>
      <c r="W10" s="129" t="str">
        <f t="shared" ref="W10:W49" si="14">IF($B10=FALSE,"",ROUND(T10+V10,$M$66))</f>
        <v/>
      </c>
      <c r="X10" s="131"/>
      <c r="Y10" s="197" t="e">
        <f ca="1">IF(Length_1!K5&lt;0,ROUNDUP(Length_1!K5*J$3,$M$66),ROUNDDOWN(Length_1!K5*J$3,$M$66))</f>
        <v>#N/A</v>
      </c>
      <c r="Z10" s="197" t="e">
        <f ca="1">IF(Length_1!L5&lt;0,ROUNDDOWN(Length_1!L5*J$3,$M$66),ROUNDUP(Length_1!L5*J$3,$M$66))</f>
        <v>#N/A</v>
      </c>
      <c r="AA10" s="129" t="e">
        <f t="shared" ca="1" si="9"/>
        <v>#N/A</v>
      </c>
      <c r="AB10" s="129" t="e">
        <f t="shared" ca="1" si="10"/>
        <v>#N/A</v>
      </c>
      <c r="AC10" s="266" t="e">
        <f t="shared" ca="1" si="11"/>
        <v>#N/A</v>
      </c>
      <c r="AD10" s="129" t="e">
        <f t="shared" ca="1" si="12"/>
        <v>#N/A</v>
      </c>
      <c r="AE10" s="129" t="str">
        <f t="shared" ref="AE10:AE49" si="15">IF($B10=FALSE,"",IF(AND(Y10&lt;=W10,W10&lt;=Z10),"PASS","FAIL"))</f>
        <v/>
      </c>
      <c r="AF10" s="299" t="e">
        <f t="shared" ref="AF10:AF49" ca="1" si="16">S$66</f>
        <v>#N/A</v>
      </c>
    </row>
    <row r="11" spans="1:32" ht="15" customHeight="1">
      <c r="B11" s="132" t="b">
        <f>IF(Length_1!T6="",FALSE,TRUE)</f>
        <v>0</v>
      </c>
      <c r="C11" s="129" t="str">
        <f>IF($B11=FALSE,"",VALUE(Length_1!A6))</f>
        <v/>
      </c>
      <c r="D11" s="129" t="str">
        <f>IF($B11=FALSE,"",Length_1!B6)</f>
        <v/>
      </c>
      <c r="E11" s="133" t="str">
        <f>IF($B11=FALSE,"",Length_1!T6)</f>
        <v/>
      </c>
      <c r="F11" s="133" t="str">
        <f>IF($B11=FALSE,"",Length_1!U6)</f>
        <v/>
      </c>
      <c r="G11" s="133" t="str">
        <f>IF($B11=FALSE,"",Length_1!V6)</f>
        <v/>
      </c>
      <c r="H11" s="133" t="str">
        <f>IF($B11=FALSE,"",Length_1!W6)</f>
        <v/>
      </c>
      <c r="I11" s="133" t="str">
        <f>IF($B11=FALSE,"",Length_1!X6)</f>
        <v/>
      </c>
      <c r="J11" s="134" t="str">
        <f t="shared" si="1"/>
        <v/>
      </c>
      <c r="K11" s="146" t="str">
        <f t="shared" si="2"/>
        <v/>
      </c>
      <c r="L11" s="135" t="str">
        <f>IF(B11=FALSE,"",Length_1!D50)</f>
        <v/>
      </c>
      <c r="M11" s="136" t="str">
        <f>IF(B11=FALSE,"",Calcu_ADJ!J11*J$3)</f>
        <v/>
      </c>
      <c r="N11" s="155" t="str">
        <f>IF(B11=FALSE,"",IF(Length_1!C6="Laser",0,11.5*10^-6))</f>
        <v/>
      </c>
      <c r="O11" s="155" t="str">
        <f ca="1">IF(B11=FALSE,"",OFFSET(Length_1!A50,0,MATCH("열팽창계수",Length_1!$47:$47,0)-1))</f>
        <v/>
      </c>
      <c r="P11" s="156" t="str">
        <f t="shared" si="3"/>
        <v/>
      </c>
      <c r="Q11" s="242" t="str">
        <f t="shared" si="4"/>
        <v/>
      </c>
      <c r="R11" s="242" t="str">
        <f t="shared" si="5"/>
        <v/>
      </c>
      <c r="S11" s="242" t="str">
        <f t="shared" si="6"/>
        <v/>
      </c>
      <c r="T11" s="137" t="str">
        <f t="shared" si="7"/>
        <v/>
      </c>
      <c r="U11" s="138" t="str">
        <f t="shared" si="8"/>
        <v/>
      </c>
      <c r="V11" s="129" t="str">
        <f t="shared" si="13"/>
        <v/>
      </c>
      <c r="W11" s="129" t="str">
        <f t="shared" si="14"/>
        <v/>
      </c>
      <c r="X11" s="131"/>
      <c r="Y11" s="197" t="e">
        <f ca="1">IF(Length_1!K6&lt;0,ROUNDUP(Length_1!K6*J$3,$M$66),ROUNDDOWN(Length_1!K6*J$3,$M$66))</f>
        <v>#N/A</v>
      </c>
      <c r="Z11" s="197" t="e">
        <f ca="1">IF(Length_1!L6&lt;0,ROUNDDOWN(Length_1!L6*J$3,$M$66),ROUNDUP(Length_1!L6*J$3,$M$66))</f>
        <v>#N/A</v>
      </c>
      <c r="AA11" s="129" t="e">
        <f t="shared" ca="1" si="9"/>
        <v>#N/A</v>
      </c>
      <c r="AB11" s="129" t="e">
        <f t="shared" ca="1" si="10"/>
        <v>#N/A</v>
      </c>
      <c r="AC11" s="266" t="e">
        <f t="shared" ca="1" si="11"/>
        <v>#N/A</v>
      </c>
      <c r="AD11" s="129" t="e">
        <f t="shared" ca="1" si="12"/>
        <v>#N/A</v>
      </c>
      <c r="AE11" s="129" t="str">
        <f t="shared" si="15"/>
        <v/>
      </c>
      <c r="AF11" s="299" t="e">
        <f t="shared" ca="1" si="16"/>
        <v>#N/A</v>
      </c>
    </row>
    <row r="12" spans="1:32" ht="15" customHeight="1">
      <c r="B12" s="132" t="b">
        <f>IF(Length_1!T7="",FALSE,TRUE)</f>
        <v>0</v>
      </c>
      <c r="C12" s="129" t="str">
        <f>IF($B12=FALSE,"",VALUE(Length_1!A7))</f>
        <v/>
      </c>
      <c r="D12" s="129" t="str">
        <f>IF($B12=FALSE,"",Length_1!B7)</f>
        <v/>
      </c>
      <c r="E12" s="133" t="str">
        <f>IF($B12=FALSE,"",Length_1!T7)</f>
        <v/>
      </c>
      <c r="F12" s="133" t="str">
        <f>IF($B12=FALSE,"",Length_1!U7)</f>
        <v/>
      </c>
      <c r="G12" s="133" t="str">
        <f>IF($B12=FALSE,"",Length_1!V7)</f>
        <v/>
      </c>
      <c r="H12" s="133" t="str">
        <f>IF($B12=FALSE,"",Length_1!W7)</f>
        <v/>
      </c>
      <c r="I12" s="133" t="str">
        <f>IF($B12=FALSE,"",Length_1!X7)</f>
        <v/>
      </c>
      <c r="J12" s="134" t="str">
        <f t="shared" si="1"/>
        <v/>
      </c>
      <c r="K12" s="146" t="str">
        <f t="shared" si="2"/>
        <v/>
      </c>
      <c r="L12" s="135" t="str">
        <f>IF(B12=FALSE,"",Length_1!D51)</f>
        <v/>
      </c>
      <c r="M12" s="136" t="str">
        <f>IF(B12=FALSE,"",Calcu_ADJ!J12*J$3)</f>
        <v/>
      </c>
      <c r="N12" s="155" t="str">
        <f>IF(B12=FALSE,"",IF(Length_1!C7="Laser",0,11.5*10^-6))</f>
        <v/>
      </c>
      <c r="O12" s="155" t="str">
        <f ca="1">IF(B12=FALSE,"",OFFSET(Length_1!A51,0,MATCH("열팽창계수",Length_1!$47:$47,0)-1))</f>
        <v/>
      </c>
      <c r="P12" s="156" t="str">
        <f t="shared" si="3"/>
        <v/>
      </c>
      <c r="Q12" s="242" t="str">
        <f t="shared" si="4"/>
        <v/>
      </c>
      <c r="R12" s="242" t="str">
        <f t="shared" si="5"/>
        <v/>
      </c>
      <c r="S12" s="242" t="str">
        <f t="shared" si="6"/>
        <v/>
      </c>
      <c r="T12" s="137" t="str">
        <f t="shared" si="7"/>
        <v/>
      </c>
      <c r="U12" s="138" t="str">
        <f t="shared" si="8"/>
        <v/>
      </c>
      <c r="V12" s="129" t="str">
        <f t="shared" si="13"/>
        <v/>
      </c>
      <c r="W12" s="129" t="str">
        <f t="shared" si="14"/>
        <v/>
      </c>
      <c r="X12" s="131"/>
      <c r="Y12" s="197" t="e">
        <f ca="1">IF(Length_1!K7&lt;0,ROUNDUP(Length_1!K7*J$3,$M$66),ROUNDDOWN(Length_1!K7*J$3,$M$66))</f>
        <v>#N/A</v>
      </c>
      <c r="Z12" s="197" t="e">
        <f ca="1">IF(Length_1!L7&lt;0,ROUNDDOWN(Length_1!L7*J$3,$M$66),ROUNDUP(Length_1!L7*J$3,$M$66))</f>
        <v>#N/A</v>
      </c>
      <c r="AA12" s="129" t="e">
        <f t="shared" ca="1" si="9"/>
        <v>#N/A</v>
      </c>
      <c r="AB12" s="129" t="e">
        <f t="shared" ca="1" si="10"/>
        <v>#N/A</v>
      </c>
      <c r="AC12" s="266" t="e">
        <f t="shared" ca="1" si="11"/>
        <v>#N/A</v>
      </c>
      <c r="AD12" s="129" t="e">
        <f t="shared" ca="1" si="12"/>
        <v>#N/A</v>
      </c>
      <c r="AE12" s="129" t="str">
        <f t="shared" si="15"/>
        <v/>
      </c>
      <c r="AF12" s="299" t="e">
        <f t="shared" ca="1" si="16"/>
        <v>#N/A</v>
      </c>
    </row>
    <row r="13" spans="1:32" ht="15" customHeight="1">
      <c r="B13" s="132" t="b">
        <f>IF(Length_1!T8="",FALSE,TRUE)</f>
        <v>0</v>
      </c>
      <c r="C13" s="129" t="str">
        <f>IF($B13=FALSE,"",VALUE(Length_1!A8))</f>
        <v/>
      </c>
      <c r="D13" s="129" t="str">
        <f>IF($B13=FALSE,"",Length_1!B8)</f>
        <v/>
      </c>
      <c r="E13" s="133" t="str">
        <f>IF($B13=FALSE,"",Length_1!T8)</f>
        <v/>
      </c>
      <c r="F13" s="133" t="str">
        <f>IF($B13=FALSE,"",Length_1!U8)</f>
        <v/>
      </c>
      <c r="G13" s="133" t="str">
        <f>IF($B13=FALSE,"",Length_1!V8)</f>
        <v/>
      </c>
      <c r="H13" s="133" t="str">
        <f>IF($B13=FALSE,"",Length_1!W8)</f>
        <v/>
      </c>
      <c r="I13" s="133" t="str">
        <f>IF($B13=FALSE,"",Length_1!X8)</f>
        <v/>
      </c>
      <c r="J13" s="134" t="str">
        <f t="shared" si="1"/>
        <v/>
      </c>
      <c r="K13" s="146" t="str">
        <f t="shared" si="2"/>
        <v/>
      </c>
      <c r="L13" s="135" t="str">
        <f>IF(B13=FALSE,"",Length_1!D52)</f>
        <v/>
      </c>
      <c r="M13" s="136" t="str">
        <f>IF(B13=FALSE,"",Calcu_ADJ!J13*J$3)</f>
        <v/>
      </c>
      <c r="N13" s="155" t="str">
        <f>IF(B13=FALSE,"",IF(Length_1!C8="Laser",0,11.5*10^-6))</f>
        <v/>
      </c>
      <c r="O13" s="155" t="str">
        <f ca="1">IF(B13=FALSE,"",OFFSET(Length_1!A52,0,MATCH("열팽창계수",Length_1!$47:$47,0)-1))</f>
        <v/>
      </c>
      <c r="P13" s="156" t="str">
        <f t="shared" si="3"/>
        <v/>
      </c>
      <c r="Q13" s="242" t="str">
        <f t="shared" si="4"/>
        <v/>
      </c>
      <c r="R13" s="242" t="str">
        <f t="shared" si="5"/>
        <v/>
      </c>
      <c r="S13" s="242" t="str">
        <f t="shared" si="6"/>
        <v/>
      </c>
      <c r="T13" s="137" t="str">
        <f t="shared" si="7"/>
        <v/>
      </c>
      <c r="U13" s="138" t="str">
        <f t="shared" si="8"/>
        <v/>
      </c>
      <c r="V13" s="129" t="str">
        <f t="shared" si="13"/>
        <v/>
      </c>
      <c r="W13" s="129" t="str">
        <f t="shared" si="14"/>
        <v/>
      </c>
      <c r="X13" s="131"/>
      <c r="Y13" s="197" t="e">
        <f ca="1">IF(Length_1!K8&lt;0,ROUNDUP(Length_1!K8*J$3,$M$66),ROUNDDOWN(Length_1!K8*J$3,$M$66))</f>
        <v>#N/A</v>
      </c>
      <c r="Z13" s="197" t="e">
        <f ca="1">IF(Length_1!L8&lt;0,ROUNDDOWN(Length_1!L8*J$3,$M$66),ROUNDUP(Length_1!L8*J$3,$M$66))</f>
        <v>#N/A</v>
      </c>
      <c r="AA13" s="129" t="e">
        <f t="shared" ca="1" si="9"/>
        <v>#N/A</v>
      </c>
      <c r="AB13" s="129" t="e">
        <f t="shared" ca="1" si="10"/>
        <v>#N/A</v>
      </c>
      <c r="AC13" s="266" t="e">
        <f t="shared" ca="1" si="11"/>
        <v>#N/A</v>
      </c>
      <c r="AD13" s="129" t="e">
        <f t="shared" ca="1" si="12"/>
        <v>#N/A</v>
      </c>
      <c r="AE13" s="129" t="str">
        <f t="shared" si="15"/>
        <v/>
      </c>
      <c r="AF13" s="299" t="e">
        <f t="shared" ca="1" si="16"/>
        <v>#N/A</v>
      </c>
    </row>
    <row r="14" spans="1:32" ht="15" customHeight="1">
      <c r="B14" s="132" t="b">
        <f>IF(Length_1!T9="",FALSE,TRUE)</f>
        <v>0</v>
      </c>
      <c r="C14" s="129" t="str">
        <f>IF($B14=FALSE,"",VALUE(Length_1!A9))</f>
        <v/>
      </c>
      <c r="D14" s="129" t="str">
        <f>IF($B14=FALSE,"",Length_1!B9)</f>
        <v/>
      </c>
      <c r="E14" s="133" t="str">
        <f>IF($B14=FALSE,"",Length_1!T9)</f>
        <v/>
      </c>
      <c r="F14" s="133" t="str">
        <f>IF($B14=FALSE,"",Length_1!U9)</f>
        <v/>
      </c>
      <c r="G14" s="133" t="str">
        <f>IF($B14=FALSE,"",Length_1!V9)</f>
        <v/>
      </c>
      <c r="H14" s="133" t="str">
        <f>IF($B14=FALSE,"",Length_1!W9)</f>
        <v/>
      </c>
      <c r="I14" s="133" t="str">
        <f>IF($B14=FALSE,"",Length_1!X9)</f>
        <v/>
      </c>
      <c r="J14" s="134" t="str">
        <f t="shared" si="1"/>
        <v/>
      </c>
      <c r="K14" s="146" t="str">
        <f t="shared" si="2"/>
        <v/>
      </c>
      <c r="L14" s="135" t="str">
        <f>IF(B14=FALSE,"",Length_1!D53)</f>
        <v/>
      </c>
      <c r="M14" s="136" t="str">
        <f>IF(B14=FALSE,"",Calcu_ADJ!J14*J$3)</f>
        <v/>
      </c>
      <c r="N14" s="155" t="str">
        <f>IF(B14=FALSE,"",IF(Length_1!C9="Laser",0,11.5*10^-6))</f>
        <v/>
      </c>
      <c r="O14" s="155" t="str">
        <f ca="1">IF(B14=FALSE,"",OFFSET(Length_1!A53,0,MATCH("열팽창계수",Length_1!$47:$47,0)-1))</f>
        <v/>
      </c>
      <c r="P14" s="156" t="str">
        <f t="shared" si="3"/>
        <v/>
      </c>
      <c r="Q14" s="242" t="str">
        <f t="shared" si="4"/>
        <v/>
      </c>
      <c r="R14" s="242" t="str">
        <f t="shared" si="5"/>
        <v/>
      </c>
      <c r="S14" s="242" t="str">
        <f t="shared" si="6"/>
        <v/>
      </c>
      <c r="T14" s="137" t="str">
        <f t="shared" si="7"/>
        <v/>
      </c>
      <c r="U14" s="138" t="str">
        <f t="shared" si="8"/>
        <v/>
      </c>
      <c r="V14" s="129" t="str">
        <f t="shared" si="13"/>
        <v/>
      </c>
      <c r="W14" s="129" t="str">
        <f t="shared" si="14"/>
        <v/>
      </c>
      <c r="X14" s="131"/>
      <c r="Y14" s="197" t="e">
        <f ca="1">IF(Length_1!K9&lt;0,ROUNDUP(Length_1!K9*J$3,$M$66),ROUNDDOWN(Length_1!K9*J$3,$M$66))</f>
        <v>#N/A</v>
      </c>
      <c r="Z14" s="197" t="e">
        <f ca="1">IF(Length_1!L9&lt;0,ROUNDDOWN(Length_1!L9*J$3,$M$66),ROUNDUP(Length_1!L9*J$3,$M$66))</f>
        <v>#N/A</v>
      </c>
      <c r="AA14" s="129" t="e">
        <f t="shared" ca="1" si="9"/>
        <v>#N/A</v>
      </c>
      <c r="AB14" s="129" t="e">
        <f t="shared" ca="1" si="10"/>
        <v>#N/A</v>
      </c>
      <c r="AC14" s="266" t="e">
        <f t="shared" ca="1" si="11"/>
        <v>#N/A</v>
      </c>
      <c r="AD14" s="129" t="e">
        <f t="shared" ca="1" si="12"/>
        <v>#N/A</v>
      </c>
      <c r="AE14" s="129" t="str">
        <f t="shared" si="15"/>
        <v/>
      </c>
      <c r="AF14" s="299" t="e">
        <f t="shared" ca="1" si="16"/>
        <v>#N/A</v>
      </c>
    </row>
    <row r="15" spans="1:32" ht="15" customHeight="1">
      <c r="B15" s="132" t="b">
        <f>IF(Length_1!T10="",FALSE,TRUE)</f>
        <v>0</v>
      </c>
      <c r="C15" s="129" t="str">
        <f>IF($B15=FALSE,"",VALUE(Length_1!A10))</f>
        <v/>
      </c>
      <c r="D15" s="129" t="str">
        <f>IF($B15=FALSE,"",Length_1!B10)</f>
        <v/>
      </c>
      <c r="E15" s="133" t="str">
        <f>IF($B15=FALSE,"",Length_1!T10)</f>
        <v/>
      </c>
      <c r="F15" s="133" t="str">
        <f>IF($B15=FALSE,"",Length_1!U10)</f>
        <v/>
      </c>
      <c r="G15" s="133" t="str">
        <f>IF($B15=FALSE,"",Length_1!V10)</f>
        <v/>
      </c>
      <c r="H15" s="133" t="str">
        <f>IF($B15=FALSE,"",Length_1!W10)</f>
        <v/>
      </c>
      <c r="I15" s="133" t="str">
        <f>IF($B15=FALSE,"",Length_1!X10)</f>
        <v/>
      </c>
      <c r="J15" s="134" t="str">
        <f t="shared" si="1"/>
        <v/>
      </c>
      <c r="K15" s="146" t="str">
        <f t="shared" si="2"/>
        <v/>
      </c>
      <c r="L15" s="135" t="str">
        <f>IF(B15=FALSE,"",Length_1!D54)</f>
        <v/>
      </c>
      <c r="M15" s="136" t="str">
        <f>IF(B15=FALSE,"",Calcu_ADJ!J15*J$3)</f>
        <v/>
      </c>
      <c r="N15" s="155" t="str">
        <f>IF(B15=FALSE,"",IF(Length_1!C10="Laser",0,11.5*10^-6))</f>
        <v/>
      </c>
      <c r="O15" s="155" t="str">
        <f ca="1">IF(B15=FALSE,"",OFFSET(Length_1!A54,0,MATCH("열팽창계수",Length_1!$47:$47,0)-1))</f>
        <v/>
      </c>
      <c r="P15" s="156" t="str">
        <f t="shared" si="3"/>
        <v/>
      </c>
      <c r="Q15" s="242" t="str">
        <f t="shared" si="4"/>
        <v/>
      </c>
      <c r="R15" s="242" t="str">
        <f t="shared" si="5"/>
        <v/>
      </c>
      <c r="S15" s="242" t="str">
        <f t="shared" si="6"/>
        <v/>
      </c>
      <c r="T15" s="137" t="str">
        <f t="shared" si="7"/>
        <v/>
      </c>
      <c r="U15" s="138" t="str">
        <f t="shared" si="8"/>
        <v/>
      </c>
      <c r="V15" s="129" t="str">
        <f t="shared" si="13"/>
        <v/>
      </c>
      <c r="W15" s="129" t="str">
        <f t="shared" si="14"/>
        <v/>
      </c>
      <c r="X15" s="131"/>
      <c r="Y15" s="197" t="e">
        <f ca="1">IF(Length_1!K10&lt;0,ROUNDUP(Length_1!K10*J$3,$M$66),ROUNDDOWN(Length_1!K10*J$3,$M$66))</f>
        <v>#N/A</v>
      </c>
      <c r="Z15" s="197" t="e">
        <f ca="1">IF(Length_1!L10&lt;0,ROUNDDOWN(Length_1!L10*J$3,$M$66),ROUNDUP(Length_1!L10*J$3,$M$66))</f>
        <v>#N/A</v>
      </c>
      <c r="AA15" s="129" t="e">
        <f t="shared" ca="1" si="9"/>
        <v>#N/A</v>
      </c>
      <c r="AB15" s="129" t="e">
        <f t="shared" ca="1" si="10"/>
        <v>#N/A</v>
      </c>
      <c r="AC15" s="266" t="e">
        <f t="shared" ca="1" si="11"/>
        <v>#N/A</v>
      </c>
      <c r="AD15" s="129" t="e">
        <f t="shared" ca="1" si="12"/>
        <v>#N/A</v>
      </c>
      <c r="AE15" s="129" t="str">
        <f t="shared" si="15"/>
        <v/>
      </c>
      <c r="AF15" s="299" t="e">
        <f t="shared" ca="1" si="16"/>
        <v>#N/A</v>
      </c>
    </row>
    <row r="16" spans="1:32" ht="15" customHeight="1">
      <c r="B16" s="132" t="b">
        <f>IF(Length_1!T11="",FALSE,TRUE)</f>
        <v>0</v>
      </c>
      <c r="C16" s="129" t="str">
        <f>IF($B16=FALSE,"",VALUE(Length_1!A11))</f>
        <v/>
      </c>
      <c r="D16" s="129" t="str">
        <f>IF($B16=FALSE,"",Length_1!B11)</f>
        <v/>
      </c>
      <c r="E16" s="133" t="str">
        <f>IF($B16=FALSE,"",Length_1!T11)</f>
        <v/>
      </c>
      <c r="F16" s="133" t="str">
        <f>IF($B16=FALSE,"",Length_1!U11)</f>
        <v/>
      </c>
      <c r="G16" s="133" t="str">
        <f>IF($B16=FALSE,"",Length_1!V11)</f>
        <v/>
      </c>
      <c r="H16" s="133" t="str">
        <f>IF($B16=FALSE,"",Length_1!W11)</f>
        <v/>
      </c>
      <c r="I16" s="133" t="str">
        <f>IF($B16=FALSE,"",Length_1!X11)</f>
        <v/>
      </c>
      <c r="J16" s="134" t="str">
        <f t="shared" si="1"/>
        <v/>
      </c>
      <c r="K16" s="146" t="str">
        <f t="shared" si="2"/>
        <v/>
      </c>
      <c r="L16" s="135" t="str">
        <f>IF(B16=FALSE,"",Length_1!D55)</f>
        <v/>
      </c>
      <c r="M16" s="136" t="str">
        <f>IF(B16=FALSE,"",Calcu_ADJ!J16*J$3)</f>
        <v/>
      </c>
      <c r="N16" s="155" t="str">
        <f>IF(B16=FALSE,"",IF(Length_1!C11="Laser",0,11.5*10^-6))</f>
        <v/>
      </c>
      <c r="O16" s="155" t="str">
        <f ca="1">IF(B16=FALSE,"",OFFSET(Length_1!A55,0,MATCH("열팽창계수",Length_1!$47:$47,0)-1))</f>
        <v/>
      </c>
      <c r="P16" s="156" t="str">
        <f t="shared" si="3"/>
        <v/>
      </c>
      <c r="Q16" s="242" t="str">
        <f t="shared" si="4"/>
        <v/>
      </c>
      <c r="R16" s="242" t="str">
        <f t="shared" si="5"/>
        <v/>
      </c>
      <c r="S16" s="242" t="str">
        <f t="shared" si="6"/>
        <v/>
      </c>
      <c r="T16" s="137" t="str">
        <f t="shared" si="7"/>
        <v/>
      </c>
      <c r="U16" s="138" t="str">
        <f t="shared" si="8"/>
        <v/>
      </c>
      <c r="V16" s="129" t="str">
        <f t="shared" si="13"/>
        <v/>
      </c>
      <c r="W16" s="129" t="str">
        <f t="shared" si="14"/>
        <v/>
      </c>
      <c r="X16" s="131"/>
      <c r="Y16" s="197" t="e">
        <f ca="1">IF(Length_1!K11&lt;0,ROUNDUP(Length_1!K11*J$3,$M$66),ROUNDDOWN(Length_1!K11*J$3,$M$66))</f>
        <v>#N/A</v>
      </c>
      <c r="Z16" s="197" t="e">
        <f ca="1">IF(Length_1!L11&lt;0,ROUNDDOWN(Length_1!L11*J$3,$M$66),ROUNDUP(Length_1!L11*J$3,$M$66))</f>
        <v>#N/A</v>
      </c>
      <c r="AA16" s="129" t="e">
        <f t="shared" ca="1" si="9"/>
        <v>#N/A</v>
      </c>
      <c r="AB16" s="129" t="e">
        <f t="shared" ca="1" si="10"/>
        <v>#N/A</v>
      </c>
      <c r="AC16" s="266" t="e">
        <f t="shared" ca="1" si="11"/>
        <v>#N/A</v>
      </c>
      <c r="AD16" s="129" t="e">
        <f t="shared" ca="1" si="12"/>
        <v>#N/A</v>
      </c>
      <c r="AE16" s="129" t="str">
        <f t="shared" si="15"/>
        <v/>
      </c>
      <c r="AF16" s="299" t="e">
        <f t="shared" ca="1" si="16"/>
        <v>#N/A</v>
      </c>
    </row>
    <row r="17" spans="2:32" ht="15" customHeight="1">
      <c r="B17" s="132" t="b">
        <f>IF(Length_1!T12="",FALSE,TRUE)</f>
        <v>0</v>
      </c>
      <c r="C17" s="129" t="str">
        <f>IF($B17=FALSE,"",VALUE(Length_1!A12))</f>
        <v/>
      </c>
      <c r="D17" s="129" t="str">
        <f>IF($B17=FALSE,"",Length_1!B12)</f>
        <v/>
      </c>
      <c r="E17" s="133" t="str">
        <f>IF($B17=FALSE,"",Length_1!T12)</f>
        <v/>
      </c>
      <c r="F17" s="133" t="str">
        <f>IF($B17=FALSE,"",Length_1!U12)</f>
        <v/>
      </c>
      <c r="G17" s="133" t="str">
        <f>IF($B17=FALSE,"",Length_1!V12)</f>
        <v/>
      </c>
      <c r="H17" s="133" t="str">
        <f>IF($B17=FALSE,"",Length_1!W12)</f>
        <v/>
      </c>
      <c r="I17" s="133" t="str">
        <f>IF($B17=FALSE,"",Length_1!X12)</f>
        <v/>
      </c>
      <c r="J17" s="134" t="str">
        <f t="shared" si="1"/>
        <v/>
      </c>
      <c r="K17" s="146" t="str">
        <f t="shared" si="2"/>
        <v/>
      </c>
      <c r="L17" s="135" t="str">
        <f>IF(B17=FALSE,"",Length_1!D56)</f>
        <v/>
      </c>
      <c r="M17" s="136" t="str">
        <f>IF(B17=FALSE,"",Calcu_ADJ!J17*J$3)</f>
        <v/>
      </c>
      <c r="N17" s="155" t="str">
        <f>IF(B17=FALSE,"",IF(Length_1!C12="Laser",0,11.5*10^-6))</f>
        <v/>
      </c>
      <c r="O17" s="155" t="str">
        <f ca="1">IF(B17=FALSE,"",OFFSET(Length_1!A56,0,MATCH("열팽창계수",Length_1!$47:$47,0)-1))</f>
        <v/>
      </c>
      <c r="P17" s="156" t="str">
        <f t="shared" si="3"/>
        <v/>
      </c>
      <c r="Q17" s="242" t="str">
        <f t="shared" si="4"/>
        <v/>
      </c>
      <c r="R17" s="242" t="str">
        <f t="shared" si="5"/>
        <v/>
      </c>
      <c r="S17" s="242" t="str">
        <f t="shared" si="6"/>
        <v/>
      </c>
      <c r="T17" s="137" t="str">
        <f t="shared" si="7"/>
        <v/>
      </c>
      <c r="U17" s="138" t="str">
        <f t="shared" si="8"/>
        <v/>
      </c>
      <c r="V17" s="129" t="str">
        <f t="shared" si="13"/>
        <v/>
      </c>
      <c r="W17" s="129" t="str">
        <f t="shared" si="14"/>
        <v/>
      </c>
      <c r="X17" s="131"/>
      <c r="Y17" s="197" t="e">
        <f ca="1">IF(Length_1!K12&lt;0,ROUNDUP(Length_1!K12*J$3,$M$66),ROUNDDOWN(Length_1!K12*J$3,$M$66))</f>
        <v>#N/A</v>
      </c>
      <c r="Z17" s="197" t="e">
        <f ca="1">IF(Length_1!L12&lt;0,ROUNDDOWN(Length_1!L12*J$3,$M$66),ROUNDUP(Length_1!L12*J$3,$M$66))</f>
        <v>#N/A</v>
      </c>
      <c r="AA17" s="129" t="e">
        <f t="shared" ca="1" si="9"/>
        <v>#N/A</v>
      </c>
      <c r="AB17" s="129" t="e">
        <f t="shared" ca="1" si="10"/>
        <v>#N/A</v>
      </c>
      <c r="AC17" s="266" t="e">
        <f t="shared" ca="1" si="11"/>
        <v>#N/A</v>
      </c>
      <c r="AD17" s="129" t="e">
        <f t="shared" ca="1" si="12"/>
        <v>#N/A</v>
      </c>
      <c r="AE17" s="129" t="str">
        <f t="shared" si="15"/>
        <v/>
      </c>
      <c r="AF17" s="299" t="e">
        <f t="shared" ca="1" si="16"/>
        <v>#N/A</v>
      </c>
    </row>
    <row r="18" spans="2:32" ht="15" customHeight="1">
      <c r="B18" s="132" t="b">
        <f>IF(Length_1!T13="",FALSE,TRUE)</f>
        <v>0</v>
      </c>
      <c r="C18" s="129" t="str">
        <f>IF($B18=FALSE,"",VALUE(Length_1!A13))</f>
        <v/>
      </c>
      <c r="D18" s="129" t="str">
        <f>IF($B18=FALSE,"",Length_1!B13)</f>
        <v/>
      </c>
      <c r="E18" s="133" t="str">
        <f>IF($B18=FALSE,"",Length_1!T13)</f>
        <v/>
      </c>
      <c r="F18" s="133" t="str">
        <f>IF($B18=FALSE,"",Length_1!U13)</f>
        <v/>
      </c>
      <c r="G18" s="133" t="str">
        <f>IF($B18=FALSE,"",Length_1!V13)</f>
        <v/>
      </c>
      <c r="H18" s="133" t="str">
        <f>IF($B18=FALSE,"",Length_1!W13)</f>
        <v/>
      </c>
      <c r="I18" s="133" t="str">
        <f>IF($B18=FALSE,"",Length_1!X13)</f>
        <v/>
      </c>
      <c r="J18" s="134" t="str">
        <f t="shared" si="1"/>
        <v/>
      </c>
      <c r="K18" s="146" t="str">
        <f t="shared" si="2"/>
        <v/>
      </c>
      <c r="L18" s="135" t="str">
        <f>IF(B18=FALSE,"",Length_1!D57)</f>
        <v/>
      </c>
      <c r="M18" s="136" t="str">
        <f>IF(B18=FALSE,"",Calcu_ADJ!J18*J$3)</f>
        <v/>
      </c>
      <c r="N18" s="155" t="str">
        <f>IF(B18=FALSE,"",IF(Length_1!C13="Laser",0,11.5*10^-6))</f>
        <v/>
      </c>
      <c r="O18" s="155" t="str">
        <f ca="1">IF(B18=FALSE,"",OFFSET(Length_1!A57,0,MATCH("열팽창계수",Length_1!$47:$47,0)-1))</f>
        <v/>
      </c>
      <c r="P18" s="156" t="str">
        <f t="shared" si="3"/>
        <v/>
      </c>
      <c r="Q18" s="242" t="str">
        <f t="shared" si="4"/>
        <v/>
      </c>
      <c r="R18" s="242" t="str">
        <f t="shared" si="5"/>
        <v/>
      </c>
      <c r="S18" s="242" t="str">
        <f t="shared" si="6"/>
        <v/>
      </c>
      <c r="T18" s="137" t="str">
        <f t="shared" si="7"/>
        <v/>
      </c>
      <c r="U18" s="138" t="str">
        <f t="shared" si="8"/>
        <v/>
      </c>
      <c r="V18" s="129" t="str">
        <f t="shared" si="13"/>
        <v/>
      </c>
      <c r="W18" s="129" t="str">
        <f t="shared" si="14"/>
        <v/>
      </c>
      <c r="X18" s="131"/>
      <c r="Y18" s="197" t="e">
        <f ca="1">IF(Length_1!K13&lt;0,ROUNDUP(Length_1!K13*J$3,$M$66),ROUNDDOWN(Length_1!K13*J$3,$M$66))</f>
        <v>#N/A</v>
      </c>
      <c r="Z18" s="197" t="e">
        <f ca="1">IF(Length_1!L13&lt;0,ROUNDDOWN(Length_1!L13*J$3,$M$66),ROUNDUP(Length_1!L13*J$3,$M$66))</f>
        <v>#N/A</v>
      </c>
      <c r="AA18" s="129" t="e">
        <f t="shared" ca="1" si="9"/>
        <v>#N/A</v>
      </c>
      <c r="AB18" s="129" t="e">
        <f t="shared" ca="1" si="10"/>
        <v>#N/A</v>
      </c>
      <c r="AC18" s="266" t="e">
        <f t="shared" ca="1" si="11"/>
        <v>#N/A</v>
      </c>
      <c r="AD18" s="129" t="e">
        <f t="shared" ca="1" si="12"/>
        <v>#N/A</v>
      </c>
      <c r="AE18" s="129" t="str">
        <f t="shared" si="15"/>
        <v/>
      </c>
      <c r="AF18" s="299" t="e">
        <f t="shared" ca="1" si="16"/>
        <v>#N/A</v>
      </c>
    </row>
    <row r="19" spans="2:32" ht="15" customHeight="1">
      <c r="B19" s="132" t="b">
        <f>IF(Length_1!T14="",FALSE,TRUE)</f>
        <v>0</v>
      </c>
      <c r="C19" s="129" t="str">
        <f>IF($B19=FALSE,"",VALUE(Length_1!A14))</f>
        <v/>
      </c>
      <c r="D19" s="129" t="str">
        <f>IF($B19=FALSE,"",Length_1!B14)</f>
        <v/>
      </c>
      <c r="E19" s="133" t="str">
        <f>IF($B19=FALSE,"",Length_1!T14)</f>
        <v/>
      </c>
      <c r="F19" s="133" t="str">
        <f>IF($B19=FALSE,"",Length_1!U14)</f>
        <v/>
      </c>
      <c r="G19" s="133" t="str">
        <f>IF($B19=FALSE,"",Length_1!V14)</f>
        <v/>
      </c>
      <c r="H19" s="133" t="str">
        <f>IF($B19=FALSE,"",Length_1!W14)</f>
        <v/>
      </c>
      <c r="I19" s="133" t="str">
        <f>IF($B19=FALSE,"",Length_1!X14)</f>
        <v/>
      </c>
      <c r="J19" s="134" t="str">
        <f t="shared" si="1"/>
        <v/>
      </c>
      <c r="K19" s="146" t="str">
        <f t="shared" si="2"/>
        <v/>
      </c>
      <c r="L19" s="135" t="str">
        <f>IF(B19=FALSE,"",Length_1!D58)</f>
        <v/>
      </c>
      <c r="M19" s="136" t="str">
        <f>IF(B19=FALSE,"",Calcu_ADJ!J19*J$3)</f>
        <v/>
      </c>
      <c r="N19" s="155" t="str">
        <f>IF(B19=FALSE,"",IF(Length_1!C14="Laser",0,11.5*10^-6))</f>
        <v/>
      </c>
      <c r="O19" s="155" t="str">
        <f ca="1">IF(B19=FALSE,"",OFFSET(Length_1!A58,0,MATCH("열팽창계수",Length_1!$47:$47,0)-1))</f>
        <v/>
      </c>
      <c r="P19" s="156" t="str">
        <f t="shared" si="3"/>
        <v/>
      </c>
      <c r="Q19" s="242" t="str">
        <f t="shared" si="4"/>
        <v/>
      </c>
      <c r="R19" s="242" t="str">
        <f t="shared" si="5"/>
        <v/>
      </c>
      <c r="S19" s="242" t="str">
        <f t="shared" si="6"/>
        <v/>
      </c>
      <c r="T19" s="137" t="str">
        <f t="shared" si="7"/>
        <v/>
      </c>
      <c r="U19" s="138" t="str">
        <f t="shared" si="8"/>
        <v/>
      </c>
      <c r="V19" s="129" t="str">
        <f t="shared" si="13"/>
        <v/>
      </c>
      <c r="W19" s="129" t="str">
        <f t="shared" si="14"/>
        <v/>
      </c>
      <c r="X19" s="131"/>
      <c r="Y19" s="197" t="e">
        <f ca="1">IF(Length_1!K14&lt;0,ROUNDUP(Length_1!K14*J$3,$M$66),ROUNDDOWN(Length_1!K14*J$3,$M$66))</f>
        <v>#N/A</v>
      </c>
      <c r="Z19" s="197" t="e">
        <f ca="1">IF(Length_1!L14&lt;0,ROUNDDOWN(Length_1!L14*J$3,$M$66),ROUNDUP(Length_1!L14*J$3,$M$66))</f>
        <v>#N/A</v>
      </c>
      <c r="AA19" s="129" t="e">
        <f t="shared" ca="1" si="9"/>
        <v>#N/A</v>
      </c>
      <c r="AB19" s="129" t="e">
        <f t="shared" ca="1" si="10"/>
        <v>#N/A</v>
      </c>
      <c r="AC19" s="266" t="e">
        <f t="shared" ca="1" si="11"/>
        <v>#N/A</v>
      </c>
      <c r="AD19" s="129" t="e">
        <f t="shared" ca="1" si="12"/>
        <v>#N/A</v>
      </c>
      <c r="AE19" s="129" t="str">
        <f t="shared" si="15"/>
        <v/>
      </c>
      <c r="AF19" s="299" t="e">
        <f t="shared" ca="1" si="16"/>
        <v>#N/A</v>
      </c>
    </row>
    <row r="20" spans="2:32" ht="15" customHeight="1">
      <c r="B20" s="132" t="b">
        <f>IF(Length_1!T15="",FALSE,TRUE)</f>
        <v>0</v>
      </c>
      <c r="C20" s="129" t="str">
        <f>IF($B20=FALSE,"",VALUE(Length_1!A15))</f>
        <v/>
      </c>
      <c r="D20" s="129" t="str">
        <f>IF($B20=FALSE,"",Length_1!B15)</f>
        <v/>
      </c>
      <c r="E20" s="133" t="str">
        <f>IF($B20=FALSE,"",Length_1!T15)</f>
        <v/>
      </c>
      <c r="F20" s="133" t="str">
        <f>IF($B20=FALSE,"",Length_1!U15)</f>
        <v/>
      </c>
      <c r="G20" s="133" t="str">
        <f>IF($B20=FALSE,"",Length_1!V15)</f>
        <v/>
      </c>
      <c r="H20" s="133" t="str">
        <f>IF($B20=FALSE,"",Length_1!W15)</f>
        <v/>
      </c>
      <c r="I20" s="133" t="str">
        <f>IF($B20=FALSE,"",Length_1!X15)</f>
        <v/>
      </c>
      <c r="J20" s="134" t="str">
        <f t="shared" si="1"/>
        <v/>
      </c>
      <c r="K20" s="146" t="str">
        <f t="shared" si="2"/>
        <v/>
      </c>
      <c r="L20" s="135" t="str">
        <f>IF(B20=FALSE,"",Length_1!D59)</f>
        <v/>
      </c>
      <c r="M20" s="136" t="str">
        <f>IF(B20=FALSE,"",Calcu_ADJ!J20*J$3)</f>
        <v/>
      </c>
      <c r="N20" s="155" t="str">
        <f>IF(B20=FALSE,"",IF(Length_1!C15="Laser",0,11.5*10^-6))</f>
        <v/>
      </c>
      <c r="O20" s="155" t="str">
        <f ca="1">IF(B20=FALSE,"",OFFSET(Length_1!A59,0,MATCH("열팽창계수",Length_1!$47:$47,0)-1))</f>
        <v/>
      </c>
      <c r="P20" s="156" t="str">
        <f t="shared" si="3"/>
        <v/>
      </c>
      <c r="Q20" s="242" t="str">
        <f t="shared" si="4"/>
        <v/>
      </c>
      <c r="R20" s="242" t="str">
        <f t="shared" si="5"/>
        <v/>
      </c>
      <c r="S20" s="242" t="str">
        <f t="shared" si="6"/>
        <v/>
      </c>
      <c r="T20" s="137" t="str">
        <f t="shared" si="7"/>
        <v/>
      </c>
      <c r="U20" s="138" t="str">
        <f t="shared" si="8"/>
        <v/>
      </c>
      <c r="V20" s="129" t="str">
        <f t="shared" si="13"/>
        <v/>
      </c>
      <c r="W20" s="129" t="str">
        <f t="shared" si="14"/>
        <v/>
      </c>
      <c r="X20" s="131"/>
      <c r="Y20" s="197" t="e">
        <f ca="1">IF(Length_1!K15&lt;0,ROUNDUP(Length_1!K15*J$3,$M$66),ROUNDDOWN(Length_1!K15*J$3,$M$66))</f>
        <v>#N/A</v>
      </c>
      <c r="Z20" s="197" t="e">
        <f ca="1">IF(Length_1!L15&lt;0,ROUNDDOWN(Length_1!L15*J$3,$M$66),ROUNDUP(Length_1!L15*J$3,$M$66))</f>
        <v>#N/A</v>
      </c>
      <c r="AA20" s="129" t="e">
        <f t="shared" ca="1" si="9"/>
        <v>#N/A</v>
      </c>
      <c r="AB20" s="129" t="e">
        <f t="shared" ca="1" si="10"/>
        <v>#N/A</v>
      </c>
      <c r="AC20" s="266" t="e">
        <f t="shared" ca="1" si="11"/>
        <v>#N/A</v>
      </c>
      <c r="AD20" s="129" t="e">
        <f t="shared" ca="1" si="12"/>
        <v>#N/A</v>
      </c>
      <c r="AE20" s="129" t="str">
        <f t="shared" si="15"/>
        <v/>
      </c>
      <c r="AF20" s="299" t="e">
        <f t="shared" ca="1" si="16"/>
        <v>#N/A</v>
      </c>
    </row>
    <row r="21" spans="2:32" ht="15" customHeight="1">
      <c r="B21" s="132" t="b">
        <f>IF(Length_1!T16="",FALSE,TRUE)</f>
        <v>0</v>
      </c>
      <c r="C21" s="129" t="str">
        <f>IF($B21=FALSE,"",VALUE(Length_1!A16))</f>
        <v/>
      </c>
      <c r="D21" s="129" t="str">
        <f>IF($B21=FALSE,"",Length_1!B16)</f>
        <v/>
      </c>
      <c r="E21" s="133" t="str">
        <f>IF($B21=FALSE,"",Length_1!T16)</f>
        <v/>
      </c>
      <c r="F21" s="133" t="str">
        <f>IF($B21=FALSE,"",Length_1!U16)</f>
        <v/>
      </c>
      <c r="G21" s="133" t="str">
        <f>IF($B21=FALSE,"",Length_1!V16)</f>
        <v/>
      </c>
      <c r="H21" s="133" t="str">
        <f>IF($B21=FALSE,"",Length_1!W16)</f>
        <v/>
      </c>
      <c r="I21" s="133" t="str">
        <f>IF($B21=FALSE,"",Length_1!X16)</f>
        <v/>
      </c>
      <c r="J21" s="134" t="str">
        <f t="shared" si="1"/>
        <v/>
      </c>
      <c r="K21" s="146" t="str">
        <f t="shared" si="2"/>
        <v/>
      </c>
      <c r="L21" s="135" t="str">
        <f>IF(B21=FALSE,"",Length_1!D60)</f>
        <v/>
      </c>
      <c r="M21" s="136" t="str">
        <f>IF(B21=FALSE,"",Calcu_ADJ!J21*J$3)</f>
        <v/>
      </c>
      <c r="N21" s="155" t="str">
        <f>IF(B21=FALSE,"",IF(Length_1!C16="Laser",0,11.5*10^-6))</f>
        <v/>
      </c>
      <c r="O21" s="155" t="str">
        <f ca="1">IF(B21=FALSE,"",OFFSET(Length_1!A60,0,MATCH("열팽창계수",Length_1!$47:$47,0)-1))</f>
        <v/>
      </c>
      <c r="P21" s="156" t="str">
        <f t="shared" si="3"/>
        <v/>
      </c>
      <c r="Q21" s="242" t="str">
        <f t="shared" si="4"/>
        <v/>
      </c>
      <c r="R21" s="242" t="str">
        <f t="shared" si="5"/>
        <v/>
      </c>
      <c r="S21" s="242" t="str">
        <f t="shared" si="6"/>
        <v/>
      </c>
      <c r="T21" s="137" t="str">
        <f t="shared" si="7"/>
        <v/>
      </c>
      <c r="U21" s="138" t="str">
        <f t="shared" si="8"/>
        <v/>
      </c>
      <c r="V21" s="129" t="str">
        <f t="shared" si="13"/>
        <v/>
      </c>
      <c r="W21" s="129" t="str">
        <f t="shared" si="14"/>
        <v/>
      </c>
      <c r="X21" s="131"/>
      <c r="Y21" s="197" t="e">
        <f ca="1">IF(Length_1!K16&lt;0,ROUNDUP(Length_1!K16*J$3,$M$66),ROUNDDOWN(Length_1!K16*J$3,$M$66))</f>
        <v>#N/A</v>
      </c>
      <c r="Z21" s="197" t="e">
        <f ca="1">IF(Length_1!L16&lt;0,ROUNDDOWN(Length_1!L16*J$3,$M$66),ROUNDUP(Length_1!L16*J$3,$M$66))</f>
        <v>#N/A</v>
      </c>
      <c r="AA21" s="129" t="e">
        <f t="shared" ca="1" si="9"/>
        <v>#N/A</v>
      </c>
      <c r="AB21" s="129" t="e">
        <f t="shared" ca="1" si="10"/>
        <v>#N/A</v>
      </c>
      <c r="AC21" s="266" t="e">
        <f t="shared" ca="1" si="11"/>
        <v>#N/A</v>
      </c>
      <c r="AD21" s="129" t="e">
        <f t="shared" ca="1" si="12"/>
        <v>#N/A</v>
      </c>
      <c r="AE21" s="129" t="str">
        <f t="shared" si="15"/>
        <v/>
      </c>
      <c r="AF21" s="299" t="e">
        <f t="shared" ca="1" si="16"/>
        <v>#N/A</v>
      </c>
    </row>
    <row r="22" spans="2:32" ht="15" customHeight="1">
      <c r="B22" s="132" t="b">
        <f>IF(Length_1!T17="",FALSE,TRUE)</f>
        <v>0</v>
      </c>
      <c r="C22" s="129" t="str">
        <f>IF($B22=FALSE,"",VALUE(Length_1!A17))</f>
        <v/>
      </c>
      <c r="D22" s="129" t="str">
        <f>IF($B22=FALSE,"",Length_1!B17)</f>
        <v/>
      </c>
      <c r="E22" s="133" t="str">
        <f>IF($B22=FALSE,"",Length_1!T17)</f>
        <v/>
      </c>
      <c r="F22" s="133" t="str">
        <f>IF($B22=FALSE,"",Length_1!U17)</f>
        <v/>
      </c>
      <c r="G22" s="133" t="str">
        <f>IF($B22=FALSE,"",Length_1!V17)</f>
        <v/>
      </c>
      <c r="H22" s="133" t="str">
        <f>IF($B22=FALSE,"",Length_1!W17)</f>
        <v/>
      </c>
      <c r="I22" s="133" t="str">
        <f>IF($B22=FALSE,"",Length_1!X17)</f>
        <v/>
      </c>
      <c r="J22" s="134" t="str">
        <f t="shared" si="1"/>
        <v/>
      </c>
      <c r="K22" s="146" t="str">
        <f t="shared" si="2"/>
        <v/>
      </c>
      <c r="L22" s="135" t="str">
        <f>IF(B22=FALSE,"",Length_1!D61)</f>
        <v/>
      </c>
      <c r="M22" s="136" t="str">
        <f>IF(B22=FALSE,"",Calcu_ADJ!J22*J$3)</f>
        <v/>
      </c>
      <c r="N22" s="155" t="str">
        <f>IF(B22=FALSE,"",IF(Length_1!C17="Laser",0,11.5*10^-6))</f>
        <v/>
      </c>
      <c r="O22" s="155" t="str">
        <f ca="1">IF(B22=FALSE,"",OFFSET(Length_1!A61,0,MATCH("열팽창계수",Length_1!$47:$47,0)-1))</f>
        <v/>
      </c>
      <c r="P22" s="156" t="str">
        <f t="shared" si="3"/>
        <v/>
      </c>
      <c r="Q22" s="242" t="str">
        <f t="shared" si="4"/>
        <v/>
      </c>
      <c r="R22" s="242" t="str">
        <f t="shared" si="5"/>
        <v/>
      </c>
      <c r="S22" s="242" t="str">
        <f t="shared" si="6"/>
        <v/>
      </c>
      <c r="T22" s="137" t="str">
        <f t="shared" si="7"/>
        <v/>
      </c>
      <c r="U22" s="138" t="str">
        <f t="shared" si="8"/>
        <v/>
      </c>
      <c r="V22" s="129" t="str">
        <f t="shared" si="13"/>
        <v/>
      </c>
      <c r="W22" s="129" t="str">
        <f t="shared" si="14"/>
        <v/>
      </c>
      <c r="X22" s="131"/>
      <c r="Y22" s="197" t="e">
        <f ca="1">IF(Length_1!K17&lt;0,ROUNDUP(Length_1!K17*J$3,$M$66),ROUNDDOWN(Length_1!K17*J$3,$M$66))</f>
        <v>#N/A</v>
      </c>
      <c r="Z22" s="197" t="e">
        <f ca="1">IF(Length_1!L17&lt;0,ROUNDDOWN(Length_1!L17*J$3,$M$66),ROUNDUP(Length_1!L17*J$3,$M$66))</f>
        <v>#N/A</v>
      </c>
      <c r="AA22" s="129" t="e">
        <f t="shared" ca="1" si="9"/>
        <v>#N/A</v>
      </c>
      <c r="AB22" s="129" t="e">
        <f t="shared" ca="1" si="10"/>
        <v>#N/A</v>
      </c>
      <c r="AC22" s="266" t="e">
        <f t="shared" ca="1" si="11"/>
        <v>#N/A</v>
      </c>
      <c r="AD22" s="129" t="e">
        <f t="shared" ca="1" si="12"/>
        <v>#N/A</v>
      </c>
      <c r="AE22" s="129" t="str">
        <f t="shared" si="15"/>
        <v/>
      </c>
      <c r="AF22" s="299" t="e">
        <f t="shared" ca="1" si="16"/>
        <v>#N/A</v>
      </c>
    </row>
    <row r="23" spans="2:32" ht="15" customHeight="1">
      <c r="B23" s="132" t="b">
        <f>IF(Length_1!T18="",FALSE,TRUE)</f>
        <v>0</v>
      </c>
      <c r="C23" s="129" t="str">
        <f>IF($B23=FALSE,"",VALUE(Length_1!A18))</f>
        <v/>
      </c>
      <c r="D23" s="129" t="str">
        <f>IF($B23=FALSE,"",Length_1!B18)</f>
        <v/>
      </c>
      <c r="E23" s="133" t="str">
        <f>IF($B23=FALSE,"",Length_1!T18)</f>
        <v/>
      </c>
      <c r="F23" s="133" t="str">
        <f>IF($B23=FALSE,"",Length_1!U18)</f>
        <v/>
      </c>
      <c r="G23" s="133" t="str">
        <f>IF($B23=FALSE,"",Length_1!V18)</f>
        <v/>
      </c>
      <c r="H23" s="133" t="str">
        <f>IF($B23=FALSE,"",Length_1!W18)</f>
        <v/>
      </c>
      <c r="I23" s="133" t="str">
        <f>IF($B23=FALSE,"",Length_1!X18)</f>
        <v/>
      </c>
      <c r="J23" s="134" t="str">
        <f t="shared" si="1"/>
        <v/>
      </c>
      <c r="K23" s="146" t="str">
        <f t="shared" si="2"/>
        <v/>
      </c>
      <c r="L23" s="135" t="str">
        <f>IF(B23=FALSE,"",Length_1!D62)</f>
        <v/>
      </c>
      <c r="M23" s="136" t="str">
        <f>IF(B23=FALSE,"",Calcu_ADJ!J23*J$3)</f>
        <v/>
      </c>
      <c r="N23" s="155" t="str">
        <f>IF(B23=FALSE,"",IF(Length_1!C18="Laser",0,11.5*10^-6))</f>
        <v/>
      </c>
      <c r="O23" s="155" t="str">
        <f ca="1">IF(B23=FALSE,"",OFFSET(Length_1!A62,0,MATCH("열팽창계수",Length_1!$47:$47,0)-1))</f>
        <v/>
      </c>
      <c r="P23" s="156" t="str">
        <f t="shared" si="3"/>
        <v/>
      </c>
      <c r="Q23" s="242" t="str">
        <f t="shared" si="4"/>
        <v/>
      </c>
      <c r="R23" s="242" t="str">
        <f t="shared" si="5"/>
        <v/>
      </c>
      <c r="S23" s="242" t="str">
        <f t="shared" si="6"/>
        <v/>
      </c>
      <c r="T23" s="137" t="str">
        <f t="shared" si="7"/>
        <v/>
      </c>
      <c r="U23" s="138" t="str">
        <f t="shared" si="8"/>
        <v/>
      </c>
      <c r="V23" s="129" t="str">
        <f t="shared" si="13"/>
        <v/>
      </c>
      <c r="W23" s="129" t="str">
        <f t="shared" si="14"/>
        <v/>
      </c>
      <c r="X23" s="131"/>
      <c r="Y23" s="197" t="e">
        <f ca="1">IF(Length_1!K18&lt;0,ROUNDUP(Length_1!K18*J$3,$M$66),ROUNDDOWN(Length_1!K18*J$3,$M$66))</f>
        <v>#N/A</v>
      </c>
      <c r="Z23" s="197" t="e">
        <f ca="1">IF(Length_1!L18&lt;0,ROUNDDOWN(Length_1!L18*J$3,$M$66),ROUNDUP(Length_1!L18*J$3,$M$66))</f>
        <v>#N/A</v>
      </c>
      <c r="AA23" s="129" t="e">
        <f t="shared" ca="1" si="9"/>
        <v>#N/A</v>
      </c>
      <c r="AB23" s="129" t="e">
        <f t="shared" ca="1" si="10"/>
        <v>#N/A</v>
      </c>
      <c r="AC23" s="266" t="e">
        <f t="shared" ca="1" si="11"/>
        <v>#N/A</v>
      </c>
      <c r="AD23" s="129" t="e">
        <f t="shared" ca="1" si="12"/>
        <v>#N/A</v>
      </c>
      <c r="AE23" s="129" t="str">
        <f t="shared" si="15"/>
        <v/>
      </c>
      <c r="AF23" s="299" t="e">
        <f t="shared" ca="1" si="16"/>
        <v>#N/A</v>
      </c>
    </row>
    <row r="24" spans="2:32" ht="15" customHeight="1">
      <c r="B24" s="132" t="b">
        <f>IF(Length_1!T19="",FALSE,TRUE)</f>
        <v>0</v>
      </c>
      <c r="C24" s="129" t="str">
        <f>IF($B24=FALSE,"",VALUE(Length_1!A19))</f>
        <v/>
      </c>
      <c r="D24" s="129" t="str">
        <f>IF($B24=FALSE,"",Length_1!B19)</f>
        <v/>
      </c>
      <c r="E24" s="133" t="str">
        <f>IF($B24=FALSE,"",Length_1!T19)</f>
        <v/>
      </c>
      <c r="F24" s="133" t="str">
        <f>IF($B24=FALSE,"",Length_1!U19)</f>
        <v/>
      </c>
      <c r="G24" s="133" t="str">
        <f>IF($B24=FALSE,"",Length_1!V19)</f>
        <v/>
      </c>
      <c r="H24" s="133" t="str">
        <f>IF($B24=FALSE,"",Length_1!W19)</f>
        <v/>
      </c>
      <c r="I24" s="133" t="str">
        <f>IF($B24=FALSE,"",Length_1!X19)</f>
        <v/>
      </c>
      <c r="J24" s="134" t="str">
        <f t="shared" si="1"/>
        <v/>
      </c>
      <c r="K24" s="146" t="str">
        <f t="shared" si="2"/>
        <v/>
      </c>
      <c r="L24" s="135" t="str">
        <f>IF(B24=FALSE,"",Length_1!D63)</f>
        <v/>
      </c>
      <c r="M24" s="136" t="str">
        <f>IF(B24=FALSE,"",Calcu_ADJ!J24*J$3)</f>
        <v/>
      </c>
      <c r="N24" s="155" t="str">
        <f>IF(B24=FALSE,"",IF(Length_1!C19="Laser",0,11.5*10^-6))</f>
        <v/>
      </c>
      <c r="O24" s="155" t="str">
        <f ca="1">IF(B24=FALSE,"",OFFSET(Length_1!A63,0,MATCH("열팽창계수",Length_1!$47:$47,0)-1))</f>
        <v/>
      </c>
      <c r="P24" s="156" t="str">
        <f t="shared" si="3"/>
        <v/>
      </c>
      <c r="Q24" s="242" t="str">
        <f t="shared" si="4"/>
        <v/>
      </c>
      <c r="R24" s="242" t="str">
        <f t="shared" si="5"/>
        <v/>
      </c>
      <c r="S24" s="242" t="str">
        <f t="shared" si="6"/>
        <v/>
      </c>
      <c r="T24" s="137" t="str">
        <f t="shared" si="7"/>
        <v/>
      </c>
      <c r="U24" s="138" t="str">
        <f t="shared" si="8"/>
        <v/>
      </c>
      <c r="V24" s="129" t="str">
        <f t="shared" si="13"/>
        <v/>
      </c>
      <c r="W24" s="129" t="str">
        <f t="shared" si="14"/>
        <v/>
      </c>
      <c r="X24" s="131"/>
      <c r="Y24" s="197" t="e">
        <f ca="1">IF(Length_1!K19&lt;0,ROUNDUP(Length_1!K19*J$3,$M$66),ROUNDDOWN(Length_1!K19*J$3,$M$66))</f>
        <v>#N/A</v>
      </c>
      <c r="Z24" s="197" t="e">
        <f ca="1">IF(Length_1!L19&lt;0,ROUNDDOWN(Length_1!L19*J$3,$M$66),ROUNDUP(Length_1!L19*J$3,$M$66))</f>
        <v>#N/A</v>
      </c>
      <c r="AA24" s="129" t="e">
        <f t="shared" ca="1" si="9"/>
        <v>#N/A</v>
      </c>
      <c r="AB24" s="129" t="e">
        <f t="shared" ca="1" si="10"/>
        <v>#N/A</v>
      </c>
      <c r="AC24" s="266" t="e">
        <f t="shared" ca="1" si="11"/>
        <v>#N/A</v>
      </c>
      <c r="AD24" s="129" t="e">
        <f t="shared" ca="1" si="12"/>
        <v>#N/A</v>
      </c>
      <c r="AE24" s="129" t="str">
        <f t="shared" si="15"/>
        <v/>
      </c>
      <c r="AF24" s="299" t="e">
        <f t="shared" ca="1" si="16"/>
        <v>#N/A</v>
      </c>
    </row>
    <row r="25" spans="2:32" ht="15" customHeight="1">
      <c r="B25" s="132" t="b">
        <f>IF(Length_1!T20="",FALSE,TRUE)</f>
        <v>0</v>
      </c>
      <c r="C25" s="129" t="str">
        <f>IF($B25=FALSE,"",VALUE(Length_1!A20))</f>
        <v/>
      </c>
      <c r="D25" s="129" t="str">
        <f>IF($B25=FALSE,"",Length_1!B20)</f>
        <v/>
      </c>
      <c r="E25" s="133" t="str">
        <f>IF($B25=FALSE,"",Length_1!T20)</f>
        <v/>
      </c>
      <c r="F25" s="133" t="str">
        <f>IF($B25=FALSE,"",Length_1!U20)</f>
        <v/>
      </c>
      <c r="G25" s="133" t="str">
        <f>IF($B25=FALSE,"",Length_1!V20)</f>
        <v/>
      </c>
      <c r="H25" s="133" t="str">
        <f>IF($B25=FALSE,"",Length_1!W20)</f>
        <v/>
      </c>
      <c r="I25" s="133" t="str">
        <f>IF($B25=FALSE,"",Length_1!X20)</f>
        <v/>
      </c>
      <c r="J25" s="134" t="str">
        <f t="shared" si="1"/>
        <v/>
      </c>
      <c r="K25" s="146" t="str">
        <f t="shared" si="2"/>
        <v/>
      </c>
      <c r="L25" s="135" t="str">
        <f>IF(B25=FALSE,"",Length_1!D64)</f>
        <v/>
      </c>
      <c r="M25" s="136" t="str">
        <f>IF(B25=FALSE,"",Calcu_ADJ!J25*J$3)</f>
        <v/>
      </c>
      <c r="N25" s="155" t="str">
        <f>IF(B25=FALSE,"",IF(Length_1!C20="Laser",0,11.5*10^-6))</f>
        <v/>
      </c>
      <c r="O25" s="155" t="str">
        <f ca="1">IF(B25=FALSE,"",OFFSET(Length_1!A64,0,MATCH("열팽창계수",Length_1!$47:$47,0)-1))</f>
        <v/>
      </c>
      <c r="P25" s="156" t="str">
        <f t="shared" si="3"/>
        <v/>
      </c>
      <c r="Q25" s="242" t="str">
        <f t="shared" si="4"/>
        <v/>
      </c>
      <c r="R25" s="242" t="str">
        <f t="shared" si="5"/>
        <v/>
      </c>
      <c r="S25" s="242" t="str">
        <f t="shared" si="6"/>
        <v/>
      </c>
      <c r="T25" s="137" t="str">
        <f t="shared" si="7"/>
        <v/>
      </c>
      <c r="U25" s="138" t="str">
        <f t="shared" si="8"/>
        <v/>
      </c>
      <c r="V25" s="129" t="str">
        <f t="shared" si="13"/>
        <v/>
      </c>
      <c r="W25" s="129" t="str">
        <f t="shared" si="14"/>
        <v/>
      </c>
      <c r="X25" s="131"/>
      <c r="Y25" s="197" t="e">
        <f ca="1">IF(Length_1!K20&lt;0,ROUNDUP(Length_1!K20*J$3,$M$66),ROUNDDOWN(Length_1!K20*J$3,$M$66))</f>
        <v>#N/A</v>
      </c>
      <c r="Z25" s="197" t="e">
        <f ca="1">IF(Length_1!L20&lt;0,ROUNDDOWN(Length_1!L20*J$3,$M$66),ROUNDUP(Length_1!L20*J$3,$M$66))</f>
        <v>#N/A</v>
      </c>
      <c r="AA25" s="129" t="e">
        <f t="shared" ca="1" si="9"/>
        <v>#N/A</v>
      </c>
      <c r="AB25" s="129" t="e">
        <f t="shared" ca="1" si="10"/>
        <v>#N/A</v>
      </c>
      <c r="AC25" s="266" t="e">
        <f t="shared" ca="1" si="11"/>
        <v>#N/A</v>
      </c>
      <c r="AD25" s="129" t="e">
        <f t="shared" ca="1" si="12"/>
        <v>#N/A</v>
      </c>
      <c r="AE25" s="129" t="str">
        <f t="shared" si="15"/>
        <v/>
      </c>
      <c r="AF25" s="299" t="e">
        <f t="shared" ca="1" si="16"/>
        <v>#N/A</v>
      </c>
    </row>
    <row r="26" spans="2:32" ht="15" customHeight="1">
      <c r="B26" s="132" t="b">
        <f>IF(Length_1!T21="",FALSE,TRUE)</f>
        <v>0</v>
      </c>
      <c r="C26" s="129" t="str">
        <f>IF($B26=FALSE,"",VALUE(Length_1!A21))</f>
        <v/>
      </c>
      <c r="D26" s="129" t="str">
        <f>IF($B26=FALSE,"",Length_1!B21)</f>
        <v/>
      </c>
      <c r="E26" s="133" t="str">
        <f>IF($B26=FALSE,"",Length_1!T21)</f>
        <v/>
      </c>
      <c r="F26" s="133" t="str">
        <f>IF($B26=FALSE,"",Length_1!U21)</f>
        <v/>
      </c>
      <c r="G26" s="133" t="str">
        <f>IF($B26=FALSE,"",Length_1!V21)</f>
        <v/>
      </c>
      <c r="H26" s="133" t="str">
        <f>IF($B26=FALSE,"",Length_1!W21)</f>
        <v/>
      </c>
      <c r="I26" s="133" t="str">
        <f>IF($B26=FALSE,"",Length_1!X21)</f>
        <v/>
      </c>
      <c r="J26" s="134" t="str">
        <f t="shared" si="1"/>
        <v/>
      </c>
      <c r="K26" s="146" t="str">
        <f t="shared" si="2"/>
        <v/>
      </c>
      <c r="L26" s="135" t="str">
        <f>IF(B26=FALSE,"",Length_1!D65)</f>
        <v/>
      </c>
      <c r="M26" s="136" t="str">
        <f>IF(B26=FALSE,"",Calcu_ADJ!J26*J$3)</f>
        <v/>
      </c>
      <c r="N26" s="155" t="str">
        <f>IF(B26=FALSE,"",IF(Length_1!C21="Laser",0,11.5*10^-6))</f>
        <v/>
      </c>
      <c r="O26" s="155" t="str">
        <f ca="1">IF(B26=FALSE,"",OFFSET(Length_1!A65,0,MATCH("열팽창계수",Length_1!$47:$47,0)-1))</f>
        <v/>
      </c>
      <c r="P26" s="156" t="str">
        <f t="shared" si="3"/>
        <v/>
      </c>
      <c r="Q26" s="242" t="str">
        <f t="shared" si="4"/>
        <v/>
      </c>
      <c r="R26" s="242" t="str">
        <f t="shared" si="5"/>
        <v/>
      </c>
      <c r="S26" s="242" t="str">
        <f t="shared" si="6"/>
        <v/>
      </c>
      <c r="T26" s="137" t="str">
        <f t="shared" si="7"/>
        <v/>
      </c>
      <c r="U26" s="138" t="str">
        <f t="shared" si="8"/>
        <v/>
      </c>
      <c r="V26" s="129" t="str">
        <f t="shared" si="13"/>
        <v/>
      </c>
      <c r="W26" s="129" t="str">
        <f t="shared" si="14"/>
        <v/>
      </c>
      <c r="X26" s="131"/>
      <c r="Y26" s="197" t="e">
        <f ca="1">IF(Length_1!K21&lt;0,ROUNDUP(Length_1!K21*J$3,$M$66),ROUNDDOWN(Length_1!K21*J$3,$M$66))</f>
        <v>#N/A</v>
      </c>
      <c r="Z26" s="197" t="e">
        <f ca="1">IF(Length_1!L21&lt;0,ROUNDDOWN(Length_1!L21*J$3,$M$66),ROUNDUP(Length_1!L21*J$3,$M$66))</f>
        <v>#N/A</v>
      </c>
      <c r="AA26" s="129" t="e">
        <f t="shared" ca="1" si="9"/>
        <v>#N/A</v>
      </c>
      <c r="AB26" s="129" t="e">
        <f t="shared" ca="1" si="10"/>
        <v>#N/A</v>
      </c>
      <c r="AC26" s="266" t="e">
        <f t="shared" ca="1" si="11"/>
        <v>#N/A</v>
      </c>
      <c r="AD26" s="129" t="e">
        <f t="shared" ca="1" si="12"/>
        <v>#N/A</v>
      </c>
      <c r="AE26" s="129" t="str">
        <f t="shared" si="15"/>
        <v/>
      </c>
      <c r="AF26" s="299" t="e">
        <f t="shared" ca="1" si="16"/>
        <v>#N/A</v>
      </c>
    </row>
    <row r="27" spans="2:32" ht="15" customHeight="1">
      <c r="B27" s="132" t="b">
        <f>IF(Length_1!T22="",FALSE,TRUE)</f>
        <v>0</v>
      </c>
      <c r="C27" s="129" t="str">
        <f>IF($B27=FALSE,"",VALUE(Length_1!A22))</f>
        <v/>
      </c>
      <c r="D27" s="129" t="str">
        <f>IF($B27=FALSE,"",Length_1!B22)</f>
        <v/>
      </c>
      <c r="E27" s="133" t="str">
        <f>IF($B27=FALSE,"",Length_1!T22)</f>
        <v/>
      </c>
      <c r="F27" s="133" t="str">
        <f>IF($B27=FALSE,"",Length_1!U22)</f>
        <v/>
      </c>
      <c r="G27" s="133" t="str">
        <f>IF($B27=FALSE,"",Length_1!V22)</f>
        <v/>
      </c>
      <c r="H27" s="133" t="str">
        <f>IF($B27=FALSE,"",Length_1!W22)</f>
        <v/>
      </c>
      <c r="I27" s="133" t="str">
        <f>IF($B27=FALSE,"",Length_1!X22)</f>
        <v/>
      </c>
      <c r="J27" s="134" t="str">
        <f t="shared" si="1"/>
        <v/>
      </c>
      <c r="K27" s="146" t="str">
        <f t="shared" si="2"/>
        <v/>
      </c>
      <c r="L27" s="135" t="str">
        <f>IF(B27=FALSE,"",Length_1!D66)</f>
        <v/>
      </c>
      <c r="M27" s="136" t="str">
        <f>IF(B27=FALSE,"",Calcu_ADJ!J27*J$3)</f>
        <v/>
      </c>
      <c r="N27" s="155" t="str">
        <f>IF(B27=FALSE,"",IF(Length_1!C22="Laser",0,11.5*10^-6))</f>
        <v/>
      </c>
      <c r="O27" s="155" t="str">
        <f ca="1">IF(B27=FALSE,"",OFFSET(Length_1!A66,0,MATCH("열팽창계수",Length_1!$47:$47,0)-1))</f>
        <v/>
      </c>
      <c r="P27" s="156" t="str">
        <f t="shared" si="3"/>
        <v/>
      </c>
      <c r="Q27" s="242" t="str">
        <f t="shared" si="4"/>
        <v/>
      </c>
      <c r="R27" s="242" t="str">
        <f t="shared" si="5"/>
        <v/>
      </c>
      <c r="S27" s="242" t="str">
        <f t="shared" si="6"/>
        <v/>
      </c>
      <c r="T27" s="137" t="str">
        <f t="shared" si="7"/>
        <v/>
      </c>
      <c r="U27" s="138" t="str">
        <f t="shared" si="8"/>
        <v/>
      </c>
      <c r="V27" s="129" t="str">
        <f t="shared" si="13"/>
        <v/>
      </c>
      <c r="W27" s="129" t="str">
        <f t="shared" si="14"/>
        <v/>
      </c>
      <c r="X27" s="131"/>
      <c r="Y27" s="197" t="e">
        <f ca="1">IF(Length_1!K22&lt;0,ROUNDUP(Length_1!K22*J$3,$M$66),ROUNDDOWN(Length_1!K22*J$3,$M$66))</f>
        <v>#N/A</v>
      </c>
      <c r="Z27" s="197" t="e">
        <f ca="1">IF(Length_1!L22&lt;0,ROUNDDOWN(Length_1!L22*J$3,$M$66),ROUNDUP(Length_1!L22*J$3,$M$66))</f>
        <v>#N/A</v>
      </c>
      <c r="AA27" s="129" t="e">
        <f t="shared" ca="1" si="9"/>
        <v>#N/A</v>
      </c>
      <c r="AB27" s="129" t="e">
        <f t="shared" ca="1" si="10"/>
        <v>#N/A</v>
      </c>
      <c r="AC27" s="266" t="e">
        <f t="shared" ca="1" si="11"/>
        <v>#N/A</v>
      </c>
      <c r="AD27" s="129" t="e">
        <f t="shared" ca="1" si="12"/>
        <v>#N/A</v>
      </c>
      <c r="AE27" s="129" t="str">
        <f t="shared" si="15"/>
        <v/>
      </c>
      <c r="AF27" s="299" t="e">
        <f t="shared" ca="1" si="16"/>
        <v>#N/A</v>
      </c>
    </row>
    <row r="28" spans="2:32" ht="15" customHeight="1">
      <c r="B28" s="132" t="b">
        <f>IF(Length_1!T23="",FALSE,TRUE)</f>
        <v>0</v>
      </c>
      <c r="C28" s="129" t="str">
        <f>IF($B28=FALSE,"",VALUE(Length_1!A23))</f>
        <v/>
      </c>
      <c r="D28" s="129" t="str">
        <f>IF($B28=FALSE,"",Length_1!B23)</f>
        <v/>
      </c>
      <c r="E28" s="133" t="str">
        <f>IF($B28=FALSE,"",Length_1!T23)</f>
        <v/>
      </c>
      <c r="F28" s="133" t="str">
        <f>IF($B28=FALSE,"",Length_1!U23)</f>
        <v/>
      </c>
      <c r="G28" s="133" t="str">
        <f>IF($B28=FALSE,"",Length_1!V23)</f>
        <v/>
      </c>
      <c r="H28" s="133" t="str">
        <f>IF($B28=FALSE,"",Length_1!W23)</f>
        <v/>
      </c>
      <c r="I28" s="133" t="str">
        <f>IF($B28=FALSE,"",Length_1!X23)</f>
        <v/>
      </c>
      <c r="J28" s="134" t="str">
        <f t="shared" si="1"/>
        <v/>
      </c>
      <c r="K28" s="146" t="str">
        <f t="shared" si="2"/>
        <v/>
      </c>
      <c r="L28" s="135" t="str">
        <f>IF(B28=FALSE,"",Length_1!D67)</f>
        <v/>
      </c>
      <c r="M28" s="136" t="str">
        <f>IF(B28=FALSE,"",Calcu_ADJ!J28*J$3)</f>
        <v/>
      </c>
      <c r="N28" s="155" t="str">
        <f>IF(B28=FALSE,"",IF(Length_1!C23="Laser",0,11.5*10^-6))</f>
        <v/>
      </c>
      <c r="O28" s="155" t="str">
        <f ca="1">IF(B28=FALSE,"",OFFSET(Length_1!A67,0,MATCH("열팽창계수",Length_1!$47:$47,0)-1))</f>
        <v/>
      </c>
      <c r="P28" s="156" t="str">
        <f t="shared" si="3"/>
        <v/>
      </c>
      <c r="Q28" s="242" t="str">
        <f t="shared" si="4"/>
        <v/>
      </c>
      <c r="R28" s="242" t="str">
        <f t="shared" si="5"/>
        <v/>
      </c>
      <c r="S28" s="242" t="str">
        <f t="shared" si="6"/>
        <v/>
      </c>
      <c r="T28" s="137" t="str">
        <f t="shared" si="7"/>
        <v/>
      </c>
      <c r="U28" s="138" t="str">
        <f t="shared" si="8"/>
        <v/>
      </c>
      <c r="V28" s="129" t="str">
        <f t="shared" si="13"/>
        <v/>
      </c>
      <c r="W28" s="129" t="str">
        <f t="shared" si="14"/>
        <v/>
      </c>
      <c r="X28" s="131"/>
      <c r="Y28" s="197" t="e">
        <f ca="1">IF(Length_1!K23&lt;0,ROUNDUP(Length_1!K23*J$3,$M$66),ROUNDDOWN(Length_1!K23*J$3,$M$66))</f>
        <v>#N/A</v>
      </c>
      <c r="Z28" s="197" t="e">
        <f ca="1">IF(Length_1!L23&lt;0,ROUNDDOWN(Length_1!L23*J$3,$M$66),ROUNDUP(Length_1!L23*J$3,$M$66))</f>
        <v>#N/A</v>
      </c>
      <c r="AA28" s="129" t="e">
        <f t="shared" ca="1" si="9"/>
        <v>#N/A</v>
      </c>
      <c r="AB28" s="129" t="e">
        <f t="shared" ca="1" si="10"/>
        <v>#N/A</v>
      </c>
      <c r="AC28" s="266" t="e">
        <f t="shared" ca="1" si="11"/>
        <v>#N/A</v>
      </c>
      <c r="AD28" s="129" t="e">
        <f t="shared" ca="1" si="12"/>
        <v>#N/A</v>
      </c>
      <c r="AE28" s="129" t="str">
        <f t="shared" si="15"/>
        <v/>
      </c>
      <c r="AF28" s="299" t="e">
        <f t="shared" ca="1" si="16"/>
        <v>#N/A</v>
      </c>
    </row>
    <row r="29" spans="2:32" ht="15" customHeight="1">
      <c r="B29" s="132" t="b">
        <f>IF(Length_1!T24="",FALSE,TRUE)</f>
        <v>0</v>
      </c>
      <c r="C29" s="129" t="str">
        <f>IF($B29=FALSE,"",VALUE(Length_1!A24))</f>
        <v/>
      </c>
      <c r="D29" s="129" t="str">
        <f>IF($B29=FALSE,"",Length_1!B24)</f>
        <v/>
      </c>
      <c r="E29" s="133" t="str">
        <f>IF($B29=FALSE,"",Length_1!T24)</f>
        <v/>
      </c>
      <c r="F29" s="133" t="str">
        <f>IF($B29=FALSE,"",Length_1!U24)</f>
        <v/>
      </c>
      <c r="G29" s="133" t="str">
        <f>IF($B29=FALSE,"",Length_1!V24)</f>
        <v/>
      </c>
      <c r="H29" s="133" t="str">
        <f>IF($B29=FALSE,"",Length_1!W24)</f>
        <v/>
      </c>
      <c r="I29" s="133" t="str">
        <f>IF($B29=FALSE,"",Length_1!X24)</f>
        <v/>
      </c>
      <c r="J29" s="134" t="str">
        <f t="shared" si="1"/>
        <v/>
      </c>
      <c r="K29" s="146" t="str">
        <f t="shared" si="2"/>
        <v/>
      </c>
      <c r="L29" s="135" t="str">
        <f>IF(B29=FALSE,"",Length_1!D68)</f>
        <v/>
      </c>
      <c r="M29" s="136" t="str">
        <f>IF(B29=FALSE,"",Calcu_ADJ!J29*J$3)</f>
        <v/>
      </c>
      <c r="N29" s="155" t="str">
        <f>IF(B29=FALSE,"",IF(Length_1!C24="Laser",0,11.5*10^-6))</f>
        <v/>
      </c>
      <c r="O29" s="155" t="str">
        <f ca="1">IF(B29=FALSE,"",OFFSET(Length_1!A68,0,MATCH("열팽창계수",Length_1!$47:$47,0)-1))</f>
        <v/>
      </c>
      <c r="P29" s="156" t="str">
        <f t="shared" si="3"/>
        <v/>
      </c>
      <c r="Q29" s="242" t="str">
        <f t="shared" si="4"/>
        <v/>
      </c>
      <c r="R29" s="242" t="str">
        <f t="shared" si="5"/>
        <v/>
      </c>
      <c r="S29" s="242" t="str">
        <f t="shared" si="6"/>
        <v/>
      </c>
      <c r="T29" s="137" t="str">
        <f t="shared" si="7"/>
        <v/>
      </c>
      <c r="U29" s="138" t="str">
        <f t="shared" si="8"/>
        <v/>
      </c>
      <c r="V29" s="129" t="str">
        <f t="shared" si="13"/>
        <v/>
      </c>
      <c r="W29" s="129" t="str">
        <f t="shared" si="14"/>
        <v/>
      </c>
      <c r="X29" s="131"/>
      <c r="Y29" s="197" t="e">
        <f ca="1">IF(Length_1!K24&lt;0,ROUNDUP(Length_1!K24*J$3,$M$66),ROUNDDOWN(Length_1!K24*J$3,$M$66))</f>
        <v>#N/A</v>
      </c>
      <c r="Z29" s="197" t="e">
        <f ca="1">IF(Length_1!L24&lt;0,ROUNDDOWN(Length_1!L24*J$3,$M$66),ROUNDUP(Length_1!L24*J$3,$M$66))</f>
        <v>#N/A</v>
      </c>
      <c r="AA29" s="129" t="e">
        <f t="shared" ca="1" si="9"/>
        <v>#N/A</v>
      </c>
      <c r="AB29" s="129" t="e">
        <f t="shared" ca="1" si="10"/>
        <v>#N/A</v>
      </c>
      <c r="AC29" s="266" t="e">
        <f t="shared" ca="1" si="11"/>
        <v>#N/A</v>
      </c>
      <c r="AD29" s="129" t="e">
        <f t="shared" ca="1" si="12"/>
        <v>#N/A</v>
      </c>
      <c r="AE29" s="129" t="str">
        <f t="shared" si="15"/>
        <v/>
      </c>
      <c r="AF29" s="299" t="e">
        <f t="shared" ca="1" si="16"/>
        <v>#N/A</v>
      </c>
    </row>
    <row r="30" spans="2:32" ht="15" customHeight="1">
      <c r="B30" s="132" t="b">
        <f>IF(Length_1!T25="",FALSE,TRUE)</f>
        <v>0</v>
      </c>
      <c r="C30" s="129" t="str">
        <f>IF($B30=FALSE,"",VALUE(Length_1!A25))</f>
        <v/>
      </c>
      <c r="D30" s="129" t="str">
        <f>IF($B30=FALSE,"",Length_1!B25)</f>
        <v/>
      </c>
      <c r="E30" s="133" t="str">
        <f>IF($B30=FALSE,"",Length_1!T25)</f>
        <v/>
      </c>
      <c r="F30" s="133" t="str">
        <f>IF($B30=FALSE,"",Length_1!U25)</f>
        <v/>
      </c>
      <c r="G30" s="133" t="str">
        <f>IF($B30=FALSE,"",Length_1!V25)</f>
        <v/>
      </c>
      <c r="H30" s="133" t="str">
        <f>IF($B30=FALSE,"",Length_1!W25)</f>
        <v/>
      </c>
      <c r="I30" s="133" t="str">
        <f>IF($B30=FALSE,"",Length_1!X25)</f>
        <v/>
      </c>
      <c r="J30" s="134" t="str">
        <f t="shared" si="1"/>
        <v/>
      </c>
      <c r="K30" s="146" t="str">
        <f t="shared" si="2"/>
        <v/>
      </c>
      <c r="L30" s="135" t="str">
        <f>IF(B30=FALSE,"",Length_1!D69)</f>
        <v/>
      </c>
      <c r="M30" s="136" t="str">
        <f>IF(B30=FALSE,"",Calcu_ADJ!J30*J$3)</f>
        <v/>
      </c>
      <c r="N30" s="155" t="str">
        <f>IF(B30=FALSE,"",IF(Length_1!C25="Laser",0,11.5*10^-6))</f>
        <v/>
      </c>
      <c r="O30" s="155" t="str">
        <f ca="1">IF(B30=FALSE,"",OFFSET(Length_1!A69,0,MATCH("열팽창계수",Length_1!$47:$47,0)-1))</f>
        <v/>
      </c>
      <c r="P30" s="156" t="str">
        <f t="shared" si="3"/>
        <v/>
      </c>
      <c r="Q30" s="242" t="str">
        <f t="shared" si="4"/>
        <v/>
      </c>
      <c r="R30" s="242" t="str">
        <f t="shared" si="5"/>
        <v/>
      </c>
      <c r="S30" s="242" t="str">
        <f t="shared" si="6"/>
        <v/>
      </c>
      <c r="T30" s="137" t="str">
        <f t="shared" si="7"/>
        <v/>
      </c>
      <c r="U30" s="138" t="str">
        <f t="shared" si="8"/>
        <v/>
      </c>
      <c r="V30" s="129" t="str">
        <f t="shared" si="13"/>
        <v/>
      </c>
      <c r="W30" s="129" t="str">
        <f t="shared" si="14"/>
        <v/>
      </c>
      <c r="X30" s="131"/>
      <c r="Y30" s="197" t="e">
        <f ca="1">IF(Length_1!K25&lt;0,ROUNDUP(Length_1!K25*J$3,$M$66),ROUNDDOWN(Length_1!K25*J$3,$M$66))</f>
        <v>#N/A</v>
      </c>
      <c r="Z30" s="197" t="e">
        <f ca="1">IF(Length_1!L25&lt;0,ROUNDDOWN(Length_1!L25*J$3,$M$66),ROUNDUP(Length_1!L25*J$3,$M$66))</f>
        <v>#N/A</v>
      </c>
      <c r="AA30" s="129" t="e">
        <f t="shared" ca="1" si="9"/>
        <v>#N/A</v>
      </c>
      <c r="AB30" s="129" t="e">
        <f t="shared" ca="1" si="10"/>
        <v>#N/A</v>
      </c>
      <c r="AC30" s="266" t="e">
        <f t="shared" ca="1" si="11"/>
        <v>#N/A</v>
      </c>
      <c r="AD30" s="129" t="e">
        <f t="shared" ca="1" si="12"/>
        <v>#N/A</v>
      </c>
      <c r="AE30" s="129" t="str">
        <f t="shared" si="15"/>
        <v/>
      </c>
      <c r="AF30" s="299" t="e">
        <f t="shared" ca="1" si="16"/>
        <v>#N/A</v>
      </c>
    </row>
    <row r="31" spans="2:32" ht="15" customHeight="1">
      <c r="B31" s="132" t="b">
        <f>IF(Length_1!T26="",FALSE,TRUE)</f>
        <v>0</v>
      </c>
      <c r="C31" s="129" t="str">
        <f>IF($B31=FALSE,"",VALUE(Length_1!A26))</f>
        <v/>
      </c>
      <c r="D31" s="129" t="str">
        <f>IF($B31=FALSE,"",Length_1!B26)</f>
        <v/>
      </c>
      <c r="E31" s="133" t="str">
        <f>IF($B31=FALSE,"",Length_1!T26)</f>
        <v/>
      </c>
      <c r="F31" s="133" t="str">
        <f>IF($B31=FALSE,"",Length_1!U26)</f>
        <v/>
      </c>
      <c r="G31" s="133" t="str">
        <f>IF($B31=FALSE,"",Length_1!V26)</f>
        <v/>
      </c>
      <c r="H31" s="133" t="str">
        <f>IF($B31=FALSE,"",Length_1!W26)</f>
        <v/>
      </c>
      <c r="I31" s="133" t="str">
        <f>IF($B31=FALSE,"",Length_1!X26)</f>
        <v/>
      </c>
      <c r="J31" s="134" t="str">
        <f t="shared" si="1"/>
        <v/>
      </c>
      <c r="K31" s="146" t="str">
        <f t="shared" si="2"/>
        <v/>
      </c>
      <c r="L31" s="135" t="str">
        <f>IF(B31=FALSE,"",Length_1!D70)</f>
        <v/>
      </c>
      <c r="M31" s="136" t="str">
        <f>IF(B31=FALSE,"",Calcu_ADJ!J31*J$3)</f>
        <v/>
      </c>
      <c r="N31" s="155" t="str">
        <f>IF(B31=FALSE,"",IF(Length_1!C26="Laser",0,11.5*10^-6))</f>
        <v/>
      </c>
      <c r="O31" s="155" t="str">
        <f ca="1">IF(B31=FALSE,"",OFFSET(Length_1!A70,0,MATCH("열팽창계수",Length_1!$47:$47,0)-1))</f>
        <v/>
      </c>
      <c r="P31" s="156" t="str">
        <f t="shared" si="3"/>
        <v/>
      </c>
      <c r="Q31" s="242" t="str">
        <f t="shared" si="4"/>
        <v/>
      </c>
      <c r="R31" s="242" t="str">
        <f t="shared" si="5"/>
        <v/>
      </c>
      <c r="S31" s="242" t="str">
        <f t="shared" si="6"/>
        <v/>
      </c>
      <c r="T31" s="137" t="str">
        <f t="shared" si="7"/>
        <v/>
      </c>
      <c r="U31" s="138" t="str">
        <f t="shared" si="8"/>
        <v/>
      </c>
      <c r="V31" s="129" t="str">
        <f t="shared" si="13"/>
        <v/>
      </c>
      <c r="W31" s="129" t="str">
        <f t="shared" si="14"/>
        <v/>
      </c>
      <c r="X31" s="131"/>
      <c r="Y31" s="197" t="e">
        <f ca="1">IF(Length_1!K26&lt;0,ROUNDUP(Length_1!K26*J$3,$M$66),ROUNDDOWN(Length_1!K26*J$3,$M$66))</f>
        <v>#N/A</v>
      </c>
      <c r="Z31" s="197" t="e">
        <f ca="1">IF(Length_1!L26&lt;0,ROUNDDOWN(Length_1!L26*J$3,$M$66),ROUNDUP(Length_1!L26*J$3,$M$66))</f>
        <v>#N/A</v>
      </c>
      <c r="AA31" s="129" t="e">
        <f t="shared" ca="1" si="9"/>
        <v>#N/A</v>
      </c>
      <c r="AB31" s="129" t="e">
        <f t="shared" ca="1" si="10"/>
        <v>#N/A</v>
      </c>
      <c r="AC31" s="266" t="e">
        <f t="shared" ca="1" si="11"/>
        <v>#N/A</v>
      </c>
      <c r="AD31" s="129" t="e">
        <f t="shared" ca="1" si="12"/>
        <v>#N/A</v>
      </c>
      <c r="AE31" s="129" t="str">
        <f t="shared" si="15"/>
        <v/>
      </c>
      <c r="AF31" s="299" t="e">
        <f t="shared" ca="1" si="16"/>
        <v>#N/A</v>
      </c>
    </row>
    <row r="32" spans="2:32" ht="15" customHeight="1">
      <c r="B32" s="132" t="b">
        <f>IF(Length_1!T27="",FALSE,TRUE)</f>
        <v>0</v>
      </c>
      <c r="C32" s="129" t="str">
        <f>IF($B32=FALSE,"",VALUE(Length_1!A27))</f>
        <v/>
      </c>
      <c r="D32" s="129" t="str">
        <f>IF($B32=FALSE,"",Length_1!B27)</f>
        <v/>
      </c>
      <c r="E32" s="133" t="str">
        <f>IF($B32=FALSE,"",Length_1!T27)</f>
        <v/>
      </c>
      <c r="F32" s="133" t="str">
        <f>IF($B32=FALSE,"",Length_1!U27)</f>
        <v/>
      </c>
      <c r="G32" s="133" t="str">
        <f>IF($B32=FALSE,"",Length_1!V27)</f>
        <v/>
      </c>
      <c r="H32" s="133" t="str">
        <f>IF($B32=FALSE,"",Length_1!W27)</f>
        <v/>
      </c>
      <c r="I32" s="133" t="str">
        <f>IF($B32=FALSE,"",Length_1!X27)</f>
        <v/>
      </c>
      <c r="J32" s="134" t="str">
        <f t="shared" si="1"/>
        <v/>
      </c>
      <c r="K32" s="146" t="str">
        <f t="shared" si="2"/>
        <v/>
      </c>
      <c r="L32" s="135" t="str">
        <f>IF(B32=FALSE,"",Length_1!D71)</f>
        <v/>
      </c>
      <c r="M32" s="136" t="str">
        <f>IF(B32=FALSE,"",Calcu_ADJ!J32*J$3)</f>
        <v/>
      </c>
      <c r="N32" s="155" t="str">
        <f>IF(B32=FALSE,"",IF(Length_1!C27="Laser",0,11.5*10^-6))</f>
        <v/>
      </c>
      <c r="O32" s="155" t="str">
        <f ca="1">IF(B32=FALSE,"",OFFSET(Length_1!A71,0,MATCH("열팽창계수",Length_1!$47:$47,0)-1))</f>
        <v/>
      </c>
      <c r="P32" s="156" t="str">
        <f t="shared" si="3"/>
        <v/>
      </c>
      <c r="Q32" s="242" t="str">
        <f t="shared" si="4"/>
        <v/>
      </c>
      <c r="R32" s="242" t="str">
        <f t="shared" si="5"/>
        <v/>
      </c>
      <c r="S32" s="242" t="str">
        <f t="shared" si="6"/>
        <v/>
      </c>
      <c r="T32" s="137" t="str">
        <f t="shared" si="7"/>
        <v/>
      </c>
      <c r="U32" s="138" t="str">
        <f t="shared" si="8"/>
        <v/>
      </c>
      <c r="V32" s="129" t="str">
        <f t="shared" si="13"/>
        <v/>
      </c>
      <c r="W32" s="129" t="str">
        <f t="shared" si="14"/>
        <v/>
      </c>
      <c r="X32" s="131"/>
      <c r="Y32" s="197" t="e">
        <f ca="1">IF(Length_1!K27&lt;0,ROUNDUP(Length_1!K27*J$3,$M$66),ROUNDDOWN(Length_1!K27*J$3,$M$66))</f>
        <v>#N/A</v>
      </c>
      <c r="Z32" s="197" t="e">
        <f ca="1">IF(Length_1!L27&lt;0,ROUNDDOWN(Length_1!L27*J$3,$M$66),ROUNDUP(Length_1!L27*J$3,$M$66))</f>
        <v>#N/A</v>
      </c>
      <c r="AA32" s="129" t="e">
        <f t="shared" ca="1" si="9"/>
        <v>#N/A</v>
      </c>
      <c r="AB32" s="129" t="e">
        <f t="shared" ca="1" si="10"/>
        <v>#N/A</v>
      </c>
      <c r="AC32" s="266" t="e">
        <f t="shared" ca="1" si="11"/>
        <v>#N/A</v>
      </c>
      <c r="AD32" s="129" t="e">
        <f t="shared" ca="1" si="12"/>
        <v>#N/A</v>
      </c>
      <c r="AE32" s="129" t="str">
        <f t="shared" si="15"/>
        <v/>
      </c>
      <c r="AF32" s="299" t="e">
        <f t="shared" ca="1" si="16"/>
        <v>#N/A</v>
      </c>
    </row>
    <row r="33" spans="2:32" ht="15" customHeight="1">
      <c r="B33" s="132" t="b">
        <f>IF(Length_1!T28="",FALSE,TRUE)</f>
        <v>0</v>
      </c>
      <c r="C33" s="129" t="str">
        <f>IF($B33=FALSE,"",VALUE(Length_1!A28))</f>
        <v/>
      </c>
      <c r="D33" s="129" t="str">
        <f>IF($B33=FALSE,"",Length_1!B28)</f>
        <v/>
      </c>
      <c r="E33" s="133" t="str">
        <f>IF($B33=FALSE,"",Length_1!T28)</f>
        <v/>
      </c>
      <c r="F33" s="133" t="str">
        <f>IF($B33=FALSE,"",Length_1!U28)</f>
        <v/>
      </c>
      <c r="G33" s="133" t="str">
        <f>IF($B33=FALSE,"",Length_1!V28)</f>
        <v/>
      </c>
      <c r="H33" s="133" t="str">
        <f>IF($B33=FALSE,"",Length_1!W28)</f>
        <v/>
      </c>
      <c r="I33" s="133" t="str">
        <f>IF($B33=FALSE,"",Length_1!X28)</f>
        <v/>
      </c>
      <c r="J33" s="134" t="str">
        <f t="shared" si="1"/>
        <v/>
      </c>
      <c r="K33" s="146" t="str">
        <f t="shared" si="2"/>
        <v/>
      </c>
      <c r="L33" s="135" t="str">
        <f>IF(B33=FALSE,"",Length_1!D72)</f>
        <v/>
      </c>
      <c r="M33" s="136" t="str">
        <f>IF(B33=FALSE,"",Calcu_ADJ!J33*J$3)</f>
        <v/>
      </c>
      <c r="N33" s="155" t="str">
        <f>IF(B33=FALSE,"",IF(Length_1!C28="Laser",0,11.5*10^-6))</f>
        <v/>
      </c>
      <c r="O33" s="155" t="str">
        <f ca="1">IF(B33=FALSE,"",OFFSET(Length_1!A72,0,MATCH("열팽창계수",Length_1!$47:$47,0)-1))</f>
        <v/>
      </c>
      <c r="P33" s="156" t="str">
        <f t="shared" si="3"/>
        <v/>
      </c>
      <c r="Q33" s="242" t="str">
        <f t="shared" si="4"/>
        <v/>
      </c>
      <c r="R33" s="242" t="str">
        <f t="shared" si="5"/>
        <v/>
      </c>
      <c r="S33" s="242" t="str">
        <f t="shared" si="6"/>
        <v/>
      </c>
      <c r="T33" s="137" t="str">
        <f t="shared" si="7"/>
        <v/>
      </c>
      <c r="U33" s="138" t="str">
        <f t="shared" si="8"/>
        <v/>
      </c>
      <c r="V33" s="129" t="str">
        <f t="shared" si="13"/>
        <v/>
      </c>
      <c r="W33" s="129" t="str">
        <f t="shared" si="14"/>
        <v/>
      </c>
      <c r="X33" s="131"/>
      <c r="Y33" s="197" t="e">
        <f ca="1">IF(Length_1!K28&lt;0,ROUNDUP(Length_1!K28*J$3,$M$66),ROUNDDOWN(Length_1!K28*J$3,$M$66))</f>
        <v>#N/A</v>
      </c>
      <c r="Z33" s="197" t="e">
        <f ca="1">IF(Length_1!L28&lt;0,ROUNDDOWN(Length_1!L28*J$3,$M$66),ROUNDUP(Length_1!L28*J$3,$M$66))</f>
        <v>#N/A</v>
      </c>
      <c r="AA33" s="129" t="e">
        <f t="shared" ca="1" si="9"/>
        <v>#N/A</v>
      </c>
      <c r="AB33" s="129" t="e">
        <f t="shared" ca="1" si="10"/>
        <v>#N/A</v>
      </c>
      <c r="AC33" s="266" t="e">
        <f t="shared" ca="1" si="11"/>
        <v>#N/A</v>
      </c>
      <c r="AD33" s="129" t="e">
        <f t="shared" ca="1" si="12"/>
        <v>#N/A</v>
      </c>
      <c r="AE33" s="129" t="str">
        <f t="shared" si="15"/>
        <v/>
      </c>
      <c r="AF33" s="299" t="e">
        <f t="shared" ca="1" si="16"/>
        <v>#N/A</v>
      </c>
    </row>
    <row r="34" spans="2:32" ht="15" customHeight="1">
      <c r="B34" s="132" t="b">
        <f>IF(Length_1!T29="",FALSE,TRUE)</f>
        <v>0</v>
      </c>
      <c r="C34" s="129" t="str">
        <f>IF($B34=FALSE,"",VALUE(Length_1!A29))</f>
        <v/>
      </c>
      <c r="D34" s="129" t="str">
        <f>IF($B34=FALSE,"",Length_1!B29)</f>
        <v/>
      </c>
      <c r="E34" s="133" t="str">
        <f>IF($B34=FALSE,"",Length_1!T29)</f>
        <v/>
      </c>
      <c r="F34" s="133" t="str">
        <f>IF($B34=FALSE,"",Length_1!U29)</f>
        <v/>
      </c>
      <c r="G34" s="133" t="str">
        <f>IF($B34=FALSE,"",Length_1!V29)</f>
        <v/>
      </c>
      <c r="H34" s="133" t="str">
        <f>IF($B34=FALSE,"",Length_1!W29)</f>
        <v/>
      </c>
      <c r="I34" s="133" t="str">
        <f>IF($B34=FALSE,"",Length_1!X29)</f>
        <v/>
      </c>
      <c r="J34" s="134" t="str">
        <f t="shared" si="1"/>
        <v/>
      </c>
      <c r="K34" s="146" t="str">
        <f t="shared" si="2"/>
        <v/>
      </c>
      <c r="L34" s="135" t="str">
        <f>IF(B34=FALSE,"",Length_1!D73)</f>
        <v/>
      </c>
      <c r="M34" s="136" t="str">
        <f>IF(B34=FALSE,"",Calcu_ADJ!J34*J$3)</f>
        <v/>
      </c>
      <c r="N34" s="155" t="str">
        <f>IF(B34=FALSE,"",IF(Length_1!C29="Laser",0,11.5*10^-6))</f>
        <v/>
      </c>
      <c r="O34" s="155" t="str">
        <f ca="1">IF(B34=FALSE,"",OFFSET(Length_1!A73,0,MATCH("열팽창계수",Length_1!$47:$47,0)-1))</f>
        <v/>
      </c>
      <c r="P34" s="156" t="str">
        <f t="shared" si="3"/>
        <v/>
      </c>
      <c r="Q34" s="242" t="str">
        <f t="shared" si="4"/>
        <v/>
      </c>
      <c r="R34" s="242" t="str">
        <f t="shared" si="5"/>
        <v/>
      </c>
      <c r="S34" s="242" t="str">
        <f t="shared" si="6"/>
        <v/>
      </c>
      <c r="T34" s="137" t="str">
        <f t="shared" si="7"/>
        <v/>
      </c>
      <c r="U34" s="138" t="str">
        <f t="shared" si="8"/>
        <v/>
      </c>
      <c r="V34" s="129" t="str">
        <f t="shared" si="13"/>
        <v/>
      </c>
      <c r="W34" s="129" t="str">
        <f t="shared" si="14"/>
        <v/>
      </c>
      <c r="X34" s="131"/>
      <c r="Y34" s="197" t="e">
        <f ca="1">IF(Length_1!K29&lt;0,ROUNDUP(Length_1!K29*J$3,$M$66),ROUNDDOWN(Length_1!K29*J$3,$M$66))</f>
        <v>#N/A</v>
      </c>
      <c r="Z34" s="197" t="e">
        <f ca="1">IF(Length_1!L29&lt;0,ROUNDDOWN(Length_1!L29*J$3,$M$66),ROUNDUP(Length_1!L29*J$3,$M$66))</f>
        <v>#N/A</v>
      </c>
      <c r="AA34" s="129" t="e">
        <f t="shared" ca="1" si="9"/>
        <v>#N/A</v>
      </c>
      <c r="AB34" s="129" t="e">
        <f t="shared" ca="1" si="10"/>
        <v>#N/A</v>
      </c>
      <c r="AC34" s="266" t="e">
        <f t="shared" ca="1" si="11"/>
        <v>#N/A</v>
      </c>
      <c r="AD34" s="129" t="e">
        <f t="shared" ca="1" si="12"/>
        <v>#N/A</v>
      </c>
      <c r="AE34" s="129" t="str">
        <f t="shared" si="15"/>
        <v/>
      </c>
      <c r="AF34" s="299" t="e">
        <f t="shared" ca="1" si="16"/>
        <v>#N/A</v>
      </c>
    </row>
    <row r="35" spans="2:32" ht="15" customHeight="1">
      <c r="B35" s="132" t="b">
        <f>IF(Length_1!T30="",FALSE,TRUE)</f>
        <v>0</v>
      </c>
      <c r="C35" s="129" t="str">
        <f>IF($B35=FALSE,"",VALUE(Length_1!A30))</f>
        <v/>
      </c>
      <c r="D35" s="129" t="str">
        <f>IF($B35=FALSE,"",Length_1!B30)</f>
        <v/>
      </c>
      <c r="E35" s="133" t="str">
        <f>IF($B35=FALSE,"",Length_1!T30)</f>
        <v/>
      </c>
      <c r="F35" s="133" t="str">
        <f>IF($B35=FALSE,"",Length_1!U30)</f>
        <v/>
      </c>
      <c r="G35" s="133" t="str">
        <f>IF($B35=FALSE,"",Length_1!V30)</f>
        <v/>
      </c>
      <c r="H35" s="133" t="str">
        <f>IF($B35=FALSE,"",Length_1!W30)</f>
        <v/>
      </c>
      <c r="I35" s="133" t="str">
        <f>IF($B35=FALSE,"",Length_1!X30)</f>
        <v/>
      </c>
      <c r="J35" s="134" t="str">
        <f t="shared" si="1"/>
        <v/>
      </c>
      <c r="K35" s="146" t="str">
        <f t="shared" si="2"/>
        <v/>
      </c>
      <c r="L35" s="135" t="str">
        <f>IF(B35=FALSE,"",Length_1!D74)</f>
        <v/>
      </c>
      <c r="M35" s="136" t="str">
        <f>IF(B35=FALSE,"",Calcu_ADJ!J35*J$3)</f>
        <v/>
      </c>
      <c r="N35" s="155" t="str">
        <f>IF(B35=FALSE,"",IF(Length_1!C30="Laser",0,11.5*10^-6))</f>
        <v/>
      </c>
      <c r="O35" s="155" t="str">
        <f ca="1">IF(B35=FALSE,"",OFFSET(Length_1!A74,0,MATCH("열팽창계수",Length_1!$47:$47,0)-1))</f>
        <v/>
      </c>
      <c r="P35" s="156" t="str">
        <f t="shared" si="3"/>
        <v/>
      </c>
      <c r="Q35" s="242" t="str">
        <f t="shared" si="4"/>
        <v/>
      </c>
      <c r="R35" s="242" t="str">
        <f t="shared" si="5"/>
        <v/>
      </c>
      <c r="S35" s="242" t="str">
        <f t="shared" si="6"/>
        <v/>
      </c>
      <c r="T35" s="137" t="str">
        <f t="shared" si="7"/>
        <v/>
      </c>
      <c r="U35" s="138" t="str">
        <f t="shared" si="8"/>
        <v/>
      </c>
      <c r="V35" s="129" t="str">
        <f t="shared" si="13"/>
        <v/>
      </c>
      <c r="W35" s="129" t="str">
        <f t="shared" si="14"/>
        <v/>
      </c>
      <c r="X35" s="131"/>
      <c r="Y35" s="197" t="e">
        <f ca="1">IF(Length_1!K30&lt;0,ROUNDUP(Length_1!K30*J$3,$M$66),ROUNDDOWN(Length_1!K30*J$3,$M$66))</f>
        <v>#N/A</v>
      </c>
      <c r="Z35" s="197" t="e">
        <f ca="1">IF(Length_1!L30&lt;0,ROUNDDOWN(Length_1!L30*J$3,$M$66),ROUNDUP(Length_1!L30*J$3,$M$66))</f>
        <v>#N/A</v>
      </c>
      <c r="AA35" s="129" t="e">
        <f t="shared" ca="1" si="9"/>
        <v>#N/A</v>
      </c>
      <c r="AB35" s="129" t="e">
        <f t="shared" ca="1" si="10"/>
        <v>#N/A</v>
      </c>
      <c r="AC35" s="266" t="e">
        <f t="shared" ca="1" si="11"/>
        <v>#N/A</v>
      </c>
      <c r="AD35" s="129" t="e">
        <f t="shared" ca="1" si="12"/>
        <v>#N/A</v>
      </c>
      <c r="AE35" s="129" t="str">
        <f t="shared" si="15"/>
        <v/>
      </c>
      <c r="AF35" s="299" t="e">
        <f t="shared" ca="1" si="16"/>
        <v>#N/A</v>
      </c>
    </row>
    <row r="36" spans="2:32" ht="15" customHeight="1">
      <c r="B36" s="132" t="b">
        <f>IF(Length_1!T31="",FALSE,TRUE)</f>
        <v>0</v>
      </c>
      <c r="C36" s="129" t="str">
        <f>IF($B36=FALSE,"",VALUE(Length_1!A31))</f>
        <v/>
      </c>
      <c r="D36" s="129" t="str">
        <f>IF($B36=FALSE,"",Length_1!B31)</f>
        <v/>
      </c>
      <c r="E36" s="133" t="str">
        <f>IF($B36=FALSE,"",Length_1!T31)</f>
        <v/>
      </c>
      <c r="F36" s="133" t="str">
        <f>IF($B36=FALSE,"",Length_1!U31)</f>
        <v/>
      </c>
      <c r="G36" s="133" t="str">
        <f>IF($B36=FALSE,"",Length_1!V31)</f>
        <v/>
      </c>
      <c r="H36" s="133" t="str">
        <f>IF($B36=FALSE,"",Length_1!W31)</f>
        <v/>
      </c>
      <c r="I36" s="133" t="str">
        <f>IF($B36=FALSE,"",Length_1!X31)</f>
        <v/>
      </c>
      <c r="J36" s="134" t="str">
        <f t="shared" si="1"/>
        <v/>
      </c>
      <c r="K36" s="146" t="str">
        <f t="shared" si="2"/>
        <v/>
      </c>
      <c r="L36" s="135" t="str">
        <f>IF(B36=FALSE,"",Length_1!D75)</f>
        <v/>
      </c>
      <c r="M36" s="136" t="str">
        <f>IF(B36=FALSE,"",Calcu_ADJ!J36*J$3)</f>
        <v/>
      </c>
      <c r="N36" s="155" t="str">
        <f>IF(B36=FALSE,"",IF(Length_1!C31="Laser",0,11.5*10^-6))</f>
        <v/>
      </c>
      <c r="O36" s="155" t="str">
        <f ca="1">IF(B36=FALSE,"",OFFSET(Length_1!A75,0,MATCH("열팽창계수",Length_1!$47:$47,0)-1))</f>
        <v/>
      </c>
      <c r="P36" s="156" t="str">
        <f t="shared" si="3"/>
        <v/>
      </c>
      <c r="Q36" s="242" t="str">
        <f t="shared" si="4"/>
        <v/>
      </c>
      <c r="R36" s="242" t="str">
        <f t="shared" si="5"/>
        <v/>
      </c>
      <c r="S36" s="242" t="str">
        <f t="shared" si="6"/>
        <v/>
      </c>
      <c r="T36" s="137" t="str">
        <f t="shared" si="7"/>
        <v/>
      </c>
      <c r="U36" s="138" t="str">
        <f t="shared" si="8"/>
        <v/>
      </c>
      <c r="V36" s="129" t="str">
        <f t="shared" si="13"/>
        <v/>
      </c>
      <c r="W36" s="129" t="str">
        <f t="shared" si="14"/>
        <v/>
      </c>
      <c r="X36" s="131"/>
      <c r="Y36" s="197" t="e">
        <f ca="1">IF(Length_1!K31&lt;0,ROUNDUP(Length_1!K31*J$3,$M$66),ROUNDDOWN(Length_1!K31*J$3,$M$66))</f>
        <v>#N/A</v>
      </c>
      <c r="Z36" s="197" t="e">
        <f ca="1">IF(Length_1!L31&lt;0,ROUNDDOWN(Length_1!L31*J$3,$M$66),ROUNDUP(Length_1!L31*J$3,$M$66))</f>
        <v>#N/A</v>
      </c>
      <c r="AA36" s="129" t="e">
        <f t="shared" ca="1" si="9"/>
        <v>#N/A</v>
      </c>
      <c r="AB36" s="129" t="e">
        <f t="shared" ca="1" si="10"/>
        <v>#N/A</v>
      </c>
      <c r="AC36" s="266" t="e">
        <f t="shared" ca="1" si="11"/>
        <v>#N/A</v>
      </c>
      <c r="AD36" s="129" t="e">
        <f t="shared" ca="1" si="12"/>
        <v>#N/A</v>
      </c>
      <c r="AE36" s="129" t="str">
        <f t="shared" si="15"/>
        <v/>
      </c>
      <c r="AF36" s="299" t="e">
        <f t="shared" ca="1" si="16"/>
        <v>#N/A</v>
      </c>
    </row>
    <row r="37" spans="2:32" ht="15" customHeight="1">
      <c r="B37" s="132" t="b">
        <f>IF(Length_1!T32="",FALSE,TRUE)</f>
        <v>0</v>
      </c>
      <c r="C37" s="129" t="str">
        <f>IF($B37=FALSE,"",VALUE(Length_1!A32))</f>
        <v/>
      </c>
      <c r="D37" s="129" t="str">
        <f>IF($B37=FALSE,"",Length_1!B32)</f>
        <v/>
      </c>
      <c r="E37" s="133" t="str">
        <f>IF($B37=FALSE,"",Length_1!T32)</f>
        <v/>
      </c>
      <c r="F37" s="133" t="str">
        <f>IF($B37=FALSE,"",Length_1!U32)</f>
        <v/>
      </c>
      <c r="G37" s="133" t="str">
        <f>IF($B37=FALSE,"",Length_1!V32)</f>
        <v/>
      </c>
      <c r="H37" s="133" t="str">
        <f>IF($B37=FALSE,"",Length_1!W32)</f>
        <v/>
      </c>
      <c r="I37" s="133" t="str">
        <f>IF($B37=FALSE,"",Length_1!X32)</f>
        <v/>
      </c>
      <c r="J37" s="134" t="str">
        <f t="shared" si="1"/>
        <v/>
      </c>
      <c r="K37" s="146" t="str">
        <f t="shared" si="2"/>
        <v/>
      </c>
      <c r="L37" s="135" t="str">
        <f>IF(B37=FALSE,"",Length_1!D76)</f>
        <v/>
      </c>
      <c r="M37" s="136" t="str">
        <f>IF(B37=FALSE,"",Calcu_ADJ!J37*J$3)</f>
        <v/>
      </c>
      <c r="N37" s="155" t="str">
        <f>IF(B37=FALSE,"",IF(Length_1!C32="Laser",0,11.5*10^-6))</f>
        <v/>
      </c>
      <c r="O37" s="155" t="str">
        <f ca="1">IF(B37=FALSE,"",OFFSET(Length_1!A76,0,MATCH("열팽창계수",Length_1!$47:$47,0)-1))</f>
        <v/>
      </c>
      <c r="P37" s="156" t="str">
        <f t="shared" si="3"/>
        <v/>
      </c>
      <c r="Q37" s="242" t="str">
        <f t="shared" si="4"/>
        <v/>
      </c>
      <c r="R37" s="242" t="str">
        <f t="shared" si="5"/>
        <v/>
      </c>
      <c r="S37" s="242" t="str">
        <f t="shared" si="6"/>
        <v/>
      </c>
      <c r="T37" s="137" t="str">
        <f t="shared" si="7"/>
        <v/>
      </c>
      <c r="U37" s="138" t="str">
        <f t="shared" si="8"/>
        <v/>
      </c>
      <c r="V37" s="129" t="str">
        <f t="shared" si="13"/>
        <v/>
      </c>
      <c r="W37" s="129" t="str">
        <f t="shared" si="14"/>
        <v/>
      </c>
      <c r="X37" s="131"/>
      <c r="Y37" s="197" t="e">
        <f ca="1">IF(Length_1!K32&lt;0,ROUNDUP(Length_1!K32*J$3,$M$66),ROUNDDOWN(Length_1!K32*J$3,$M$66))</f>
        <v>#N/A</v>
      </c>
      <c r="Z37" s="197" t="e">
        <f ca="1">IF(Length_1!L32&lt;0,ROUNDDOWN(Length_1!L32*J$3,$M$66),ROUNDUP(Length_1!L32*J$3,$M$66))</f>
        <v>#N/A</v>
      </c>
      <c r="AA37" s="129" t="e">
        <f t="shared" ca="1" si="9"/>
        <v>#N/A</v>
      </c>
      <c r="AB37" s="129" t="e">
        <f t="shared" ca="1" si="10"/>
        <v>#N/A</v>
      </c>
      <c r="AC37" s="266" t="e">
        <f t="shared" ca="1" si="11"/>
        <v>#N/A</v>
      </c>
      <c r="AD37" s="129" t="e">
        <f t="shared" ca="1" si="12"/>
        <v>#N/A</v>
      </c>
      <c r="AE37" s="129" t="str">
        <f t="shared" si="15"/>
        <v/>
      </c>
      <c r="AF37" s="299" t="e">
        <f t="shared" ca="1" si="16"/>
        <v>#N/A</v>
      </c>
    </row>
    <row r="38" spans="2:32" ht="15" customHeight="1">
      <c r="B38" s="132" t="b">
        <f>IF(Length_1!T33="",FALSE,TRUE)</f>
        <v>0</v>
      </c>
      <c r="C38" s="129" t="str">
        <f>IF($B38=FALSE,"",VALUE(Length_1!A33))</f>
        <v/>
      </c>
      <c r="D38" s="129" t="str">
        <f>IF($B38=FALSE,"",Length_1!B33)</f>
        <v/>
      </c>
      <c r="E38" s="133" t="str">
        <f>IF($B38=FALSE,"",Length_1!T33)</f>
        <v/>
      </c>
      <c r="F38" s="133" t="str">
        <f>IF($B38=FALSE,"",Length_1!U33)</f>
        <v/>
      </c>
      <c r="G38" s="133" t="str">
        <f>IF($B38=FALSE,"",Length_1!V33)</f>
        <v/>
      </c>
      <c r="H38" s="133" t="str">
        <f>IF($B38=FALSE,"",Length_1!W33)</f>
        <v/>
      </c>
      <c r="I38" s="133" t="str">
        <f>IF($B38=FALSE,"",Length_1!X33)</f>
        <v/>
      </c>
      <c r="J38" s="134" t="str">
        <f t="shared" si="1"/>
        <v/>
      </c>
      <c r="K38" s="146" t="str">
        <f t="shared" si="2"/>
        <v/>
      </c>
      <c r="L38" s="135" t="str">
        <f>IF(B38=FALSE,"",Length_1!D77)</f>
        <v/>
      </c>
      <c r="M38" s="136" t="str">
        <f>IF(B38=FALSE,"",Calcu_ADJ!J38*J$3)</f>
        <v/>
      </c>
      <c r="N38" s="155" t="str">
        <f>IF(B38=FALSE,"",IF(Length_1!C33="Laser",0,11.5*10^-6))</f>
        <v/>
      </c>
      <c r="O38" s="155" t="str">
        <f ca="1">IF(B38=FALSE,"",OFFSET(Length_1!A77,0,MATCH("열팽창계수",Length_1!$47:$47,0)-1))</f>
        <v/>
      </c>
      <c r="P38" s="156" t="str">
        <f t="shared" si="3"/>
        <v/>
      </c>
      <c r="Q38" s="242" t="str">
        <f t="shared" si="4"/>
        <v/>
      </c>
      <c r="R38" s="242" t="str">
        <f t="shared" si="5"/>
        <v/>
      </c>
      <c r="S38" s="242" t="str">
        <f t="shared" si="6"/>
        <v/>
      </c>
      <c r="T38" s="137" t="str">
        <f t="shared" si="7"/>
        <v/>
      </c>
      <c r="U38" s="138" t="str">
        <f t="shared" si="8"/>
        <v/>
      </c>
      <c r="V38" s="129" t="str">
        <f t="shared" si="13"/>
        <v/>
      </c>
      <c r="W38" s="129" t="str">
        <f t="shared" si="14"/>
        <v/>
      </c>
      <c r="X38" s="131"/>
      <c r="Y38" s="197" t="e">
        <f ca="1">IF(Length_1!K33&lt;0,ROUNDUP(Length_1!K33*J$3,$M$66),ROUNDDOWN(Length_1!K33*J$3,$M$66))</f>
        <v>#N/A</v>
      </c>
      <c r="Z38" s="197" t="e">
        <f ca="1">IF(Length_1!L33&lt;0,ROUNDDOWN(Length_1!L33*J$3,$M$66),ROUNDUP(Length_1!L33*J$3,$M$66))</f>
        <v>#N/A</v>
      </c>
      <c r="AA38" s="129" t="e">
        <f t="shared" ca="1" si="9"/>
        <v>#N/A</v>
      </c>
      <c r="AB38" s="129" t="e">
        <f t="shared" ca="1" si="10"/>
        <v>#N/A</v>
      </c>
      <c r="AC38" s="266" t="e">
        <f t="shared" ca="1" si="11"/>
        <v>#N/A</v>
      </c>
      <c r="AD38" s="129" t="e">
        <f t="shared" ca="1" si="12"/>
        <v>#N/A</v>
      </c>
      <c r="AE38" s="129" t="str">
        <f t="shared" si="15"/>
        <v/>
      </c>
      <c r="AF38" s="299" t="e">
        <f t="shared" ca="1" si="16"/>
        <v>#N/A</v>
      </c>
    </row>
    <row r="39" spans="2:32" ht="15" customHeight="1">
      <c r="B39" s="132" t="b">
        <f>IF(Length_1!T34="",FALSE,TRUE)</f>
        <v>0</v>
      </c>
      <c r="C39" s="129" t="str">
        <f>IF($B39=FALSE,"",VALUE(Length_1!A34))</f>
        <v/>
      </c>
      <c r="D39" s="129" t="str">
        <f>IF($B39=FALSE,"",Length_1!B34)</f>
        <v/>
      </c>
      <c r="E39" s="133" t="str">
        <f>IF($B39=FALSE,"",Length_1!T34)</f>
        <v/>
      </c>
      <c r="F39" s="133" t="str">
        <f>IF($B39=FALSE,"",Length_1!U34)</f>
        <v/>
      </c>
      <c r="G39" s="133" t="str">
        <f>IF($B39=FALSE,"",Length_1!V34)</f>
        <v/>
      </c>
      <c r="H39" s="133" t="str">
        <f>IF($B39=FALSE,"",Length_1!W34)</f>
        <v/>
      </c>
      <c r="I39" s="133" t="str">
        <f>IF($B39=FALSE,"",Length_1!X34)</f>
        <v/>
      </c>
      <c r="J39" s="134" t="str">
        <f t="shared" si="1"/>
        <v/>
      </c>
      <c r="K39" s="146" t="str">
        <f t="shared" si="2"/>
        <v/>
      </c>
      <c r="L39" s="135" t="str">
        <f>IF(B39=FALSE,"",Length_1!D78)</f>
        <v/>
      </c>
      <c r="M39" s="136" t="str">
        <f>IF(B39=FALSE,"",Calcu_ADJ!J39*J$3)</f>
        <v/>
      </c>
      <c r="N39" s="155" t="str">
        <f>IF(B39=FALSE,"",IF(Length_1!C34="Laser",0,11.5*10^-6))</f>
        <v/>
      </c>
      <c r="O39" s="155" t="str">
        <f ca="1">IF(B39=FALSE,"",OFFSET(Length_1!A78,0,MATCH("열팽창계수",Length_1!$47:$47,0)-1))</f>
        <v/>
      </c>
      <c r="P39" s="156" t="str">
        <f t="shared" si="3"/>
        <v/>
      </c>
      <c r="Q39" s="242" t="str">
        <f t="shared" si="4"/>
        <v/>
      </c>
      <c r="R39" s="242" t="str">
        <f t="shared" si="5"/>
        <v/>
      </c>
      <c r="S39" s="242" t="str">
        <f t="shared" si="6"/>
        <v/>
      </c>
      <c r="T39" s="137" t="str">
        <f t="shared" si="7"/>
        <v/>
      </c>
      <c r="U39" s="138" t="str">
        <f t="shared" si="8"/>
        <v/>
      </c>
      <c r="V39" s="129" t="str">
        <f t="shared" si="13"/>
        <v/>
      </c>
      <c r="W39" s="129" t="str">
        <f t="shared" si="14"/>
        <v/>
      </c>
      <c r="X39" s="131"/>
      <c r="Y39" s="197" t="e">
        <f ca="1">IF(Length_1!K34&lt;0,ROUNDUP(Length_1!K34*J$3,$M$66),ROUNDDOWN(Length_1!K34*J$3,$M$66))</f>
        <v>#N/A</v>
      </c>
      <c r="Z39" s="197" t="e">
        <f ca="1">IF(Length_1!L34&lt;0,ROUNDDOWN(Length_1!L34*J$3,$M$66),ROUNDUP(Length_1!L34*J$3,$M$66))</f>
        <v>#N/A</v>
      </c>
      <c r="AA39" s="129" t="e">
        <f t="shared" ca="1" si="9"/>
        <v>#N/A</v>
      </c>
      <c r="AB39" s="129" t="e">
        <f t="shared" ca="1" si="10"/>
        <v>#N/A</v>
      </c>
      <c r="AC39" s="266" t="e">
        <f t="shared" ca="1" si="11"/>
        <v>#N/A</v>
      </c>
      <c r="AD39" s="129" t="e">
        <f t="shared" ca="1" si="12"/>
        <v>#N/A</v>
      </c>
      <c r="AE39" s="129" t="str">
        <f t="shared" si="15"/>
        <v/>
      </c>
      <c r="AF39" s="299" t="e">
        <f t="shared" ca="1" si="16"/>
        <v>#N/A</v>
      </c>
    </row>
    <row r="40" spans="2:32" ht="15" customHeight="1">
      <c r="B40" s="132" t="b">
        <f>IF(Length_1!T35="",FALSE,TRUE)</f>
        <v>0</v>
      </c>
      <c r="C40" s="129" t="str">
        <f>IF($B40=FALSE,"",VALUE(Length_1!A35))</f>
        <v/>
      </c>
      <c r="D40" s="129" t="str">
        <f>IF($B40=FALSE,"",Length_1!B35)</f>
        <v/>
      </c>
      <c r="E40" s="133" t="str">
        <f>IF($B40=FALSE,"",Length_1!T35)</f>
        <v/>
      </c>
      <c r="F40" s="133" t="str">
        <f>IF($B40=FALSE,"",Length_1!U35)</f>
        <v/>
      </c>
      <c r="G40" s="133" t="str">
        <f>IF($B40=FALSE,"",Length_1!V35)</f>
        <v/>
      </c>
      <c r="H40" s="133" t="str">
        <f>IF($B40=FALSE,"",Length_1!W35)</f>
        <v/>
      </c>
      <c r="I40" s="133" t="str">
        <f>IF($B40=FALSE,"",Length_1!X35)</f>
        <v/>
      </c>
      <c r="J40" s="134" t="str">
        <f t="shared" si="1"/>
        <v/>
      </c>
      <c r="K40" s="146" t="str">
        <f t="shared" si="2"/>
        <v/>
      </c>
      <c r="L40" s="135" t="str">
        <f>IF(B40=FALSE,"",Length_1!D79)</f>
        <v/>
      </c>
      <c r="M40" s="136" t="str">
        <f>IF(B40=FALSE,"",Calcu_ADJ!J40*J$3)</f>
        <v/>
      </c>
      <c r="N40" s="155" t="str">
        <f>IF(B40=FALSE,"",IF(Length_1!C35="Laser",0,11.5*10^-6))</f>
        <v/>
      </c>
      <c r="O40" s="155" t="str">
        <f ca="1">IF(B40=FALSE,"",OFFSET(Length_1!A79,0,MATCH("열팽창계수",Length_1!$47:$47,0)-1))</f>
        <v/>
      </c>
      <c r="P40" s="156" t="str">
        <f t="shared" si="3"/>
        <v/>
      </c>
      <c r="Q40" s="242" t="str">
        <f t="shared" si="4"/>
        <v/>
      </c>
      <c r="R40" s="242" t="str">
        <f t="shared" si="5"/>
        <v/>
      </c>
      <c r="S40" s="242" t="str">
        <f t="shared" si="6"/>
        <v/>
      </c>
      <c r="T40" s="137" t="str">
        <f t="shared" si="7"/>
        <v/>
      </c>
      <c r="U40" s="138" t="str">
        <f t="shared" si="8"/>
        <v/>
      </c>
      <c r="V40" s="129" t="str">
        <f t="shared" si="13"/>
        <v/>
      </c>
      <c r="W40" s="129" t="str">
        <f t="shared" si="14"/>
        <v/>
      </c>
      <c r="X40" s="131"/>
      <c r="Y40" s="197" t="e">
        <f ca="1">IF(Length_1!K35&lt;0,ROUNDUP(Length_1!K35*J$3,$M$66),ROUNDDOWN(Length_1!K35*J$3,$M$66))</f>
        <v>#N/A</v>
      </c>
      <c r="Z40" s="197" t="e">
        <f ca="1">IF(Length_1!L35&lt;0,ROUNDDOWN(Length_1!L35*J$3,$M$66),ROUNDUP(Length_1!L35*J$3,$M$66))</f>
        <v>#N/A</v>
      </c>
      <c r="AA40" s="129" t="e">
        <f t="shared" ca="1" si="9"/>
        <v>#N/A</v>
      </c>
      <c r="AB40" s="129" t="e">
        <f t="shared" ca="1" si="10"/>
        <v>#N/A</v>
      </c>
      <c r="AC40" s="266" t="e">
        <f t="shared" ca="1" si="11"/>
        <v>#N/A</v>
      </c>
      <c r="AD40" s="129" t="e">
        <f t="shared" ca="1" si="12"/>
        <v>#N/A</v>
      </c>
      <c r="AE40" s="129" t="str">
        <f t="shared" si="15"/>
        <v/>
      </c>
      <c r="AF40" s="299" t="e">
        <f t="shared" ca="1" si="16"/>
        <v>#N/A</v>
      </c>
    </row>
    <row r="41" spans="2:32" ht="15" customHeight="1">
      <c r="B41" s="132" t="b">
        <f>IF(Length_1!T36="",FALSE,TRUE)</f>
        <v>0</v>
      </c>
      <c r="C41" s="129" t="str">
        <f>IF($B41=FALSE,"",VALUE(Length_1!A36))</f>
        <v/>
      </c>
      <c r="D41" s="129" t="str">
        <f>IF($B41=FALSE,"",Length_1!B36)</f>
        <v/>
      </c>
      <c r="E41" s="133" t="str">
        <f>IF($B41=FALSE,"",Length_1!T36)</f>
        <v/>
      </c>
      <c r="F41" s="133" t="str">
        <f>IF($B41=FALSE,"",Length_1!U36)</f>
        <v/>
      </c>
      <c r="G41" s="133" t="str">
        <f>IF($B41=FALSE,"",Length_1!V36)</f>
        <v/>
      </c>
      <c r="H41" s="133" t="str">
        <f>IF($B41=FALSE,"",Length_1!W36)</f>
        <v/>
      </c>
      <c r="I41" s="133" t="str">
        <f>IF($B41=FALSE,"",Length_1!X36)</f>
        <v/>
      </c>
      <c r="J41" s="134" t="str">
        <f t="shared" si="1"/>
        <v/>
      </c>
      <c r="K41" s="146" t="str">
        <f t="shared" si="2"/>
        <v/>
      </c>
      <c r="L41" s="135" t="str">
        <f>IF(B41=FALSE,"",Length_1!D80)</f>
        <v/>
      </c>
      <c r="M41" s="136" t="str">
        <f>IF(B41=FALSE,"",Calcu_ADJ!J41*J$3)</f>
        <v/>
      </c>
      <c r="N41" s="155" t="str">
        <f>IF(B41=FALSE,"",IF(Length_1!C36="Laser",0,11.5*10^-6))</f>
        <v/>
      </c>
      <c r="O41" s="155" t="str">
        <f ca="1">IF(B41=FALSE,"",OFFSET(Length_1!A80,0,MATCH("열팽창계수",Length_1!$47:$47,0)-1))</f>
        <v/>
      </c>
      <c r="P41" s="156" t="str">
        <f t="shared" si="3"/>
        <v/>
      </c>
      <c r="Q41" s="242" t="str">
        <f t="shared" si="4"/>
        <v/>
      </c>
      <c r="R41" s="242" t="str">
        <f t="shared" si="5"/>
        <v/>
      </c>
      <c r="S41" s="242" t="str">
        <f t="shared" si="6"/>
        <v/>
      </c>
      <c r="T41" s="137" t="str">
        <f t="shared" si="7"/>
        <v/>
      </c>
      <c r="U41" s="138" t="str">
        <f t="shared" si="8"/>
        <v/>
      </c>
      <c r="V41" s="129" t="str">
        <f t="shared" si="13"/>
        <v/>
      </c>
      <c r="W41" s="129" t="str">
        <f t="shared" si="14"/>
        <v/>
      </c>
      <c r="X41" s="131"/>
      <c r="Y41" s="197" t="e">
        <f ca="1">IF(Length_1!K36&lt;0,ROUNDUP(Length_1!K36*J$3,$M$66),ROUNDDOWN(Length_1!K36*J$3,$M$66))</f>
        <v>#N/A</v>
      </c>
      <c r="Z41" s="197" t="e">
        <f ca="1">IF(Length_1!L36&lt;0,ROUNDDOWN(Length_1!L36*J$3,$M$66),ROUNDUP(Length_1!L36*J$3,$M$66))</f>
        <v>#N/A</v>
      </c>
      <c r="AA41" s="129" t="e">
        <f t="shared" ca="1" si="9"/>
        <v>#N/A</v>
      </c>
      <c r="AB41" s="129" t="e">
        <f t="shared" ca="1" si="10"/>
        <v>#N/A</v>
      </c>
      <c r="AC41" s="266" t="e">
        <f t="shared" ca="1" si="11"/>
        <v>#N/A</v>
      </c>
      <c r="AD41" s="129" t="e">
        <f t="shared" ca="1" si="12"/>
        <v>#N/A</v>
      </c>
      <c r="AE41" s="129" t="str">
        <f t="shared" si="15"/>
        <v/>
      </c>
      <c r="AF41" s="299" t="e">
        <f t="shared" ca="1" si="16"/>
        <v>#N/A</v>
      </c>
    </row>
    <row r="42" spans="2:32" ht="15" customHeight="1">
      <c r="B42" s="132" t="b">
        <f>IF(Length_1!T37="",FALSE,TRUE)</f>
        <v>0</v>
      </c>
      <c r="C42" s="129" t="str">
        <f>IF($B42=FALSE,"",VALUE(Length_1!A37))</f>
        <v/>
      </c>
      <c r="D42" s="129" t="str">
        <f>IF($B42=FALSE,"",Length_1!B37)</f>
        <v/>
      </c>
      <c r="E42" s="133" t="str">
        <f>IF($B42=FALSE,"",Length_1!T37)</f>
        <v/>
      </c>
      <c r="F42" s="133" t="str">
        <f>IF($B42=FALSE,"",Length_1!U37)</f>
        <v/>
      </c>
      <c r="G42" s="133" t="str">
        <f>IF($B42=FALSE,"",Length_1!V37)</f>
        <v/>
      </c>
      <c r="H42" s="133" t="str">
        <f>IF($B42=FALSE,"",Length_1!W37)</f>
        <v/>
      </c>
      <c r="I42" s="133" t="str">
        <f>IF($B42=FALSE,"",Length_1!X37)</f>
        <v/>
      </c>
      <c r="J42" s="134" t="str">
        <f t="shared" si="1"/>
        <v/>
      </c>
      <c r="K42" s="146" t="str">
        <f t="shared" si="2"/>
        <v/>
      </c>
      <c r="L42" s="135" t="str">
        <f>IF(B42=FALSE,"",Length_1!D81)</f>
        <v/>
      </c>
      <c r="M42" s="136" t="str">
        <f>IF(B42=FALSE,"",Calcu_ADJ!J42*J$3)</f>
        <v/>
      </c>
      <c r="N42" s="155" t="str">
        <f>IF(B42=FALSE,"",IF(Length_1!C37="Laser",0,11.5*10^-6))</f>
        <v/>
      </c>
      <c r="O42" s="155" t="str">
        <f ca="1">IF(B42=FALSE,"",OFFSET(Length_1!A81,0,MATCH("열팽창계수",Length_1!$47:$47,0)-1))</f>
        <v/>
      </c>
      <c r="P42" s="156" t="str">
        <f t="shared" si="3"/>
        <v/>
      </c>
      <c r="Q42" s="242" t="str">
        <f t="shared" si="4"/>
        <v/>
      </c>
      <c r="R42" s="242" t="str">
        <f t="shared" si="5"/>
        <v/>
      </c>
      <c r="S42" s="242" t="str">
        <f t="shared" si="6"/>
        <v/>
      </c>
      <c r="T42" s="137" t="str">
        <f t="shared" si="7"/>
        <v/>
      </c>
      <c r="U42" s="138" t="str">
        <f t="shared" si="8"/>
        <v/>
      </c>
      <c r="V42" s="129" t="str">
        <f t="shared" si="13"/>
        <v/>
      </c>
      <c r="W42" s="129" t="str">
        <f t="shared" si="14"/>
        <v/>
      </c>
      <c r="X42" s="131"/>
      <c r="Y42" s="197" t="e">
        <f ca="1">IF(Length_1!K37&lt;0,ROUNDUP(Length_1!K37*J$3,$M$66),ROUNDDOWN(Length_1!K37*J$3,$M$66))</f>
        <v>#N/A</v>
      </c>
      <c r="Z42" s="197" t="e">
        <f ca="1">IF(Length_1!L37&lt;0,ROUNDDOWN(Length_1!L37*J$3,$M$66),ROUNDUP(Length_1!L37*J$3,$M$66))</f>
        <v>#N/A</v>
      </c>
      <c r="AA42" s="129" t="e">
        <f t="shared" ca="1" si="9"/>
        <v>#N/A</v>
      </c>
      <c r="AB42" s="129" t="e">
        <f t="shared" ca="1" si="10"/>
        <v>#N/A</v>
      </c>
      <c r="AC42" s="266" t="e">
        <f t="shared" ca="1" si="11"/>
        <v>#N/A</v>
      </c>
      <c r="AD42" s="129" t="e">
        <f t="shared" ca="1" si="12"/>
        <v>#N/A</v>
      </c>
      <c r="AE42" s="129" t="str">
        <f t="shared" si="15"/>
        <v/>
      </c>
      <c r="AF42" s="299" t="e">
        <f t="shared" ca="1" si="16"/>
        <v>#N/A</v>
      </c>
    </row>
    <row r="43" spans="2:32" ht="15" customHeight="1">
      <c r="B43" s="132" t="b">
        <f>IF(Length_1!T38="",FALSE,TRUE)</f>
        <v>0</v>
      </c>
      <c r="C43" s="129" t="str">
        <f>IF($B43=FALSE,"",VALUE(Length_1!A38))</f>
        <v/>
      </c>
      <c r="D43" s="129" t="str">
        <f>IF($B43=FALSE,"",Length_1!B38)</f>
        <v/>
      </c>
      <c r="E43" s="133" t="str">
        <f>IF($B43=FALSE,"",Length_1!T38)</f>
        <v/>
      </c>
      <c r="F43" s="133" t="str">
        <f>IF($B43=FALSE,"",Length_1!U38)</f>
        <v/>
      </c>
      <c r="G43" s="133" t="str">
        <f>IF($B43=FALSE,"",Length_1!V38)</f>
        <v/>
      </c>
      <c r="H43" s="133" t="str">
        <f>IF($B43=FALSE,"",Length_1!W38)</f>
        <v/>
      </c>
      <c r="I43" s="133" t="str">
        <f>IF($B43=FALSE,"",Length_1!X38)</f>
        <v/>
      </c>
      <c r="J43" s="134" t="str">
        <f t="shared" si="1"/>
        <v/>
      </c>
      <c r="K43" s="146" t="str">
        <f t="shared" si="2"/>
        <v/>
      </c>
      <c r="L43" s="135" t="str">
        <f>IF(B43=FALSE,"",Length_1!D82)</f>
        <v/>
      </c>
      <c r="M43" s="136" t="str">
        <f>IF(B43=FALSE,"",Calcu_ADJ!J43*J$3)</f>
        <v/>
      </c>
      <c r="N43" s="155" t="str">
        <f>IF(B43=FALSE,"",IF(Length_1!C38="Laser",0,11.5*10^-6))</f>
        <v/>
      </c>
      <c r="O43" s="155" t="str">
        <f ca="1">IF(B43=FALSE,"",OFFSET(Length_1!A82,0,MATCH("열팽창계수",Length_1!$47:$47,0)-1))</f>
        <v/>
      </c>
      <c r="P43" s="156" t="str">
        <f t="shared" si="3"/>
        <v/>
      </c>
      <c r="Q43" s="242" t="str">
        <f t="shared" si="4"/>
        <v/>
      </c>
      <c r="R43" s="242" t="str">
        <f t="shared" si="5"/>
        <v/>
      </c>
      <c r="S43" s="242" t="str">
        <f t="shared" si="6"/>
        <v/>
      </c>
      <c r="T43" s="137" t="str">
        <f t="shared" si="7"/>
        <v/>
      </c>
      <c r="U43" s="138" t="str">
        <f t="shared" si="8"/>
        <v/>
      </c>
      <c r="V43" s="129" t="str">
        <f t="shared" si="13"/>
        <v/>
      </c>
      <c r="W43" s="129" t="str">
        <f t="shared" si="14"/>
        <v/>
      </c>
      <c r="X43" s="131"/>
      <c r="Y43" s="197" t="e">
        <f ca="1">IF(Length_1!K38&lt;0,ROUNDUP(Length_1!K38*J$3,$M$66),ROUNDDOWN(Length_1!K38*J$3,$M$66))</f>
        <v>#N/A</v>
      </c>
      <c r="Z43" s="197" t="e">
        <f ca="1">IF(Length_1!L38&lt;0,ROUNDDOWN(Length_1!L38*J$3,$M$66),ROUNDUP(Length_1!L38*J$3,$M$66))</f>
        <v>#N/A</v>
      </c>
      <c r="AA43" s="129" t="e">
        <f t="shared" ca="1" si="9"/>
        <v>#N/A</v>
      </c>
      <c r="AB43" s="129" t="e">
        <f t="shared" ca="1" si="10"/>
        <v>#N/A</v>
      </c>
      <c r="AC43" s="266" t="e">
        <f t="shared" ca="1" si="11"/>
        <v>#N/A</v>
      </c>
      <c r="AD43" s="129" t="e">
        <f t="shared" ca="1" si="12"/>
        <v>#N/A</v>
      </c>
      <c r="AE43" s="129" t="str">
        <f t="shared" si="15"/>
        <v/>
      </c>
      <c r="AF43" s="299" t="e">
        <f t="shared" ca="1" si="16"/>
        <v>#N/A</v>
      </c>
    </row>
    <row r="44" spans="2:32" ht="15" customHeight="1">
      <c r="B44" s="132" t="b">
        <f>IF(Length_1!T39="",FALSE,TRUE)</f>
        <v>0</v>
      </c>
      <c r="C44" s="129" t="str">
        <f>IF($B44=FALSE,"",VALUE(Length_1!A39))</f>
        <v/>
      </c>
      <c r="D44" s="129" t="str">
        <f>IF($B44=FALSE,"",Length_1!B39)</f>
        <v/>
      </c>
      <c r="E44" s="133" t="str">
        <f>IF($B44=FALSE,"",Length_1!T39)</f>
        <v/>
      </c>
      <c r="F44" s="133" t="str">
        <f>IF($B44=FALSE,"",Length_1!U39)</f>
        <v/>
      </c>
      <c r="G44" s="133" t="str">
        <f>IF($B44=FALSE,"",Length_1!V39)</f>
        <v/>
      </c>
      <c r="H44" s="133" t="str">
        <f>IF($B44=FALSE,"",Length_1!W39)</f>
        <v/>
      </c>
      <c r="I44" s="133" t="str">
        <f>IF($B44=FALSE,"",Length_1!X39)</f>
        <v/>
      </c>
      <c r="J44" s="134" t="str">
        <f t="shared" si="1"/>
        <v/>
      </c>
      <c r="K44" s="146" t="str">
        <f t="shared" si="2"/>
        <v/>
      </c>
      <c r="L44" s="135" t="str">
        <f>IF(B44=FALSE,"",Length_1!D83)</f>
        <v/>
      </c>
      <c r="M44" s="136" t="str">
        <f>IF(B44=FALSE,"",Calcu_ADJ!J44*J$3)</f>
        <v/>
      </c>
      <c r="N44" s="155" t="str">
        <f>IF(B44=FALSE,"",IF(Length_1!C39="Laser",0,11.5*10^-6))</f>
        <v/>
      </c>
      <c r="O44" s="155" t="str">
        <f ca="1">IF(B44=FALSE,"",OFFSET(Length_1!A83,0,MATCH("열팽창계수",Length_1!$47:$47,0)-1))</f>
        <v/>
      </c>
      <c r="P44" s="156" t="str">
        <f t="shared" si="3"/>
        <v/>
      </c>
      <c r="Q44" s="242" t="str">
        <f t="shared" si="4"/>
        <v/>
      </c>
      <c r="R44" s="242" t="str">
        <f t="shared" si="5"/>
        <v/>
      </c>
      <c r="S44" s="242" t="str">
        <f t="shared" si="6"/>
        <v/>
      </c>
      <c r="T44" s="137" t="str">
        <f t="shared" si="7"/>
        <v/>
      </c>
      <c r="U44" s="138" t="str">
        <f t="shared" si="8"/>
        <v/>
      </c>
      <c r="V44" s="129" t="str">
        <f t="shared" si="13"/>
        <v/>
      </c>
      <c r="W44" s="129" t="str">
        <f t="shared" si="14"/>
        <v/>
      </c>
      <c r="X44" s="131"/>
      <c r="Y44" s="197" t="e">
        <f ca="1">IF(Length_1!K39&lt;0,ROUNDUP(Length_1!K39*J$3,$M$66),ROUNDDOWN(Length_1!K39*J$3,$M$66))</f>
        <v>#N/A</v>
      </c>
      <c r="Z44" s="197" t="e">
        <f ca="1">IF(Length_1!L39&lt;0,ROUNDDOWN(Length_1!L39*J$3,$M$66),ROUNDUP(Length_1!L39*J$3,$M$66))</f>
        <v>#N/A</v>
      </c>
      <c r="AA44" s="129" t="e">
        <f t="shared" ca="1" si="9"/>
        <v>#N/A</v>
      </c>
      <c r="AB44" s="129" t="e">
        <f t="shared" ca="1" si="10"/>
        <v>#N/A</v>
      </c>
      <c r="AC44" s="266" t="e">
        <f t="shared" ca="1" si="11"/>
        <v>#N/A</v>
      </c>
      <c r="AD44" s="129" t="e">
        <f t="shared" ca="1" si="12"/>
        <v>#N/A</v>
      </c>
      <c r="AE44" s="129" t="str">
        <f t="shared" si="15"/>
        <v/>
      </c>
      <c r="AF44" s="299" t="e">
        <f t="shared" ca="1" si="16"/>
        <v>#N/A</v>
      </c>
    </row>
    <row r="45" spans="2:32" ht="15" customHeight="1">
      <c r="B45" s="132" t="b">
        <f>IF(Length_1!T40="",FALSE,TRUE)</f>
        <v>0</v>
      </c>
      <c r="C45" s="129" t="str">
        <f>IF($B45=FALSE,"",VALUE(Length_1!A40))</f>
        <v/>
      </c>
      <c r="D45" s="129" t="str">
        <f>IF($B45=FALSE,"",Length_1!B40)</f>
        <v/>
      </c>
      <c r="E45" s="133" t="str">
        <f>IF($B45=FALSE,"",Length_1!T40)</f>
        <v/>
      </c>
      <c r="F45" s="133" t="str">
        <f>IF($B45=FALSE,"",Length_1!U40)</f>
        <v/>
      </c>
      <c r="G45" s="133" t="str">
        <f>IF($B45=FALSE,"",Length_1!V40)</f>
        <v/>
      </c>
      <c r="H45" s="133" t="str">
        <f>IF($B45=FALSE,"",Length_1!W40)</f>
        <v/>
      </c>
      <c r="I45" s="133" t="str">
        <f>IF($B45=FALSE,"",Length_1!X40)</f>
        <v/>
      </c>
      <c r="J45" s="134" t="str">
        <f t="shared" si="1"/>
        <v/>
      </c>
      <c r="K45" s="146" t="str">
        <f t="shared" si="2"/>
        <v/>
      </c>
      <c r="L45" s="135" t="str">
        <f>IF(B45=FALSE,"",Length_1!D84)</f>
        <v/>
      </c>
      <c r="M45" s="136" t="str">
        <f>IF(B45=FALSE,"",Calcu_ADJ!J45*J$3)</f>
        <v/>
      </c>
      <c r="N45" s="155" t="str">
        <f>IF(B45=FALSE,"",IF(Length_1!C40="Laser",0,11.5*10^-6))</f>
        <v/>
      </c>
      <c r="O45" s="155" t="str">
        <f ca="1">IF(B45=FALSE,"",OFFSET(Length_1!A84,0,MATCH("열팽창계수",Length_1!$47:$47,0)-1))</f>
        <v/>
      </c>
      <c r="P45" s="156" t="str">
        <f t="shared" si="3"/>
        <v/>
      </c>
      <c r="Q45" s="242" t="str">
        <f t="shared" si="4"/>
        <v/>
      </c>
      <c r="R45" s="242" t="str">
        <f t="shared" si="5"/>
        <v/>
      </c>
      <c r="S45" s="242" t="str">
        <f t="shared" si="6"/>
        <v/>
      </c>
      <c r="T45" s="137" t="str">
        <f t="shared" si="7"/>
        <v/>
      </c>
      <c r="U45" s="138" t="str">
        <f t="shared" si="8"/>
        <v/>
      </c>
      <c r="V45" s="129" t="str">
        <f t="shared" si="13"/>
        <v/>
      </c>
      <c r="W45" s="129" t="str">
        <f t="shared" si="14"/>
        <v/>
      </c>
      <c r="X45" s="131"/>
      <c r="Y45" s="197" t="e">
        <f ca="1">IF(Length_1!K40&lt;0,ROUNDUP(Length_1!K40*J$3,$M$66),ROUNDDOWN(Length_1!K40*J$3,$M$66))</f>
        <v>#N/A</v>
      </c>
      <c r="Z45" s="197" t="e">
        <f ca="1">IF(Length_1!L40&lt;0,ROUNDDOWN(Length_1!L40*J$3,$M$66),ROUNDUP(Length_1!L40*J$3,$M$66))</f>
        <v>#N/A</v>
      </c>
      <c r="AA45" s="129" t="e">
        <f t="shared" ca="1" si="9"/>
        <v>#N/A</v>
      </c>
      <c r="AB45" s="129" t="e">
        <f t="shared" ca="1" si="10"/>
        <v>#N/A</v>
      </c>
      <c r="AC45" s="266" t="e">
        <f t="shared" ca="1" si="11"/>
        <v>#N/A</v>
      </c>
      <c r="AD45" s="129" t="e">
        <f t="shared" ca="1" si="12"/>
        <v>#N/A</v>
      </c>
      <c r="AE45" s="129" t="str">
        <f t="shared" si="15"/>
        <v/>
      </c>
      <c r="AF45" s="299" t="e">
        <f t="shared" ca="1" si="16"/>
        <v>#N/A</v>
      </c>
    </row>
    <row r="46" spans="2:32" ht="15" customHeight="1">
      <c r="B46" s="132" t="b">
        <f>IF(Length_1!T41="",FALSE,TRUE)</f>
        <v>0</v>
      </c>
      <c r="C46" s="129" t="str">
        <f>IF($B46=FALSE,"",VALUE(Length_1!A41))</f>
        <v/>
      </c>
      <c r="D46" s="129" t="str">
        <f>IF($B46=FALSE,"",Length_1!B41)</f>
        <v/>
      </c>
      <c r="E46" s="133" t="str">
        <f>IF($B46=FALSE,"",Length_1!T41)</f>
        <v/>
      </c>
      <c r="F46" s="133" t="str">
        <f>IF($B46=FALSE,"",Length_1!U41)</f>
        <v/>
      </c>
      <c r="G46" s="133" t="str">
        <f>IF($B46=FALSE,"",Length_1!V41)</f>
        <v/>
      </c>
      <c r="H46" s="133" t="str">
        <f>IF($B46=FALSE,"",Length_1!W41)</f>
        <v/>
      </c>
      <c r="I46" s="133" t="str">
        <f>IF($B46=FALSE,"",Length_1!X41)</f>
        <v/>
      </c>
      <c r="J46" s="134" t="str">
        <f t="shared" si="1"/>
        <v/>
      </c>
      <c r="K46" s="146" t="str">
        <f t="shared" si="2"/>
        <v/>
      </c>
      <c r="L46" s="135" t="str">
        <f>IF(B46=FALSE,"",Length_1!D85)</f>
        <v/>
      </c>
      <c r="M46" s="136" t="str">
        <f>IF(B46=FALSE,"",Calcu_ADJ!J46*J$3)</f>
        <v/>
      </c>
      <c r="N46" s="155" t="str">
        <f>IF(B46=FALSE,"",IF(Length_1!C41="Laser",0,11.5*10^-6))</f>
        <v/>
      </c>
      <c r="O46" s="155" t="str">
        <f ca="1">IF(B46=FALSE,"",OFFSET(Length_1!A85,0,MATCH("열팽창계수",Length_1!$47:$47,0)-1))</f>
        <v/>
      </c>
      <c r="P46" s="156" t="str">
        <f t="shared" si="3"/>
        <v/>
      </c>
      <c r="Q46" s="242" t="str">
        <f t="shared" si="4"/>
        <v/>
      </c>
      <c r="R46" s="242" t="str">
        <f t="shared" si="5"/>
        <v/>
      </c>
      <c r="S46" s="242" t="str">
        <f t="shared" si="6"/>
        <v/>
      </c>
      <c r="T46" s="137" t="str">
        <f t="shared" si="7"/>
        <v/>
      </c>
      <c r="U46" s="138" t="str">
        <f t="shared" si="8"/>
        <v/>
      </c>
      <c r="V46" s="129" t="str">
        <f t="shared" si="13"/>
        <v/>
      </c>
      <c r="W46" s="129" t="str">
        <f t="shared" si="14"/>
        <v/>
      </c>
      <c r="X46" s="131"/>
      <c r="Y46" s="197" t="e">
        <f ca="1">IF(Length_1!K41&lt;0,ROUNDUP(Length_1!K41*J$3,$M$66),ROUNDDOWN(Length_1!K41*J$3,$M$66))</f>
        <v>#N/A</v>
      </c>
      <c r="Z46" s="197" t="e">
        <f ca="1">IF(Length_1!L41&lt;0,ROUNDDOWN(Length_1!L41*J$3,$M$66),ROUNDUP(Length_1!L41*J$3,$M$66))</f>
        <v>#N/A</v>
      </c>
      <c r="AA46" s="129" t="e">
        <f t="shared" ca="1" si="9"/>
        <v>#N/A</v>
      </c>
      <c r="AB46" s="129" t="e">
        <f t="shared" ca="1" si="10"/>
        <v>#N/A</v>
      </c>
      <c r="AC46" s="266" t="e">
        <f t="shared" ca="1" si="11"/>
        <v>#N/A</v>
      </c>
      <c r="AD46" s="129" t="e">
        <f t="shared" ca="1" si="12"/>
        <v>#N/A</v>
      </c>
      <c r="AE46" s="129" t="str">
        <f t="shared" si="15"/>
        <v/>
      </c>
      <c r="AF46" s="299" t="e">
        <f t="shared" ca="1" si="16"/>
        <v>#N/A</v>
      </c>
    </row>
    <row r="47" spans="2:32" ht="15" customHeight="1">
      <c r="B47" s="132" t="b">
        <f>IF(Length_1!T42="",FALSE,TRUE)</f>
        <v>0</v>
      </c>
      <c r="C47" s="129" t="str">
        <f>IF($B47=FALSE,"",VALUE(Length_1!A42))</f>
        <v/>
      </c>
      <c r="D47" s="129" t="str">
        <f>IF($B47=FALSE,"",Length_1!B42)</f>
        <v/>
      </c>
      <c r="E47" s="133" t="str">
        <f>IF($B47=FALSE,"",Length_1!T42)</f>
        <v/>
      </c>
      <c r="F47" s="133" t="str">
        <f>IF($B47=FALSE,"",Length_1!U42)</f>
        <v/>
      </c>
      <c r="G47" s="133" t="str">
        <f>IF($B47=FALSE,"",Length_1!V42)</f>
        <v/>
      </c>
      <c r="H47" s="133" t="str">
        <f>IF($B47=FALSE,"",Length_1!W42)</f>
        <v/>
      </c>
      <c r="I47" s="133" t="str">
        <f>IF($B47=FALSE,"",Length_1!X42)</f>
        <v/>
      </c>
      <c r="J47" s="134" t="str">
        <f t="shared" si="1"/>
        <v/>
      </c>
      <c r="K47" s="146" t="str">
        <f t="shared" si="2"/>
        <v/>
      </c>
      <c r="L47" s="135" t="str">
        <f>IF(B47=FALSE,"",Length_1!D86)</f>
        <v/>
      </c>
      <c r="M47" s="136" t="str">
        <f>IF(B47=FALSE,"",Calcu_ADJ!J47*J$3)</f>
        <v/>
      </c>
      <c r="N47" s="155" t="str">
        <f>IF(B47=FALSE,"",IF(Length_1!C42="Laser",0,11.5*10^-6))</f>
        <v/>
      </c>
      <c r="O47" s="155" t="str">
        <f ca="1">IF(B47=FALSE,"",OFFSET(Length_1!A86,0,MATCH("열팽창계수",Length_1!$47:$47,0)-1))</f>
        <v/>
      </c>
      <c r="P47" s="156" t="str">
        <f t="shared" si="3"/>
        <v/>
      </c>
      <c r="Q47" s="242" t="str">
        <f t="shared" si="4"/>
        <v/>
      </c>
      <c r="R47" s="242" t="str">
        <f t="shared" si="5"/>
        <v/>
      </c>
      <c r="S47" s="242" t="str">
        <f t="shared" si="6"/>
        <v/>
      </c>
      <c r="T47" s="137" t="str">
        <f t="shared" si="7"/>
        <v/>
      </c>
      <c r="U47" s="138" t="str">
        <f t="shared" si="8"/>
        <v/>
      </c>
      <c r="V47" s="129" t="str">
        <f t="shared" si="13"/>
        <v/>
      </c>
      <c r="W47" s="129" t="str">
        <f t="shared" si="14"/>
        <v/>
      </c>
      <c r="X47" s="131"/>
      <c r="Y47" s="197" t="e">
        <f ca="1">IF(Length_1!K42&lt;0,ROUNDUP(Length_1!K42*J$3,$M$66),ROUNDDOWN(Length_1!K42*J$3,$M$66))</f>
        <v>#N/A</v>
      </c>
      <c r="Z47" s="197" t="e">
        <f ca="1">IF(Length_1!L42&lt;0,ROUNDDOWN(Length_1!L42*J$3,$M$66),ROUNDUP(Length_1!L42*J$3,$M$66))</f>
        <v>#N/A</v>
      </c>
      <c r="AA47" s="129" t="e">
        <f t="shared" ca="1" si="9"/>
        <v>#N/A</v>
      </c>
      <c r="AB47" s="129" t="e">
        <f t="shared" ca="1" si="10"/>
        <v>#N/A</v>
      </c>
      <c r="AC47" s="266" t="e">
        <f t="shared" ca="1" si="11"/>
        <v>#N/A</v>
      </c>
      <c r="AD47" s="129" t="e">
        <f t="shared" ca="1" si="12"/>
        <v>#N/A</v>
      </c>
      <c r="AE47" s="129" t="str">
        <f t="shared" si="15"/>
        <v/>
      </c>
      <c r="AF47" s="299" t="e">
        <f t="shared" ca="1" si="16"/>
        <v>#N/A</v>
      </c>
    </row>
    <row r="48" spans="2:32" ht="15" customHeight="1">
      <c r="B48" s="132" t="b">
        <f>IF(Length_1!T43="",FALSE,TRUE)</f>
        <v>0</v>
      </c>
      <c r="C48" s="129" t="str">
        <f>IF($B48=FALSE,"",VALUE(Length_1!A43))</f>
        <v/>
      </c>
      <c r="D48" s="129" t="str">
        <f>IF($B48=FALSE,"",Length_1!B43)</f>
        <v/>
      </c>
      <c r="E48" s="133" t="str">
        <f>IF($B48=FALSE,"",Length_1!T43)</f>
        <v/>
      </c>
      <c r="F48" s="133" t="str">
        <f>IF($B48=FALSE,"",Length_1!U43)</f>
        <v/>
      </c>
      <c r="G48" s="133" t="str">
        <f>IF($B48=FALSE,"",Length_1!V43)</f>
        <v/>
      </c>
      <c r="H48" s="133" t="str">
        <f>IF($B48=FALSE,"",Length_1!W43)</f>
        <v/>
      </c>
      <c r="I48" s="133" t="str">
        <f>IF($B48=FALSE,"",Length_1!X43)</f>
        <v/>
      </c>
      <c r="J48" s="134" t="str">
        <f t="shared" si="1"/>
        <v/>
      </c>
      <c r="K48" s="146" t="str">
        <f t="shared" si="2"/>
        <v/>
      </c>
      <c r="L48" s="135" t="str">
        <f>IF(B48=FALSE,"",Length_1!D87)</f>
        <v/>
      </c>
      <c r="M48" s="136" t="str">
        <f>IF(B48=FALSE,"",Calcu_ADJ!J48*J$3)</f>
        <v/>
      </c>
      <c r="N48" s="155" t="str">
        <f>IF(B48=FALSE,"",IF(Length_1!C43="Laser",0,11.5*10^-6))</f>
        <v/>
      </c>
      <c r="O48" s="155" t="str">
        <f ca="1">IF(B48=FALSE,"",OFFSET(Length_1!A87,0,MATCH("열팽창계수",Length_1!$47:$47,0)-1))</f>
        <v/>
      </c>
      <c r="P48" s="156" t="str">
        <f t="shared" si="3"/>
        <v/>
      </c>
      <c r="Q48" s="242" t="str">
        <f t="shared" si="4"/>
        <v/>
      </c>
      <c r="R48" s="242" t="str">
        <f t="shared" si="5"/>
        <v/>
      </c>
      <c r="S48" s="242" t="str">
        <f t="shared" si="6"/>
        <v/>
      </c>
      <c r="T48" s="137" t="str">
        <f t="shared" si="7"/>
        <v/>
      </c>
      <c r="U48" s="138" t="str">
        <f t="shared" si="8"/>
        <v/>
      </c>
      <c r="V48" s="129" t="str">
        <f t="shared" si="13"/>
        <v/>
      </c>
      <c r="W48" s="129" t="str">
        <f t="shared" si="14"/>
        <v/>
      </c>
      <c r="X48" s="131"/>
      <c r="Y48" s="197" t="e">
        <f ca="1">IF(Length_1!K43&lt;0,ROUNDUP(Length_1!K43*J$3,$M$66),ROUNDDOWN(Length_1!K43*J$3,$M$66))</f>
        <v>#N/A</v>
      </c>
      <c r="Z48" s="197" t="e">
        <f ca="1">IF(Length_1!L43&lt;0,ROUNDDOWN(Length_1!L43*J$3,$M$66),ROUNDUP(Length_1!L43*J$3,$M$66))</f>
        <v>#N/A</v>
      </c>
      <c r="AA48" s="129" t="e">
        <f t="shared" ca="1" si="9"/>
        <v>#N/A</v>
      </c>
      <c r="AB48" s="129" t="e">
        <f t="shared" ca="1" si="10"/>
        <v>#N/A</v>
      </c>
      <c r="AC48" s="266" t="e">
        <f t="shared" ca="1" si="11"/>
        <v>#N/A</v>
      </c>
      <c r="AD48" s="129" t="e">
        <f t="shared" ca="1" si="12"/>
        <v>#N/A</v>
      </c>
      <c r="AE48" s="129" t="str">
        <f t="shared" si="15"/>
        <v/>
      </c>
      <c r="AF48" s="299" t="e">
        <f t="shared" ca="1" si="16"/>
        <v>#N/A</v>
      </c>
    </row>
    <row r="49" spans="1:32" ht="15" customHeight="1">
      <c r="B49" s="132" t="b">
        <f>IF(Length_1!T44="",FALSE,TRUE)</f>
        <v>0</v>
      </c>
      <c r="C49" s="129" t="str">
        <f>IF($B49=FALSE,"",VALUE(Length_1!A44))</f>
        <v/>
      </c>
      <c r="D49" s="129" t="str">
        <f>IF($B49=FALSE,"",Length_1!B44)</f>
        <v/>
      </c>
      <c r="E49" s="133" t="str">
        <f>IF($B49=FALSE,"",Length_1!T44)</f>
        <v/>
      </c>
      <c r="F49" s="133" t="str">
        <f>IF($B49=FALSE,"",Length_1!U44)</f>
        <v/>
      </c>
      <c r="G49" s="133" t="str">
        <f>IF($B49=FALSE,"",Length_1!V44)</f>
        <v/>
      </c>
      <c r="H49" s="133" t="str">
        <f>IF($B49=FALSE,"",Length_1!W44)</f>
        <v/>
      </c>
      <c r="I49" s="133" t="str">
        <f>IF($B49=FALSE,"",Length_1!X44)</f>
        <v/>
      </c>
      <c r="J49" s="134" t="str">
        <f t="shared" si="1"/>
        <v/>
      </c>
      <c r="K49" s="146" t="str">
        <f t="shared" si="2"/>
        <v/>
      </c>
      <c r="L49" s="135" t="str">
        <f>IF(B49=FALSE,"",Length_1!D88)</f>
        <v/>
      </c>
      <c r="M49" s="136" t="str">
        <f>IF(B49=FALSE,"",Calcu_ADJ!J49*J$3)</f>
        <v/>
      </c>
      <c r="N49" s="155" t="str">
        <f>IF(B49=FALSE,"",IF(Length_1!C44="Laser",0,11.5*10^-6))</f>
        <v/>
      </c>
      <c r="O49" s="155" t="str">
        <f ca="1">IF(B49=FALSE,"",OFFSET(Length_1!A88,0,MATCH("열팽창계수",Length_1!$47:$47,0)-1))</f>
        <v/>
      </c>
      <c r="P49" s="156" t="str">
        <f t="shared" si="3"/>
        <v/>
      </c>
      <c r="Q49" s="242" t="str">
        <f t="shared" si="4"/>
        <v/>
      </c>
      <c r="R49" s="242" t="str">
        <f t="shared" si="5"/>
        <v/>
      </c>
      <c r="S49" s="242" t="str">
        <f t="shared" si="6"/>
        <v/>
      </c>
      <c r="T49" s="137" t="str">
        <f t="shared" si="7"/>
        <v/>
      </c>
      <c r="U49" s="138" t="str">
        <f t="shared" si="8"/>
        <v/>
      </c>
      <c r="V49" s="129" t="str">
        <f t="shared" si="13"/>
        <v/>
      </c>
      <c r="W49" s="129" t="str">
        <f t="shared" si="14"/>
        <v/>
      </c>
      <c r="X49" s="131"/>
      <c r="Y49" s="197" t="e">
        <f ca="1">IF(Length_1!K44&lt;0,ROUNDUP(Length_1!K44*J$3,$M$66),ROUNDDOWN(Length_1!K44*J$3,$M$66))</f>
        <v>#N/A</v>
      </c>
      <c r="Z49" s="197" t="e">
        <f ca="1">IF(Length_1!L44&lt;0,ROUNDDOWN(Length_1!L44*J$3,$M$66),ROUNDUP(Length_1!L44*J$3,$M$66))</f>
        <v>#N/A</v>
      </c>
      <c r="AA49" s="129" t="e">
        <f t="shared" ca="1" si="9"/>
        <v>#N/A</v>
      </c>
      <c r="AB49" s="129" t="e">
        <f t="shared" ca="1" si="10"/>
        <v>#N/A</v>
      </c>
      <c r="AC49" s="266" t="e">
        <f t="shared" ca="1" si="11"/>
        <v>#N/A</v>
      </c>
      <c r="AD49" s="129" t="e">
        <f t="shared" ca="1" si="12"/>
        <v>#N/A</v>
      </c>
      <c r="AE49" s="129" t="str">
        <f t="shared" si="15"/>
        <v/>
      </c>
      <c r="AF49" s="299" t="e">
        <f t="shared" ca="1" si="16"/>
        <v>#N/A</v>
      </c>
    </row>
    <row r="50" spans="1:32" ht="15" customHeight="1">
      <c r="N50" s="126"/>
      <c r="O50" s="126"/>
      <c r="P50" s="126"/>
      <c r="Q50" s="126"/>
      <c r="R50" s="126"/>
      <c r="S50" s="126"/>
      <c r="T50" s="126"/>
      <c r="X50" s="126"/>
    </row>
    <row r="51" spans="1:32" ht="15" customHeight="1">
      <c r="A51" s="124" t="s">
        <v>169</v>
      </c>
      <c r="C51" s="125"/>
      <c r="D51" s="125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</row>
    <row r="52" spans="1:32" ht="15" customHeight="1">
      <c r="A52" s="124"/>
      <c r="B52" s="515"/>
      <c r="C52" s="515" t="s">
        <v>171</v>
      </c>
      <c r="D52" s="516" t="s">
        <v>172</v>
      </c>
      <c r="E52" s="515" t="s">
        <v>173</v>
      </c>
      <c r="F52" s="515" t="s">
        <v>174</v>
      </c>
      <c r="G52" s="493">
        <v>1</v>
      </c>
      <c r="H52" s="498"/>
      <c r="I52" s="498"/>
      <c r="J52" s="498"/>
      <c r="K52" s="494"/>
      <c r="L52" s="224">
        <v>2</v>
      </c>
      <c r="M52" s="493">
        <v>3</v>
      </c>
      <c r="N52" s="498"/>
      <c r="O52" s="498"/>
      <c r="P52" s="494"/>
      <c r="Q52" s="493">
        <v>4</v>
      </c>
      <c r="R52" s="494"/>
      <c r="S52" s="224">
        <v>5</v>
      </c>
      <c r="T52" s="508" t="s">
        <v>471</v>
      </c>
      <c r="U52" s="493" t="s">
        <v>503</v>
      </c>
      <c r="V52" s="494"/>
      <c r="W52" s="296"/>
    </row>
    <row r="53" spans="1:32" ht="15" customHeight="1">
      <c r="A53" s="124"/>
      <c r="B53" s="513"/>
      <c r="C53" s="513"/>
      <c r="D53" s="517"/>
      <c r="E53" s="513"/>
      <c r="F53" s="513"/>
      <c r="G53" s="289" t="s">
        <v>445</v>
      </c>
      <c r="H53" s="289" t="s">
        <v>446</v>
      </c>
      <c r="I53" s="289" t="s">
        <v>447</v>
      </c>
      <c r="J53" s="493" t="s">
        <v>176</v>
      </c>
      <c r="K53" s="494"/>
      <c r="L53" s="224" t="s">
        <v>177</v>
      </c>
      <c r="M53" s="493" t="s">
        <v>175</v>
      </c>
      <c r="N53" s="494"/>
      <c r="O53" s="493" t="s">
        <v>178</v>
      </c>
      <c r="P53" s="494"/>
      <c r="Q53" s="493" t="s">
        <v>179</v>
      </c>
      <c r="R53" s="494"/>
      <c r="S53" s="224" t="s">
        <v>180</v>
      </c>
      <c r="T53" s="509"/>
      <c r="U53" s="315" t="s">
        <v>504</v>
      </c>
      <c r="V53" s="315" t="s">
        <v>505</v>
      </c>
      <c r="W53" s="296"/>
    </row>
    <row r="54" spans="1:32" ht="15" customHeight="1">
      <c r="B54" s="224" t="s">
        <v>183</v>
      </c>
      <c r="C54" s="148" t="s">
        <v>190</v>
      </c>
      <c r="D54" s="149" t="s">
        <v>191</v>
      </c>
      <c r="E54" s="164" t="e">
        <f ca="1">OFFSET(L$8,MATCH(L$3,T$9:T$49,0),0)</f>
        <v>#N/A</v>
      </c>
      <c r="F54" s="150" t="s">
        <v>186</v>
      </c>
      <c r="G54" s="199" t="e">
        <f ca="1">OFFSET(Length_1!F47,MATCH(L3,T9:T49,0),0)</f>
        <v>#N/A</v>
      </c>
      <c r="H54" s="129" t="e">
        <f ca="1">OFFSET(Length_1!F47,MATCH(L3,T9:T49,0),1)/IF(Length_1!J48="L=m",1000,1)</f>
        <v>#N/A</v>
      </c>
      <c r="I54" s="129" t="e">
        <f ca="1">OFFSET(Length_1!F47,MATCH(L3,T9:T49,0),3)</f>
        <v>#N/A</v>
      </c>
      <c r="J54" s="200" t="e">
        <f ca="1">SQRT(SUMSQ(G54,H54*L3))/I54/IF(Length_1_STD1="Gauge block",1000,1)</f>
        <v>#N/A</v>
      </c>
      <c r="K54" s="151" t="s">
        <v>144</v>
      </c>
      <c r="L54" s="153" t="s">
        <v>192</v>
      </c>
      <c r="M54" s="129"/>
      <c r="N54" s="129"/>
      <c r="O54" s="136">
        <v>1</v>
      </c>
      <c r="P54" s="129"/>
      <c r="Q54" s="209" t="e">
        <f t="shared" ref="Q54:Q61" ca="1" si="17">ABS(J54*O54)</f>
        <v>#N/A</v>
      </c>
      <c r="R54" s="151" t="s">
        <v>144</v>
      </c>
      <c r="S54" s="129" t="s">
        <v>193</v>
      </c>
      <c r="T54" s="308">
        <f>IF(S54="∞",0,Q54^4/S54)</f>
        <v>0</v>
      </c>
      <c r="U54" s="265" t="str">
        <f t="shared" ref="U54:U61" si="18">IF(OR(L54="직사각형",L54="삼각형"),Q54,"")</f>
        <v/>
      </c>
      <c r="V54" s="265" t="e">
        <f t="shared" ref="V54:V61" ca="1" si="19">IF(OR(L54="직사각형",L54="삼각형"),"",Q54)</f>
        <v>#N/A</v>
      </c>
      <c r="W54" s="296"/>
    </row>
    <row r="55" spans="1:32" ht="15" customHeight="1">
      <c r="B55" s="224" t="s">
        <v>189</v>
      </c>
      <c r="C55" s="148" t="s">
        <v>184</v>
      </c>
      <c r="D55" s="149" t="s">
        <v>185</v>
      </c>
      <c r="E55" s="164" t="e">
        <f ca="1">OFFSET(M$8,MATCH(L$3,T$9:T$49,0),0)</f>
        <v>#N/A</v>
      </c>
      <c r="F55" s="150" t="s">
        <v>186</v>
      </c>
      <c r="G55" s="151">
        <f>IF(MAX(K9:K49)=0,O3*1000,MAX(K9:K49)*1000)</f>
        <v>0</v>
      </c>
      <c r="H55" s="129">
        <f>IF(MAX(K9:K49)=0,2,1)</f>
        <v>2</v>
      </c>
      <c r="I55" s="152">
        <f>IF(MAX(K9:K49)=0,3,5)</f>
        <v>3</v>
      </c>
      <c r="J55" s="157">
        <f>G55/(H55*SQRT(I55))</f>
        <v>0</v>
      </c>
      <c r="K55" s="151" t="s">
        <v>187</v>
      </c>
      <c r="L55" s="153" t="str">
        <f>IF(MAX(K9:K49)=0,"직사각형","t")</f>
        <v>직사각형</v>
      </c>
      <c r="M55" s="129"/>
      <c r="N55" s="129"/>
      <c r="O55" s="136">
        <v>-1</v>
      </c>
      <c r="P55" s="129"/>
      <c r="Q55" s="209">
        <f>ABS(J55*O55)</f>
        <v>0</v>
      </c>
      <c r="R55" s="151" t="s">
        <v>144</v>
      </c>
      <c r="S55" s="197" t="str">
        <f>IF(MAX(K9:K49)=0,"∞",I55-1)</f>
        <v>∞</v>
      </c>
      <c r="T55" s="308">
        <f>IF(S55="∞",0,Q55^4/S55)</f>
        <v>0</v>
      </c>
      <c r="U55" s="265">
        <f t="shared" si="18"/>
        <v>0</v>
      </c>
      <c r="V55" s="265" t="str">
        <f t="shared" si="19"/>
        <v/>
      </c>
      <c r="W55" s="296"/>
    </row>
    <row r="56" spans="1:32" ht="15" customHeight="1">
      <c r="B56" s="224" t="s">
        <v>82</v>
      </c>
      <c r="C56" s="148" t="s">
        <v>145</v>
      </c>
      <c r="D56" s="149" t="s">
        <v>136</v>
      </c>
      <c r="E56" s="155" t="e">
        <f ca="1">OFFSET(P$8,MATCH(L$3,T$9:T$49,0),0)</f>
        <v>#N/A</v>
      </c>
      <c r="F56" s="150" t="s">
        <v>146</v>
      </c>
      <c r="G56" s="275">
        <f>1*10^-6</f>
        <v>9.9999999999999995E-7</v>
      </c>
      <c r="H56" s="207">
        <v>1</v>
      </c>
      <c r="I56" s="276">
        <v>3</v>
      </c>
      <c r="J56" s="277">
        <f>SQRT((G56/SQRT(I56)/2)^2+(G56/SQRT(I56)/2)^2)</f>
        <v>4.0824829046386305E-7</v>
      </c>
      <c r="K56" s="150" t="s">
        <v>146</v>
      </c>
      <c r="L56" s="153" t="s">
        <v>344</v>
      </c>
      <c r="M56" s="151">
        <f>G57</f>
        <v>0.5</v>
      </c>
      <c r="N56" s="129">
        <f>L3*1000</f>
        <v>0</v>
      </c>
      <c r="O56" s="136">
        <f>-M56*N56</f>
        <v>0</v>
      </c>
      <c r="P56" s="129" t="s">
        <v>147</v>
      </c>
      <c r="Q56" s="209">
        <f t="shared" si="17"/>
        <v>0</v>
      </c>
      <c r="R56" s="151" t="s">
        <v>144</v>
      </c>
      <c r="S56" s="129">
        <v>100</v>
      </c>
      <c r="T56" s="308">
        <f>IF(S56="∞",0,Q56^4/S56)</f>
        <v>0</v>
      </c>
      <c r="U56" s="265">
        <f t="shared" si="18"/>
        <v>0</v>
      </c>
      <c r="V56" s="265" t="str">
        <f t="shared" si="19"/>
        <v/>
      </c>
      <c r="W56" s="296"/>
    </row>
    <row r="57" spans="1:32" ht="15" customHeight="1">
      <c r="B57" s="224" t="s">
        <v>83</v>
      </c>
      <c r="C57" s="148" t="s">
        <v>152</v>
      </c>
      <c r="D57" s="149" t="s">
        <v>139</v>
      </c>
      <c r="E57" s="208" t="str">
        <f>Q9</f>
        <v/>
      </c>
      <c r="F57" s="150" t="s">
        <v>158</v>
      </c>
      <c r="G57" s="151">
        <f>IF(기본정보!H12=1,1,0.5)</f>
        <v>0.5</v>
      </c>
      <c r="H57" s="207">
        <v>1</v>
      </c>
      <c r="I57" s="152">
        <v>3</v>
      </c>
      <c r="J57" s="157">
        <f>G57/SQRT(I57)</f>
        <v>0.28867513459481292</v>
      </c>
      <c r="K57" s="150" t="s">
        <v>158</v>
      </c>
      <c r="L57" s="153" t="s">
        <v>197</v>
      </c>
      <c r="M57" s="155" t="e">
        <f ca="1">E56</f>
        <v>#N/A</v>
      </c>
      <c r="N57" s="129">
        <f>L3*1000</f>
        <v>0</v>
      </c>
      <c r="O57" s="136" t="e">
        <f ca="1">-M57*N57</f>
        <v>#N/A</v>
      </c>
      <c r="P57" s="129" t="s">
        <v>198</v>
      </c>
      <c r="Q57" s="209" t="e">
        <f ca="1">ABS(J57*O57)</f>
        <v>#N/A</v>
      </c>
      <c r="R57" s="151" t="s">
        <v>187</v>
      </c>
      <c r="S57" s="129">
        <v>12</v>
      </c>
      <c r="T57" s="308" t="e">
        <f t="shared" ref="T57:T61" ca="1" si="20">IF(S57="∞",0,Q57^4/S57)</f>
        <v>#N/A</v>
      </c>
      <c r="U57" s="265" t="e">
        <f t="shared" ca="1" si="18"/>
        <v>#N/A</v>
      </c>
      <c r="V57" s="265" t="str">
        <f t="shared" si="19"/>
        <v/>
      </c>
      <c r="W57" s="296"/>
    </row>
    <row r="58" spans="1:32" ht="15" customHeight="1">
      <c r="B58" s="224" t="s">
        <v>196</v>
      </c>
      <c r="C58" s="148" t="s">
        <v>137</v>
      </c>
      <c r="D58" s="149" t="s">
        <v>138</v>
      </c>
      <c r="E58" s="158" t="e">
        <f ca="1">OFFSET(R$8,MATCH(L$3,T$9:T$49,0),0)</f>
        <v>#N/A</v>
      </c>
      <c r="F58" s="150" t="s">
        <v>146</v>
      </c>
      <c r="G58" s="275">
        <f>1*10^-6</f>
        <v>9.9999999999999995E-7</v>
      </c>
      <c r="H58" s="207">
        <v>1</v>
      </c>
      <c r="I58" s="276">
        <v>3</v>
      </c>
      <c r="J58" s="277">
        <f>SQRT((G58/SQRT(I58))^2+(G58/SQRT(I58))^2)</f>
        <v>8.1649658092772609E-7</v>
      </c>
      <c r="K58" s="150" t="s">
        <v>146</v>
      </c>
      <c r="L58" s="153" t="s">
        <v>344</v>
      </c>
      <c r="M58" s="151">
        <f>E59</f>
        <v>0.1</v>
      </c>
      <c r="N58" s="129">
        <f>L3*1000</f>
        <v>0</v>
      </c>
      <c r="O58" s="136">
        <f>-M58*N58</f>
        <v>0</v>
      </c>
      <c r="P58" s="129" t="s">
        <v>194</v>
      </c>
      <c r="Q58" s="209">
        <f>ABS(J58*O58)</f>
        <v>0</v>
      </c>
      <c r="R58" s="151" t="s">
        <v>187</v>
      </c>
      <c r="S58" s="129">
        <v>100</v>
      </c>
      <c r="T58" s="308">
        <f t="shared" si="20"/>
        <v>0</v>
      </c>
      <c r="U58" s="265">
        <f t="shared" si="18"/>
        <v>0</v>
      </c>
      <c r="V58" s="265" t="str">
        <f t="shared" si="19"/>
        <v/>
      </c>
      <c r="W58" s="296"/>
    </row>
    <row r="59" spans="1:32" ht="15" customHeight="1">
      <c r="B59" s="224" t="s">
        <v>199</v>
      </c>
      <c r="C59" s="148" t="s">
        <v>140</v>
      </c>
      <c r="D59" s="149" t="s">
        <v>141</v>
      </c>
      <c r="E59" s="208">
        <f>MAX(S9,0.1)</f>
        <v>0.1</v>
      </c>
      <c r="F59" s="150" t="s">
        <v>158</v>
      </c>
      <c r="G59" s="151">
        <f>IF(기본정보!H12=1,3,1)</f>
        <v>1</v>
      </c>
      <c r="H59" s="207">
        <v>1</v>
      </c>
      <c r="I59" s="152">
        <v>3</v>
      </c>
      <c r="J59" s="157">
        <f>G59/SQRT(I59)</f>
        <v>0.57735026918962584</v>
      </c>
      <c r="K59" s="150" t="s">
        <v>158</v>
      </c>
      <c r="L59" s="153" t="s">
        <v>197</v>
      </c>
      <c r="M59" s="158" t="e">
        <f ca="1">E58</f>
        <v>#N/A</v>
      </c>
      <c r="N59" s="129">
        <f>L3*1000</f>
        <v>0</v>
      </c>
      <c r="O59" s="136" t="e">
        <f ca="1">-M59*N59</f>
        <v>#N/A</v>
      </c>
      <c r="P59" s="129" t="s">
        <v>198</v>
      </c>
      <c r="Q59" s="209" t="e">
        <f t="shared" ca="1" si="17"/>
        <v>#N/A</v>
      </c>
      <c r="R59" s="151" t="s">
        <v>187</v>
      </c>
      <c r="S59" s="129">
        <v>12</v>
      </c>
      <c r="T59" s="308" t="e">
        <f t="shared" ca="1" si="20"/>
        <v>#N/A</v>
      </c>
      <c r="U59" s="265" t="e">
        <f t="shared" ca="1" si="18"/>
        <v>#N/A</v>
      </c>
      <c r="V59" s="265" t="str">
        <f t="shared" si="19"/>
        <v/>
      </c>
      <c r="W59" s="296"/>
    </row>
    <row r="60" spans="1:32" ht="15" customHeight="1">
      <c r="B60" s="224" t="s">
        <v>200</v>
      </c>
      <c r="C60" s="148" t="s">
        <v>76</v>
      </c>
      <c r="D60" s="149" t="s">
        <v>509</v>
      </c>
      <c r="E60" s="129">
        <v>0</v>
      </c>
      <c r="F60" s="150" t="s">
        <v>186</v>
      </c>
      <c r="G60" s="129">
        <f>O3*1000</f>
        <v>0</v>
      </c>
      <c r="H60" s="129">
        <v>2</v>
      </c>
      <c r="I60" s="152">
        <v>3</v>
      </c>
      <c r="J60" s="159">
        <f>G60/H60/SQRT(I60)</f>
        <v>0</v>
      </c>
      <c r="K60" s="151" t="s">
        <v>187</v>
      </c>
      <c r="L60" s="153" t="s">
        <v>202</v>
      </c>
      <c r="M60" s="129"/>
      <c r="N60" s="129"/>
      <c r="O60" s="136">
        <v>1</v>
      </c>
      <c r="P60" s="129"/>
      <c r="Q60" s="209">
        <f t="shared" si="17"/>
        <v>0</v>
      </c>
      <c r="R60" s="151" t="s">
        <v>144</v>
      </c>
      <c r="S60" s="129" t="s">
        <v>195</v>
      </c>
      <c r="T60" s="308">
        <f t="shared" si="20"/>
        <v>0</v>
      </c>
      <c r="U60" s="265">
        <f t="shared" si="18"/>
        <v>0</v>
      </c>
      <c r="V60" s="265" t="str">
        <f t="shared" si="19"/>
        <v/>
      </c>
      <c r="W60" s="296"/>
    </row>
    <row r="61" spans="1:32" ht="15" customHeight="1">
      <c r="B61" s="224" t="s">
        <v>203</v>
      </c>
      <c r="C61" s="148" t="s">
        <v>329</v>
      </c>
      <c r="D61" s="149" t="s">
        <v>380</v>
      </c>
      <c r="E61" s="129">
        <v>0</v>
      </c>
      <c r="F61" s="150" t="s">
        <v>186</v>
      </c>
      <c r="G61" s="266">
        <f>(L3-(L3*COS(RADIANS(0.5))))*1000</f>
        <v>0</v>
      </c>
      <c r="H61" s="207">
        <v>1</v>
      </c>
      <c r="I61" s="152">
        <v>3</v>
      </c>
      <c r="J61" s="159">
        <f>G61/SQRT(I61)</f>
        <v>0</v>
      </c>
      <c r="K61" s="151" t="s">
        <v>187</v>
      </c>
      <c r="L61" s="153" t="s">
        <v>202</v>
      </c>
      <c r="M61" s="129"/>
      <c r="N61" s="129"/>
      <c r="O61" s="136">
        <v>1</v>
      </c>
      <c r="P61" s="129"/>
      <c r="Q61" s="209">
        <f t="shared" si="17"/>
        <v>0</v>
      </c>
      <c r="R61" s="151" t="s">
        <v>187</v>
      </c>
      <c r="S61" s="129" t="s">
        <v>193</v>
      </c>
      <c r="T61" s="308">
        <f t="shared" si="20"/>
        <v>0</v>
      </c>
      <c r="U61" s="265">
        <f t="shared" si="18"/>
        <v>0</v>
      </c>
      <c r="V61" s="265" t="str">
        <f t="shared" si="19"/>
        <v/>
      </c>
      <c r="W61" s="296"/>
    </row>
    <row r="62" spans="1:32" ht="15" customHeight="1">
      <c r="B62" s="224" t="s">
        <v>205</v>
      </c>
      <c r="C62" s="148" t="s">
        <v>206</v>
      </c>
      <c r="D62" s="149" t="s">
        <v>330</v>
      </c>
      <c r="E62" s="164" t="e">
        <f ca="1">E54-E55-(E56*E57+E58*E59)*L3</f>
        <v>#N/A</v>
      </c>
      <c r="F62" s="150" t="s">
        <v>186</v>
      </c>
      <c r="G62" s="495"/>
      <c r="H62" s="496"/>
      <c r="I62" s="496"/>
      <c r="J62" s="496"/>
      <c r="K62" s="496"/>
      <c r="L62" s="496"/>
      <c r="M62" s="496"/>
      <c r="N62" s="496"/>
      <c r="O62" s="496"/>
      <c r="P62" s="497"/>
      <c r="Q62" s="210" t="e">
        <f ca="1">SQRT(SUMSQ(Q54:Q61))</f>
        <v>#N/A</v>
      </c>
      <c r="R62" s="151" t="s">
        <v>187</v>
      </c>
      <c r="S62" s="217" t="e">
        <f ca="1">IF(T62=0,"∞",ROUNDDOWN(Q62^4/T62,0))</f>
        <v>#N/A</v>
      </c>
      <c r="T62" s="310" t="e">
        <f ca="1">SUM(T54:T61)</f>
        <v>#N/A</v>
      </c>
      <c r="U62" s="278" t="e">
        <f ca="1">SQRT(SUMSQ(U54:U61))</f>
        <v>#N/A</v>
      </c>
      <c r="V62" s="278" t="e">
        <f ca="1">SQRT(SUMSQ(V54:V61))</f>
        <v>#N/A</v>
      </c>
      <c r="W62" s="298"/>
      <c r="X62" s="298"/>
      <c r="Y62" s="298"/>
    </row>
    <row r="63" spans="1:32" ht="15" customHeight="1">
      <c r="T63" s="131"/>
      <c r="U63" s="131"/>
    </row>
    <row r="64" spans="1:32" ht="15" customHeight="1">
      <c r="B64" s="163"/>
      <c r="C64" s="493" t="s">
        <v>208</v>
      </c>
      <c r="D64" s="498"/>
      <c r="E64" s="498"/>
      <c r="F64" s="498"/>
      <c r="G64" s="494"/>
      <c r="H64" s="224" t="s">
        <v>209</v>
      </c>
      <c r="I64" s="224" t="s">
        <v>76</v>
      </c>
      <c r="J64" s="493" t="s">
        <v>211</v>
      </c>
      <c r="K64" s="498"/>
      <c r="L64" s="498"/>
      <c r="M64" s="494"/>
      <c r="N64" s="305" t="s">
        <v>477</v>
      </c>
      <c r="O64" s="493" t="s">
        <v>212</v>
      </c>
      <c r="P64" s="498"/>
      <c r="Q64" s="494"/>
      <c r="R64" s="508" t="s">
        <v>480</v>
      </c>
      <c r="S64" s="493" t="s">
        <v>517</v>
      </c>
      <c r="T64" s="494"/>
      <c r="U64" s="127"/>
    </row>
    <row r="65" spans="2:31" ht="15" customHeight="1">
      <c r="B65" s="163"/>
      <c r="C65" s="163">
        <v>1</v>
      </c>
      <c r="D65" s="163">
        <v>2</v>
      </c>
      <c r="E65" s="163" t="s">
        <v>214</v>
      </c>
      <c r="F65" s="163" t="s">
        <v>128</v>
      </c>
      <c r="G65" s="163" t="s">
        <v>216</v>
      </c>
      <c r="H65" s="163" t="s">
        <v>217</v>
      </c>
      <c r="I65" s="163" t="s">
        <v>218</v>
      </c>
      <c r="J65" s="305" t="s">
        <v>481</v>
      </c>
      <c r="K65" s="305" t="s">
        <v>478</v>
      </c>
      <c r="L65" s="305" t="s">
        <v>76</v>
      </c>
      <c r="M65" s="305" t="s">
        <v>479</v>
      </c>
      <c r="N65" s="306"/>
      <c r="O65" s="305" t="s">
        <v>219</v>
      </c>
      <c r="P65" s="305" t="s">
        <v>478</v>
      </c>
      <c r="Q65" s="305" t="s">
        <v>482</v>
      </c>
      <c r="R65" s="512"/>
      <c r="S65" s="317" t="s">
        <v>518</v>
      </c>
      <c r="T65" s="317" t="s">
        <v>519</v>
      </c>
      <c r="U65" s="127"/>
    </row>
    <row r="66" spans="2:31" ht="15" customHeight="1">
      <c r="B66" s="163" t="s">
        <v>208</v>
      </c>
      <c r="C66" s="142" t="e">
        <f ca="1">E77*Q62</f>
        <v>#N/A</v>
      </c>
      <c r="D66" s="142"/>
      <c r="E66" s="142"/>
      <c r="F66" s="144" t="str">
        <f>R62</f>
        <v>μm</v>
      </c>
      <c r="G66" s="168" t="e">
        <f ca="1">C66/1000</f>
        <v>#N/A</v>
      </c>
      <c r="H66" s="168" t="e">
        <f ca="1">MAX(G66:G67)</f>
        <v>#N/A</v>
      </c>
      <c r="I66" s="198">
        <f>O3</f>
        <v>0</v>
      </c>
      <c r="J66" s="141" t="e">
        <f ca="1">IF(H66&lt;0.00001,6,IF(H66&lt;0.0001,5,IF(H66&lt;0.001,4,IF(H66&lt;0.01,3,IF(H66&lt;0.1,2,IF(H66&lt;1,1,IF(H66&lt;10,0,IF(H66&lt;100,-1,-2))))))))+K67</f>
        <v>#N/A</v>
      </c>
      <c r="K66" s="141" t="e">
        <f ca="1">J66+IF(AND(H65="μm",I65="mm"),3,0)</f>
        <v>#N/A</v>
      </c>
      <c r="L66" s="299">
        <f>IFERROR(LEN(I66)-FIND(".",I66),0)</f>
        <v>0</v>
      </c>
      <c r="M66" s="308" t="e">
        <f ca="1">IF(M67=TRUE,MIN(K66:L66),K66)</f>
        <v>#N/A</v>
      </c>
      <c r="N66" s="198" t="e">
        <f ca="1">ABS((H66-ROUND(H66,M66))/H66*100)</f>
        <v>#N/A</v>
      </c>
      <c r="O66" s="299" t="e">
        <f ca="1">OFFSET(P70,MATCH(J66,O71:O80,0),0)</f>
        <v>#N/A</v>
      </c>
      <c r="P66" s="299" t="e">
        <f ca="1">OFFSET(P70,MATCH(M66,O71:O80,0),0)</f>
        <v>#N/A</v>
      </c>
      <c r="Q66" s="299" t="str">
        <f ca="1">OFFSET(P70,MATCH(L66,O71:O80,0),0)</f>
        <v>0</v>
      </c>
      <c r="R66" s="145" t="e">
        <f ca="1">IF(H66=G66,0,1)</f>
        <v>#N/A</v>
      </c>
      <c r="S66" s="170" t="e">
        <f ca="1">TEXT(IF(N66&gt;5,ROUNDUP(H66,M66),ROUND(H66,M66)),P66)</f>
        <v>#N/A</v>
      </c>
      <c r="T66" s="170" t="e">
        <f ca="1">S66&amp;" "&amp;H65</f>
        <v>#N/A</v>
      </c>
      <c r="U66" s="127"/>
    </row>
    <row r="67" spans="2:31" ht="15" customHeight="1">
      <c r="B67" s="163" t="s">
        <v>63</v>
      </c>
      <c r="C67" s="143" t="e">
        <f ca="1">$P$3</f>
        <v>#N/A</v>
      </c>
      <c r="D67" s="144" t="e">
        <f ca="1">$Q$3</f>
        <v>#N/A</v>
      </c>
      <c r="E67" s="144">
        <f>L3</f>
        <v>0</v>
      </c>
      <c r="F67" s="144" t="e">
        <f ca="1">$R$3</f>
        <v>#N/A</v>
      </c>
      <c r="G67" s="169" t="e">
        <f ca="1">SQRT(SUMSQ(C67,D67*E67))/1000</f>
        <v>#N/A</v>
      </c>
      <c r="J67" s="300" t="s">
        <v>467</v>
      </c>
      <c r="K67" s="299">
        <f>IF(O67=TRUE,1,기본정보!$A$47)</f>
        <v>1</v>
      </c>
      <c r="L67" s="300" t="s">
        <v>468</v>
      </c>
      <c r="M67" s="299" t="b">
        <f>IF(O67=TRUE,FALSE,기본정보!$A$52)</f>
        <v>0</v>
      </c>
      <c r="N67" s="300" t="s">
        <v>469</v>
      </c>
      <c r="O67" s="299" t="b">
        <f>기본정보!$A$46=0</f>
        <v>1</v>
      </c>
      <c r="P67" s="131"/>
      <c r="Q67" s="127"/>
      <c r="R67" s="127"/>
      <c r="S67" s="127"/>
      <c r="T67" s="127"/>
      <c r="U67" s="127"/>
    </row>
    <row r="68" spans="2:31" ht="15" customHeight="1">
      <c r="B68" s="128"/>
      <c r="C68" s="128"/>
      <c r="D68" s="128"/>
      <c r="O68" s="131"/>
      <c r="P68" s="131"/>
      <c r="Q68" s="127"/>
      <c r="R68" s="127"/>
      <c r="S68" s="127"/>
      <c r="T68" s="127"/>
      <c r="U68" s="127"/>
    </row>
    <row r="69" spans="2:31" ht="15" customHeight="1">
      <c r="B69" s="268" t="s">
        <v>207</v>
      </c>
      <c r="C69" s="296"/>
      <c r="D69" s="296"/>
      <c r="E69" s="296"/>
      <c r="F69" s="296"/>
      <c r="G69" s="296"/>
      <c r="H69" s="296"/>
      <c r="I69" s="148" t="s">
        <v>53</v>
      </c>
      <c r="J69" s="148" t="s">
        <v>213</v>
      </c>
      <c r="K69" s="267"/>
      <c r="L69" s="297"/>
      <c r="M69" s="297"/>
      <c r="N69" s="297"/>
      <c r="O69" s="288" t="s">
        <v>222</v>
      </c>
      <c r="P69" s="288" t="s">
        <v>221</v>
      </c>
      <c r="R69" s="225" t="s">
        <v>362</v>
      </c>
      <c r="S69" s="286"/>
      <c r="T69" s="225" t="s">
        <v>366</v>
      </c>
      <c r="U69" s="286"/>
      <c r="V69" s="128"/>
      <c r="W69" s="128"/>
      <c r="X69" s="128"/>
      <c r="Y69" s="128"/>
      <c r="Z69" s="131"/>
      <c r="AA69" s="131"/>
    </row>
    <row r="70" spans="2:31" ht="15" customHeight="1">
      <c r="B70" s="510" t="s">
        <v>472</v>
      </c>
      <c r="C70" s="511"/>
      <c r="D70" s="508" t="s">
        <v>493</v>
      </c>
      <c r="E70" s="315" t="s">
        <v>202</v>
      </c>
      <c r="F70" s="315" t="s">
        <v>494</v>
      </c>
      <c r="G70" s="315" t="s">
        <v>495</v>
      </c>
      <c r="H70" s="296"/>
      <c r="I70" s="148"/>
      <c r="J70" s="148">
        <v>95.45</v>
      </c>
      <c r="K70" s="267"/>
      <c r="L70" s="297"/>
      <c r="M70" s="297"/>
      <c r="N70" s="297"/>
      <c r="O70" s="290" t="s">
        <v>224</v>
      </c>
      <c r="P70" s="290" t="s">
        <v>223</v>
      </c>
      <c r="R70" s="225" t="s">
        <v>363</v>
      </c>
      <c r="S70" s="286"/>
      <c r="T70" s="225" t="s">
        <v>367</v>
      </c>
      <c r="U70" s="286"/>
      <c r="V70" s="128"/>
      <c r="W70" s="128"/>
      <c r="X70" s="128"/>
      <c r="Y70" s="128"/>
      <c r="Z70" s="131"/>
      <c r="AA70" s="131"/>
    </row>
    <row r="71" spans="2:31" ht="15" customHeight="1">
      <c r="B71" s="306" t="s">
        <v>473</v>
      </c>
      <c r="C71" s="307" t="s">
        <v>474</v>
      </c>
      <c r="D71" s="513"/>
      <c r="E71" s="316" t="e">
        <f ca="1">U62</f>
        <v>#N/A</v>
      </c>
      <c r="F71" s="316" t="e">
        <f ca="1">V62</f>
        <v>#N/A</v>
      </c>
      <c r="G71" s="273" t="e">
        <f ca="1">V62/U62</f>
        <v>#N/A</v>
      </c>
      <c r="H71" s="296"/>
      <c r="I71" s="129">
        <v>1</v>
      </c>
      <c r="J71" s="129">
        <v>13.97</v>
      </c>
      <c r="K71" s="267"/>
      <c r="L71" s="297"/>
      <c r="M71" s="297"/>
      <c r="N71" s="297"/>
      <c r="O71" s="139">
        <v>0</v>
      </c>
      <c r="P71" s="140" t="s">
        <v>225</v>
      </c>
      <c r="R71" s="225" t="s">
        <v>364</v>
      </c>
      <c r="S71" s="286"/>
      <c r="T71" s="225" t="s">
        <v>368</v>
      </c>
      <c r="U71" s="286"/>
      <c r="V71" s="128"/>
      <c r="W71" s="128"/>
      <c r="X71" s="128"/>
      <c r="Y71" s="128"/>
      <c r="Z71" s="131"/>
      <c r="AA71" s="131"/>
    </row>
    <row r="72" spans="2:31" ht="15" customHeight="1">
      <c r="B72" s="299">
        <v>1</v>
      </c>
      <c r="C72" s="265">
        <f ca="1">IFERROR(LARGE(U54:U61,B72),0)</f>
        <v>0</v>
      </c>
      <c r="D72" s="315" t="s">
        <v>496</v>
      </c>
      <c r="E72" s="505" t="e">
        <f ca="1">SQRT(SUMSQ(C74:C79,V54:V61))</f>
        <v>#N/A</v>
      </c>
      <c r="F72" s="505"/>
      <c r="G72" s="506" t="e">
        <f ca="1">E72/SQRT(SUMSQ(E73,F73))</f>
        <v>#N/A</v>
      </c>
      <c r="H72" s="296"/>
      <c r="I72" s="129">
        <v>2</v>
      </c>
      <c r="J72" s="129">
        <v>4.53</v>
      </c>
      <c r="K72" s="267"/>
      <c r="L72" s="297"/>
      <c r="M72" s="297"/>
      <c r="N72" s="297"/>
      <c r="O72" s="139">
        <v>1</v>
      </c>
      <c r="P72" s="140" t="s">
        <v>226</v>
      </c>
      <c r="R72" s="225" t="s">
        <v>365</v>
      </c>
      <c r="S72" s="286"/>
      <c r="T72" s="225" t="s">
        <v>369</v>
      </c>
      <c r="U72" s="286"/>
      <c r="V72" s="267"/>
      <c r="W72" s="267"/>
      <c r="X72" s="128"/>
      <c r="Y72" s="128"/>
      <c r="Z72" s="131"/>
      <c r="AA72" s="131"/>
    </row>
    <row r="73" spans="2:31" ht="15" customHeight="1">
      <c r="B73" s="299">
        <v>2</v>
      </c>
      <c r="C73" s="265">
        <f ca="1">IFERROR(LARGE(U54:U61,B73),0)</f>
        <v>0</v>
      </c>
      <c r="D73" s="315" t="s">
        <v>497</v>
      </c>
      <c r="E73" s="304">
        <f ca="1">C72</f>
        <v>0</v>
      </c>
      <c r="F73" s="304">
        <f ca="1">C73</f>
        <v>0</v>
      </c>
      <c r="G73" s="507"/>
      <c r="H73" s="296"/>
      <c r="I73" s="129">
        <v>3</v>
      </c>
      <c r="J73" s="129">
        <v>3.31</v>
      </c>
      <c r="K73" s="267"/>
      <c r="L73" s="297"/>
      <c r="M73" s="297"/>
      <c r="N73" s="297"/>
      <c r="O73" s="139">
        <v>2</v>
      </c>
      <c r="P73" s="140" t="s">
        <v>227</v>
      </c>
      <c r="U73" s="267"/>
      <c r="V73" s="267"/>
      <c r="W73" s="267"/>
      <c r="X73" s="128"/>
      <c r="Y73" s="128"/>
      <c r="Z73" s="131"/>
      <c r="AA73" s="131"/>
    </row>
    <row r="74" spans="2:31" ht="15" customHeight="1">
      <c r="B74" s="299">
        <v>3</v>
      </c>
      <c r="C74" s="309">
        <f ca="1">IFERROR(LARGE(U54:U61,B74),0)</f>
        <v>0</v>
      </c>
      <c r="D74" s="514" t="s">
        <v>498</v>
      </c>
      <c r="E74" s="272" t="s">
        <v>499</v>
      </c>
      <c r="F74" s="272" t="s">
        <v>500</v>
      </c>
      <c r="G74" s="272" t="s">
        <v>501</v>
      </c>
      <c r="H74" s="296"/>
      <c r="I74" s="129">
        <v>4</v>
      </c>
      <c r="J74" s="129">
        <v>2.87</v>
      </c>
      <c r="K74" s="267"/>
      <c r="L74" s="297"/>
      <c r="M74" s="297"/>
      <c r="N74" s="297"/>
      <c r="O74" s="139">
        <v>3</v>
      </c>
      <c r="P74" s="140" t="s">
        <v>228</v>
      </c>
      <c r="U74" s="267"/>
      <c r="V74" s="267"/>
      <c r="W74" s="267"/>
      <c r="X74" s="128"/>
      <c r="Y74" s="128"/>
      <c r="Z74" s="131"/>
      <c r="AA74" s="128"/>
    </row>
    <row r="75" spans="2:31" ht="15" customHeight="1">
      <c r="B75" s="299">
        <v>4</v>
      </c>
      <c r="C75" s="309">
        <f ca="1">IFERROR(LARGE(U54:U61,B75),0)</f>
        <v>0</v>
      </c>
      <c r="D75" s="514"/>
      <c r="E75" s="299">
        <f ca="1">OFFSET(G53,MATCH(E73,U54:U61,0),0)/IF(OFFSET(H53,MATCH(E73,U54:U61,0),0)="",1,OFFSET(H53,MATCH(E73,U54:U61,0),0))</f>
        <v>0</v>
      </c>
      <c r="F75" s="299">
        <f ca="1">OFFSET(G53,MATCH(F73,U54:U61,0),0)/IF(OFFSET(H53,MATCH(F73,U54:U61,0),0)="",1,OFFSET(H53,MATCH(F73,U54:U61,0),0))</f>
        <v>0</v>
      </c>
      <c r="G75" s="287" t="e">
        <f ca="1">ABS(E75-F75)/(E75+F75)</f>
        <v>#DIV/0!</v>
      </c>
      <c r="H75" s="296"/>
      <c r="I75" s="129">
        <v>5</v>
      </c>
      <c r="J75" s="129">
        <v>2.65</v>
      </c>
      <c r="K75" s="267"/>
      <c r="L75" s="297"/>
      <c r="M75" s="297"/>
      <c r="N75" s="297"/>
      <c r="O75" s="139">
        <v>4</v>
      </c>
      <c r="P75" s="140" t="s">
        <v>229</v>
      </c>
      <c r="V75" s="128"/>
      <c r="W75" s="128"/>
      <c r="X75" s="128"/>
      <c r="Y75" s="128"/>
      <c r="Z75" s="128"/>
      <c r="AA75" s="128"/>
    </row>
    <row r="76" spans="2:31" ht="15" customHeight="1">
      <c r="B76" s="299">
        <v>5</v>
      </c>
      <c r="C76" s="309">
        <f ca="1">IFERROR(LARGE(U54:U61,B76),0)</f>
        <v>0</v>
      </c>
      <c r="D76" s="315" t="s">
        <v>502</v>
      </c>
      <c r="E76" s="271" t="e">
        <f ca="1">IF(AND(G71&lt;0.3,G72&lt;0.3),"사다리꼴","정규")</f>
        <v>#N/A</v>
      </c>
      <c r="H76" s="296"/>
      <c r="I76" s="129">
        <v>6</v>
      </c>
      <c r="J76" s="129">
        <v>2.52</v>
      </c>
      <c r="K76" s="267"/>
      <c r="L76" s="297"/>
      <c r="M76" s="297"/>
      <c r="N76" s="297"/>
      <c r="O76" s="139">
        <v>5</v>
      </c>
      <c r="P76" s="140" t="s">
        <v>230</v>
      </c>
      <c r="V76" s="128"/>
      <c r="W76" s="128"/>
      <c r="X76" s="128"/>
      <c r="Y76" s="128"/>
      <c r="Z76" s="128"/>
      <c r="AA76" s="128"/>
    </row>
    <row r="77" spans="2:31" ht="15" customHeight="1">
      <c r="B77" s="299">
        <v>6</v>
      </c>
      <c r="C77" s="309">
        <f ca="1">IFERROR(LARGE(U54:U61,B77),0)</f>
        <v>0</v>
      </c>
      <c r="D77" s="315" t="s">
        <v>89</v>
      </c>
      <c r="E77" s="266" t="e">
        <f ca="1">IF(E76="정규",IF(OR(S62="∞",S62&gt;=10),2,OFFSET(J70,MATCH(S62,I71:I80,0),0)),ROUND((1-SQRT((1-0.95)*(1-G75^2)))/SQRT((1+G75^2)/6),2))</f>
        <v>#N/A</v>
      </c>
      <c r="H77" s="296"/>
      <c r="I77" s="129">
        <v>7</v>
      </c>
      <c r="J77" s="129">
        <v>2.4300000000000002</v>
      </c>
      <c r="K77" s="267"/>
      <c r="L77" s="297"/>
      <c r="M77" s="297"/>
      <c r="N77" s="297"/>
      <c r="O77" s="139">
        <v>6</v>
      </c>
      <c r="P77" s="140" t="s">
        <v>231</v>
      </c>
      <c r="V77" s="128"/>
      <c r="W77" s="128"/>
      <c r="X77" s="128"/>
      <c r="Y77" s="128"/>
      <c r="Z77" s="128"/>
      <c r="AA77" s="128"/>
    </row>
    <row r="78" spans="2:31" ht="15" customHeight="1">
      <c r="B78" s="299">
        <v>7</v>
      </c>
      <c r="C78" s="309">
        <f ca="1">IFERROR(LARGE(U54:U61,B78),0)</f>
        <v>0</v>
      </c>
      <c r="D78" s="300" t="s">
        <v>470</v>
      </c>
      <c r="E78" s="292" t="e">
        <f ca="1">IF(E76="사다리꼴","(신뢰수준 95 %,","(신뢰수준 약 95 %,")</f>
        <v>#N/A</v>
      </c>
      <c r="F78" s="292" t="e">
        <f ca="1">E77&amp;IF(E76="사다리꼴"," "&amp;E76&amp;" 확률분포)",")")</f>
        <v>#N/A</v>
      </c>
      <c r="G78" s="296"/>
      <c r="H78" s="296"/>
      <c r="I78" s="129">
        <v>8</v>
      </c>
      <c r="J78" s="129">
        <v>2.37</v>
      </c>
      <c r="K78" s="267"/>
      <c r="L78" s="297"/>
      <c r="M78" s="297"/>
      <c r="N78" s="297"/>
      <c r="O78" s="139">
        <v>7</v>
      </c>
      <c r="P78" s="140" t="s">
        <v>232</v>
      </c>
      <c r="V78" s="128"/>
      <c r="W78" s="128"/>
      <c r="X78" s="128"/>
      <c r="Y78" s="128"/>
      <c r="Z78" s="128"/>
      <c r="AA78" s="128"/>
    </row>
    <row r="79" spans="2:31" ht="15" customHeight="1">
      <c r="B79" s="299">
        <v>8</v>
      </c>
      <c r="C79" s="309">
        <f ca="1">IFERROR(LARGE(U54:U61,B79),0)</f>
        <v>0</v>
      </c>
      <c r="D79" s="296"/>
      <c r="E79" s="296"/>
      <c r="F79" s="296"/>
      <c r="G79" s="296"/>
      <c r="H79" s="296"/>
      <c r="I79" s="129">
        <v>9</v>
      </c>
      <c r="J79" s="129">
        <v>2.3199999999999998</v>
      </c>
      <c r="K79" s="267"/>
      <c r="L79" s="297"/>
      <c r="M79" s="297"/>
      <c r="N79" s="297"/>
      <c r="O79" s="139">
        <v>8</v>
      </c>
      <c r="P79" s="140" t="s">
        <v>233</v>
      </c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</row>
    <row r="80" spans="2:31" ht="15" customHeight="1">
      <c r="B80" s="296"/>
      <c r="C80" s="296"/>
      <c r="D80" s="296"/>
      <c r="E80" s="296"/>
      <c r="F80" s="296"/>
      <c r="G80" s="296"/>
      <c r="H80" s="296"/>
      <c r="I80" s="129" t="s">
        <v>54</v>
      </c>
      <c r="J80" s="129">
        <v>2</v>
      </c>
      <c r="K80" s="267"/>
      <c r="L80" s="297"/>
      <c r="M80" s="297"/>
      <c r="N80" s="297"/>
      <c r="O80" s="139">
        <v>9</v>
      </c>
      <c r="P80" s="140" t="s">
        <v>234</v>
      </c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</row>
    <row r="81" spans="2:28" ht="15" customHeight="1">
      <c r="B81" s="296"/>
      <c r="C81" s="296"/>
      <c r="D81" s="296"/>
      <c r="E81" s="296"/>
      <c r="F81" s="296"/>
      <c r="G81" s="296"/>
      <c r="H81" s="296"/>
      <c r="I81" s="267"/>
      <c r="J81" s="267"/>
      <c r="K81" s="267"/>
      <c r="P81" s="126"/>
      <c r="Q81" s="127"/>
      <c r="V81" s="128"/>
      <c r="W81" s="128"/>
      <c r="X81" s="128"/>
      <c r="Y81" s="128"/>
      <c r="Z81" s="128"/>
      <c r="AA81" s="128"/>
      <c r="AB81" s="128"/>
    </row>
    <row r="82" spans="2:28" ht="18" customHeight="1">
      <c r="B82" s="128"/>
      <c r="C82" s="128"/>
      <c r="D82" s="195"/>
      <c r="E82" s="131"/>
      <c r="F82" s="131"/>
      <c r="K82" s="127"/>
      <c r="L82" s="127"/>
      <c r="M82" s="127"/>
      <c r="V82" s="128"/>
      <c r="W82" s="128"/>
    </row>
    <row r="83" spans="2:28" ht="18" customHeight="1">
      <c r="B83" s="128"/>
      <c r="C83" s="128"/>
      <c r="D83" s="128"/>
      <c r="E83" s="131"/>
      <c r="F83" s="131"/>
      <c r="K83" s="127"/>
      <c r="L83" s="127"/>
      <c r="M83" s="127"/>
      <c r="V83" s="128"/>
      <c r="W83" s="128"/>
    </row>
    <row r="84" spans="2:28" ht="18" customHeight="1">
      <c r="B84" s="128"/>
      <c r="C84" s="128"/>
      <c r="D84" s="128"/>
      <c r="P84" s="127"/>
      <c r="Q84" s="127"/>
      <c r="R84" s="127"/>
    </row>
  </sheetData>
  <mergeCells count="34">
    <mergeCell ref="D74:D75"/>
    <mergeCell ref="U52:V52"/>
    <mergeCell ref="V6:W6"/>
    <mergeCell ref="Y6:Z6"/>
    <mergeCell ref="AA6:AF6"/>
    <mergeCell ref="G52:K52"/>
    <mergeCell ref="M52:P52"/>
    <mergeCell ref="N6:P6"/>
    <mergeCell ref="E72:F72"/>
    <mergeCell ref="G72:G73"/>
    <mergeCell ref="C64:G64"/>
    <mergeCell ref="Q52:R52"/>
    <mergeCell ref="J53:K53"/>
    <mergeCell ref="M53:N53"/>
    <mergeCell ref="O53:P53"/>
    <mergeCell ref="Q53:R53"/>
    <mergeCell ref="B6:B8"/>
    <mergeCell ref="C6:C8"/>
    <mergeCell ref="D6:D8"/>
    <mergeCell ref="E6:J6"/>
    <mergeCell ref="K6:K7"/>
    <mergeCell ref="G62:P62"/>
    <mergeCell ref="T52:T53"/>
    <mergeCell ref="B70:C70"/>
    <mergeCell ref="J64:M64"/>
    <mergeCell ref="O64:Q64"/>
    <mergeCell ref="R64:R65"/>
    <mergeCell ref="D70:D71"/>
    <mergeCell ref="B52:B53"/>
    <mergeCell ref="C52:C53"/>
    <mergeCell ref="D52:D53"/>
    <mergeCell ref="E52:E53"/>
    <mergeCell ref="F52:F53"/>
    <mergeCell ref="S64:T64"/>
  </mergeCells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7" bestFit="1" customWidth="1"/>
    <col min="2" max="2" width="6.6640625" style="97" bestFit="1" customWidth="1"/>
    <col min="3" max="3" width="8.88671875" style="97"/>
    <col min="4" max="4" width="6.6640625" style="97" bestFit="1" customWidth="1"/>
    <col min="5" max="13" width="1.77734375" style="97" customWidth="1"/>
    <col min="14" max="15" width="6" style="97" bestFit="1" customWidth="1"/>
    <col min="16" max="16" width="7.5546875" style="97" bestFit="1" customWidth="1"/>
    <col min="17" max="17" width="4" style="97" bestFit="1" customWidth="1"/>
    <col min="18" max="18" width="5.33203125" style="97" bestFit="1" customWidth="1"/>
    <col min="19" max="19" width="4" style="97" bestFit="1" customWidth="1"/>
    <col min="20" max="21" width="6.5546875" style="97" bestFit="1" customWidth="1"/>
    <col min="22" max="22" width="8.44140625" style="97" bestFit="1" customWidth="1"/>
    <col min="23" max="23" width="6.6640625" style="97" bestFit="1" customWidth="1"/>
    <col min="24" max="24" width="5.33203125" style="97" bestFit="1" customWidth="1"/>
    <col min="25" max="25" width="8.33203125" style="97" bestFit="1" customWidth="1"/>
    <col min="26" max="27" width="4" style="97" bestFit="1" customWidth="1"/>
    <col min="28" max="34" width="1.77734375" style="97" customWidth="1"/>
    <col min="35" max="35" width="7.5546875" style="97" bestFit="1" customWidth="1"/>
    <col min="36" max="16384" width="8.88671875" style="97"/>
  </cols>
  <sheetData>
    <row r="1" spans="1:36">
      <c r="A1" s="123" t="s">
        <v>120</v>
      </c>
      <c r="B1" s="123" t="s">
        <v>66</v>
      </c>
      <c r="C1" s="123" t="s">
        <v>67</v>
      </c>
      <c r="D1" s="123" t="s">
        <v>121</v>
      </c>
      <c r="E1" s="123"/>
      <c r="F1" s="123"/>
      <c r="G1" s="123"/>
      <c r="H1" s="123"/>
      <c r="I1" s="123"/>
      <c r="J1" s="123"/>
      <c r="K1" s="123"/>
      <c r="L1" s="123"/>
      <c r="M1" s="123"/>
      <c r="N1" s="123" t="s">
        <v>122</v>
      </c>
      <c r="O1" s="123" t="s">
        <v>123</v>
      </c>
      <c r="P1" s="123" t="s">
        <v>68</v>
      </c>
      <c r="Q1" s="123" t="s">
        <v>124</v>
      </c>
      <c r="R1" s="123" t="s">
        <v>70</v>
      </c>
      <c r="S1" s="123" t="s">
        <v>69</v>
      </c>
      <c r="T1" s="123" t="s">
        <v>71</v>
      </c>
      <c r="U1" s="123" t="s">
        <v>125</v>
      </c>
      <c r="V1" s="123" t="s">
        <v>72</v>
      </c>
      <c r="W1" s="123" t="s">
        <v>73</v>
      </c>
      <c r="X1" s="123" t="s">
        <v>126</v>
      </c>
      <c r="Y1" s="123" t="s">
        <v>127</v>
      </c>
      <c r="Z1" s="123" t="s">
        <v>128</v>
      </c>
      <c r="AA1" s="123" t="s">
        <v>129</v>
      </c>
      <c r="AB1" s="123"/>
      <c r="AC1" s="123"/>
      <c r="AD1" s="123"/>
      <c r="AE1" s="123"/>
      <c r="AF1" s="123"/>
      <c r="AG1" s="123"/>
      <c r="AH1" s="123"/>
      <c r="AI1" s="123" t="s">
        <v>130</v>
      </c>
      <c r="AJ1" s="201" t="s">
        <v>336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89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24" s="12" customFormat="1" ht="33" customHeight="1">
      <c r="A1" s="15" t="s">
        <v>114</v>
      </c>
    </row>
    <row r="2" spans="1:24" s="12" customFormat="1" ht="17.100000000000001" customHeight="1">
      <c r="A2" s="17" t="s">
        <v>43</v>
      </c>
      <c r="D2" s="98" t="s">
        <v>63</v>
      </c>
      <c r="G2" s="98" t="s">
        <v>75</v>
      </c>
      <c r="K2" s="17" t="s">
        <v>44</v>
      </c>
      <c r="N2" s="17" t="s">
        <v>45</v>
      </c>
      <c r="T2" s="17" t="s">
        <v>458</v>
      </c>
    </row>
    <row r="3" spans="1:24" s="12" customFormat="1" ht="13.5">
      <c r="A3" s="14" t="s">
        <v>115</v>
      </c>
      <c r="B3" s="14" t="s">
        <v>60</v>
      </c>
      <c r="C3" s="14" t="s">
        <v>391</v>
      </c>
      <c r="D3" s="14" t="s">
        <v>55</v>
      </c>
      <c r="E3" s="14" t="s">
        <v>56</v>
      </c>
      <c r="F3" s="14" t="s">
        <v>51</v>
      </c>
      <c r="G3" s="13" t="s">
        <v>46</v>
      </c>
      <c r="H3" s="14" t="s">
        <v>62</v>
      </c>
      <c r="I3" s="14" t="s">
        <v>76</v>
      </c>
      <c r="J3" s="14" t="s">
        <v>47</v>
      </c>
      <c r="K3" s="14" t="s">
        <v>48</v>
      </c>
      <c r="L3" s="41" t="s">
        <v>49</v>
      </c>
      <c r="M3" s="41" t="s">
        <v>50</v>
      </c>
      <c r="N3" s="41" t="s">
        <v>64</v>
      </c>
      <c r="O3" s="41" t="s">
        <v>65</v>
      </c>
      <c r="P3" s="119" t="s">
        <v>116</v>
      </c>
      <c r="Q3" s="119" t="s">
        <v>117</v>
      </c>
      <c r="R3" s="41" t="s">
        <v>118</v>
      </c>
      <c r="T3" s="41" t="s">
        <v>64</v>
      </c>
      <c r="U3" s="41" t="s">
        <v>65</v>
      </c>
      <c r="V3" s="119" t="s">
        <v>116</v>
      </c>
      <c r="W3" s="119" t="s">
        <v>117</v>
      </c>
      <c r="X3" s="41" t="s">
        <v>118</v>
      </c>
    </row>
    <row r="4" spans="1:24" s="12" customFormat="1" ht="17.100000000000001" customHeight="1">
      <c r="A4" s="118"/>
      <c r="B4" s="23"/>
      <c r="C4" s="241"/>
      <c r="D4" s="23"/>
      <c r="E4" s="55"/>
      <c r="F4" s="42"/>
      <c r="G4" s="23"/>
      <c r="H4" s="23"/>
      <c r="I4" s="99"/>
      <c r="J4" s="42"/>
      <c r="K4" s="23"/>
      <c r="L4" s="23"/>
      <c r="M4" s="23"/>
      <c r="N4" s="23"/>
      <c r="O4" s="23"/>
      <c r="P4" s="120"/>
      <c r="Q4" s="120"/>
      <c r="R4" s="23"/>
      <c r="T4" s="23"/>
      <c r="U4" s="23"/>
      <c r="V4" s="120"/>
      <c r="W4" s="120"/>
      <c r="X4" s="23"/>
    </row>
    <row r="5" spans="1:24" s="12" customFormat="1" ht="17.100000000000001" customHeight="1">
      <c r="A5" s="118"/>
      <c r="B5" s="23"/>
      <c r="C5" s="241"/>
      <c r="D5" s="23"/>
      <c r="E5" s="55"/>
      <c r="F5" s="42"/>
      <c r="G5" s="23"/>
      <c r="H5" s="23"/>
      <c r="I5" s="99"/>
      <c r="J5" s="42"/>
      <c r="K5" s="23"/>
      <c r="L5" s="24"/>
      <c r="M5" s="24"/>
      <c r="N5" s="24"/>
      <c r="O5" s="24"/>
      <c r="P5" s="121"/>
      <c r="Q5" s="121"/>
      <c r="R5" s="24"/>
      <c r="T5" s="24"/>
      <c r="U5" s="24"/>
      <c r="V5" s="121"/>
      <c r="W5" s="121"/>
      <c r="X5" s="24"/>
    </row>
    <row r="6" spans="1:24" s="12" customFormat="1" ht="17.100000000000001" customHeight="1">
      <c r="A6" s="118"/>
      <c r="B6" s="23"/>
      <c r="C6" s="241"/>
      <c r="D6" s="23"/>
      <c r="E6" s="55"/>
      <c r="F6" s="42"/>
      <c r="G6" s="23"/>
      <c r="H6" s="23"/>
      <c r="I6" s="99"/>
      <c r="J6" s="42"/>
      <c r="K6" s="23"/>
      <c r="L6" s="24"/>
      <c r="M6" s="24"/>
      <c r="N6" s="24"/>
      <c r="O6" s="24"/>
      <c r="P6" s="121"/>
      <c r="Q6" s="121"/>
      <c r="R6" s="24"/>
      <c r="T6" s="24"/>
      <c r="U6" s="24"/>
      <c r="V6" s="121"/>
      <c r="W6" s="121"/>
      <c r="X6" s="24"/>
    </row>
    <row r="7" spans="1:24" s="12" customFormat="1" ht="17.100000000000001" customHeight="1">
      <c r="A7" s="118"/>
      <c r="B7" s="23"/>
      <c r="C7" s="241"/>
      <c r="D7" s="23"/>
      <c r="E7" s="55"/>
      <c r="F7" s="42"/>
      <c r="G7" s="23"/>
      <c r="H7" s="23"/>
      <c r="I7" s="99"/>
      <c r="J7" s="42"/>
      <c r="K7" s="23"/>
      <c r="L7" s="24"/>
      <c r="M7" s="24"/>
      <c r="N7" s="24"/>
      <c r="O7" s="24"/>
      <c r="P7" s="121"/>
      <c r="Q7" s="121"/>
      <c r="R7" s="24"/>
      <c r="T7" s="24"/>
      <c r="U7" s="24"/>
      <c r="V7" s="121"/>
      <c r="W7" s="121"/>
      <c r="X7" s="24"/>
    </row>
    <row r="8" spans="1:24" s="12" customFormat="1" ht="17.100000000000001" customHeight="1">
      <c r="A8" s="118"/>
      <c r="B8" s="23"/>
      <c r="C8" s="241"/>
      <c r="D8" s="23"/>
      <c r="E8" s="55"/>
      <c r="F8" s="42"/>
      <c r="G8" s="23"/>
      <c r="H8" s="23"/>
      <c r="I8" s="99"/>
      <c r="J8" s="42"/>
      <c r="K8" s="23"/>
      <c r="L8" s="24"/>
      <c r="M8" s="24"/>
      <c r="N8" s="24"/>
      <c r="O8" s="24"/>
      <c r="P8" s="121"/>
      <c r="Q8" s="121"/>
      <c r="R8" s="24"/>
      <c r="T8" s="24"/>
      <c r="U8" s="24"/>
      <c r="V8" s="121"/>
      <c r="W8" s="121"/>
      <c r="X8" s="24"/>
    </row>
    <row r="9" spans="1:24" s="12" customFormat="1" ht="17.100000000000001" customHeight="1">
      <c r="A9" s="118"/>
      <c r="B9" s="23"/>
      <c r="C9" s="241"/>
      <c r="D9" s="23"/>
      <c r="E9" s="55"/>
      <c r="F9" s="42"/>
      <c r="G9" s="23"/>
      <c r="H9" s="23"/>
      <c r="I9" s="99"/>
      <c r="J9" s="42"/>
      <c r="K9" s="23"/>
      <c r="L9" s="24"/>
      <c r="M9" s="24"/>
      <c r="N9" s="24"/>
      <c r="O9" s="24"/>
      <c r="P9" s="121"/>
      <c r="Q9" s="121"/>
      <c r="R9" s="24"/>
      <c r="T9" s="24"/>
      <c r="U9" s="24"/>
      <c r="V9" s="121"/>
      <c r="W9" s="121"/>
      <c r="X9" s="24"/>
    </row>
    <row r="10" spans="1:24" s="12" customFormat="1" ht="17.100000000000001" customHeight="1">
      <c r="A10" s="118"/>
      <c r="B10" s="23"/>
      <c r="C10" s="241"/>
      <c r="D10" s="23"/>
      <c r="E10" s="55"/>
      <c r="F10" s="42"/>
      <c r="G10" s="23"/>
      <c r="H10" s="23"/>
      <c r="I10" s="99"/>
      <c r="J10" s="42"/>
      <c r="K10" s="23"/>
      <c r="L10" s="24"/>
      <c r="M10" s="24"/>
      <c r="N10" s="24"/>
      <c r="O10" s="24"/>
      <c r="P10" s="121"/>
      <c r="Q10" s="121"/>
      <c r="R10" s="24"/>
      <c r="T10" s="24"/>
      <c r="U10" s="24"/>
      <c r="V10" s="121"/>
      <c r="W10" s="121"/>
      <c r="X10" s="24"/>
    </row>
    <row r="11" spans="1:24" s="12" customFormat="1" ht="17.100000000000001" customHeight="1">
      <c r="A11" s="118"/>
      <c r="B11" s="23"/>
      <c r="C11" s="241"/>
      <c r="D11" s="23"/>
      <c r="E11" s="55"/>
      <c r="F11" s="42"/>
      <c r="G11" s="23"/>
      <c r="H11" s="23"/>
      <c r="I11" s="99"/>
      <c r="J11" s="42"/>
      <c r="K11" s="23"/>
      <c r="L11" s="24"/>
      <c r="M11" s="24"/>
      <c r="N11" s="24"/>
      <c r="O11" s="24"/>
      <c r="P11" s="121"/>
      <c r="Q11" s="121"/>
      <c r="R11" s="24"/>
      <c r="T11" s="24"/>
      <c r="U11" s="24"/>
      <c r="V11" s="121"/>
      <c r="W11" s="121"/>
      <c r="X11" s="24"/>
    </row>
    <row r="12" spans="1:24" s="12" customFormat="1" ht="17.100000000000001" customHeight="1">
      <c r="A12" s="118"/>
      <c r="B12" s="23"/>
      <c r="C12" s="241"/>
      <c r="D12" s="23"/>
      <c r="E12" s="55"/>
      <c r="F12" s="42"/>
      <c r="G12" s="23"/>
      <c r="H12" s="23"/>
      <c r="I12" s="99"/>
      <c r="J12" s="42"/>
      <c r="K12" s="23"/>
      <c r="L12" s="24"/>
      <c r="M12" s="24"/>
      <c r="N12" s="24"/>
      <c r="O12" s="24"/>
      <c r="P12" s="121"/>
      <c r="Q12" s="121"/>
      <c r="R12" s="24"/>
      <c r="T12" s="24"/>
      <c r="U12" s="24"/>
      <c r="V12" s="121"/>
      <c r="W12" s="121"/>
      <c r="X12" s="24"/>
    </row>
    <row r="13" spans="1:24" s="12" customFormat="1" ht="17.100000000000001" customHeight="1">
      <c r="A13" s="118"/>
      <c r="B13" s="23"/>
      <c r="C13" s="241"/>
      <c r="D13" s="23"/>
      <c r="E13" s="55"/>
      <c r="F13" s="42"/>
      <c r="G13" s="23"/>
      <c r="H13" s="23"/>
      <c r="I13" s="99"/>
      <c r="J13" s="42"/>
      <c r="K13" s="23"/>
      <c r="L13" s="24"/>
      <c r="M13" s="24"/>
      <c r="N13" s="24"/>
      <c r="O13" s="24"/>
      <c r="P13" s="121"/>
      <c r="Q13" s="121"/>
      <c r="R13" s="24"/>
      <c r="T13" s="24"/>
      <c r="U13" s="24"/>
      <c r="V13" s="121"/>
      <c r="W13" s="121"/>
      <c r="X13" s="24"/>
    </row>
    <row r="14" spans="1:24" s="12" customFormat="1" ht="17.100000000000001" customHeight="1">
      <c r="A14" s="118"/>
      <c r="B14" s="23"/>
      <c r="C14" s="241"/>
      <c r="D14" s="23"/>
      <c r="E14" s="55"/>
      <c r="F14" s="42"/>
      <c r="G14" s="23"/>
      <c r="H14" s="23"/>
      <c r="I14" s="99"/>
      <c r="J14" s="42"/>
      <c r="K14" s="23"/>
      <c r="L14" s="24"/>
      <c r="M14" s="24"/>
      <c r="N14" s="24"/>
      <c r="O14" s="24"/>
      <c r="P14" s="121"/>
      <c r="Q14" s="121"/>
      <c r="R14" s="24"/>
      <c r="T14" s="24"/>
      <c r="U14" s="24"/>
      <c r="V14" s="121"/>
      <c r="W14" s="121"/>
      <c r="X14" s="24"/>
    </row>
    <row r="15" spans="1:24" s="12" customFormat="1" ht="17.100000000000001" customHeight="1">
      <c r="A15" s="118"/>
      <c r="B15" s="23"/>
      <c r="C15" s="241"/>
      <c r="D15" s="23"/>
      <c r="E15" s="55"/>
      <c r="F15" s="42"/>
      <c r="G15" s="23"/>
      <c r="H15" s="23"/>
      <c r="I15" s="99"/>
      <c r="J15" s="42"/>
      <c r="K15" s="24"/>
      <c r="L15" s="24"/>
      <c r="M15" s="24"/>
      <c r="N15" s="24"/>
      <c r="O15" s="24"/>
      <c r="P15" s="121"/>
      <c r="Q15" s="121"/>
      <c r="R15" s="24"/>
      <c r="T15" s="24"/>
      <c r="U15" s="24"/>
      <c r="V15" s="121"/>
      <c r="W15" s="121"/>
      <c r="X15" s="24"/>
    </row>
    <row r="16" spans="1:24" s="12" customFormat="1" ht="17.100000000000001" customHeight="1">
      <c r="A16" s="118"/>
      <c r="B16" s="23"/>
      <c r="C16" s="241"/>
      <c r="D16" s="23"/>
      <c r="E16" s="55"/>
      <c r="F16" s="42"/>
      <c r="G16" s="23"/>
      <c r="H16" s="23"/>
      <c r="I16" s="99"/>
      <c r="J16" s="42"/>
      <c r="K16" s="24"/>
      <c r="L16" s="24"/>
      <c r="M16" s="24"/>
      <c r="N16" s="24"/>
      <c r="O16" s="24"/>
      <c r="P16" s="121"/>
      <c r="Q16" s="121"/>
      <c r="R16" s="24"/>
      <c r="T16" s="24"/>
      <c r="U16" s="24"/>
      <c r="V16" s="121"/>
      <c r="W16" s="121"/>
      <c r="X16" s="24"/>
    </row>
    <row r="17" spans="1:24" s="12" customFormat="1" ht="17.100000000000001" customHeight="1">
      <c r="A17" s="118"/>
      <c r="B17" s="23"/>
      <c r="C17" s="241"/>
      <c r="D17" s="23"/>
      <c r="E17" s="55"/>
      <c r="F17" s="42"/>
      <c r="G17" s="23"/>
      <c r="H17" s="23"/>
      <c r="I17" s="99"/>
      <c r="J17" s="42"/>
      <c r="K17" s="24"/>
      <c r="L17" s="24"/>
      <c r="M17" s="24"/>
      <c r="N17" s="24"/>
      <c r="O17" s="24"/>
      <c r="P17" s="121"/>
      <c r="Q17" s="121"/>
      <c r="R17" s="24"/>
      <c r="T17" s="24"/>
      <c r="U17" s="24"/>
      <c r="V17" s="121"/>
      <c r="W17" s="121"/>
      <c r="X17" s="24"/>
    </row>
    <row r="18" spans="1:24" s="12" customFormat="1" ht="17.100000000000001" customHeight="1">
      <c r="A18" s="118"/>
      <c r="B18" s="23"/>
      <c r="C18" s="241"/>
      <c r="D18" s="23"/>
      <c r="E18" s="55"/>
      <c r="F18" s="42"/>
      <c r="G18" s="23"/>
      <c r="H18" s="23"/>
      <c r="I18" s="99"/>
      <c r="J18" s="42"/>
      <c r="K18" s="24"/>
      <c r="L18" s="24"/>
      <c r="M18" s="24"/>
      <c r="N18" s="24"/>
      <c r="O18" s="24"/>
      <c r="P18" s="121"/>
      <c r="Q18" s="121"/>
      <c r="R18" s="24"/>
      <c r="T18" s="24"/>
      <c r="U18" s="24"/>
      <c r="V18" s="121"/>
      <c r="W18" s="121"/>
      <c r="X18" s="24"/>
    </row>
    <row r="19" spans="1:24" s="12" customFormat="1" ht="17.100000000000001" customHeight="1">
      <c r="A19" s="118"/>
      <c r="B19" s="120"/>
      <c r="C19" s="241"/>
      <c r="D19" s="120"/>
      <c r="E19" s="120"/>
      <c r="F19" s="120"/>
      <c r="G19" s="120"/>
      <c r="H19" s="120"/>
      <c r="I19" s="120"/>
      <c r="J19" s="120"/>
      <c r="K19" s="121"/>
      <c r="L19" s="121"/>
      <c r="M19" s="121"/>
      <c r="N19" s="121"/>
      <c r="O19" s="121"/>
      <c r="P19" s="121"/>
      <c r="Q19" s="121"/>
      <c r="R19" s="121"/>
      <c r="T19" s="121"/>
      <c r="U19" s="121"/>
      <c r="V19" s="121"/>
      <c r="W19" s="121"/>
      <c r="X19" s="121"/>
    </row>
    <row r="20" spans="1:24" s="12" customFormat="1" ht="17.100000000000001" customHeight="1">
      <c r="A20" s="118"/>
      <c r="B20" s="120"/>
      <c r="C20" s="241"/>
      <c r="D20" s="120"/>
      <c r="E20" s="120"/>
      <c r="F20" s="120"/>
      <c r="G20" s="120"/>
      <c r="H20" s="120"/>
      <c r="I20" s="120"/>
      <c r="J20" s="120"/>
      <c r="K20" s="121"/>
      <c r="L20" s="121"/>
      <c r="M20" s="121"/>
      <c r="N20" s="121"/>
      <c r="O20" s="121"/>
      <c r="P20" s="121"/>
      <c r="Q20" s="121"/>
      <c r="R20" s="121"/>
      <c r="T20" s="121"/>
      <c r="U20" s="121"/>
      <c r="V20" s="121"/>
      <c r="W20" s="121"/>
      <c r="X20" s="121"/>
    </row>
    <row r="21" spans="1:24" s="12" customFormat="1" ht="17.100000000000001" customHeight="1">
      <c r="A21" s="118"/>
      <c r="B21" s="120"/>
      <c r="C21" s="241"/>
      <c r="D21" s="120"/>
      <c r="E21" s="120"/>
      <c r="F21" s="120"/>
      <c r="G21" s="120"/>
      <c r="H21" s="120"/>
      <c r="I21" s="120"/>
      <c r="J21" s="120"/>
      <c r="K21" s="121"/>
      <c r="L21" s="121"/>
      <c r="M21" s="121"/>
      <c r="N21" s="121"/>
      <c r="O21" s="121"/>
      <c r="P21" s="121"/>
      <c r="Q21" s="121"/>
      <c r="R21" s="121"/>
      <c r="T21" s="121"/>
      <c r="U21" s="121"/>
      <c r="V21" s="121"/>
      <c r="W21" s="121"/>
      <c r="X21" s="121"/>
    </row>
    <row r="22" spans="1:24" s="12" customFormat="1" ht="17.100000000000001" customHeight="1">
      <c r="A22" s="118"/>
      <c r="B22" s="120"/>
      <c r="C22" s="241"/>
      <c r="D22" s="120"/>
      <c r="E22" s="120"/>
      <c r="F22" s="120"/>
      <c r="G22" s="120"/>
      <c r="H22" s="120"/>
      <c r="I22" s="120"/>
      <c r="J22" s="120"/>
      <c r="K22" s="121"/>
      <c r="L22" s="121"/>
      <c r="M22" s="121"/>
      <c r="N22" s="121"/>
      <c r="O22" s="121"/>
      <c r="P22" s="121"/>
      <c r="Q22" s="121"/>
      <c r="R22" s="121"/>
      <c r="T22" s="121"/>
      <c r="U22" s="121"/>
      <c r="V22" s="121"/>
      <c r="W22" s="121"/>
      <c r="X22" s="121"/>
    </row>
    <row r="23" spans="1:24" s="12" customFormat="1" ht="17.100000000000001" customHeight="1">
      <c r="A23" s="118"/>
      <c r="B23" s="120"/>
      <c r="C23" s="241"/>
      <c r="D23" s="120"/>
      <c r="E23" s="120"/>
      <c r="F23" s="120"/>
      <c r="G23" s="120"/>
      <c r="H23" s="120"/>
      <c r="I23" s="120"/>
      <c r="J23" s="120"/>
      <c r="K23" s="121"/>
      <c r="L23" s="121"/>
      <c r="M23" s="121"/>
      <c r="N23" s="121"/>
      <c r="O23" s="121"/>
      <c r="P23" s="121"/>
      <c r="Q23" s="121"/>
      <c r="R23" s="121"/>
      <c r="T23" s="121"/>
      <c r="U23" s="121"/>
      <c r="V23" s="121"/>
      <c r="W23" s="121"/>
      <c r="X23" s="121"/>
    </row>
    <row r="24" spans="1:24" s="12" customFormat="1" ht="17.100000000000001" customHeight="1">
      <c r="A24" s="118"/>
      <c r="B24" s="120"/>
      <c r="C24" s="241"/>
      <c r="D24" s="120"/>
      <c r="E24" s="120"/>
      <c r="F24" s="120"/>
      <c r="G24" s="120"/>
      <c r="H24" s="120"/>
      <c r="I24" s="120"/>
      <c r="J24" s="120"/>
      <c r="K24" s="121"/>
      <c r="L24" s="121"/>
      <c r="M24" s="121"/>
      <c r="N24" s="121"/>
      <c r="O24" s="121"/>
      <c r="P24" s="121"/>
      <c r="Q24" s="121"/>
      <c r="R24" s="121"/>
      <c r="T24" s="121"/>
      <c r="U24" s="121"/>
      <c r="V24" s="121"/>
      <c r="W24" s="121"/>
      <c r="X24" s="121"/>
    </row>
    <row r="25" spans="1:24" s="12" customFormat="1" ht="17.100000000000001" customHeight="1">
      <c r="A25" s="118"/>
      <c r="B25" s="120"/>
      <c r="C25" s="241"/>
      <c r="D25" s="120"/>
      <c r="E25" s="120"/>
      <c r="F25" s="120"/>
      <c r="G25" s="120"/>
      <c r="H25" s="120"/>
      <c r="I25" s="120"/>
      <c r="J25" s="120"/>
      <c r="K25" s="121"/>
      <c r="L25" s="121"/>
      <c r="M25" s="121"/>
      <c r="N25" s="121"/>
      <c r="O25" s="121"/>
      <c r="P25" s="121"/>
      <c r="Q25" s="121"/>
      <c r="R25" s="121"/>
      <c r="T25" s="121"/>
      <c r="U25" s="121"/>
      <c r="V25" s="121"/>
      <c r="W25" s="121"/>
      <c r="X25" s="121"/>
    </row>
    <row r="26" spans="1:24" s="12" customFormat="1" ht="17.100000000000001" customHeight="1">
      <c r="A26" s="118"/>
      <c r="B26" s="120"/>
      <c r="C26" s="241"/>
      <c r="D26" s="120"/>
      <c r="E26" s="120"/>
      <c r="F26" s="120"/>
      <c r="G26" s="120"/>
      <c r="H26" s="120"/>
      <c r="I26" s="120"/>
      <c r="J26" s="120"/>
      <c r="K26" s="121"/>
      <c r="L26" s="121"/>
      <c r="M26" s="121"/>
      <c r="N26" s="121"/>
      <c r="O26" s="121"/>
      <c r="P26" s="121"/>
      <c r="Q26" s="121"/>
      <c r="R26" s="121"/>
      <c r="T26" s="121"/>
      <c r="U26" s="121"/>
      <c r="V26" s="121"/>
      <c r="W26" s="121"/>
      <c r="X26" s="121"/>
    </row>
    <row r="27" spans="1:24" s="12" customFormat="1" ht="17.100000000000001" customHeight="1">
      <c r="A27" s="118"/>
      <c r="B27" s="120"/>
      <c r="C27" s="241"/>
      <c r="D27" s="120"/>
      <c r="E27" s="120"/>
      <c r="F27" s="120"/>
      <c r="G27" s="120"/>
      <c r="H27" s="120"/>
      <c r="I27" s="120"/>
      <c r="J27" s="120"/>
      <c r="K27" s="121"/>
      <c r="L27" s="121"/>
      <c r="M27" s="121"/>
      <c r="N27" s="121"/>
      <c r="O27" s="121"/>
      <c r="P27" s="121"/>
      <c r="Q27" s="121"/>
      <c r="R27" s="121"/>
      <c r="T27" s="121"/>
      <c r="U27" s="121"/>
      <c r="V27" s="121"/>
      <c r="W27" s="121"/>
      <c r="X27" s="121"/>
    </row>
    <row r="28" spans="1:24" s="12" customFormat="1" ht="17.100000000000001" customHeight="1">
      <c r="A28" s="118"/>
      <c r="B28" s="120"/>
      <c r="C28" s="241"/>
      <c r="D28" s="120"/>
      <c r="E28" s="120"/>
      <c r="F28" s="120"/>
      <c r="G28" s="120"/>
      <c r="H28" s="120"/>
      <c r="I28" s="120"/>
      <c r="J28" s="120"/>
      <c r="K28" s="121"/>
      <c r="L28" s="121"/>
      <c r="M28" s="121"/>
      <c r="N28" s="121"/>
      <c r="O28" s="121"/>
      <c r="P28" s="121"/>
      <c r="Q28" s="121"/>
      <c r="R28" s="121"/>
      <c r="T28" s="121"/>
      <c r="U28" s="121"/>
      <c r="V28" s="121"/>
      <c r="W28" s="121"/>
      <c r="X28" s="121"/>
    </row>
    <row r="29" spans="1:24" s="12" customFormat="1" ht="17.100000000000001" customHeight="1">
      <c r="A29" s="118"/>
      <c r="B29" s="120"/>
      <c r="C29" s="241"/>
      <c r="D29" s="120"/>
      <c r="E29" s="120"/>
      <c r="F29" s="120"/>
      <c r="G29" s="120"/>
      <c r="H29" s="120"/>
      <c r="I29" s="120"/>
      <c r="J29" s="120"/>
      <c r="K29" s="121"/>
      <c r="L29" s="121"/>
      <c r="M29" s="121"/>
      <c r="N29" s="121"/>
      <c r="O29" s="121"/>
      <c r="P29" s="121"/>
      <c r="Q29" s="121"/>
      <c r="R29" s="121"/>
      <c r="T29" s="121"/>
      <c r="U29" s="121"/>
      <c r="V29" s="121"/>
      <c r="W29" s="121"/>
      <c r="X29" s="121"/>
    </row>
    <row r="30" spans="1:24" s="12" customFormat="1" ht="17.100000000000001" customHeight="1">
      <c r="A30" s="118"/>
      <c r="B30" s="120"/>
      <c r="C30" s="241"/>
      <c r="D30" s="120"/>
      <c r="E30" s="120"/>
      <c r="F30" s="120"/>
      <c r="G30" s="120"/>
      <c r="H30" s="120"/>
      <c r="I30" s="120"/>
      <c r="J30" s="120"/>
      <c r="K30" s="121"/>
      <c r="L30" s="121"/>
      <c r="M30" s="121"/>
      <c r="N30" s="121"/>
      <c r="O30" s="121"/>
      <c r="P30" s="121"/>
      <c r="Q30" s="121"/>
      <c r="R30" s="121"/>
      <c r="T30" s="121"/>
      <c r="U30" s="121"/>
      <c r="V30" s="121"/>
      <c r="W30" s="121"/>
      <c r="X30" s="121"/>
    </row>
    <row r="31" spans="1:24" s="12" customFormat="1" ht="17.100000000000001" customHeight="1">
      <c r="A31" s="118"/>
      <c r="B31" s="120"/>
      <c r="C31" s="241"/>
      <c r="D31" s="120"/>
      <c r="E31" s="120"/>
      <c r="F31" s="120"/>
      <c r="G31" s="120"/>
      <c r="H31" s="120"/>
      <c r="I31" s="120"/>
      <c r="J31" s="120"/>
      <c r="K31" s="121"/>
      <c r="L31" s="121"/>
      <c r="M31" s="121"/>
      <c r="N31" s="121"/>
      <c r="O31" s="121"/>
      <c r="P31" s="121"/>
      <c r="Q31" s="121"/>
      <c r="R31" s="121"/>
      <c r="T31" s="121"/>
      <c r="U31" s="121"/>
      <c r="V31" s="121"/>
      <c r="W31" s="121"/>
      <c r="X31" s="121"/>
    </row>
    <row r="32" spans="1:24" s="12" customFormat="1" ht="17.100000000000001" customHeight="1">
      <c r="A32" s="118"/>
      <c r="B32" s="120"/>
      <c r="C32" s="241"/>
      <c r="D32" s="120"/>
      <c r="E32" s="120"/>
      <c r="F32" s="120"/>
      <c r="G32" s="120"/>
      <c r="H32" s="120"/>
      <c r="I32" s="120"/>
      <c r="J32" s="120"/>
      <c r="K32" s="121"/>
      <c r="L32" s="121"/>
      <c r="M32" s="121"/>
      <c r="N32" s="121"/>
      <c r="O32" s="121"/>
      <c r="P32" s="121"/>
      <c r="Q32" s="121"/>
      <c r="R32" s="121"/>
      <c r="T32" s="121"/>
      <c r="U32" s="121"/>
      <c r="V32" s="121"/>
      <c r="W32" s="121"/>
      <c r="X32" s="121"/>
    </row>
    <row r="33" spans="1:24" s="12" customFormat="1" ht="17.100000000000001" customHeight="1">
      <c r="A33" s="118"/>
      <c r="B33" s="120"/>
      <c r="C33" s="241"/>
      <c r="D33" s="120"/>
      <c r="E33" s="120"/>
      <c r="F33" s="120"/>
      <c r="G33" s="120"/>
      <c r="H33" s="120"/>
      <c r="I33" s="120"/>
      <c r="J33" s="120"/>
      <c r="K33" s="121"/>
      <c r="L33" s="121"/>
      <c r="M33" s="121"/>
      <c r="N33" s="121"/>
      <c r="O33" s="121"/>
      <c r="P33" s="121"/>
      <c r="Q33" s="121"/>
      <c r="R33" s="121"/>
      <c r="T33" s="121"/>
      <c r="U33" s="121"/>
      <c r="V33" s="121"/>
      <c r="W33" s="121"/>
      <c r="X33" s="121"/>
    </row>
    <row r="34" spans="1:24" s="12" customFormat="1" ht="17.100000000000001" customHeight="1">
      <c r="A34" s="118"/>
      <c r="B34" s="120"/>
      <c r="C34" s="241"/>
      <c r="D34" s="120"/>
      <c r="E34" s="120"/>
      <c r="F34" s="120"/>
      <c r="G34" s="120"/>
      <c r="H34" s="120"/>
      <c r="I34" s="120"/>
      <c r="J34" s="120"/>
      <c r="K34" s="121"/>
      <c r="L34" s="121"/>
      <c r="M34" s="121"/>
      <c r="N34" s="121"/>
      <c r="O34" s="121"/>
      <c r="P34" s="121"/>
      <c r="Q34" s="121"/>
      <c r="R34" s="121"/>
      <c r="T34" s="121"/>
      <c r="U34" s="121"/>
      <c r="V34" s="121"/>
      <c r="W34" s="121"/>
      <c r="X34" s="121"/>
    </row>
    <row r="35" spans="1:24" s="12" customFormat="1" ht="17.100000000000001" customHeight="1">
      <c r="A35" s="118"/>
      <c r="B35" s="120"/>
      <c r="C35" s="241"/>
      <c r="D35" s="120"/>
      <c r="E35" s="120"/>
      <c r="F35" s="120"/>
      <c r="G35" s="120"/>
      <c r="H35" s="120"/>
      <c r="I35" s="120"/>
      <c r="J35" s="120"/>
      <c r="K35" s="121"/>
      <c r="L35" s="121"/>
      <c r="M35" s="121"/>
      <c r="N35" s="121"/>
      <c r="O35" s="121"/>
      <c r="P35" s="121"/>
      <c r="Q35" s="121"/>
      <c r="R35" s="121"/>
      <c r="T35" s="121"/>
      <c r="U35" s="121"/>
      <c r="V35" s="121"/>
      <c r="W35" s="121"/>
      <c r="X35" s="121"/>
    </row>
    <row r="36" spans="1:24" s="12" customFormat="1" ht="17.100000000000001" customHeight="1">
      <c r="A36" s="118"/>
      <c r="B36" s="120"/>
      <c r="C36" s="241"/>
      <c r="D36" s="120"/>
      <c r="E36" s="120"/>
      <c r="F36" s="120"/>
      <c r="G36" s="120"/>
      <c r="H36" s="120"/>
      <c r="I36" s="120"/>
      <c r="J36" s="120"/>
      <c r="K36" s="121"/>
      <c r="L36" s="121"/>
      <c r="M36" s="121"/>
      <c r="N36" s="121"/>
      <c r="O36" s="121"/>
      <c r="P36" s="121"/>
      <c r="Q36" s="121"/>
      <c r="R36" s="121"/>
      <c r="T36" s="121"/>
      <c r="U36" s="121"/>
      <c r="V36" s="121"/>
      <c r="W36" s="121"/>
      <c r="X36" s="121"/>
    </row>
    <row r="37" spans="1:24" s="12" customFormat="1" ht="17.100000000000001" customHeight="1">
      <c r="A37" s="118"/>
      <c r="B37" s="120"/>
      <c r="C37" s="241"/>
      <c r="D37" s="120"/>
      <c r="E37" s="120"/>
      <c r="F37" s="120"/>
      <c r="G37" s="120"/>
      <c r="H37" s="120"/>
      <c r="I37" s="120"/>
      <c r="J37" s="120"/>
      <c r="K37" s="121"/>
      <c r="L37" s="121"/>
      <c r="M37" s="121"/>
      <c r="N37" s="121"/>
      <c r="O37" s="121"/>
      <c r="P37" s="121"/>
      <c r="Q37" s="121"/>
      <c r="R37" s="121"/>
      <c r="T37" s="121"/>
      <c r="U37" s="121"/>
      <c r="V37" s="121"/>
      <c r="W37" s="121"/>
      <c r="X37" s="121"/>
    </row>
    <row r="38" spans="1:24" s="12" customFormat="1" ht="17.100000000000001" customHeight="1">
      <c r="A38" s="118"/>
      <c r="B38" s="120"/>
      <c r="C38" s="241"/>
      <c r="D38" s="120"/>
      <c r="E38" s="120"/>
      <c r="F38" s="120"/>
      <c r="G38" s="120"/>
      <c r="H38" s="120"/>
      <c r="I38" s="120"/>
      <c r="J38" s="120"/>
      <c r="K38" s="121"/>
      <c r="L38" s="121"/>
      <c r="M38" s="121"/>
      <c r="N38" s="121"/>
      <c r="O38" s="121"/>
      <c r="P38" s="121"/>
      <c r="Q38" s="121"/>
      <c r="R38" s="121"/>
      <c r="T38" s="121"/>
      <c r="U38" s="121"/>
      <c r="V38" s="121"/>
      <c r="W38" s="121"/>
      <c r="X38" s="121"/>
    </row>
    <row r="39" spans="1:24" s="12" customFormat="1" ht="17.100000000000001" customHeight="1">
      <c r="A39" s="118"/>
      <c r="B39" s="120"/>
      <c r="C39" s="241"/>
      <c r="D39" s="120"/>
      <c r="E39" s="120"/>
      <c r="F39" s="120"/>
      <c r="G39" s="120"/>
      <c r="H39" s="120"/>
      <c r="I39" s="120"/>
      <c r="J39" s="120"/>
      <c r="K39" s="121"/>
      <c r="L39" s="121"/>
      <c r="M39" s="121"/>
      <c r="N39" s="121"/>
      <c r="O39" s="121"/>
      <c r="P39" s="121"/>
      <c r="Q39" s="121"/>
      <c r="R39" s="121"/>
      <c r="T39" s="121"/>
      <c r="U39" s="121"/>
      <c r="V39" s="121"/>
      <c r="W39" s="121"/>
      <c r="X39" s="121"/>
    </row>
    <row r="40" spans="1:24" s="12" customFormat="1" ht="17.100000000000001" customHeight="1">
      <c r="A40" s="118"/>
      <c r="B40" s="120"/>
      <c r="C40" s="241"/>
      <c r="D40" s="120"/>
      <c r="E40" s="120"/>
      <c r="F40" s="120"/>
      <c r="G40" s="120"/>
      <c r="H40" s="120"/>
      <c r="I40" s="120"/>
      <c r="J40" s="120"/>
      <c r="K40" s="121"/>
      <c r="L40" s="121"/>
      <c r="M40" s="121"/>
      <c r="N40" s="121"/>
      <c r="O40" s="121"/>
      <c r="P40" s="121"/>
      <c r="Q40" s="121"/>
      <c r="R40" s="121"/>
      <c r="T40" s="121"/>
      <c r="U40" s="121"/>
      <c r="V40" s="121"/>
      <c r="W40" s="121"/>
      <c r="X40" s="121"/>
    </row>
    <row r="41" spans="1:24" s="12" customFormat="1" ht="17.100000000000001" customHeight="1">
      <c r="A41" s="118"/>
      <c r="B41" s="120"/>
      <c r="C41" s="241"/>
      <c r="D41" s="120"/>
      <c r="E41" s="120"/>
      <c r="F41" s="120"/>
      <c r="G41" s="120"/>
      <c r="H41" s="120"/>
      <c r="I41" s="120"/>
      <c r="J41" s="120"/>
      <c r="K41" s="121"/>
      <c r="L41" s="121"/>
      <c r="M41" s="121"/>
      <c r="N41" s="121"/>
      <c r="O41" s="121"/>
      <c r="P41" s="121"/>
      <c r="Q41" s="121"/>
      <c r="R41" s="121"/>
      <c r="T41" s="121"/>
      <c r="U41" s="121"/>
      <c r="V41" s="121"/>
      <c r="W41" s="121"/>
      <c r="X41" s="121"/>
    </row>
    <row r="42" spans="1:24" s="12" customFormat="1" ht="17.100000000000001" customHeight="1">
      <c r="A42" s="118"/>
      <c r="B42" s="120"/>
      <c r="C42" s="241"/>
      <c r="D42" s="120"/>
      <c r="E42" s="120"/>
      <c r="F42" s="120"/>
      <c r="G42" s="120"/>
      <c r="H42" s="120"/>
      <c r="I42" s="120"/>
      <c r="J42" s="120"/>
      <c r="K42" s="121"/>
      <c r="L42" s="121"/>
      <c r="M42" s="121"/>
      <c r="N42" s="121"/>
      <c r="O42" s="121"/>
      <c r="P42" s="121"/>
      <c r="Q42" s="121"/>
      <c r="R42" s="121"/>
      <c r="T42" s="121"/>
      <c r="U42" s="121"/>
      <c r="V42" s="121"/>
      <c r="W42" s="121"/>
      <c r="X42" s="121"/>
    </row>
    <row r="43" spans="1:24" s="12" customFormat="1" ht="17.100000000000001" customHeight="1">
      <c r="A43" s="118"/>
      <c r="B43" s="120"/>
      <c r="C43" s="241"/>
      <c r="D43" s="120"/>
      <c r="E43" s="120"/>
      <c r="F43" s="120"/>
      <c r="G43" s="120"/>
      <c r="H43" s="120"/>
      <c r="I43" s="120"/>
      <c r="J43" s="120"/>
      <c r="K43" s="121"/>
      <c r="L43" s="121"/>
      <c r="M43" s="121"/>
      <c r="N43" s="121"/>
      <c r="O43" s="121"/>
      <c r="P43" s="121"/>
      <c r="Q43" s="121"/>
      <c r="R43" s="121"/>
      <c r="T43" s="121"/>
      <c r="U43" s="121"/>
      <c r="V43" s="121"/>
      <c r="W43" s="121"/>
      <c r="X43" s="121"/>
    </row>
    <row r="44" spans="1:24" s="12" customFormat="1" ht="17.100000000000001" customHeight="1">
      <c r="A44" s="118"/>
      <c r="B44" s="23"/>
      <c r="C44" s="241"/>
      <c r="D44" s="23"/>
      <c r="E44" s="55"/>
      <c r="F44" s="42"/>
      <c r="G44" s="23"/>
      <c r="H44" s="23"/>
      <c r="I44" s="99"/>
      <c r="J44" s="42"/>
      <c r="K44" s="24"/>
      <c r="L44" s="24"/>
      <c r="M44" s="24"/>
      <c r="N44" s="24"/>
      <c r="O44" s="24"/>
      <c r="P44" s="121"/>
      <c r="Q44" s="121"/>
      <c r="R44" s="24"/>
      <c r="T44" s="24"/>
      <c r="U44" s="24"/>
      <c r="V44" s="121"/>
      <c r="W44" s="121"/>
      <c r="X44" s="24"/>
    </row>
    <row r="45" spans="1:24" s="12" customFormat="1" ht="17.100000000000001" customHeight="1"/>
    <row r="46" spans="1:24" s="12" customFormat="1" ht="17.100000000000001" customHeight="1">
      <c r="A46" s="17" t="s">
        <v>119</v>
      </c>
    </row>
    <row r="47" spans="1:24" s="19" customFormat="1" ht="18" customHeight="1">
      <c r="A47" s="215" t="s">
        <v>347</v>
      </c>
      <c r="B47" s="215" t="s">
        <v>348</v>
      </c>
      <c r="C47" s="215" t="s">
        <v>349</v>
      </c>
      <c r="D47" s="215" t="s">
        <v>350</v>
      </c>
      <c r="E47" s="215" t="s">
        <v>349</v>
      </c>
      <c r="F47" s="215" t="s">
        <v>464</v>
      </c>
      <c r="G47" s="215" t="s">
        <v>465</v>
      </c>
      <c r="H47" s="215" t="s">
        <v>351</v>
      </c>
      <c r="I47" s="215" t="s">
        <v>352</v>
      </c>
      <c r="J47" s="215" t="s">
        <v>126</v>
      </c>
      <c r="K47" s="215" t="s">
        <v>353</v>
      </c>
      <c r="L47" s="215" t="s">
        <v>506</v>
      </c>
      <c r="M47" s="215" t="s">
        <v>383</v>
      </c>
      <c r="N47" s="215" t="s">
        <v>384</v>
      </c>
      <c r="O47" s="215" t="s">
        <v>385</v>
      </c>
      <c r="P47" s="215" t="s">
        <v>386</v>
      </c>
      <c r="Q47" s="215" t="s">
        <v>507</v>
      </c>
      <c r="R47" s="215" t="s">
        <v>387</v>
      </c>
      <c r="S47" s="215" t="s">
        <v>388</v>
      </c>
      <c r="T47" s="215" t="s">
        <v>389</v>
      </c>
      <c r="U47" s="215" t="s">
        <v>390</v>
      </c>
    </row>
    <row r="48" spans="1:24" ht="17.100000000000001" customHeight="1">
      <c r="A48" s="122"/>
      <c r="B48" s="122"/>
      <c r="C48" s="122"/>
      <c r="D48" s="122"/>
      <c r="E48" s="122"/>
      <c r="F48" s="122"/>
      <c r="G48" s="122"/>
      <c r="H48" s="122"/>
      <c r="I48" s="122"/>
      <c r="J48" s="122"/>
      <c r="K48" s="154"/>
      <c r="L48" s="122"/>
      <c r="M48" s="122"/>
      <c r="N48" s="122"/>
      <c r="O48" s="122"/>
      <c r="P48" s="122"/>
      <c r="Q48" s="122"/>
      <c r="R48" s="122"/>
      <c r="S48" s="122"/>
      <c r="T48" s="122"/>
      <c r="U48" s="122"/>
    </row>
    <row r="49" spans="1:21" ht="17.100000000000001" customHeight="1">
      <c r="A49" s="122"/>
      <c r="B49" s="122"/>
      <c r="C49" s="122"/>
      <c r="D49" s="122"/>
      <c r="E49" s="122"/>
      <c r="F49" s="122"/>
      <c r="G49" s="122"/>
      <c r="H49" s="122"/>
      <c r="I49" s="122"/>
      <c r="J49" s="122"/>
      <c r="K49" s="154"/>
      <c r="L49" s="122"/>
      <c r="M49" s="122"/>
      <c r="N49" s="122"/>
      <c r="O49" s="122"/>
      <c r="P49" s="122"/>
      <c r="Q49" s="122"/>
      <c r="R49" s="122"/>
      <c r="S49" s="122"/>
      <c r="T49" s="122"/>
      <c r="U49" s="122"/>
    </row>
    <row r="50" spans="1:21" ht="17.100000000000001" customHeight="1">
      <c r="A50" s="122"/>
      <c r="B50" s="122"/>
      <c r="C50" s="122"/>
      <c r="D50" s="122"/>
      <c r="E50" s="122"/>
      <c r="F50" s="122"/>
      <c r="G50" s="122"/>
      <c r="H50" s="122"/>
      <c r="I50" s="122"/>
      <c r="J50" s="122"/>
      <c r="K50" s="154"/>
      <c r="L50" s="122"/>
      <c r="M50" s="122"/>
      <c r="N50" s="122"/>
      <c r="O50" s="122"/>
      <c r="P50" s="122"/>
      <c r="Q50" s="122"/>
      <c r="R50" s="122"/>
      <c r="S50" s="122"/>
      <c r="T50" s="122"/>
      <c r="U50" s="122"/>
    </row>
    <row r="51" spans="1:21" ht="17.100000000000001" customHeight="1">
      <c r="A51" s="122"/>
      <c r="B51" s="122"/>
      <c r="C51" s="122"/>
      <c r="D51" s="122"/>
      <c r="E51" s="122"/>
      <c r="F51" s="122"/>
      <c r="G51" s="122"/>
      <c r="H51" s="122"/>
      <c r="I51" s="122"/>
      <c r="J51" s="122"/>
      <c r="K51" s="154"/>
      <c r="L51" s="122"/>
      <c r="M51" s="122"/>
      <c r="N51" s="122"/>
      <c r="O51" s="122"/>
      <c r="P51" s="122"/>
      <c r="Q51" s="122"/>
      <c r="R51" s="122"/>
      <c r="S51" s="122"/>
      <c r="T51" s="122"/>
      <c r="U51" s="122"/>
    </row>
    <row r="52" spans="1:21" ht="17.100000000000001" customHeight="1">
      <c r="A52" s="122"/>
      <c r="B52" s="122"/>
      <c r="C52" s="122"/>
      <c r="D52" s="122"/>
      <c r="E52" s="122"/>
      <c r="F52" s="122"/>
      <c r="G52" s="122"/>
      <c r="H52" s="122"/>
      <c r="I52" s="122"/>
      <c r="J52" s="122"/>
      <c r="K52" s="154"/>
      <c r="L52" s="122"/>
      <c r="M52" s="122"/>
      <c r="N52" s="122"/>
      <c r="O52" s="122"/>
      <c r="P52" s="122"/>
      <c r="Q52" s="122"/>
      <c r="R52" s="122"/>
      <c r="S52" s="122"/>
      <c r="T52" s="122"/>
      <c r="U52" s="122"/>
    </row>
    <row r="53" spans="1:21" ht="17.100000000000001" customHeight="1">
      <c r="A53" s="122"/>
      <c r="B53" s="122"/>
      <c r="C53" s="122"/>
      <c r="D53" s="122"/>
      <c r="E53" s="122"/>
      <c r="F53" s="122"/>
      <c r="G53" s="122"/>
      <c r="H53" s="122"/>
      <c r="I53" s="122"/>
      <c r="J53" s="122"/>
      <c r="K53" s="154"/>
      <c r="L53" s="122"/>
      <c r="M53" s="122"/>
      <c r="N53" s="122"/>
      <c r="O53" s="122"/>
      <c r="P53" s="122"/>
      <c r="Q53" s="122"/>
      <c r="R53" s="122"/>
      <c r="S53" s="122"/>
      <c r="T53" s="122"/>
      <c r="U53" s="122"/>
    </row>
    <row r="54" spans="1:21" ht="17.100000000000001" customHeight="1">
      <c r="A54" s="122"/>
      <c r="B54" s="122"/>
      <c r="C54" s="122"/>
      <c r="D54" s="122"/>
      <c r="E54" s="122"/>
      <c r="F54" s="122"/>
      <c r="G54" s="122"/>
      <c r="H54" s="122"/>
      <c r="I54" s="122"/>
      <c r="J54" s="122"/>
      <c r="K54" s="154"/>
      <c r="L54" s="122"/>
      <c r="M54" s="122"/>
      <c r="N54" s="122"/>
      <c r="O54" s="122"/>
      <c r="P54" s="122"/>
      <c r="Q54" s="122"/>
      <c r="R54" s="122"/>
      <c r="S54" s="122"/>
      <c r="T54" s="122"/>
      <c r="U54" s="122"/>
    </row>
    <row r="55" spans="1:21" ht="17.100000000000001" customHeight="1">
      <c r="A55" s="122"/>
      <c r="B55" s="122"/>
      <c r="C55" s="122"/>
      <c r="D55" s="122"/>
      <c r="E55" s="122"/>
      <c r="F55" s="122"/>
      <c r="G55" s="122"/>
      <c r="H55" s="122"/>
      <c r="I55" s="122"/>
      <c r="J55" s="122"/>
      <c r="K55" s="154"/>
      <c r="L55" s="122"/>
      <c r="M55" s="122"/>
      <c r="N55" s="122"/>
      <c r="O55" s="122"/>
      <c r="P55" s="122"/>
      <c r="Q55" s="122"/>
      <c r="R55" s="122"/>
      <c r="S55" s="122"/>
      <c r="T55" s="122"/>
      <c r="U55" s="122"/>
    </row>
    <row r="56" spans="1:21" ht="17.100000000000001" customHeight="1">
      <c r="A56" s="122"/>
      <c r="B56" s="122"/>
      <c r="C56" s="122"/>
      <c r="D56" s="122"/>
      <c r="E56" s="122"/>
      <c r="F56" s="122"/>
      <c r="G56" s="122"/>
      <c r="H56" s="122"/>
      <c r="I56" s="122"/>
      <c r="J56" s="122"/>
      <c r="K56" s="154"/>
      <c r="L56" s="122"/>
      <c r="M56" s="122"/>
      <c r="N56" s="122"/>
      <c r="O56" s="122"/>
      <c r="P56" s="122"/>
      <c r="Q56" s="122"/>
      <c r="R56" s="122"/>
      <c r="S56" s="122"/>
      <c r="T56" s="122"/>
      <c r="U56" s="122"/>
    </row>
    <row r="57" spans="1:21" ht="17.100000000000001" customHeight="1">
      <c r="A57" s="122"/>
      <c r="B57" s="122"/>
      <c r="C57" s="122"/>
      <c r="D57" s="122"/>
      <c r="E57" s="122"/>
      <c r="F57" s="122"/>
      <c r="G57" s="122"/>
      <c r="H57" s="122"/>
      <c r="I57" s="122"/>
      <c r="J57" s="122"/>
      <c r="K57" s="154"/>
      <c r="L57" s="122"/>
      <c r="M57" s="122"/>
      <c r="N57" s="122"/>
      <c r="O57" s="122"/>
      <c r="P57" s="122"/>
      <c r="Q57" s="122"/>
      <c r="R57" s="122"/>
      <c r="S57" s="122"/>
      <c r="T57" s="122"/>
      <c r="U57" s="122"/>
    </row>
    <row r="58" spans="1:21" ht="17.100000000000001" customHeight="1">
      <c r="A58" s="122"/>
      <c r="B58" s="122"/>
      <c r="C58" s="122"/>
      <c r="D58" s="122"/>
      <c r="E58" s="122"/>
      <c r="F58" s="122"/>
      <c r="G58" s="122"/>
      <c r="H58" s="122"/>
      <c r="I58" s="122"/>
      <c r="J58" s="122"/>
      <c r="K58" s="154"/>
      <c r="L58" s="122"/>
      <c r="M58" s="122"/>
      <c r="N58" s="122"/>
      <c r="O58" s="122"/>
      <c r="P58" s="122"/>
      <c r="Q58" s="122"/>
      <c r="R58" s="122"/>
      <c r="S58" s="122"/>
      <c r="T58" s="122"/>
      <c r="U58" s="122"/>
    </row>
    <row r="59" spans="1:21" ht="17.100000000000001" customHeight="1">
      <c r="A59" s="122"/>
      <c r="B59" s="122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</row>
    <row r="60" spans="1:21" ht="17.100000000000001" customHeight="1">
      <c r="A60" s="122"/>
      <c r="B60" s="122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</row>
    <row r="61" spans="1:21" ht="17.100000000000001" customHeight="1">
      <c r="A61" s="122"/>
      <c r="B61" s="122"/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</row>
    <row r="62" spans="1:21" ht="17.100000000000001" customHeight="1">
      <c r="A62" s="122"/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</row>
    <row r="63" spans="1:21" ht="17.100000000000001" customHeight="1">
      <c r="A63" s="122"/>
      <c r="B63" s="122"/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</row>
    <row r="64" spans="1:21" ht="17.100000000000001" customHeight="1">
      <c r="A64" s="122"/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</row>
    <row r="65" spans="1:21" ht="17.100000000000001" customHeight="1">
      <c r="A65" s="122"/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</row>
    <row r="66" spans="1:21" ht="17.100000000000001" customHeight="1">
      <c r="A66" s="122"/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</row>
    <row r="67" spans="1:21" ht="17.100000000000001" customHeight="1">
      <c r="A67" s="122"/>
      <c r="B67" s="122"/>
      <c r="C67" s="122"/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</row>
    <row r="68" spans="1:21" ht="17.100000000000001" customHeight="1">
      <c r="A68" s="122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</row>
    <row r="69" spans="1:21" ht="17.100000000000001" customHeight="1">
      <c r="A69" s="122"/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</row>
    <row r="70" spans="1:21" ht="17.100000000000001" customHeight="1">
      <c r="A70" s="122"/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</row>
    <row r="71" spans="1:21" ht="17.100000000000001" customHeight="1">
      <c r="A71" s="122"/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</row>
    <row r="72" spans="1:21" ht="17.100000000000001" customHeight="1">
      <c r="A72" s="122"/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</row>
    <row r="73" spans="1:21" ht="17.100000000000001" customHeight="1">
      <c r="A73" s="122"/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</row>
    <row r="74" spans="1:21" ht="17.100000000000001" customHeight="1">
      <c r="A74" s="122"/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</row>
    <row r="75" spans="1:21" ht="17.100000000000001" customHeight="1">
      <c r="A75" s="122"/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</row>
    <row r="76" spans="1:21" ht="17.100000000000001" customHeight="1">
      <c r="A76" s="122"/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</row>
    <row r="77" spans="1:21" ht="17.100000000000001" customHeight="1">
      <c r="A77" s="122"/>
      <c r="B77" s="122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</row>
    <row r="78" spans="1:21" ht="17.100000000000001" customHeight="1">
      <c r="A78" s="122"/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</row>
    <row r="79" spans="1:21" ht="17.100000000000001" customHeight="1">
      <c r="A79" s="122"/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</row>
    <row r="80" spans="1:21" ht="17.100000000000001" customHeight="1">
      <c r="A80" s="122"/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</row>
    <row r="81" spans="1:36" ht="17.100000000000001" customHeight="1">
      <c r="A81" s="122"/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</row>
    <row r="82" spans="1:36" ht="17.100000000000001" customHeight="1">
      <c r="A82" s="122"/>
      <c r="B82" s="122"/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</row>
    <row r="83" spans="1:36" ht="17.100000000000001" customHeight="1">
      <c r="A83" s="122"/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122"/>
    </row>
    <row r="84" spans="1:36" ht="17.100000000000001" customHeight="1">
      <c r="A84" s="122"/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</row>
    <row r="85" spans="1:36" ht="17.100000000000001" customHeight="1">
      <c r="A85" s="122"/>
      <c r="B85" s="122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  <c r="U85" s="122"/>
    </row>
    <row r="86" spans="1:36" ht="17.100000000000001" customHeight="1">
      <c r="A86" s="122"/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</row>
    <row r="87" spans="1:36" ht="17.100000000000001" customHeight="1">
      <c r="A87" s="122"/>
      <c r="B87" s="122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</row>
    <row r="88" spans="1:36" ht="17.100000000000001" customHeight="1">
      <c r="A88" s="122"/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</row>
    <row r="89" spans="1:36" ht="17.100000000000001" customHeight="1">
      <c r="AE89" s="12"/>
      <c r="AF89" s="12"/>
      <c r="AG89" s="12"/>
      <c r="AH89" s="12"/>
      <c r="AI89" s="12"/>
      <c r="AJ89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3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5" width="3.77734375" style="37" customWidth="1"/>
    <col min="6" max="7" width="20.77734375" style="37" customWidth="1"/>
    <col min="8" max="12" width="3.77734375" style="37" customWidth="1"/>
    <col min="13" max="16384" width="10.77734375" style="37"/>
  </cols>
  <sheetData>
    <row r="1" spans="1:12" s="47" customFormat="1" ht="33" customHeight="1">
      <c r="A1" s="369" t="s">
        <v>34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</row>
    <row r="2" spans="1:12" s="47" customFormat="1" ht="33" customHeight="1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</row>
    <row r="3" spans="1:12" s="47" customFormat="1" ht="12.75" customHeight="1">
      <c r="A3" s="48" t="s">
        <v>104</v>
      </c>
      <c r="B3" s="48"/>
      <c r="C3" s="48"/>
      <c r="D3" s="22"/>
      <c r="E3" s="22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92" t="str">
        <f>" 교   정   번   호(Calibration No) : "&amp;기본정보!H3</f>
        <v xml:space="preserve"> 교   정   번   호(Calibration No) : </v>
      </c>
      <c r="B4" s="92"/>
      <c r="C4" s="92"/>
      <c r="D4" s="93"/>
      <c r="E4" s="93"/>
      <c r="F4" s="93"/>
      <c r="G4" s="93"/>
      <c r="H4" s="102"/>
      <c r="I4" s="93"/>
      <c r="J4" s="103"/>
      <c r="K4" s="94"/>
      <c r="L4" s="102"/>
    </row>
    <row r="5" spans="1:12" s="36" customFormat="1" ht="15" customHeight="1"/>
    <row r="6" spans="1:12" ht="15" customHeight="1">
      <c r="F6" s="54" t="str">
        <f>"○ 품명 : "&amp;기본정보!C$5</f>
        <v xml:space="preserve">○ 품명 : </v>
      </c>
      <c r="G6" s="54"/>
    </row>
    <row r="7" spans="1:12" ht="15" customHeight="1">
      <c r="F7" s="54" t="str">
        <f>"○ 제작회사 : "&amp;기본정보!C$6</f>
        <v xml:space="preserve">○ 제작회사 : </v>
      </c>
      <c r="G7" s="54"/>
    </row>
    <row r="8" spans="1:12" ht="15" customHeight="1">
      <c r="F8" s="54" t="str">
        <f>"○ 형식 : "&amp;기본정보!C$7</f>
        <v xml:space="preserve">○ 형식 : </v>
      </c>
      <c r="G8" s="54"/>
    </row>
    <row r="9" spans="1:12" ht="15" customHeight="1">
      <c r="F9" s="54" t="str">
        <f>"○ 기기번호 : "&amp;기본정보!C$8</f>
        <v xml:space="preserve">○ 기기번호 : </v>
      </c>
      <c r="G9" s="54"/>
    </row>
    <row r="11" spans="1:12" ht="15" customHeight="1">
      <c r="F11" s="38" t="s">
        <v>105</v>
      </c>
      <c r="G11" s="38"/>
    </row>
    <row r="12" spans="1:12" ht="15" customHeight="1">
      <c r="F12" s="54" t="str">
        <f>"○ 교정범위 : ("&amp;Calcu!K3&amp;" ~ "&amp;Calcu!M3&amp;") mm"</f>
        <v>○ 교정범위 : (0 ~ 0) mm</v>
      </c>
      <c r="G12" s="54"/>
    </row>
    <row r="13" spans="1:12" ht="15" customHeight="1">
      <c r="A13" s="44"/>
      <c r="B13" s="44"/>
      <c r="C13" s="44"/>
      <c r="F13" s="54" t="str">
        <f ca="1">"○ 최소눈금 : "&amp;Calcu!O3&amp;" mm"</f>
        <v>○ 최소눈금 : 0 mm</v>
      </c>
      <c r="G13" s="54"/>
    </row>
    <row r="14" spans="1:12" ht="15" customHeight="1">
      <c r="A14" s="44"/>
      <c r="B14" s="44"/>
      <c r="C14" s="44"/>
    </row>
    <row r="15" spans="1:12" ht="15" customHeight="1">
      <c r="A15" s="44"/>
      <c r="B15" s="44"/>
      <c r="C15" s="44"/>
      <c r="F15" s="219" t="s">
        <v>151</v>
      </c>
      <c r="G15" s="219" t="s">
        <v>358</v>
      </c>
    </row>
    <row r="16" spans="1:12" ht="15" customHeight="1">
      <c r="A16" s="44"/>
      <c r="B16" s="43"/>
      <c r="C16" s="43"/>
      <c r="F16" s="218" t="s">
        <v>240</v>
      </c>
      <c r="G16" s="218" t="s">
        <v>240</v>
      </c>
    </row>
    <row r="17" spans="1:7" ht="15" customHeight="1">
      <c r="A17" s="44" t="str">
        <f>IF(Calcu!B9=TRUE,"","삭제")</f>
        <v>삭제</v>
      </c>
      <c r="B17" s="43"/>
      <c r="C17" s="43"/>
      <c r="F17" s="173" t="e">
        <f ca="1">Calcu!AA9</f>
        <v>#N/A</v>
      </c>
      <c r="G17" s="173" t="e">
        <f ca="1">Calcu!AC9</f>
        <v>#N/A</v>
      </c>
    </row>
    <row r="18" spans="1:7" ht="15" customHeight="1">
      <c r="A18" s="44" t="str">
        <f>IF(Calcu!B10=TRUE,"","삭제")</f>
        <v>삭제</v>
      </c>
      <c r="B18" s="43"/>
      <c r="C18" s="43"/>
      <c r="F18" s="173" t="e">
        <f ca="1">Calcu!AA10</f>
        <v>#N/A</v>
      </c>
      <c r="G18" s="173" t="e">
        <f ca="1">Calcu!AC10</f>
        <v>#N/A</v>
      </c>
    </row>
    <row r="19" spans="1:7" ht="15" customHeight="1">
      <c r="A19" s="44" t="str">
        <f>IF(Calcu!B11=TRUE,"","삭제")</f>
        <v>삭제</v>
      </c>
      <c r="B19" s="43"/>
      <c r="C19" s="43"/>
      <c r="F19" s="173" t="e">
        <f ca="1">Calcu!AA11</f>
        <v>#N/A</v>
      </c>
      <c r="G19" s="173" t="e">
        <f ca="1">Calcu!AC11</f>
        <v>#N/A</v>
      </c>
    </row>
    <row r="20" spans="1:7" ht="15" customHeight="1">
      <c r="A20" s="44" t="str">
        <f>IF(Calcu!B12=TRUE,"","삭제")</f>
        <v>삭제</v>
      </c>
      <c r="B20" s="43"/>
      <c r="C20" s="43"/>
      <c r="F20" s="173" t="e">
        <f ca="1">Calcu!AA12</f>
        <v>#N/A</v>
      </c>
      <c r="G20" s="173" t="e">
        <f ca="1">Calcu!AC12</f>
        <v>#N/A</v>
      </c>
    </row>
    <row r="21" spans="1:7" ht="15" customHeight="1">
      <c r="A21" s="44" t="str">
        <f>IF(Calcu!B13=TRUE,"","삭제")</f>
        <v>삭제</v>
      </c>
      <c r="B21" s="43"/>
      <c r="C21" s="43"/>
      <c r="F21" s="173" t="e">
        <f ca="1">Calcu!AA13</f>
        <v>#N/A</v>
      </c>
      <c r="G21" s="173" t="e">
        <f ca="1">Calcu!AC13</f>
        <v>#N/A</v>
      </c>
    </row>
    <row r="22" spans="1:7" ht="15" customHeight="1">
      <c r="A22" s="44" t="str">
        <f>IF(Calcu!B14=TRUE,"","삭제")</f>
        <v>삭제</v>
      </c>
      <c r="B22" s="43"/>
      <c r="C22" s="43"/>
      <c r="F22" s="173" t="e">
        <f ca="1">Calcu!AA14</f>
        <v>#N/A</v>
      </c>
      <c r="G22" s="173" t="e">
        <f ca="1">Calcu!AC14</f>
        <v>#N/A</v>
      </c>
    </row>
    <row r="23" spans="1:7" ht="15" customHeight="1">
      <c r="A23" s="44" t="str">
        <f>IF(Calcu!B15=TRUE,"","삭제")</f>
        <v>삭제</v>
      </c>
      <c r="B23" s="43"/>
      <c r="C23" s="43"/>
      <c r="F23" s="173" t="e">
        <f ca="1">Calcu!AA15</f>
        <v>#N/A</v>
      </c>
      <c r="G23" s="173" t="e">
        <f ca="1">Calcu!AC15</f>
        <v>#N/A</v>
      </c>
    </row>
    <row r="24" spans="1:7" ht="15" customHeight="1">
      <c r="A24" s="44" t="str">
        <f>IF(Calcu!B16=TRUE,"","삭제")</f>
        <v>삭제</v>
      </c>
      <c r="B24" s="43"/>
      <c r="C24" s="43"/>
      <c r="F24" s="173" t="e">
        <f ca="1">Calcu!AA16</f>
        <v>#N/A</v>
      </c>
      <c r="G24" s="173" t="e">
        <f ca="1">Calcu!AC16</f>
        <v>#N/A</v>
      </c>
    </row>
    <row r="25" spans="1:7" ht="15" customHeight="1">
      <c r="A25" s="44" t="str">
        <f>IF(Calcu!B17=TRUE,"","삭제")</f>
        <v>삭제</v>
      </c>
      <c r="B25" s="43"/>
      <c r="C25" s="43"/>
      <c r="F25" s="173" t="e">
        <f ca="1">Calcu!AA17</f>
        <v>#N/A</v>
      </c>
      <c r="G25" s="173" t="e">
        <f ca="1">Calcu!AC17</f>
        <v>#N/A</v>
      </c>
    </row>
    <row r="26" spans="1:7" ht="15" customHeight="1">
      <c r="A26" s="44" t="str">
        <f>IF(Calcu!B18=TRUE,"","삭제")</f>
        <v>삭제</v>
      </c>
      <c r="B26" s="43"/>
      <c r="C26" s="43"/>
      <c r="F26" s="173" t="e">
        <f ca="1">Calcu!AA18</f>
        <v>#N/A</v>
      </c>
      <c r="G26" s="173" t="e">
        <f ca="1">Calcu!AC18</f>
        <v>#N/A</v>
      </c>
    </row>
    <row r="27" spans="1:7" ht="15" customHeight="1">
      <c r="A27" s="44" t="str">
        <f>IF(Calcu!B19=TRUE,"","삭제")</f>
        <v>삭제</v>
      </c>
      <c r="B27" s="43"/>
      <c r="C27" s="43"/>
      <c r="F27" s="173" t="e">
        <f ca="1">Calcu!AA19</f>
        <v>#N/A</v>
      </c>
      <c r="G27" s="173" t="e">
        <f ca="1">Calcu!AC19</f>
        <v>#N/A</v>
      </c>
    </row>
    <row r="28" spans="1:7" ht="15" customHeight="1">
      <c r="A28" s="44" t="str">
        <f>IF(Calcu!B20=TRUE,"","삭제")</f>
        <v>삭제</v>
      </c>
      <c r="B28" s="43"/>
      <c r="C28" s="43"/>
      <c r="F28" s="173" t="e">
        <f ca="1">Calcu!AA20</f>
        <v>#N/A</v>
      </c>
      <c r="G28" s="173" t="e">
        <f ca="1">Calcu!AC20</f>
        <v>#N/A</v>
      </c>
    </row>
    <row r="29" spans="1:7" ht="15" customHeight="1">
      <c r="A29" s="44" t="str">
        <f>IF(Calcu!B21=TRUE,"","삭제")</f>
        <v>삭제</v>
      </c>
      <c r="B29" s="43"/>
      <c r="C29" s="43"/>
      <c r="F29" s="173" t="e">
        <f ca="1">Calcu!AA21</f>
        <v>#N/A</v>
      </c>
      <c r="G29" s="173" t="e">
        <f ca="1">Calcu!AC21</f>
        <v>#N/A</v>
      </c>
    </row>
    <row r="30" spans="1:7" ht="15" customHeight="1">
      <c r="A30" s="44" t="str">
        <f>IF(Calcu!B22=TRUE,"","삭제")</f>
        <v>삭제</v>
      </c>
      <c r="B30" s="43"/>
      <c r="C30" s="43"/>
      <c r="F30" s="173" t="e">
        <f ca="1">Calcu!AA22</f>
        <v>#N/A</v>
      </c>
      <c r="G30" s="173" t="e">
        <f ca="1">Calcu!AC22</f>
        <v>#N/A</v>
      </c>
    </row>
    <row r="31" spans="1:7" ht="15" customHeight="1">
      <c r="A31" s="44" t="str">
        <f>IF(Calcu!B23=TRUE,"","삭제")</f>
        <v>삭제</v>
      </c>
      <c r="B31" s="43"/>
      <c r="C31" s="43"/>
      <c r="F31" s="173" t="e">
        <f ca="1">Calcu!AA23</f>
        <v>#N/A</v>
      </c>
      <c r="G31" s="173" t="e">
        <f ca="1">Calcu!AC23</f>
        <v>#N/A</v>
      </c>
    </row>
    <row r="32" spans="1:7" ht="15" customHeight="1">
      <c r="A32" s="44" t="str">
        <f>IF(Calcu!B24=TRUE,"","삭제")</f>
        <v>삭제</v>
      </c>
      <c r="B32" s="43"/>
      <c r="C32" s="43"/>
      <c r="F32" s="173" t="e">
        <f ca="1">Calcu!AA24</f>
        <v>#N/A</v>
      </c>
      <c r="G32" s="173" t="e">
        <f ca="1">Calcu!AC24</f>
        <v>#N/A</v>
      </c>
    </row>
    <row r="33" spans="1:10" ht="15" customHeight="1">
      <c r="A33" s="44" t="str">
        <f>IF(Calcu!B25=TRUE,"","삭제")</f>
        <v>삭제</v>
      </c>
      <c r="B33" s="43"/>
      <c r="C33" s="43"/>
      <c r="F33" s="173" t="e">
        <f ca="1">Calcu!AA25</f>
        <v>#N/A</v>
      </c>
      <c r="G33" s="173" t="e">
        <f ca="1">Calcu!AC25</f>
        <v>#N/A</v>
      </c>
    </row>
    <row r="34" spans="1:10" ht="15" customHeight="1">
      <c r="A34" s="44" t="str">
        <f>IF(Calcu!B26=TRUE,"","삭제")</f>
        <v>삭제</v>
      </c>
      <c r="B34" s="43"/>
      <c r="C34" s="43"/>
      <c r="F34" s="173" t="e">
        <f ca="1">Calcu!AA26</f>
        <v>#N/A</v>
      </c>
      <c r="G34" s="173" t="e">
        <f ca="1">Calcu!AC26</f>
        <v>#N/A</v>
      </c>
    </row>
    <row r="35" spans="1:10" ht="15" customHeight="1">
      <c r="A35" s="44" t="str">
        <f>IF(Calcu!B27=TRUE,"","삭제")</f>
        <v>삭제</v>
      </c>
      <c r="B35" s="43"/>
      <c r="C35" s="43"/>
      <c r="F35" s="173" t="e">
        <f ca="1">Calcu!AA27</f>
        <v>#N/A</v>
      </c>
      <c r="G35" s="173" t="e">
        <f ca="1">Calcu!AC27</f>
        <v>#N/A</v>
      </c>
    </row>
    <row r="36" spans="1:10" ht="15" customHeight="1">
      <c r="A36" s="44" t="str">
        <f>IF(Calcu!B28=TRUE,"","삭제")</f>
        <v>삭제</v>
      </c>
      <c r="B36" s="43"/>
      <c r="C36" s="43"/>
      <c r="F36" s="173" t="e">
        <f ca="1">Calcu!AA28</f>
        <v>#N/A</v>
      </c>
      <c r="G36" s="173" t="e">
        <f ca="1">Calcu!AC28</f>
        <v>#N/A</v>
      </c>
    </row>
    <row r="37" spans="1:10" ht="15" customHeight="1">
      <c r="A37" s="44" t="str">
        <f>IF(Calcu!B29=TRUE,"","삭제")</f>
        <v>삭제</v>
      </c>
      <c r="B37" s="43"/>
      <c r="C37" s="43"/>
      <c r="F37" s="173" t="e">
        <f ca="1">Calcu!AA29</f>
        <v>#N/A</v>
      </c>
      <c r="G37" s="173" t="e">
        <f ca="1">Calcu!AC29</f>
        <v>#N/A</v>
      </c>
    </row>
    <row r="38" spans="1:10" ht="15" customHeight="1">
      <c r="A38" s="44" t="str">
        <f>IF(Calcu!B30=TRUE,"","삭제")</f>
        <v>삭제</v>
      </c>
      <c r="B38" s="43"/>
      <c r="C38" s="43"/>
      <c r="F38" s="173" t="e">
        <f ca="1">Calcu!AA30</f>
        <v>#N/A</v>
      </c>
      <c r="G38" s="173" t="e">
        <f ca="1">Calcu!AC30</f>
        <v>#N/A</v>
      </c>
    </row>
    <row r="39" spans="1:10" ht="15" customHeight="1">
      <c r="A39" s="44" t="str">
        <f>IF(Calcu!B31=TRUE,"","삭제")</f>
        <v>삭제</v>
      </c>
      <c r="B39" s="43"/>
      <c r="C39" s="43"/>
      <c r="F39" s="173" t="e">
        <f ca="1">Calcu!AA31</f>
        <v>#N/A</v>
      </c>
      <c r="G39" s="173" t="e">
        <f ca="1">Calcu!AC31</f>
        <v>#N/A</v>
      </c>
    </row>
    <row r="40" spans="1:10" ht="15" customHeight="1">
      <c r="A40" s="44"/>
      <c r="F40" s="205"/>
      <c r="G40" s="205"/>
      <c r="H40" s="51"/>
    </row>
    <row r="41" spans="1:10" ht="15" customHeight="1">
      <c r="A41" s="44"/>
      <c r="F41" s="38" t="e">
        <f ca="1">"● 측정불확도 : "&amp;Calcu!T66</f>
        <v>#N/A</v>
      </c>
      <c r="G41" s="38"/>
      <c r="H41" s="38"/>
    </row>
    <row r="42" spans="1:10" ht="15" customHeight="1">
      <c r="A42" s="44"/>
      <c r="F42" s="53" t="e">
        <f ca="1">Calcu!E78</f>
        <v>#N/A</v>
      </c>
      <c r="G42" s="216" t="e">
        <f ca="1">Calcu!F78</f>
        <v>#N/A</v>
      </c>
      <c r="J42" s="50"/>
    </row>
    <row r="43" spans="1:10" ht="15" customHeight="1">
      <c r="F43" s="75"/>
      <c r="G43" s="75"/>
      <c r="H43" s="76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4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5" width="3.77734375" style="37" customWidth="1"/>
    <col min="6" max="7" width="20.77734375" style="37" customWidth="1"/>
    <col min="8" max="12" width="3.77734375" style="37" customWidth="1"/>
    <col min="13" max="16384" width="10.77734375" style="37"/>
  </cols>
  <sheetData>
    <row r="1" spans="1:12" s="82" customFormat="1" ht="33" customHeight="1">
      <c r="A1" s="370" t="s">
        <v>58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</row>
    <row r="2" spans="1:12" s="82" customFormat="1" ht="33" customHeight="1">
      <c r="A2" s="370"/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</row>
    <row r="3" spans="1:12" s="47" customFormat="1" ht="12.75" customHeight="1">
      <c r="A3" s="48" t="s">
        <v>57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81" t="str">
        <f>" 교   정   번   호(Calibration No) : "&amp;기본정보!H3</f>
        <v xml:space="preserve"> 교   정   번   호(Calibration No) : </v>
      </c>
      <c r="B4" s="92"/>
      <c r="C4" s="92"/>
      <c r="D4" s="81"/>
      <c r="E4" s="92"/>
      <c r="F4" s="80"/>
      <c r="G4" s="77"/>
      <c r="H4" s="79"/>
      <c r="I4" s="103"/>
      <c r="J4" s="78"/>
      <c r="K4" s="94"/>
      <c r="L4" s="77"/>
    </row>
    <row r="5" spans="1:12" s="36" customFormat="1" ht="15" customHeight="1"/>
    <row r="6" spans="1:12" ht="15" customHeight="1">
      <c r="F6" s="54" t="str">
        <f>"○ Description : "&amp;기본정보!C$5</f>
        <v xml:space="preserve">○ Description : </v>
      </c>
    </row>
    <row r="7" spans="1:12" ht="15" customHeight="1">
      <c r="F7" s="54" t="str">
        <f>"○ Manufacturer  : "&amp;기본정보!C$6</f>
        <v xml:space="preserve">○ Manufacturer  : </v>
      </c>
    </row>
    <row r="8" spans="1:12" ht="15" customHeight="1">
      <c r="F8" s="54" t="str">
        <f>"○ Model Name : "&amp;기본정보!C$7</f>
        <v xml:space="preserve">○ Model Name : </v>
      </c>
    </row>
    <row r="9" spans="1:12" ht="15" customHeight="1">
      <c r="F9" s="54" t="str">
        <f>"○ Serial Number : "&amp;기본정보!C$8</f>
        <v xml:space="preserve">○ Serial Number : </v>
      </c>
    </row>
    <row r="11" spans="1:12" ht="15" customHeight="1">
      <c r="F11" s="38" t="s">
        <v>103</v>
      </c>
    </row>
    <row r="12" spans="1:12" ht="15" customHeight="1">
      <c r="F12" s="54" t="str">
        <f>"○ Range : ("&amp;Calcu!K3&amp;" ~ "&amp;Calcu!M3&amp;") mm"</f>
        <v>○ Range : (0 ~ 0) mm</v>
      </c>
    </row>
    <row r="13" spans="1:12" ht="15" customHeight="1">
      <c r="A13" s="44"/>
      <c r="B13" s="44"/>
      <c r="C13" s="44"/>
      <c r="D13" s="44"/>
      <c r="E13" s="44"/>
      <c r="F13" s="54" t="str">
        <f ca="1">"○ Resolution : "&amp;Calcu!O3&amp;" mm"</f>
        <v>○ Resolution : 0 mm</v>
      </c>
    </row>
    <row r="14" spans="1:12" ht="15" customHeight="1">
      <c r="A14" s="44"/>
      <c r="B14" s="44"/>
      <c r="C14" s="44"/>
      <c r="D14" s="44"/>
      <c r="E14" s="44"/>
    </row>
    <row r="15" spans="1:12" ht="15" customHeight="1">
      <c r="A15" s="44"/>
      <c r="B15" s="44"/>
      <c r="C15" s="44"/>
      <c r="D15" s="43"/>
      <c r="E15" s="43"/>
      <c r="F15" s="221" t="s">
        <v>359</v>
      </c>
      <c r="G15" s="221" t="s">
        <v>360</v>
      </c>
    </row>
    <row r="16" spans="1:12" ht="15" customHeight="1">
      <c r="A16" s="44"/>
      <c r="B16" s="44"/>
      <c r="C16" s="44"/>
      <c r="D16" s="43"/>
      <c r="E16" s="43"/>
      <c r="F16" s="220" t="s">
        <v>240</v>
      </c>
      <c r="G16" s="220" t="s">
        <v>240</v>
      </c>
    </row>
    <row r="17" spans="1:7" ht="15" customHeight="1">
      <c r="A17" s="44" t="str">
        <f>IF(Calcu!B9=TRUE,"","삭제")</f>
        <v>삭제</v>
      </c>
      <c r="B17" s="43"/>
      <c r="C17" s="43"/>
      <c r="F17" s="173" t="e">
        <f ca="1">Calcu!AA9</f>
        <v>#N/A</v>
      </c>
      <c r="G17" s="173" t="e">
        <f ca="1">Calcu!AC9</f>
        <v>#N/A</v>
      </c>
    </row>
    <row r="18" spans="1:7" ht="15" customHeight="1">
      <c r="A18" s="44" t="str">
        <f>IF(Calcu!B10=TRUE,"","삭제")</f>
        <v>삭제</v>
      </c>
      <c r="B18" s="43"/>
      <c r="C18" s="43"/>
      <c r="F18" s="173" t="e">
        <f ca="1">Calcu!AA10</f>
        <v>#N/A</v>
      </c>
      <c r="G18" s="173" t="e">
        <f ca="1">Calcu!AC10</f>
        <v>#N/A</v>
      </c>
    </row>
    <row r="19" spans="1:7" ht="15" customHeight="1">
      <c r="A19" s="44" t="str">
        <f>IF(Calcu!B11=TRUE,"","삭제")</f>
        <v>삭제</v>
      </c>
      <c r="B19" s="43"/>
      <c r="C19" s="43"/>
      <c r="F19" s="173" t="e">
        <f ca="1">Calcu!AA11</f>
        <v>#N/A</v>
      </c>
      <c r="G19" s="173" t="e">
        <f ca="1">Calcu!AC11</f>
        <v>#N/A</v>
      </c>
    </row>
    <row r="20" spans="1:7" ht="15" customHeight="1">
      <c r="A20" s="44" t="str">
        <f>IF(Calcu!B12=TRUE,"","삭제")</f>
        <v>삭제</v>
      </c>
      <c r="B20" s="43"/>
      <c r="C20" s="43"/>
      <c r="F20" s="173" t="e">
        <f ca="1">Calcu!AA12</f>
        <v>#N/A</v>
      </c>
      <c r="G20" s="173" t="e">
        <f ca="1">Calcu!AC12</f>
        <v>#N/A</v>
      </c>
    </row>
    <row r="21" spans="1:7" ht="15" customHeight="1">
      <c r="A21" s="44" t="str">
        <f>IF(Calcu!B13=TRUE,"","삭제")</f>
        <v>삭제</v>
      </c>
      <c r="B21" s="43"/>
      <c r="C21" s="43"/>
      <c r="F21" s="173" t="e">
        <f ca="1">Calcu!AA13</f>
        <v>#N/A</v>
      </c>
      <c r="G21" s="173" t="e">
        <f ca="1">Calcu!AC13</f>
        <v>#N/A</v>
      </c>
    </row>
    <row r="22" spans="1:7" ht="15" customHeight="1">
      <c r="A22" s="44" t="str">
        <f>IF(Calcu!B14=TRUE,"","삭제")</f>
        <v>삭제</v>
      </c>
      <c r="B22" s="43"/>
      <c r="C22" s="43"/>
      <c r="F22" s="173" t="e">
        <f ca="1">Calcu!AA14</f>
        <v>#N/A</v>
      </c>
      <c r="G22" s="173" t="e">
        <f ca="1">Calcu!AC14</f>
        <v>#N/A</v>
      </c>
    </row>
    <row r="23" spans="1:7" ht="15" customHeight="1">
      <c r="A23" s="44" t="str">
        <f>IF(Calcu!B15=TRUE,"","삭제")</f>
        <v>삭제</v>
      </c>
      <c r="B23" s="43"/>
      <c r="C23" s="43"/>
      <c r="F23" s="173" t="e">
        <f ca="1">Calcu!AA15</f>
        <v>#N/A</v>
      </c>
      <c r="G23" s="173" t="e">
        <f ca="1">Calcu!AC15</f>
        <v>#N/A</v>
      </c>
    </row>
    <row r="24" spans="1:7" ht="15" customHeight="1">
      <c r="A24" s="44" t="str">
        <f>IF(Calcu!B16=TRUE,"","삭제")</f>
        <v>삭제</v>
      </c>
      <c r="B24" s="43"/>
      <c r="C24" s="43"/>
      <c r="F24" s="173" t="e">
        <f ca="1">Calcu!AA16</f>
        <v>#N/A</v>
      </c>
      <c r="G24" s="173" t="e">
        <f ca="1">Calcu!AC16</f>
        <v>#N/A</v>
      </c>
    </row>
    <row r="25" spans="1:7" ht="15" customHeight="1">
      <c r="A25" s="44" t="str">
        <f>IF(Calcu!B17=TRUE,"","삭제")</f>
        <v>삭제</v>
      </c>
      <c r="B25" s="43"/>
      <c r="C25" s="43"/>
      <c r="F25" s="173" t="e">
        <f ca="1">Calcu!AA17</f>
        <v>#N/A</v>
      </c>
      <c r="G25" s="173" t="e">
        <f ca="1">Calcu!AC17</f>
        <v>#N/A</v>
      </c>
    </row>
    <row r="26" spans="1:7" ht="15" customHeight="1">
      <c r="A26" s="44" t="str">
        <f>IF(Calcu!B18=TRUE,"","삭제")</f>
        <v>삭제</v>
      </c>
      <c r="B26" s="43"/>
      <c r="C26" s="43"/>
      <c r="F26" s="173" t="e">
        <f ca="1">Calcu!AA18</f>
        <v>#N/A</v>
      </c>
      <c r="G26" s="173" t="e">
        <f ca="1">Calcu!AC18</f>
        <v>#N/A</v>
      </c>
    </row>
    <row r="27" spans="1:7" ht="15" customHeight="1">
      <c r="A27" s="44" t="str">
        <f>IF(Calcu!B19=TRUE,"","삭제")</f>
        <v>삭제</v>
      </c>
      <c r="B27" s="43"/>
      <c r="C27" s="43"/>
      <c r="F27" s="173" t="e">
        <f ca="1">Calcu!AA19</f>
        <v>#N/A</v>
      </c>
      <c r="G27" s="173" t="e">
        <f ca="1">Calcu!AC19</f>
        <v>#N/A</v>
      </c>
    </row>
    <row r="28" spans="1:7" ht="15" customHeight="1">
      <c r="A28" s="44" t="str">
        <f>IF(Calcu!B20=TRUE,"","삭제")</f>
        <v>삭제</v>
      </c>
      <c r="B28" s="43"/>
      <c r="C28" s="43"/>
      <c r="F28" s="173" t="e">
        <f ca="1">Calcu!AA20</f>
        <v>#N/A</v>
      </c>
      <c r="G28" s="173" t="e">
        <f ca="1">Calcu!AC20</f>
        <v>#N/A</v>
      </c>
    </row>
    <row r="29" spans="1:7" ht="15" customHeight="1">
      <c r="A29" s="44" t="str">
        <f>IF(Calcu!B21=TRUE,"","삭제")</f>
        <v>삭제</v>
      </c>
      <c r="B29" s="43"/>
      <c r="C29" s="43"/>
      <c r="F29" s="173" t="e">
        <f ca="1">Calcu!AA21</f>
        <v>#N/A</v>
      </c>
      <c r="G29" s="173" t="e">
        <f ca="1">Calcu!AC21</f>
        <v>#N/A</v>
      </c>
    </row>
    <row r="30" spans="1:7" ht="15" customHeight="1">
      <c r="A30" s="44" t="str">
        <f>IF(Calcu!B22=TRUE,"","삭제")</f>
        <v>삭제</v>
      </c>
      <c r="B30" s="43"/>
      <c r="C30" s="43"/>
      <c r="F30" s="173" t="e">
        <f ca="1">Calcu!AA22</f>
        <v>#N/A</v>
      </c>
      <c r="G30" s="173" t="e">
        <f ca="1">Calcu!AC22</f>
        <v>#N/A</v>
      </c>
    </row>
    <row r="31" spans="1:7" ht="15" customHeight="1">
      <c r="A31" s="44" t="str">
        <f>IF(Calcu!B23=TRUE,"","삭제")</f>
        <v>삭제</v>
      </c>
      <c r="B31" s="43"/>
      <c r="C31" s="43"/>
      <c r="F31" s="173" t="e">
        <f ca="1">Calcu!AA23</f>
        <v>#N/A</v>
      </c>
      <c r="G31" s="173" t="e">
        <f ca="1">Calcu!AC23</f>
        <v>#N/A</v>
      </c>
    </row>
    <row r="32" spans="1:7" ht="15" customHeight="1">
      <c r="A32" s="44" t="str">
        <f>IF(Calcu!B24=TRUE,"","삭제")</f>
        <v>삭제</v>
      </c>
      <c r="B32" s="43"/>
      <c r="C32" s="43"/>
      <c r="F32" s="173" t="e">
        <f ca="1">Calcu!AA24</f>
        <v>#N/A</v>
      </c>
      <c r="G32" s="173" t="e">
        <f ca="1">Calcu!AC24</f>
        <v>#N/A</v>
      </c>
    </row>
    <row r="33" spans="1:11" ht="15" customHeight="1">
      <c r="A33" s="44" t="str">
        <f>IF(Calcu!B25=TRUE,"","삭제")</f>
        <v>삭제</v>
      </c>
      <c r="B33" s="43"/>
      <c r="C33" s="43"/>
      <c r="F33" s="173" t="e">
        <f ca="1">Calcu!AA25</f>
        <v>#N/A</v>
      </c>
      <c r="G33" s="173" t="e">
        <f ca="1">Calcu!AC25</f>
        <v>#N/A</v>
      </c>
    </row>
    <row r="34" spans="1:11" ht="15" customHeight="1">
      <c r="A34" s="44" t="str">
        <f>IF(Calcu!B26=TRUE,"","삭제")</f>
        <v>삭제</v>
      </c>
      <c r="B34" s="43"/>
      <c r="C34" s="43"/>
      <c r="F34" s="173" t="e">
        <f ca="1">Calcu!AA26</f>
        <v>#N/A</v>
      </c>
      <c r="G34" s="173" t="e">
        <f ca="1">Calcu!AC26</f>
        <v>#N/A</v>
      </c>
    </row>
    <row r="35" spans="1:11" ht="15" customHeight="1">
      <c r="A35" s="44" t="str">
        <f>IF(Calcu!B27=TRUE,"","삭제")</f>
        <v>삭제</v>
      </c>
      <c r="B35" s="43"/>
      <c r="C35" s="43"/>
      <c r="F35" s="173" t="e">
        <f ca="1">Calcu!AA27</f>
        <v>#N/A</v>
      </c>
      <c r="G35" s="173" t="e">
        <f ca="1">Calcu!AC27</f>
        <v>#N/A</v>
      </c>
    </row>
    <row r="36" spans="1:11" ht="15" customHeight="1">
      <c r="A36" s="44" t="str">
        <f>IF(Calcu!B28=TRUE,"","삭제")</f>
        <v>삭제</v>
      </c>
      <c r="B36" s="43"/>
      <c r="C36" s="43"/>
      <c r="F36" s="173" t="e">
        <f ca="1">Calcu!AA28</f>
        <v>#N/A</v>
      </c>
      <c r="G36" s="173" t="e">
        <f ca="1">Calcu!AC28</f>
        <v>#N/A</v>
      </c>
    </row>
    <row r="37" spans="1:11" ht="15" customHeight="1">
      <c r="A37" s="44" t="str">
        <f>IF(Calcu!B29=TRUE,"","삭제")</f>
        <v>삭제</v>
      </c>
      <c r="B37" s="43"/>
      <c r="C37" s="43"/>
      <c r="F37" s="173" t="e">
        <f ca="1">Calcu!AA29</f>
        <v>#N/A</v>
      </c>
      <c r="G37" s="173" t="e">
        <f ca="1">Calcu!AC29</f>
        <v>#N/A</v>
      </c>
    </row>
    <row r="38" spans="1:11" ht="15" customHeight="1">
      <c r="A38" s="44" t="str">
        <f>IF(Calcu!B30=TRUE,"","삭제")</f>
        <v>삭제</v>
      </c>
      <c r="B38" s="43"/>
      <c r="C38" s="43"/>
      <c r="F38" s="173" t="e">
        <f ca="1">Calcu!AA30</f>
        <v>#N/A</v>
      </c>
      <c r="G38" s="173" t="e">
        <f ca="1">Calcu!AC30</f>
        <v>#N/A</v>
      </c>
    </row>
    <row r="39" spans="1:11" ht="15" customHeight="1">
      <c r="A39" s="44" t="str">
        <f>IF(Calcu!B31=TRUE,"","삭제")</f>
        <v>삭제</v>
      </c>
      <c r="B39" s="43"/>
      <c r="C39" s="43"/>
      <c r="F39" s="173" t="e">
        <f ca="1">Calcu!AA31</f>
        <v>#N/A</v>
      </c>
      <c r="G39" s="173" t="e">
        <f ca="1">Calcu!AC31</f>
        <v>#N/A</v>
      </c>
    </row>
    <row r="40" spans="1:11" ht="15" customHeight="1">
      <c r="A40" s="44"/>
      <c r="B40" s="44"/>
      <c r="C40" s="44"/>
      <c r="F40" s="104"/>
      <c r="G40" s="104"/>
    </row>
    <row r="41" spans="1:11" ht="15" customHeight="1">
      <c r="A41" s="44"/>
      <c r="B41" s="44"/>
      <c r="C41" s="44"/>
      <c r="F41" s="38" t="e">
        <f ca="1">"● Measurement uncertainty : "&amp;Calcu!T66</f>
        <v>#N/A</v>
      </c>
      <c r="K41" s="50"/>
    </row>
    <row r="42" spans="1:11" ht="15" customHeight="1">
      <c r="A42" s="44"/>
      <c r="B42" s="44"/>
      <c r="C42" s="44"/>
      <c r="F42" s="53" t="e">
        <f ca="1">IF(Calcu!E76="사다리꼴","(Confidence level 95 %,","(Confidence level about 95 %,")</f>
        <v>#N/A</v>
      </c>
      <c r="G42" s="216" t="e">
        <f ca="1">Calcu!E77&amp;")"</f>
        <v>#N/A</v>
      </c>
      <c r="H42" s="53"/>
      <c r="I42" s="53"/>
      <c r="J42" s="50"/>
      <c r="K42" s="50"/>
    </row>
    <row r="43" spans="1:11" ht="15" customHeight="1">
      <c r="A43" s="44" t="e">
        <f ca="1">IF(Calcu!E76="사다리꼴","","삭제")</f>
        <v>#N/A</v>
      </c>
      <c r="B43" s="44"/>
      <c r="C43" s="44"/>
      <c r="F43" s="50" t="e">
        <f ca="1">IF(Calcu!E76="사다리꼴","※ Trapezoid probability distribution.","")</f>
        <v>#N/A</v>
      </c>
      <c r="G43" s="53"/>
      <c r="H43" s="53"/>
      <c r="I43" s="53"/>
      <c r="J43" s="50"/>
      <c r="K43" s="50"/>
    </row>
    <row r="44" spans="1:11" ht="15" customHeight="1">
      <c r="F44" s="75"/>
      <c r="G44" s="75"/>
      <c r="H44" s="76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60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5" width="1.77734375" style="37" hidden="1" customWidth="1"/>
    <col min="6" max="6" width="9.21875" style="37" customWidth="1"/>
    <col min="7" max="7" width="4.44140625" style="37" bestFit="1" customWidth="1"/>
    <col min="8" max="8" width="8.77734375" style="37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5.21875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369" t="s">
        <v>450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17" s="47" customFormat="1" ht="33" customHeight="1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17" s="47" customFormat="1" ht="12.75" customHeight="1">
      <c r="A3" s="48" t="s">
        <v>57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  <c r="M3" s="22"/>
    </row>
    <row r="4" spans="1:17" s="49" customFormat="1" ht="13.5" customHeight="1">
      <c r="A4" s="92" t="str">
        <f>" 교   정   번   호(Calibration No) : "&amp;기본정보!H3</f>
        <v xml:space="preserve"> 교   정   번   호(Calibration No) : </v>
      </c>
      <c r="B4" s="92"/>
      <c r="C4" s="92"/>
      <c r="D4" s="92"/>
      <c r="E4" s="92"/>
      <c r="F4" s="93"/>
      <c r="G4" s="93"/>
      <c r="H4" s="93"/>
      <c r="I4" s="93"/>
      <c r="J4" s="93"/>
      <c r="K4" s="103"/>
      <c r="L4" s="94"/>
      <c r="M4" s="102"/>
      <c r="N4" s="102"/>
      <c r="O4" s="102"/>
      <c r="P4" s="102"/>
      <c r="Q4" s="102"/>
    </row>
    <row r="5" spans="1:17" s="36" customFormat="1" ht="15" customHeight="1"/>
    <row r="6" spans="1:17" ht="15" customHeight="1">
      <c r="F6" s="54" t="str">
        <f>"○ 품명 : "&amp;기본정보!C$5</f>
        <v xml:space="preserve">○ 품명 : </v>
      </c>
      <c r="G6" s="54"/>
    </row>
    <row r="7" spans="1:17" ht="15" customHeight="1">
      <c r="F7" s="54" t="str">
        <f>"○ 제작회사 : "&amp;기본정보!C$6</f>
        <v xml:space="preserve">○ 제작회사 : </v>
      </c>
      <c r="G7" s="54"/>
    </row>
    <row r="8" spans="1:17" ht="15" customHeight="1">
      <c r="F8" s="54" t="str">
        <f>"○ 형식 : "&amp;기본정보!C$7</f>
        <v xml:space="preserve">○ 형식 : </v>
      </c>
      <c r="G8" s="54"/>
    </row>
    <row r="9" spans="1:17" ht="15" customHeight="1">
      <c r="F9" s="54" t="str">
        <f>"○ 기기번호 : "&amp;기본정보!C$8</f>
        <v xml:space="preserve">○ 기기번호 : </v>
      </c>
      <c r="G9" s="54"/>
    </row>
    <row r="11" spans="1:17" ht="15" customHeight="1">
      <c r="F11" s="38" t="s">
        <v>105</v>
      </c>
      <c r="G11" s="38"/>
    </row>
    <row r="12" spans="1:17" ht="15" customHeight="1">
      <c r="F12" s="54" t="str">
        <f>"○ 교정범위 : ("&amp;Calcu!K3&amp;" ~ "&amp;Calcu!M3&amp;") mm"</f>
        <v>○ 교정범위 : (0 ~ 0) mm</v>
      </c>
      <c r="G12" s="54"/>
    </row>
    <row r="13" spans="1:17" ht="15" customHeight="1">
      <c r="A13" s="44"/>
      <c r="C13" s="44"/>
      <c r="D13" s="44"/>
      <c r="E13" s="44"/>
      <c r="F13" s="54" t="str">
        <f ca="1">"○ 최소눈금 : "&amp;Calcu!O3&amp;" mm"</f>
        <v>○ 최소눈금 : 0 mm</v>
      </c>
      <c r="G13" s="54"/>
    </row>
    <row r="14" spans="1:17" ht="15" customHeight="1">
      <c r="A14" s="44"/>
      <c r="B14" s="44"/>
      <c r="C14" s="44"/>
      <c r="D14" s="44"/>
      <c r="E14" s="44"/>
    </row>
    <row r="15" spans="1:17" s="279" customFormat="1" ht="15" customHeight="1">
      <c r="B15" s="376"/>
      <c r="C15" s="378"/>
      <c r="D15" s="378"/>
      <c r="E15" s="378"/>
      <c r="F15" s="380" t="s">
        <v>451</v>
      </c>
      <c r="G15" s="382" t="s">
        <v>452</v>
      </c>
      <c r="H15" s="384" t="s">
        <v>453</v>
      </c>
      <c r="I15" s="386"/>
      <c r="J15" s="387" t="s">
        <v>454</v>
      </c>
      <c r="K15" s="387"/>
      <c r="L15" s="387"/>
      <c r="M15" s="371" t="s">
        <v>455</v>
      </c>
      <c r="N15" s="371"/>
      <c r="O15" s="371"/>
      <c r="P15" s="372"/>
      <c r="Q15" s="374" t="s">
        <v>456</v>
      </c>
    </row>
    <row r="16" spans="1:17" s="280" customFormat="1" ht="22.5">
      <c r="B16" s="377"/>
      <c r="C16" s="379"/>
      <c r="D16" s="379"/>
      <c r="E16" s="379"/>
      <c r="F16" s="381"/>
      <c r="G16" s="383"/>
      <c r="H16" s="385"/>
      <c r="I16" s="379"/>
      <c r="J16" s="293" t="s">
        <v>461</v>
      </c>
      <c r="K16" s="294" t="s">
        <v>462</v>
      </c>
      <c r="L16" s="294" t="s">
        <v>463</v>
      </c>
      <c r="M16" s="293" t="s">
        <v>461</v>
      </c>
      <c r="N16" s="294" t="s">
        <v>462</v>
      </c>
      <c r="O16" s="294" t="s">
        <v>463</v>
      </c>
      <c r="P16" s="373"/>
      <c r="Q16" s="375"/>
    </row>
    <row r="17" spans="1:17" ht="15" customHeight="1">
      <c r="A17" s="44" t="str">
        <f>IF(Calcu!B9=TRUE,"","삭제")</f>
        <v>삭제</v>
      </c>
      <c r="B17" s="43"/>
      <c r="C17" s="43"/>
      <c r="D17" s="43"/>
      <c r="E17" s="43"/>
      <c r="F17" s="51" t="e">
        <f ca="1">IF(Calcu_ADJ!B9=FALSE,Calcu!AA9,Calcu_ADJ!AA9)</f>
        <v>#N/A</v>
      </c>
      <c r="G17" s="51" t="s">
        <v>186</v>
      </c>
      <c r="H17" s="51" t="e">
        <f ca="1">IF(Calcu_ADJ!B9=FALSE,Calcu!AD9,Calcu_ADJ!AD9)</f>
        <v>#N/A</v>
      </c>
      <c r="J17" s="37" t="e">
        <f ca="1">Calcu!AB9</f>
        <v>#N/A</v>
      </c>
      <c r="K17" s="37" t="e">
        <f ca="1">Calcu!AC9</f>
        <v>#N/A</v>
      </c>
      <c r="L17" s="37" t="str">
        <f>LEFT(Calcu!AE9,1)</f>
        <v/>
      </c>
      <c r="M17" s="37" t="str">
        <f>IF(Calcu_ADJ!B9=FALSE,"-",Calcu_ADJ!AB9)</f>
        <v>-</v>
      </c>
      <c r="N17" s="37" t="str">
        <f>IF(Calcu_ADJ!B9=FALSE,"-",Calcu_ADJ!AC9)</f>
        <v>-</v>
      </c>
      <c r="O17" s="37" t="str">
        <f>IF(Calcu_ADJ!B9=FALSE,"-",LEFT(Calcu_ADJ!AE9,1))</f>
        <v>-</v>
      </c>
      <c r="Q17" s="37" t="e">
        <f ca="1">IF(Calcu_ADJ!B9=FALSE,Calcu!AF9,Calcu_ADJ!AF9)</f>
        <v>#N/A</v>
      </c>
    </row>
    <row r="18" spans="1:17" ht="15" customHeight="1">
      <c r="A18" s="44" t="str">
        <f>IF(Calcu!B10=TRUE,"","삭제")</f>
        <v>삭제</v>
      </c>
      <c r="B18" s="43"/>
      <c r="C18" s="43"/>
      <c r="D18" s="43"/>
      <c r="E18" s="43"/>
      <c r="F18" s="51" t="e">
        <f ca="1">IF(Calcu_ADJ!B10=FALSE,Calcu!AA10,Calcu_ADJ!AA10)</f>
        <v>#N/A</v>
      </c>
      <c r="G18" s="51" t="s">
        <v>186</v>
      </c>
      <c r="H18" s="51" t="e">
        <f ca="1">IF(Calcu_ADJ!B10=FALSE,Calcu!AD10,Calcu_ADJ!AD10)</f>
        <v>#N/A</v>
      </c>
      <c r="J18" s="37" t="e">
        <f ca="1">Calcu!AB10</f>
        <v>#N/A</v>
      </c>
      <c r="K18" s="37" t="e">
        <f ca="1">Calcu!AC10</f>
        <v>#N/A</v>
      </c>
      <c r="L18" s="37" t="str">
        <f>LEFT(Calcu!AE10,1)</f>
        <v/>
      </c>
      <c r="M18" s="37" t="str">
        <f>IF(Calcu_ADJ!B10=FALSE,"-",Calcu_ADJ!AB10)</f>
        <v>-</v>
      </c>
      <c r="N18" s="37" t="str">
        <f>IF(Calcu_ADJ!B10=FALSE,"-",Calcu_ADJ!AC10)</f>
        <v>-</v>
      </c>
      <c r="O18" s="37" t="str">
        <f>IF(Calcu_ADJ!B10=FALSE,"-",LEFT(Calcu_ADJ!AE10,1))</f>
        <v>-</v>
      </c>
      <c r="Q18" s="37" t="e">
        <f ca="1">IF(Calcu_ADJ!B10=FALSE,Calcu!AF10,Calcu_ADJ!AF10)</f>
        <v>#N/A</v>
      </c>
    </row>
    <row r="19" spans="1:17" ht="15" customHeight="1">
      <c r="A19" s="44" t="str">
        <f>IF(Calcu!B11=TRUE,"","삭제")</f>
        <v>삭제</v>
      </c>
      <c r="B19" s="43"/>
      <c r="C19" s="43"/>
      <c r="D19" s="43"/>
      <c r="E19" s="43"/>
      <c r="F19" s="51" t="e">
        <f ca="1">IF(Calcu_ADJ!B11=FALSE,Calcu!AA11,Calcu_ADJ!AA11)</f>
        <v>#N/A</v>
      </c>
      <c r="G19" s="51" t="s">
        <v>186</v>
      </c>
      <c r="H19" s="51" t="e">
        <f ca="1">IF(Calcu_ADJ!B11=FALSE,Calcu!AD11,Calcu_ADJ!AD11)</f>
        <v>#N/A</v>
      </c>
      <c r="J19" s="37" t="e">
        <f ca="1">Calcu!AB11</f>
        <v>#N/A</v>
      </c>
      <c r="K19" s="37" t="e">
        <f ca="1">Calcu!AC11</f>
        <v>#N/A</v>
      </c>
      <c r="L19" s="37" t="str">
        <f>LEFT(Calcu!AE11,1)</f>
        <v/>
      </c>
      <c r="M19" s="37" t="str">
        <f>IF(Calcu_ADJ!B11=FALSE,"-",Calcu_ADJ!AB11)</f>
        <v>-</v>
      </c>
      <c r="N19" s="37" t="str">
        <f>IF(Calcu_ADJ!B11=FALSE,"-",Calcu_ADJ!AC11)</f>
        <v>-</v>
      </c>
      <c r="O19" s="37" t="str">
        <f>IF(Calcu_ADJ!B11=FALSE,"-",LEFT(Calcu_ADJ!AE11,1))</f>
        <v>-</v>
      </c>
      <c r="Q19" s="37" t="e">
        <f ca="1">IF(Calcu_ADJ!B11=FALSE,Calcu!AF11,Calcu_ADJ!AF11)</f>
        <v>#N/A</v>
      </c>
    </row>
    <row r="20" spans="1:17" ht="15" customHeight="1">
      <c r="A20" s="44" t="str">
        <f>IF(Calcu!B12=TRUE,"","삭제")</f>
        <v>삭제</v>
      </c>
      <c r="B20" s="43"/>
      <c r="C20" s="43"/>
      <c r="D20" s="43"/>
      <c r="E20" s="43"/>
      <c r="F20" s="51" t="e">
        <f ca="1">IF(Calcu_ADJ!B12=FALSE,Calcu!AA12,Calcu_ADJ!AA12)</f>
        <v>#N/A</v>
      </c>
      <c r="G20" s="51" t="s">
        <v>186</v>
      </c>
      <c r="H20" s="51" t="e">
        <f ca="1">IF(Calcu_ADJ!B12=FALSE,Calcu!AD12,Calcu_ADJ!AD12)</f>
        <v>#N/A</v>
      </c>
      <c r="J20" s="37" t="e">
        <f ca="1">Calcu!AB12</f>
        <v>#N/A</v>
      </c>
      <c r="K20" s="37" t="e">
        <f ca="1">Calcu!AC12</f>
        <v>#N/A</v>
      </c>
      <c r="L20" s="37" t="str">
        <f>LEFT(Calcu!AE12,1)</f>
        <v/>
      </c>
      <c r="M20" s="37" t="str">
        <f>IF(Calcu_ADJ!B12=FALSE,"-",Calcu_ADJ!AB12)</f>
        <v>-</v>
      </c>
      <c r="N20" s="37" t="str">
        <f>IF(Calcu_ADJ!B12=FALSE,"-",Calcu_ADJ!AC12)</f>
        <v>-</v>
      </c>
      <c r="O20" s="37" t="str">
        <f>IF(Calcu_ADJ!B12=FALSE,"-",LEFT(Calcu_ADJ!AE12,1))</f>
        <v>-</v>
      </c>
      <c r="Q20" s="37" t="e">
        <f ca="1">IF(Calcu_ADJ!B12=FALSE,Calcu!AF12,Calcu_ADJ!AF12)</f>
        <v>#N/A</v>
      </c>
    </row>
    <row r="21" spans="1:17" ht="15" customHeight="1">
      <c r="A21" s="44" t="str">
        <f>IF(Calcu!B13=TRUE,"","삭제")</f>
        <v>삭제</v>
      </c>
      <c r="B21" s="43"/>
      <c r="C21" s="43"/>
      <c r="D21" s="43"/>
      <c r="E21" s="43"/>
      <c r="F21" s="51" t="e">
        <f ca="1">IF(Calcu_ADJ!B13=FALSE,Calcu!AA13,Calcu_ADJ!AA13)</f>
        <v>#N/A</v>
      </c>
      <c r="G21" s="51" t="s">
        <v>186</v>
      </c>
      <c r="H21" s="51" t="e">
        <f ca="1">IF(Calcu_ADJ!B13=FALSE,Calcu!AD13,Calcu_ADJ!AD13)</f>
        <v>#N/A</v>
      </c>
      <c r="J21" s="37" t="e">
        <f ca="1">Calcu!AB13</f>
        <v>#N/A</v>
      </c>
      <c r="K21" s="37" t="e">
        <f ca="1">Calcu!AC13</f>
        <v>#N/A</v>
      </c>
      <c r="L21" s="37" t="str">
        <f>LEFT(Calcu!AE13,1)</f>
        <v/>
      </c>
      <c r="M21" s="37" t="str">
        <f>IF(Calcu_ADJ!B13=FALSE,"-",Calcu_ADJ!AB13)</f>
        <v>-</v>
      </c>
      <c r="N21" s="37" t="str">
        <f>IF(Calcu_ADJ!B13=FALSE,"-",Calcu_ADJ!AC13)</f>
        <v>-</v>
      </c>
      <c r="O21" s="37" t="str">
        <f>IF(Calcu_ADJ!B13=FALSE,"-",LEFT(Calcu_ADJ!AE13,1))</f>
        <v>-</v>
      </c>
      <c r="Q21" s="37" t="e">
        <f ca="1">IF(Calcu_ADJ!B13=FALSE,Calcu!AF13,Calcu_ADJ!AF13)</f>
        <v>#N/A</v>
      </c>
    </row>
    <row r="22" spans="1:17" ht="15" customHeight="1">
      <c r="A22" s="44" t="str">
        <f>IF(Calcu!B14=TRUE,"","삭제")</f>
        <v>삭제</v>
      </c>
      <c r="B22" s="43"/>
      <c r="C22" s="43"/>
      <c r="D22" s="43"/>
      <c r="E22" s="43"/>
      <c r="F22" s="51" t="e">
        <f ca="1">IF(Calcu_ADJ!B14=FALSE,Calcu!AA14,Calcu_ADJ!AA14)</f>
        <v>#N/A</v>
      </c>
      <c r="G22" s="51" t="s">
        <v>186</v>
      </c>
      <c r="H22" s="51" t="e">
        <f ca="1">IF(Calcu_ADJ!B14=FALSE,Calcu!AD14,Calcu_ADJ!AD14)</f>
        <v>#N/A</v>
      </c>
      <c r="J22" s="37" t="e">
        <f ca="1">Calcu!AB14</f>
        <v>#N/A</v>
      </c>
      <c r="K22" s="37" t="e">
        <f ca="1">Calcu!AC14</f>
        <v>#N/A</v>
      </c>
      <c r="L22" s="37" t="str">
        <f>LEFT(Calcu!AE14,1)</f>
        <v/>
      </c>
      <c r="M22" s="37" t="str">
        <f>IF(Calcu_ADJ!B14=FALSE,"-",Calcu_ADJ!AB14)</f>
        <v>-</v>
      </c>
      <c r="N22" s="37" t="str">
        <f>IF(Calcu_ADJ!B14=FALSE,"-",Calcu_ADJ!AC14)</f>
        <v>-</v>
      </c>
      <c r="O22" s="37" t="str">
        <f>IF(Calcu_ADJ!B14=FALSE,"-",LEFT(Calcu_ADJ!AE14,1))</f>
        <v>-</v>
      </c>
      <c r="Q22" s="37" t="e">
        <f ca="1">IF(Calcu_ADJ!B14=FALSE,Calcu!AF14,Calcu_ADJ!AF14)</f>
        <v>#N/A</v>
      </c>
    </row>
    <row r="23" spans="1:17" ht="15" customHeight="1">
      <c r="A23" s="44" t="str">
        <f>IF(Calcu!B15=TRUE,"","삭제")</f>
        <v>삭제</v>
      </c>
      <c r="B23" s="43"/>
      <c r="C23" s="43"/>
      <c r="D23" s="43"/>
      <c r="E23" s="43"/>
      <c r="F23" s="51" t="e">
        <f ca="1">IF(Calcu_ADJ!B15=FALSE,Calcu!AA15,Calcu_ADJ!AA15)</f>
        <v>#N/A</v>
      </c>
      <c r="G23" s="51" t="s">
        <v>186</v>
      </c>
      <c r="H23" s="51" t="e">
        <f ca="1">IF(Calcu_ADJ!B15=FALSE,Calcu!AD15,Calcu_ADJ!AD15)</f>
        <v>#N/A</v>
      </c>
      <c r="J23" s="37" t="e">
        <f ca="1">Calcu!AB15</f>
        <v>#N/A</v>
      </c>
      <c r="K23" s="37" t="e">
        <f ca="1">Calcu!AC15</f>
        <v>#N/A</v>
      </c>
      <c r="L23" s="37" t="str">
        <f>LEFT(Calcu!AE15,1)</f>
        <v/>
      </c>
      <c r="M23" s="37" t="str">
        <f>IF(Calcu_ADJ!B15=FALSE,"-",Calcu_ADJ!AB15)</f>
        <v>-</v>
      </c>
      <c r="N23" s="37" t="str">
        <f>IF(Calcu_ADJ!B15=FALSE,"-",Calcu_ADJ!AC15)</f>
        <v>-</v>
      </c>
      <c r="O23" s="37" t="str">
        <f>IF(Calcu_ADJ!B15=FALSE,"-",LEFT(Calcu_ADJ!AE15,1))</f>
        <v>-</v>
      </c>
      <c r="Q23" s="37" t="e">
        <f ca="1">IF(Calcu_ADJ!B15=FALSE,Calcu!AF15,Calcu_ADJ!AF15)</f>
        <v>#N/A</v>
      </c>
    </row>
    <row r="24" spans="1:17" ht="15" customHeight="1">
      <c r="A24" s="44" t="str">
        <f>IF(Calcu!B16=TRUE,"","삭제")</f>
        <v>삭제</v>
      </c>
      <c r="B24" s="43"/>
      <c r="C24" s="43"/>
      <c r="D24" s="43"/>
      <c r="E24" s="43"/>
      <c r="F24" s="51" t="e">
        <f ca="1">IF(Calcu_ADJ!B16=FALSE,Calcu!AA16,Calcu_ADJ!AA16)</f>
        <v>#N/A</v>
      </c>
      <c r="G24" s="51" t="s">
        <v>186</v>
      </c>
      <c r="H24" s="51" t="e">
        <f ca="1">IF(Calcu_ADJ!B16=FALSE,Calcu!AD16,Calcu_ADJ!AD16)</f>
        <v>#N/A</v>
      </c>
      <c r="J24" s="37" t="e">
        <f ca="1">Calcu!AB16</f>
        <v>#N/A</v>
      </c>
      <c r="K24" s="37" t="e">
        <f ca="1">Calcu!AC16</f>
        <v>#N/A</v>
      </c>
      <c r="L24" s="37" t="str">
        <f>LEFT(Calcu!AE16,1)</f>
        <v/>
      </c>
      <c r="M24" s="37" t="str">
        <f>IF(Calcu_ADJ!B16=FALSE,"-",Calcu_ADJ!AB16)</f>
        <v>-</v>
      </c>
      <c r="N24" s="37" t="str">
        <f>IF(Calcu_ADJ!B16=FALSE,"-",Calcu_ADJ!AC16)</f>
        <v>-</v>
      </c>
      <c r="O24" s="37" t="str">
        <f>IF(Calcu_ADJ!B16=FALSE,"-",LEFT(Calcu_ADJ!AE16,1))</f>
        <v>-</v>
      </c>
      <c r="Q24" s="37" t="e">
        <f ca="1">IF(Calcu_ADJ!B16=FALSE,Calcu!AF16,Calcu_ADJ!AF16)</f>
        <v>#N/A</v>
      </c>
    </row>
    <row r="25" spans="1:17" ht="15" customHeight="1">
      <c r="A25" s="44" t="str">
        <f>IF(Calcu!B17=TRUE,"","삭제")</f>
        <v>삭제</v>
      </c>
      <c r="B25" s="43"/>
      <c r="C25" s="43"/>
      <c r="D25" s="43"/>
      <c r="E25" s="43"/>
      <c r="F25" s="51" t="e">
        <f ca="1">IF(Calcu_ADJ!B17=FALSE,Calcu!AA17,Calcu_ADJ!AA17)</f>
        <v>#N/A</v>
      </c>
      <c r="G25" s="51" t="s">
        <v>186</v>
      </c>
      <c r="H25" s="51" t="e">
        <f ca="1">IF(Calcu_ADJ!B17=FALSE,Calcu!AD17,Calcu_ADJ!AD17)</f>
        <v>#N/A</v>
      </c>
      <c r="J25" s="37" t="e">
        <f ca="1">Calcu!AB17</f>
        <v>#N/A</v>
      </c>
      <c r="K25" s="37" t="e">
        <f ca="1">Calcu!AC17</f>
        <v>#N/A</v>
      </c>
      <c r="L25" s="37" t="str">
        <f>LEFT(Calcu!AE17,1)</f>
        <v/>
      </c>
      <c r="M25" s="37" t="str">
        <f>IF(Calcu_ADJ!B17=FALSE,"-",Calcu_ADJ!AB17)</f>
        <v>-</v>
      </c>
      <c r="N25" s="37" t="str">
        <f>IF(Calcu_ADJ!B17=FALSE,"-",Calcu_ADJ!AC17)</f>
        <v>-</v>
      </c>
      <c r="O25" s="37" t="str">
        <f>IF(Calcu_ADJ!B17=FALSE,"-",LEFT(Calcu_ADJ!AE17,1))</f>
        <v>-</v>
      </c>
      <c r="Q25" s="37" t="e">
        <f ca="1">IF(Calcu_ADJ!B17=FALSE,Calcu!AF17,Calcu_ADJ!AF17)</f>
        <v>#N/A</v>
      </c>
    </row>
    <row r="26" spans="1:17" ht="15" customHeight="1">
      <c r="A26" s="44" t="str">
        <f>IF(Calcu!B18=TRUE,"","삭제")</f>
        <v>삭제</v>
      </c>
      <c r="B26" s="43"/>
      <c r="C26" s="43"/>
      <c r="D26" s="43"/>
      <c r="E26" s="43"/>
      <c r="F26" s="51" t="e">
        <f ca="1">IF(Calcu_ADJ!B18=FALSE,Calcu!AA18,Calcu_ADJ!AA18)</f>
        <v>#N/A</v>
      </c>
      <c r="G26" s="51" t="s">
        <v>186</v>
      </c>
      <c r="H26" s="51" t="e">
        <f ca="1">IF(Calcu_ADJ!B18=FALSE,Calcu!AD18,Calcu_ADJ!AD18)</f>
        <v>#N/A</v>
      </c>
      <c r="J26" s="37" t="e">
        <f ca="1">Calcu!AB18</f>
        <v>#N/A</v>
      </c>
      <c r="K26" s="37" t="e">
        <f ca="1">Calcu!AC18</f>
        <v>#N/A</v>
      </c>
      <c r="L26" s="37" t="str">
        <f>LEFT(Calcu!AE18,1)</f>
        <v/>
      </c>
      <c r="M26" s="37" t="str">
        <f>IF(Calcu_ADJ!B18=FALSE,"-",Calcu_ADJ!AB18)</f>
        <v>-</v>
      </c>
      <c r="N26" s="37" t="str">
        <f>IF(Calcu_ADJ!B18=FALSE,"-",Calcu_ADJ!AC18)</f>
        <v>-</v>
      </c>
      <c r="O26" s="37" t="str">
        <f>IF(Calcu_ADJ!B18=FALSE,"-",LEFT(Calcu_ADJ!AE18,1))</f>
        <v>-</v>
      </c>
      <c r="Q26" s="37" t="e">
        <f ca="1">IF(Calcu_ADJ!B18=FALSE,Calcu!AF18,Calcu_ADJ!AF18)</f>
        <v>#N/A</v>
      </c>
    </row>
    <row r="27" spans="1:17" ht="15" customHeight="1">
      <c r="A27" s="44" t="str">
        <f>IF(Calcu!B19=TRUE,"","삭제")</f>
        <v>삭제</v>
      </c>
      <c r="B27" s="43"/>
      <c r="C27" s="43"/>
      <c r="D27" s="43"/>
      <c r="E27" s="43"/>
      <c r="F27" s="51" t="e">
        <f ca="1">IF(Calcu_ADJ!B19=FALSE,Calcu!AA19,Calcu_ADJ!AA19)</f>
        <v>#N/A</v>
      </c>
      <c r="G27" s="51" t="s">
        <v>186</v>
      </c>
      <c r="H27" s="51" t="e">
        <f ca="1">IF(Calcu_ADJ!B19=FALSE,Calcu!AD19,Calcu_ADJ!AD19)</f>
        <v>#N/A</v>
      </c>
      <c r="J27" s="37" t="e">
        <f ca="1">Calcu!AB19</f>
        <v>#N/A</v>
      </c>
      <c r="K27" s="37" t="e">
        <f ca="1">Calcu!AC19</f>
        <v>#N/A</v>
      </c>
      <c r="L27" s="37" t="str">
        <f>LEFT(Calcu!AE19,1)</f>
        <v/>
      </c>
      <c r="M27" s="37" t="str">
        <f>IF(Calcu_ADJ!B19=FALSE,"-",Calcu_ADJ!AB19)</f>
        <v>-</v>
      </c>
      <c r="N27" s="37" t="str">
        <f>IF(Calcu_ADJ!B19=FALSE,"-",Calcu_ADJ!AC19)</f>
        <v>-</v>
      </c>
      <c r="O27" s="37" t="str">
        <f>IF(Calcu_ADJ!B19=FALSE,"-",LEFT(Calcu_ADJ!AE19,1))</f>
        <v>-</v>
      </c>
      <c r="Q27" s="37" t="e">
        <f ca="1">IF(Calcu_ADJ!B19=FALSE,Calcu!AF19,Calcu_ADJ!AF19)</f>
        <v>#N/A</v>
      </c>
    </row>
    <row r="28" spans="1:17" ht="15" customHeight="1">
      <c r="A28" s="44" t="str">
        <f>IF(Calcu!B20=TRUE,"","삭제")</f>
        <v>삭제</v>
      </c>
      <c r="B28" s="43"/>
      <c r="C28" s="43"/>
      <c r="D28" s="43"/>
      <c r="E28" s="43"/>
      <c r="F28" s="51" t="e">
        <f ca="1">IF(Calcu_ADJ!B20=FALSE,Calcu!AA20,Calcu_ADJ!AA20)</f>
        <v>#N/A</v>
      </c>
      <c r="G28" s="51" t="s">
        <v>186</v>
      </c>
      <c r="H28" s="51" t="e">
        <f ca="1">IF(Calcu_ADJ!B20=FALSE,Calcu!AD20,Calcu_ADJ!AD20)</f>
        <v>#N/A</v>
      </c>
      <c r="J28" s="37" t="e">
        <f ca="1">Calcu!AB20</f>
        <v>#N/A</v>
      </c>
      <c r="K28" s="37" t="e">
        <f ca="1">Calcu!AC20</f>
        <v>#N/A</v>
      </c>
      <c r="L28" s="37" t="str">
        <f>LEFT(Calcu!AE20,1)</f>
        <v/>
      </c>
      <c r="M28" s="37" t="str">
        <f>IF(Calcu_ADJ!B20=FALSE,"-",Calcu_ADJ!AB20)</f>
        <v>-</v>
      </c>
      <c r="N28" s="37" t="str">
        <f>IF(Calcu_ADJ!B20=FALSE,"-",Calcu_ADJ!AC20)</f>
        <v>-</v>
      </c>
      <c r="O28" s="37" t="str">
        <f>IF(Calcu_ADJ!B20=FALSE,"-",LEFT(Calcu_ADJ!AE20,1))</f>
        <v>-</v>
      </c>
      <c r="Q28" s="37" t="e">
        <f ca="1">IF(Calcu_ADJ!B20=FALSE,Calcu!AF20,Calcu_ADJ!AF20)</f>
        <v>#N/A</v>
      </c>
    </row>
    <row r="29" spans="1:17" ht="15" customHeight="1">
      <c r="A29" s="44" t="str">
        <f>IF(Calcu!B21=TRUE,"","삭제")</f>
        <v>삭제</v>
      </c>
      <c r="B29" s="43"/>
      <c r="C29" s="43"/>
      <c r="D29" s="43"/>
      <c r="E29" s="43"/>
      <c r="F29" s="51" t="e">
        <f ca="1">IF(Calcu_ADJ!B21=FALSE,Calcu!AA21,Calcu_ADJ!AA21)</f>
        <v>#N/A</v>
      </c>
      <c r="G29" s="51" t="s">
        <v>186</v>
      </c>
      <c r="H29" s="51" t="e">
        <f ca="1">IF(Calcu_ADJ!B21=FALSE,Calcu!AD21,Calcu_ADJ!AD21)</f>
        <v>#N/A</v>
      </c>
      <c r="J29" s="37" t="e">
        <f ca="1">Calcu!AB21</f>
        <v>#N/A</v>
      </c>
      <c r="K29" s="37" t="e">
        <f ca="1">Calcu!AC21</f>
        <v>#N/A</v>
      </c>
      <c r="L29" s="37" t="str">
        <f>LEFT(Calcu!AE21,1)</f>
        <v/>
      </c>
      <c r="M29" s="37" t="str">
        <f>IF(Calcu_ADJ!B21=FALSE,"-",Calcu_ADJ!AB21)</f>
        <v>-</v>
      </c>
      <c r="N29" s="37" t="str">
        <f>IF(Calcu_ADJ!B21=FALSE,"-",Calcu_ADJ!AC21)</f>
        <v>-</v>
      </c>
      <c r="O29" s="37" t="str">
        <f>IF(Calcu_ADJ!B21=FALSE,"-",LEFT(Calcu_ADJ!AE21,1))</f>
        <v>-</v>
      </c>
      <c r="Q29" s="37" t="e">
        <f ca="1">IF(Calcu_ADJ!B21=FALSE,Calcu!AF21,Calcu_ADJ!AF21)</f>
        <v>#N/A</v>
      </c>
    </row>
    <row r="30" spans="1:17" ht="15" customHeight="1">
      <c r="A30" s="44" t="str">
        <f>IF(Calcu!B22=TRUE,"","삭제")</f>
        <v>삭제</v>
      </c>
      <c r="B30" s="43"/>
      <c r="C30" s="43"/>
      <c r="D30" s="43"/>
      <c r="E30" s="43"/>
      <c r="F30" s="51" t="e">
        <f ca="1">IF(Calcu_ADJ!B22=FALSE,Calcu!AA22,Calcu_ADJ!AA22)</f>
        <v>#N/A</v>
      </c>
      <c r="G30" s="51" t="s">
        <v>186</v>
      </c>
      <c r="H30" s="51" t="e">
        <f ca="1">IF(Calcu_ADJ!B22=FALSE,Calcu!AD22,Calcu_ADJ!AD22)</f>
        <v>#N/A</v>
      </c>
      <c r="J30" s="37" t="e">
        <f ca="1">Calcu!AB22</f>
        <v>#N/A</v>
      </c>
      <c r="K30" s="37" t="e">
        <f ca="1">Calcu!AC22</f>
        <v>#N/A</v>
      </c>
      <c r="L30" s="37" t="str">
        <f>LEFT(Calcu!AE22,1)</f>
        <v/>
      </c>
      <c r="M30" s="37" t="str">
        <f>IF(Calcu_ADJ!B22=FALSE,"-",Calcu_ADJ!AB22)</f>
        <v>-</v>
      </c>
      <c r="N30" s="37" t="str">
        <f>IF(Calcu_ADJ!B22=FALSE,"-",Calcu_ADJ!AC22)</f>
        <v>-</v>
      </c>
      <c r="O30" s="37" t="str">
        <f>IF(Calcu_ADJ!B22=FALSE,"-",LEFT(Calcu_ADJ!AE22,1))</f>
        <v>-</v>
      </c>
      <c r="Q30" s="37" t="e">
        <f ca="1">IF(Calcu_ADJ!B22=FALSE,Calcu!AF22,Calcu_ADJ!AF22)</f>
        <v>#N/A</v>
      </c>
    </row>
    <row r="31" spans="1:17" ht="15" customHeight="1">
      <c r="A31" s="44" t="str">
        <f>IF(Calcu!B23=TRUE,"","삭제")</f>
        <v>삭제</v>
      </c>
      <c r="B31" s="43"/>
      <c r="C31" s="43"/>
      <c r="D31" s="43"/>
      <c r="E31" s="43"/>
      <c r="F31" s="51" t="e">
        <f ca="1">IF(Calcu_ADJ!B23=FALSE,Calcu!AA23,Calcu_ADJ!AA23)</f>
        <v>#N/A</v>
      </c>
      <c r="G31" s="51" t="s">
        <v>186</v>
      </c>
      <c r="H31" s="51" t="e">
        <f ca="1">IF(Calcu_ADJ!B23=FALSE,Calcu!AD23,Calcu_ADJ!AD23)</f>
        <v>#N/A</v>
      </c>
      <c r="J31" s="37" t="e">
        <f ca="1">Calcu!AB23</f>
        <v>#N/A</v>
      </c>
      <c r="K31" s="37" t="e">
        <f ca="1">Calcu!AC23</f>
        <v>#N/A</v>
      </c>
      <c r="L31" s="37" t="str">
        <f>LEFT(Calcu!AE23,1)</f>
        <v/>
      </c>
      <c r="M31" s="37" t="str">
        <f>IF(Calcu_ADJ!B23=FALSE,"-",Calcu_ADJ!AB23)</f>
        <v>-</v>
      </c>
      <c r="N31" s="37" t="str">
        <f>IF(Calcu_ADJ!B23=FALSE,"-",Calcu_ADJ!AC23)</f>
        <v>-</v>
      </c>
      <c r="O31" s="37" t="str">
        <f>IF(Calcu_ADJ!B23=FALSE,"-",LEFT(Calcu_ADJ!AE23,1))</f>
        <v>-</v>
      </c>
      <c r="Q31" s="37" t="e">
        <f ca="1">IF(Calcu_ADJ!B23=FALSE,Calcu!AF23,Calcu_ADJ!AF23)</f>
        <v>#N/A</v>
      </c>
    </row>
    <row r="32" spans="1:17" ht="15" customHeight="1">
      <c r="A32" s="44" t="str">
        <f>IF(Calcu!B24=TRUE,"","삭제")</f>
        <v>삭제</v>
      </c>
      <c r="B32" s="43"/>
      <c r="C32" s="43"/>
      <c r="D32" s="43"/>
      <c r="E32" s="43"/>
      <c r="F32" s="51" t="e">
        <f ca="1">IF(Calcu_ADJ!B24=FALSE,Calcu!AA24,Calcu_ADJ!AA24)</f>
        <v>#N/A</v>
      </c>
      <c r="G32" s="51" t="s">
        <v>186</v>
      </c>
      <c r="H32" s="51" t="e">
        <f ca="1">IF(Calcu_ADJ!B24=FALSE,Calcu!AD24,Calcu_ADJ!AD24)</f>
        <v>#N/A</v>
      </c>
      <c r="J32" s="37" t="e">
        <f ca="1">Calcu!AB24</f>
        <v>#N/A</v>
      </c>
      <c r="K32" s="37" t="e">
        <f ca="1">Calcu!AC24</f>
        <v>#N/A</v>
      </c>
      <c r="L32" s="37" t="str">
        <f>LEFT(Calcu!AE24,1)</f>
        <v/>
      </c>
      <c r="M32" s="37" t="str">
        <f>IF(Calcu_ADJ!B24=FALSE,"-",Calcu_ADJ!AB24)</f>
        <v>-</v>
      </c>
      <c r="N32" s="37" t="str">
        <f>IF(Calcu_ADJ!B24=FALSE,"-",Calcu_ADJ!AC24)</f>
        <v>-</v>
      </c>
      <c r="O32" s="37" t="str">
        <f>IF(Calcu_ADJ!B24=FALSE,"-",LEFT(Calcu_ADJ!AE24,1))</f>
        <v>-</v>
      </c>
      <c r="Q32" s="37" t="e">
        <f ca="1">IF(Calcu_ADJ!B24=FALSE,Calcu!AF24,Calcu_ADJ!AF24)</f>
        <v>#N/A</v>
      </c>
    </row>
    <row r="33" spans="1:17" ht="15" customHeight="1">
      <c r="A33" s="44" t="str">
        <f>IF(Calcu!B25=TRUE,"","삭제")</f>
        <v>삭제</v>
      </c>
      <c r="B33" s="43"/>
      <c r="C33" s="43"/>
      <c r="D33" s="43"/>
      <c r="E33" s="43"/>
      <c r="F33" s="51" t="e">
        <f ca="1">IF(Calcu_ADJ!B25=FALSE,Calcu!AA25,Calcu_ADJ!AA25)</f>
        <v>#N/A</v>
      </c>
      <c r="G33" s="51" t="s">
        <v>186</v>
      </c>
      <c r="H33" s="51" t="e">
        <f ca="1">IF(Calcu_ADJ!B25=FALSE,Calcu!AD25,Calcu_ADJ!AD25)</f>
        <v>#N/A</v>
      </c>
      <c r="J33" s="37" t="e">
        <f ca="1">Calcu!AB25</f>
        <v>#N/A</v>
      </c>
      <c r="K33" s="37" t="e">
        <f ca="1">Calcu!AC25</f>
        <v>#N/A</v>
      </c>
      <c r="L33" s="37" t="str">
        <f>LEFT(Calcu!AE25,1)</f>
        <v/>
      </c>
      <c r="M33" s="37" t="str">
        <f>IF(Calcu_ADJ!B25=FALSE,"-",Calcu_ADJ!AB25)</f>
        <v>-</v>
      </c>
      <c r="N33" s="37" t="str">
        <f>IF(Calcu_ADJ!B25=FALSE,"-",Calcu_ADJ!AC25)</f>
        <v>-</v>
      </c>
      <c r="O33" s="37" t="str">
        <f>IF(Calcu_ADJ!B25=FALSE,"-",LEFT(Calcu_ADJ!AE25,1))</f>
        <v>-</v>
      </c>
      <c r="Q33" s="37" t="e">
        <f ca="1">IF(Calcu_ADJ!B25=FALSE,Calcu!AF25,Calcu_ADJ!AF25)</f>
        <v>#N/A</v>
      </c>
    </row>
    <row r="34" spans="1:17" ht="15" customHeight="1">
      <c r="A34" s="44" t="str">
        <f>IF(Calcu!B26=TRUE,"","삭제")</f>
        <v>삭제</v>
      </c>
      <c r="B34" s="43"/>
      <c r="C34" s="43"/>
      <c r="D34" s="43"/>
      <c r="E34" s="43"/>
      <c r="F34" s="51" t="e">
        <f ca="1">IF(Calcu_ADJ!B26=FALSE,Calcu!AA26,Calcu_ADJ!AA26)</f>
        <v>#N/A</v>
      </c>
      <c r="G34" s="51" t="s">
        <v>186</v>
      </c>
      <c r="H34" s="51" t="e">
        <f ca="1">IF(Calcu_ADJ!B26=FALSE,Calcu!AD26,Calcu_ADJ!AD26)</f>
        <v>#N/A</v>
      </c>
      <c r="J34" s="37" t="e">
        <f ca="1">Calcu!AB26</f>
        <v>#N/A</v>
      </c>
      <c r="K34" s="37" t="e">
        <f ca="1">Calcu!AC26</f>
        <v>#N/A</v>
      </c>
      <c r="L34" s="37" t="str">
        <f>LEFT(Calcu!AE26,1)</f>
        <v/>
      </c>
      <c r="M34" s="37" t="str">
        <f>IF(Calcu_ADJ!B26=FALSE,"-",Calcu_ADJ!AB26)</f>
        <v>-</v>
      </c>
      <c r="N34" s="37" t="str">
        <f>IF(Calcu_ADJ!B26=FALSE,"-",Calcu_ADJ!AC26)</f>
        <v>-</v>
      </c>
      <c r="O34" s="37" t="str">
        <f>IF(Calcu_ADJ!B26=FALSE,"-",LEFT(Calcu_ADJ!AE26,1))</f>
        <v>-</v>
      </c>
      <c r="Q34" s="37" t="e">
        <f ca="1">IF(Calcu_ADJ!B26=FALSE,Calcu!AF26,Calcu_ADJ!AF26)</f>
        <v>#N/A</v>
      </c>
    </row>
    <row r="35" spans="1:17" ht="15" customHeight="1">
      <c r="A35" s="44" t="str">
        <f>IF(Calcu!B27=TRUE,"","삭제")</f>
        <v>삭제</v>
      </c>
      <c r="B35" s="43"/>
      <c r="C35" s="43"/>
      <c r="D35" s="43"/>
      <c r="E35" s="43"/>
      <c r="F35" s="51" t="e">
        <f ca="1">IF(Calcu_ADJ!B27=FALSE,Calcu!AA27,Calcu_ADJ!AA27)</f>
        <v>#N/A</v>
      </c>
      <c r="G35" s="51" t="s">
        <v>186</v>
      </c>
      <c r="H35" s="51" t="e">
        <f ca="1">IF(Calcu_ADJ!B27=FALSE,Calcu!AD27,Calcu_ADJ!AD27)</f>
        <v>#N/A</v>
      </c>
      <c r="J35" s="37" t="e">
        <f ca="1">Calcu!AB27</f>
        <v>#N/A</v>
      </c>
      <c r="K35" s="37" t="e">
        <f ca="1">Calcu!AC27</f>
        <v>#N/A</v>
      </c>
      <c r="L35" s="37" t="str">
        <f>LEFT(Calcu!AE27,1)</f>
        <v/>
      </c>
      <c r="M35" s="37" t="str">
        <f>IF(Calcu_ADJ!B27=FALSE,"-",Calcu_ADJ!AB27)</f>
        <v>-</v>
      </c>
      <c r="N35" s="37" t="str">
        <f>IF(Calcu_ADJ!B27=FALSE,"-",Calcu_ADJ!AC27)</f>
        <v>-</v>
      </c>
      <c r="O35" s="37" t="str">
        <f>IF(Calcu_ADJ!B27=FALSE,"-",LEFT(Calcu_ADJ!AE27,1))</f>
        <v>-</v>
      </c>
      <c r="Q35" s="37" t="e">
        <f ca="1">IF(Calcu_ADJ!B27=FALSE,Calcu!AF27,Calcu_ADJ!AF27)</f>
        <v>#N/A</v>
      </c>
    </row>
    <row r="36" spans="1:17" ht="15" customHeight="1">
      <c r="A36" s="44" t="str">
        <f>IF(Calcu!B28=TRUE,"","삭제")</f>
        <v>삭제</v>
      </c>
      <c r="B36" s="43"/>
      <c r="C36" s="43"/>
      <c r="D36" s="43"/>
      <c r="E36" s="43"/>
      <c r="F36" s="51" t="e">
        <f ca="1">IF(Calcu_ADJ!B28=FALSE,Calcu!AA28,Calcu_ADJ!AA28)</f>
        <v>#N/A</v>
      </c>
      <c r="G36" s="51" t="s">
        <v>186</v>
      </c>
      <c r="H36" s="51" t="e">
        <f ca="1">IF(Calcu_ADJ!B28=FALSE,Calcu!AD28,Calcu_ADJ!AD28)</f>
        <v>#N/A</v>
      </c>
      <c r="J36" s="37" t="e">
        <f ca="1">Calcu!AB28</f>
        <v>#N/A</v>
      </c>
      <c r="K36" s="37" t="e">
        <f ca="1">Calcu!AC28</f>
        <v>#N/A</v>
      </c>
      <c r="L36" s="37" t="str">
        <f>LEFT(Calcu!AE28,1)</f>
        <v/>
      </c>
      <c r="M36" s="37" t="str">
        <f>IF(Calcu_ADJ!B28=FALSE,"-",Calcu_ADJ!AB28)</f>
        <v>-</v>
      </c>
      <c r="N36" s="37" t="str">
        <f>IF(Calcu_ADJ!B28=FALSE,"-",Calcu_ADJ!AC28)</f>
        <v>-</v>
      </c>
      <c r="O36" s="37" t="str">
        <f>IF(Calcu_ADJ!B28=FALSE,"-",LEFT(Calcu_ADJ!AE28,1))</f>
        <v>-</v>
      </c>
      <c r="Q36" s="37" t="e">
        <f ca="1">IF(Calcu_ADJ!B28=FALSE,Calcu!AF28,Calcu_ADJ!AF28)</f>
        <v>#N/A</v>
      </c>
    </row>
    <row r="37" spans="1:17" ht="15" customHeight="1">
      <c r="A37" s="44" t="str">
        <f>IF(Calcu!B29=TRUE,"","삭제")</f>
        <v>삭제</v>
      </c>
      <c r="B37" s="43"/>
      <c r="C37" s="43"/>
      <c r="D37" s="43"/>
      <c r="E37" s="43"/>
      <c r="F37" s="51" t="e">
        <f ca="1">IF(Calcu_ADJ!B29=FALSE,Calcu!AA29,Calcu_ADJ!AA29)</f>
        <v>#N/A</v>
      </c>
      <c r="G37" s="51" t="s">
        <v>186</v>
      </c>
      <c r="H37" s="51" t="e">
        <f ca="1">IF(Calcu_ADJ!B29=FALSE,Calcu!AD29,Calcu_ADJ!AD29)</f>
        <v>#N/A</v>
      </c>
      <c r="J37" s="37" t="e">
        <f ca="1">Calcu!AB29</f>
        <v>#N/A</v>
      </c>
      <c r="K37" s="37" t="e">
        <f ca="1">Calcu!AC29</f>
        <v>#N/A</v>
      </c>
      <c r="L37" s="37" t="str">
        <f>LEFT(Calcu!AE29,1)</f>
        <v/>
      </c>
      <c r="M37" s="37" t="str">
        <f>IF(Calcu_ADJ!B29=FALSE,"-",Calcu_ADJ!AB29)</f>
        <v>-</v>
      </c>
      <c r="N37" s="37" t="str">
        <f>IF(Calcu_ADJ!B29=FALSE,"-",Calcu_ADJ!AC29)</f>
        <v>-</v>
      </c>
      <c r="O37" s="37" t="str">
        <f>IF(Calcu_ADJ!B29=FALSE,"-",LEFT(Calcu_ADJ!AE29,1))</f>
        <v>-</v>
      </c>
      <c r="Q37" s="37" t="e">
        <f ca="1">IF(Calcu_ADJ!B29=FALSE,Calcu!AF29,Calcu_ADJ!AF29)</f>
        <v>#N/A</v>
      </c>
    </row>
    <row r="38" spans="1:17" ht="15" customHeight="1">
      <c r="A38" s="44" t="str">
        <f>IF(Calcu!B30=TRUE,"","삭제")</f>
        <v>삭제</v>
      </c>
      <c r="B38" s="43"/>
      <c r="C38" s="43"/>
      <c r="D38" s="43"/>
      <c r="E38" s="43"/>
      <c r="F38" s="51" t="e">
        <f ca="1">IF(Calcu_ADJ!B30=FALSE,Calcu!AA30,Calcu_ADJ!AA30)</f>
        <v>#N/A</v>
      </c>
      <c r="G38" s="51" t="s">
        <v>186</v>
      </c>
      <c r="H38" s="51" t="e">
        <f ca="1">IF(Calcu_ADJ!B30=FALSE,Calcu!AD30,Calcu_ADJ!AD30)</f>
        <v>#N/A</v>
      </c>
      <c r="J38" s="37" t="e">
        <f ca="1">Calcu!AB30</f>
        <v>#N/A</v>
      </c>
      <c r="K38" s="37" t="e">
        <f ca="1">Calcu!AC30</f>
        <v>#N/A</v>
      </c>
      <c r="L38" s="37" t="str">
        <f>LEFT(Calcu!AE30,1)</f>
        <v/>
      </c>
      <c r="M38" s="37" t="str">
        <f>IF(Calcu_ADJ!B30=FALSE,"-",Calcu_ADJ!AB30)</f>
        <v>-</v>
      </c>
      <c r="N38" s="37" t="str">
        <f>IF(Calcu_ADJ!B30=FALSE,"-",Calcu_ADJ!AC30)</f>
        <v>-</v>
      </c>
      <c r="O38" s="37" t="str">
        <f>IF(Calcu_ADJ!B30=FALSE,"-",LEFT(Calcu_ADJ!AE30,1))</f>
        <v>-</v>
      </c>
      <c r="Q38" s="37" t="e">
        <f ca="1">IF(Calcu_ADJ!B30=FALSE,Calcu!AF30,Calcu_ADJ!AF30)</f>
        <v>#N/A</v>
      </c>
    </row>
    <row r="39" spans="1:17" ht="15" customHeight="1">
      <c r="A39" s="44" t="str">
        <f>IF(Calcu!B31=TRUE,"","삭제")</f>
        <v>삭제</v>
      </c>
      <c r="B39" s="43"/>
      <c r="C39" s="43"/>
      <c r="D39" s="43"/>
      <c r="E39" s="43"/>
      <c r="F39" s="51" t="e">
        <f ca="1">IF(Calcu_ADJ!B31=FALSE,Calcu!AA31,Calcu_ADJ!AA31)</f>
        <v>#N/A</v>
      </c>
      <c r="G39" s="51" t="s">
        <v>186</v>
      </c>
      <c r="H39" s="51" t="e">
        <f ca="1">IF(Calcu_ADJ!B31=FALSE,Calcu!AD31,Calcu_ADJ!AD31)</f>
        <v>#N/A</v>
      </c>
      <c r="J39" s="37" t="e">
        <f ca="1">Calcu!AB31</f>
        <v>#N/A</v>
      </c>
      <c r="K39" s="37" t="e">
        <f ca="1">Calcu!AC31</f>
        <v>#N/A</v>
      </c>
      <c r="L39" s="37" t="str">
        <f>LEFT(Calcu!AE31,1)</f>
        <v/>
      </c>
      <c r="M39" s="37" t="str">
        <f>IF(Calcu_ADJ!B31=FALSE,"-",Calcu_ADJ!AB31)</f>
        <v>-</v>
      </c>
      <c r="N39" s="37" t="str">
        <f>IF(Calcu_ADJ!B31=FALSE,"-",Calcu_ADJ!AC31)</f>
        <v>-</v>
      </c>
      <c r="O39" s="37" t="str">
        <f>IF(Calcu_ADJ!B31=FALSE,"-",LEFT(Calcu_ADJ!AE31,1))</f>
        <v>-</v>
      </c>
      <c r="Q39" s="37" t="e">
        <f ca="1">IF(Calcu_ADJ!B31=FALSE,Calcu!AF31,Calcu_ADJ!AF31)</f>
        <v>#N/A</v>
      </c>
    </row>
    <row r="40" spans="1:17" ht="15" customHeight="1">
      <c r="A40" s="44" t="str">
        <f>IF(Calcu!B32=TRUE,"","삭제")</f>
        <v>삭제</v>
      </c>
      <c r="B40" s="43"/>
      <c r="C40" s="43"/>
      <c r="D40" s="43"/>
      <c r="E40" s="43"/>
      <c r="F40" s="51" t="e">
        <f ca="1">IF(Calcu_ADJ!B32=FALSE,Calcu!AA32,Calcu_ADJ!AA32)</f>
        <v>#N/A</v>
      </c>
      <c r="G40" s="51" t="s">
        <v>186</v>
      </c>
      <c r="H40" s="51" t="e">
        <f ca="1">IF(Calcu_ADJ!B32=FALSE,Calcu!AD32,Calcu_ADJ!AD32)</f>
        <v>#N/A</v>
      </c>
      <c r="J40" s="37" t="e">
        <f ca="1">Calcu!AB32</f>
        <v>#N/A</v>
      </c>
      <c r="K40" s="37" t="e">
        <f ca="1">Calcu!AC32</f>
        <v>#N/A</v>
      </c>
      <c r="L40" s="37" t="str">
        <f>LEFT(Calcu!AE32,1)</f>
        <v/>
      </c>
      <c r="M40" s="37" t="str">
        <f>IF(Calcu_ADJ!B32=FALSE,"-",Calcu_ADJ!AB32)</f>
        <v>-</v>
      </c>
      <c r="N40" s="37" t="str">
        <f>IF(Calcu_ADJ!B32=FALSE,"-",Calcu_ADJ!AC32)</f>
        <v>-</v>
      </c>
      <c r="O40" s="37" t="str">
        <f>IF(Calcu_ADJ!B32=FALSE,"-",LEFT(Calcu_ADJ!AE32,1))</f>
        <v>-</v>
      </c>
      <c r="Q40" s="37" t="e">
        <f ca="1">IF(Calcu_ADJ!B32=FALSE,Calcu!AF32,Calcu_ADJ!AF32)</f>
        <v>#N/A</v>
      </c>
    </row>
    <row r="41" spans="1:17" ht="15" customHeight="1">
      <c r="A41" s="44" t="str">
        <f>IF(Calcu!B33=TRUE,"","삭제")</f>
        <v>삭제</v>
      </c>
      <c r="B41" s="43"/>
      <c r="C41" s="43"/>
      <c r="D41" s="43"/>
      <c r="E41" s="43"/>
      <c r="F41" s="51" t="e">
        <f ca="1">IF(Calcu_ADJ!B33=FALSE,Calcu!AA33,Calcu_ADJ!AA33)</f>
        <v>#N/A</v>
      </c>
      <c r="G41" s="51" t="s">
        <v>186</v>
      </c>
      <c r="H41" s="51" t="e">
        <f ca="1">IF(Calcu_ADJ!B33=FALSE,Calcu!AD33,Calcu_ADJ!AD33)</f>
        <v>#N/A</v>
      </c>
      <c r="J41" s="37" t="e">
        <f ca="1">Calcu!AB33</f>
        <v>#N/A</v>
      </c>
      <c r="K41" s="37" t="e">
        <f ca="1">Calcu!AC33</f>
        <v>#N/A</v>
      </c>
      <c r="L41" s="37" t="str">
        <f>LEFT(Calcu!AE33,1)</f>
        <v/>
      </c>
      <c r="M41" s="37" t="str">
        <f>IF(Calcu_ADJ!B33=FALSE,"-",Calcu_ADJ!AB33)</f>
        <v>-</v>
      </c>
      <c r="N41" s="37" t="str">
        <f>IF(Calcu_ADJ!B33=FALSE,"-",Calcu_ADJ!AC33)</f>
        <v>-</v>
      </c>
      <c r="O41" s="37" t="str">
        <f>IF(Calcu_ADJ!B33=FALSE,"-",LEFT(Calcu_ADJ!AE33,1))</f>
        <v>-</v>
      </c>
      <c r="Q41" s="37" t="e">
        <f ca="1">IF(Calcu_ADJ!B33=FALSE,Calcu!AF33,Calcu_ADJ!AF33)</f>
        <v>#N/A</v>
      </c>
    </row>
    <row r="42" spans="1:17" ht="15" customHeight="1">
      <c r="A42" s="44" t="str">
        <f>IF(Calcu!B34=TRUE,"","삭제")</f>
        <v>삭제</v>
      </c>
      <c r="B42" s="43"/>
      <c r="C42" s="43"/>
      <c r="D42" s="43"/>
      <c r="E42" s="43"/>
      <c r="F42" s="51" t="e">
        <f ca="1">IF(Calcu_ADJ!B34=FALSE,Calcu!AA34,Calcu_ADJ!AA34)</f>
        <v>#N/A</v>
      </c>
      <c r="G42" s="51" t="s">
        <v>186</v>
      </c>
      <c r="H42" s="51" t="e">
        <f ca="1">IF(Calcu_ADJ!B34=FALSE,Calcu!AD34,Calcu_ADJ!AD34)</f>
        <v>#N/A</v>
      </c>
      <c r="J42" s="37" t="e">
        <f ca="1">Calcu!AB34</f>
        <v>#N/A</v>
      </c>
      <c r="K42" s="37" t="e">
        <f ca="1">Calcu!AC34</f>
        <v>#N/A</v>
      </c>
      <c r="L42" s="37" t="str">
        <f>LEFT(Calcu!AE34,1)</f>
        <v/>
      </c>
      <c r="M42" s="37" t="str">
        <f>IF(Calcu_ADJ!B34=FALSE,"-",Calcu_ADJ!AB34)</f>
        <v>-</v>
      </c>
      <c r="N42" s="37" t="str">
        <f>IF(Calcu_ADJ!B34=FALSE,"-",Calcu_ADJ!AC34)</f>
        <v>-</v>
      </c>
      <c r="O42" s="37" t="str">
        <f>IF(Calcu_ADJ!B34=FALSE,"-",LEFT(Calcu_ADJ!AE34,1))</f>
        <v>-</v>
      </c>
      <c r="Q42" s="37" t="e">
        <f ca="1">IF(Calcu_ADJ!B34=FALSE,Calcu!AF34,Calcu_ADJ!AF34)</f>
        <v>#N/A</v>
      </c>
    </row>
    <row r="43" spans="1:17" ht="15" customHeight="1">
      <c r="A43" s="44" t="str">
        <f>IF(Calcu!B35=TRUE,"","삭제")</f>
        <v>삭제</v>
      </c>
      <c r="B43" s="43"/>
      <c r="C43" s="43"/>
      <c r="D43" s="43"/>
      <c r="E43" s="43"/>
      <c r="F43" s="51" t="e">
        <f ca="1">IF(Calcu_ADJ!B35=FALSE,Calcu!AA35,Calcu_ADJ!AA35)</f>
        <v>#N/A</v>
      </c>
      <c r="G43" s="51" t="s">
        <v>186</v>
      </c>
      <c r="H43" s="51" t="e">
        <f ca="1">IF(Calcu_ADJ!B35=FALSE,Calcu!AD35,Calcu_ADJ!AD35)</f>
        <v>#N/A</v>
      </c>
      <c r="J43" s="37" t="e">
        <f ca="1">Calcu!AB35</f>
        <v>#N/A</v>
      </c>
      <c r="K43" s="37" t="e">
        <f ca="1">Calcu!AC35</f>
        <v>#N/A</v>
      </c>
      <c r="L43" s="37" t="str">
        <f>LEFT(Calcu!AE35,1)</f>
        <v/>
      </c>
      <c r="M43" s="37" t="str">
        <f>IF(Calcu_ADJ!B35=FALSE,"-",Calcu_ADJ!AB35)</f>
        <v>-</v>
      </c>
      <c r="N43" s="37" t="str">
        <f>IF(Calcu_ADJ!B35=FALSE,"-",Calcu_ADJ!AC35)</f>
        <v>-</v>
      </c>
      <c r="O43" s="37" t="str">
        <f>IF(Calcu_ADJ!B35=FALSE,"-",LEFT(Calcu_ADJ!AE35,1))</f>
        <v>-</v>
      </c>
      <c r="Q43" s="37" t="e">
        <f ca="1">IF(Calcu_ADJ!B35=FALSE,Calcu!AF35,Calcu_ADJ!AF35)</f>
        <v>#N/A</v>
      </c>
    </row>
    <row r="44" spans="1:17" ht="15" customHeight="1">
      <c r="A44" s="44" t="str">
        <f>IF(Calcu!B36=TRUE,"","삭제")</f>
        <v>삭제</v>
      </c>
      <c r="B44" s="43"/>
      <c r="C44" s="43"/>
      <c r="D44" s="43"/>
      <c r="E44" s="43"/>
      <c r="F44" s="51" t="e">
        <f ca="1">IF(Calcu_ADJ!B36=FALSE,Calcu!AA36,Calcu_ADJ!AA36)</f>
        <v>#N/A</v>
      </c>
      <c r="G44" s="51" t="s">
        <v>186</v>
      </c>
      <c r="H44" s="51" t="e">
        <f ca="1">IF(Calcu_ADJ!B36=FALSE,Calcu!AD36,Calcu_ADJ!AD36)</f>
        <v>#N/A</v>
      </c>
      <c r="J44" s="37" t="e">
        <f ca="1">Calcu!AB36</f>
        <v>#N/A</v>
      </c>
      <c r="K44" s="37" t="e">
        <f ca="1">Calcu!AC36</f>
        <v>#N/A</v>
      </c>
      <c r="L44" s="37" t="str">
        <f>LEFT(Calcu!AE36,1)</f>
        <v/>
      </c>
      <c r="M44" s="37" t="str">
        <f>IF(Calcu_ADJ!B36=FALSE,"-",Calcu_ADJ!AB36)</f>
        <v>-</v>
      </c>
      <c r="N44" s="37" t="str">
        <f>IF(Calcu_ADJ!B36=FALSE,"-",Calcu_ADJ!AC36)</f>
        <v>-</v>
      </c>
      <c r="O44" s="37" t="str">
        <f>IF(Calcu_ADJ!B36=FALSE,"-",LEFT(Calcu_ADJ!AE36,1))</f>
        <v>-</v>
      </c>
      <c r="Q44" s="37" t="e">
        <f ca="1">IF(Calcu_ADJ!B36=FALSE,Calcu!AF36,Calcu_ADJ!AF36)</f>
        <v>#N/A</v>
      </c>
    </row>
    <row r="45" spans="1:17" ht="15" customHeight="1">
      <c r="A45" s="44" t="str">
        <f>IF(Calcu!B37=TRUE,"","삭제")</f>
        <v>삭제</v>
      </c>
      <c r="B45" s="43"/>
      <c r="C45" s="43"/>
      <c r="D45" s="43"/>
      <c r="E45" s="43"/>
      <c r="F45" s="51" t="e">
        <f ca="1">IF(Calcu_ADJ!B37=FALSE,Calcu!AA37,Calcu_ADJ!AA37)</f>
        <v>#N/A</v>
      </c>
      <c r="G45" s="51" t="s">
        <v>186</v>
      </c>
      <c r="H45" s="51" t="e">
        <f ca="1">IF(Calcu_ADJ!B37=FALSE,Calcu!AD37,Calcu_ADJ!AD37)</f>
        <v>#N/A</v>
      </c>
      <c r="J45" s="37" t="e">
        <f ca="1">Calcu!AB37</f>
        <v>#N/A</v>
      </c>
      <c r="K45" s="37" t="e">
        <f ca="1">Calcu!AC37</f>
        <v>#N/A</v>
      </c>
      <c r="L45" s="37" t="str">
        <f>LEFT(Calcu!AE37,1)</f>
        <v/>
      </c>
      <c r="M45" s="37" t="str">
        <f>IF(Calcu_ADJ!B37=FALSE,"-",Calcu_ADJ!AB37)</f>
        <v>-</v>
      </c>
      <c r="N45" s="37" t="str">
        <f>IF(Calcu_ADJ!B37=FALSE,"-",Calcu_ADJ!AC37)</f>
        <v>-</v>
      </c>
      <c r="O45" s="37" t="str">
        <f>IF(Calcu_ADJ!B37=FALSE,"-",LEFT(Calcu_ADJ!AE37,1))</f>
        <v>-</v>
      </c>
      <c r="Q45" s="37" t="e">
        <f ca="1">IF(Calcu_ADJ!B37=FALSE,Calcu!AF37,Calcu_ADJ!AF37)</f>
        <v>#N/A</v>
      </c>
    </row>
    <row r="46" spans="1:17" ht="15" customHeight="1">
      <c r="A46" s="44" t="str">
        <f>IF(Calcu!B38=TRUE,"","삭제")</f>
        <v>삭제</v>
      </c>
      <c r="B46" s="43"/>
      <c r="C46" s="43"/>
      <c r="D46" s="43"/>
      <c r="E46" s="43"/>
      <c r="F46" s="51" t="e">
        <f ca="1">IF(Calcu_ADJ!B38=FALSE,Calcu!AA38,Calcu_ADJ!AA38)</f>
        <v>#N/A</v>
      </c>
      <c r="G46" s="51" t="s">
        <v>186</v>
      </c>
      <c r="H46" s="51" t="e">
        <f ca="1">IF(Calcu_ADJ!B38=FALSE,Calcu!AD38,Calcu_ADJ!AD38)</f>
        <v>#N/A</v>
      </c>
      <c r="J46" s="37" t="e">
        <f ca="1">Calcu!AB38</f>
        <v>#N/A</v>
      </c>
      <c r="K46" s="37" t="e">
        <f ca="1">Calcu!AC38</f>
        <v>#N/A</v>
      </c>
      <c r="L46" s="37" t="str">
        <f>LEFT(Calcu!AE38,1)</f>
        <v/>
      </c>
      <c r="M46" s="37" t="str">
        <f>IF(Calcu_ADJ!B38=FALSE,"-",Calcu_ADJ!AB38)</f>
        <v>-</v>
      </c>
      <c r="N46" s="37" t="str">
        <f>IF(Calcu_ADJ!B38=FALSE,"-",Calcu_ADJ!AC38)</f>
        <v>-</v>
      </c>
      <c r="O46" s="37" t="str">
        <f>IF(Calcu_ADJ!B38=FALSE,"-",LEFT(Calcu_ADJ!AE38,1))</f>
        <v>-</v>
      </c>
      <c r="Q46" s="37" t="e">
        <f ca="1">IF(Calcu_ADJ!B38=FALSE,Calcu!AF38,Calcu_ADJ!AF38)</f>
        <v>#N/A</v>
      </c>
    </row>
    <row r="47" spans="1:17" ht="15" customHeight="1">
      <c r="A47" s="44" t="str">
        <f>IF(Calcu!B39=TRUE,"","삭제")</f>
        <v>삭제</v>
      </c>
      <c r="B47" s="43"/>
      <c r="C47" s="43"/>
      <c r="D47" s="43"/>
      <c r="E47" s="43"/>
      <c r="F47" s="51" t="e">
        <f ca="1">IF(Calcu_ADJ!B39=FALSE,Calcu!AA39,Calcu_ADJ!AA39)</f>
        <v>#N/A</v>
      </c>
      <c r="G47" s="51" t="s">
        <v>186</v>
      </c>
      <c r="H47" s="51" t="e">
        <f ca="1">IF(Calcu_ADJ!B39=FALSE,Calcu!AD39,Calcu_ADJ!AD39)</f>
        <v>#N/A</v>
      </c>
      <c r="J47" s="37" t="e">
        <f ca="1">Calcu!AB39</f>
        <v>#N/A</v>
      </c>
      <c r="K47" s="37" t="e">
        <f ca="1">Calcu!AC39</f>
        <v>#N/A</v>
      </c>
      <c r="L47" s="37" t="str">
        <f>LEFT(Calcu!AE39,1)</f>
        <v/>
      </c>
      <c r="M47" s="37" t="str">
        <f>IF(Calcu_ADJ!B39=FALSE,"-",Calcu_ADJ!AB39)</f>
        <v>-</v>
      </c>
      <c r="N47" s="37" t="str">
        <f>IF(Calcu_ADJ!B39=FALSE,"-",Calcu_ADJ!AC39)</f>
        <v>-</v>
      </c>
      <c r="O47" s="37" t="str">
        <f>IF(Calcu_ADJ!B39=FALSE,"-",LEFT(Calcu_ADJ!AE39,1))</f>
        <v>-</v>
      </c>
      <c r="Q47" s="37" t="e">
        <f ca="1">IF(Calcu_ADJ!B39=FALSE,Calcu!AF39,Calcu_ADJ!AF39)</f>
        <v>#N/A</v>
      </c>
    </row>
    <row r="48" spans="1:17" ht="15" customHeight="1">
      <c r="A48" s="44" t="str">
        <f>IF(Calcu!B40=TRUE,"","삭제")</f>
        <v>삭제</v>
      </c>
      <c r="B48" s="43"/>
      <c r="C48" s="43"/>
      <c r="D48" s="43"/>
      <c r="E48" s="43"/>
      <c r="F48" s="51" t="e">
        <f ca="1">IF(Calcu_ADJ!B40=FALSE,Calcu!AA40,Calcu_ADJ!AA40)</f>
        <v>#N/A</v>
      </c>
      <c r="G48" s="51" t="s">
        <v>186</v>
      </c>
      <c r="H48" s="51" t="e">
        <f ca="1">IF(Calcu_ADJ!B40=FALSE,Calcu!AD40,Calcu_ADJ!AD40)</f>
        <v>#N/A</v>
      </c>
      <c r="J48" s="37" t="e">
        <f ca="1">Calcu!AB40</f>
        <v>#N/A</v>
      </c>
      <c r="K48" s="37" t="e">
        <f ca="1">Calcu!AC40</f>
        <v>#N/A</v>
      </c>
      <c r="L48" s="37" t="str">
        <f>LEFT(Calcu!AE40,1)</f>
        <v/>
      </c>
      <c r="M48" s="37" t="str">
        <f>IF(Calcu_ADJ!B40=FALSE,"-",Calcu_ADJ!AB40)</f>
        <v>-</v>
      </c>
      <c r="N48" s="37" t="str">
        <f>IF(Calcu_ADJ!B40=FALSE,"-",Calcu_ADJ!AC40)</f>
        <v>-</v>
      </c>
      <c r="O48" s="37" t="str">
        <f>IF(Calcu_ADJ!B40=FALSE,"-",LEFT(Calcu_ADJ!AE40,1))</f>
        <v>-</v>
      </c>
      <c r="Q48" s="37" t="e">
        <f ca="1">IF(Calcu_ADJ!B40=FALSE,Calcu!AF40,Calcu_ADJ!AF40)</f>
        <v>#N/A</v>
      </c>
    </row>
    <row r="49" spans="1:17" ht="15" customHeight="1">
      <c r="A49" s="44" t="str">
        <f>IF(Calcu!B41=TRUE,"","삭제")</f>
        <v>삭제</v>
      </c>
      <c r="B49" s="43"/>
      <c r="C49" s="43"/>
      <c r="D49" s="43"/>
      <c r="E49" s="43"/>
      <c r="F49" s="51" t="e">
        <f ca="1">IF(Calcu_ADJ!B41=FALSE,Calcu!AA41,Calcu_ADJ!AA41)</f>
        <v>#N/A</v>
      </c>
      <c r="G49" s="51" t="s">
        <v>186</v>
      </c>
      <c r="H49" s="51" t="e">
        <f ca="1">IF(Calcu_ADJ!B41=FALSE,Calcu!AD41,Calcu_ADJ!AD41)</f>
        <v>#N/A</v>
      </c>
      <c r="J49" s="37" t="e">
        <f ca="1">Calcu!AB41</f>
        <v>#N/A</v>
      </c>
      <c r="K49" s="37" t="e">
        <f ca="1">Calcu!AC41</f>
        <v>#N/A</v>
      </c>
      <c r="L49" s="37" t="str">
        <f>LEFT(Calcu!AE41,1)</f>
        <v/>
      </c>
      <c r="M49" s="37" t="str">
        <f>IF(Calcu_ADJ!B41=FALSE,"-",Calcu_ADJ!AB41)</f>
        <v>-</v>
      </c>
      <c r="N49" s="37" t="str">
        <f>IF(Calcu_ADJ!B41=FALSE,"-",Calcu_ADJ!AC41)</f>
        <v>-</v>
      </c>
      <c r="O49" s="37" t="str">
        <f>IF(Calcu_ADJ!B41=FALSE,"-",LEFT(Calcu_ADJ!AE41,1))</f>
        <v>-</v>
      </c>
      <c r="Q49" s="37" t="e">
        <f ca="1">IF(Calcu_ADJ!B41=FALSE,Calcu!AF41,Calcu_ADJ!AF41)</f>
        <v>#N/A</v>
      </c>
    </row>
    <row r="50" spans="1:17" ht="15" customHeight="1">
      <c r="A50" s="44" t="str">
        <f>IF(Calcu!B42=TRUE,"","삭제")</f>
        <v>삭제</v>
      </c>
      <c r="B50" s="43"/>
      <c r="C50" s="43"/>
      <c r="D50" s="43"/>
      <c r="E50" s="43"/>
      <c r="F50" s="51" t="e">
        <f ca="1">IF(Calcu_ADJ!B42=FALSE,Calcu!AA42,Calcu_ADJ!AA42)</f>
        <v>#N/A</v>
      </c>
      <c r="G50" s="51" t="s">
        <v>186</v>
      </c>
      <c r="H50" s="51" t="e">
        <f ca="1">IF(Calcu_ADJ!B42=FALSE,Calcu!AD42,Calcu_ADJ!AD42)</f>
        <v>#N/A</v>
      </c>
      <c r="J50" s="37" t="e">
        <f ca="1">Calcu!AB42</f>
        <v>#N/A</v>
      </c>
      <c r="K50" s="37" t="e">
        <f ca="1">Calcu!AC42</f>
        <v>#N/A</v>
      </c>
      <c r="L50" s="37" t="str">
        <f>LEFT(Calcu!AE42,1)</f>
        <v/>
      </c>
      <c r="M50" s="37" t="str">
        <f>IF(Calcu_ADJ!B42=FALSE,"-",Calcu_ADJ!AB42)</f>
        <v>-</v>
      </c>
      <c r="N50" s="37" t="str">
        <f>IF(Calcu_ADJ!B42=FALSE,"-",Calcu_ADJ!AC42)</f>
        <v>-</v>
      </c>
      <c r="O50" s="37" t="str">
        <f>IF(Calcu_ADJ!B42=FALSE,"-",LEFT(Calcu_ADJ!AE42,1))</f>
        <v>-</v>
      </c>
      <c r="Q50" s="37" t="e">
        <f ca="1">IF(Calcu_ADJ!B42=FALSE,Calcu!AF42,Calcu_ADJ!AF42)</f>
        <v>#N/A</v>
      </c>
    </row>
    <row r="51" spans="1:17" ht="15" customHeight="1">
      <c r="A51" s="44" t="str">
        <f>IF(Calcu!B43=TRUE,"","삭제")</f>
        <v>삭제</v>
      </c>
      <c r="B51" s="43"/>
      <c r="C51" s="43"/>
      <c r="D51" s="43"/>
      <c r="E51" s="43"/>
      <c r="F51" s="51" t="e">
        <f ca="1">IF(Calcu_ADJ!B43=FALSE,Calcu!AA43,Calcu_ADJ!AA43)</f>
        <v>#N/A</v>
      </c>
      <c r="G51" s="51" t="s">
        <v>186</v>
      </c>
      <c r="H51" s="51" t="e">
        <f ca="1">IF(Calcu_ADJ!B43=FALSE,Calcu!AD43,Calcu_ADJ!AD43)</f>
        <v>#N/A</v>
      </c>
      <c r="J51" s="37" t="e">
        <f ca="1">Calcu!AB43</f>
        <v>#N/A</v>
      </c>
      <c r="K51" s="37" t="e">
        <f ca="1">Calcu!AC43</f>
        <v>#N/A</v>
      </c>
      <c r="L51" s="37" t="str">
        <f>LEFT(Calcu!AE43,1)</f>
        <v/>
      </c>
      <c r="M51" s="37" t="str">
        <f>IF(Calcu_ADJ!B43=FALSE,"-",Calcu_ADJ!AB43)</f>
        <v>-</v>
      </c>
      <c r="N51" s="37" t="str">
        <f>IF(Calcu_ADJ!B43=FALSE,"-",Calcu_ADJ!AC43)</f>
        <v>-</v>
      </c>
      <c r="O51" s="37" t="str">
        <f>IF(Calcu_ADJ!B43=FALSE,"-",LEFT(Calcu_ADJ!AE43,1))</f>
        <v>-</v>
      </c>
      <c r="Q51" s="37" t="e">
        <f ca="1">IF(Calcu_ADJ!B43=FALSE,Calcu!AF43,Calcu_ADJ!AF43)</f>
        <v>#N/A</v>
      </c>
    </row>
    <row r="52" spans="1:17" ht="15" customHeight="1">
      <c r="A52" s="44" t="str">
        <f>IF(Calcu!B44=TRUE,"","삭제")</f>
        <v>삭제</v>
      </c>
      <c r="B52" s="43"/>
      <c r="C52" s="43"/>
      <c r="D52" s="43"/>
      <c r="E52" s="43"/>
      <c r="F52" s="51" t="e">
        <f ca="1">IF(Calcu_ADJ!B44=FALSE,Calcu!AA44,Calcu_ADJ!AA44)</f>
        <v>#N/A</v>
      </c>
      <c r="G52" s="51" t="s">
        <v>186</v>
      </c>
      <c r="H52" s="51" t="e">
        <f ca="1">IF(Calcu_ADJ!B44=FALSE,Calcu!AD44,Calcu_ADJ!AD44)</f>
        <v>#N/A</v>
      </c>
      <c r="J52" s="37" t="e">
        <f ca="1">Calcu!AB44</f>
        <v>#N/A</v>
      </c>
      <c r="K52" s="37" t="e">
        <f ca="1">Calcu!AC44</f>
        <v>#N/A</v>
      </c>
      <c r="L52" s="37" t="str">
        <f>LEFT(Calcu!AE44,1)</f>
        <v/>
      </c>
      <c r="M52" s="37" t="str">
        <f>IF(Calcu_ADJ!B44=FALSE,"-",Calcu_ADJ!AB44)</f>
        <v>-</v>
      </c>
      <c r="N52" s="37" t="str">
        <f>IF(Calcu_ADJ!B44=FALSE,"-",Calcu_ADJ!AC44)</f>
        <v>-</v>
      </c>
      <c r="O52" s="37" t="str">
        <f>IF(Calcu_ADJ!B44=FALSE,"-",LEFT(Calcu_ADJ!AE44,1))</f>
        <v>-</v>
      </c>
      <c r="Q52" s="37" t="e">
        <f ca="1">IF(Calcu_ADJ!B44=FALSE,Calcu!AF44,Calcu_ADJ!AF44)</f>
        <v>#N/A</v>
      </c>
    </row>
    <row r="53" spans="1:17" ht="15" customHeight="1">
      <c r="A53" s="44" t="str">
        <f>IF(Calcu!B45=TRUE,"","삭제")</f>
        <v>삭제</v>
      </c>
      <c r="B53" s="43"/>
      <c r="C53" s="43"/>
      <c r="D53" s="43"/>
      <c r="E53" s="43"/>
      <c r="F53" s="51" t="e">
        <f ca="1">IF(Calcu_ADJ!B45=FALSE,Calcu!AA45,Calcu_ADJ!AA45)</f>
        <v>#N/A</v>
      </c>
      <c r="G53" s="51" t="s">
        <v>186</v>
      </c>
      <c r="H53" s="51" t="e">
        <f ca="1">IF(Calcu_ADJ!B45=FALSE,Calcu!AD45,Calcu_ADJ!AD45)</f>
        <v>#N/A</v>
      </c>
      <c r="J53" s="37" t="e">
        <f ca="1">Calcu!AB45</f>
        <v>#N/A</v>
      </c>
      <c r="K53" s="37" t="e">
        <f ca="1">Calcu!AC45</f>
        <v>#N/A</v>
      </c>
      <c r="L53" s="37" t="str">
        <f>LEFT(Calcu!AE45,1)</f>
        <v/>
      </c>
      <c r="M53" s="37" t="str">
        <f>IF(Calcu_ADJ!B45=FALSE,"-",Calcu_ADJ!AB45)</f>
        <v>-</v>
      </c>
      <c r="N53" s="37" t="str">
        <f>IF(Calcu_ADJ!B45=FALSE,"-",Calcu_ADJ!AC45)</f>
        <v>-</v>
      </c>
      <c r="O53" s="37" t="str">
        <f>IF(Calcu_ADJ!B45=FALSE,"-",LEFT(Calcu_ADJ!AE45,1))</f>
        <v>-</v>
      </c>
      <c r="Q53" s="37" t="e">
        <f ca="1">IF(Calcu_ADJ!B45=FALSE,Calcu!AF45,Calcu_ADJ!AF45)</f>
        <v>#N/A</v>
      </c>
    </row>
    <row r="54" spans="1:17" ht="15" customHeight="1">
      <c r="A54" s="44" t="str">
        <f>IF(Calcu!B46=TRUE,"","삭제")</f>
        <v>삭제</v>
      </c>
      <c r="B54" s="43"/>
      <c r="C54" s="43"/>
      <c r="D54" s="43"/>
      <c r="E54" s="43"/>
      <c r="F54" s="51" t="e">
        <f ca="1">IF(Calcu_ADJ!B46=FALSE,Calcu!AA46,Calcu_ADJ!AA46)</f>
        <v>#N/A</v>
      </c>
      <c r="G54" s="51" t="s">
        <v>186</v>
      </c>
      <c r="H54" s="51" t="e">
        <f ca="1">IF(Calcu_ADJ!B46=FALSE,Calcu!AD46,Calcu_ADJ!AD46)</f>
        <v>#N/A</v>
      </c>
      <c r="J54" s="37" t="e">
        <f ca="1">Calcu!AB46</f>
        <v>#N/A</v>
      </c>
      <c r="K54" s="37" t="e">
        <f ca="1">Calcu!AC46</f>
        <v>#N/A</v>
      </c>
      <c r="L54" s="37" t="str">
        <f>LEFT(Calcu!AE46,1)</f>
        <v/>
      </c>
      <c r="M54" s="37" t="str">
        <f>IF(Calcu_ADJ!B46=FALSE,"-",Calcu_ADJ!AB46)</f>
        <v>-</v>
      </c>
      <c r="N54" s="37" t="str">
        <f>IF(Calcu_ADJ!B46=FALSE,"-",Calcu_ADJ!AC46)</f>
        <v>-</v>
      </c>
      <c r="O54" s="37" t="str">
        <f>IF(Calcu_ADJ!B46=FALSE,"-",LEFT(Calcu_ADJ!AE46,1))</f>
        <v>-</v>
      </c>
      <c r="Q54" s="37" t="e">
        <f ca="1">IF(Calcu_ADJ!B46=FALSE,Calcu!AF46,Calcu_ADJ!AF46)</f>
        <v>#N/A</v>
      </c>
    </row>
    <row r="55" spans="1:17" ht="15" customHeight="1">
      <c r="A55" s="44" t="str">
        <f>IF(Calcu!B47=TRUE,"","삭제")</f>
        <v>삭제</v>
      </c>
      <c r="B55" s="43"/>
      <c r="C55" s="43"/>
      <c r="D55" s="43"/>
      <c r="E55" s="43"/>
      <c r="F55" s="51" t="e">
        <f ca="1">IF(Calcu_ADJ!B47=FALSE,Calcu!AA47,Calcu_ADJ!AA47)</f>
        <v>#N/A</v>
      </c>
      <c r="G55" s="51" t="s">
        <v>186</v>
      </c>
      <c r="H55" s="51" t="e">
        <f ca="1">IF(Calcu_ADJ!B47=FALSE,Calcu!AD47,Calcu_ADJ!AD47)</f>
        <v>#N/A</v>
      </c>
      <c r="J55" s="37" t="e">
        <f ca="1">Calcu!AB47</f>
        <v>#N/A</v>
      </c>
      <c r="K55" s="37" t="e">
        <f ca="1">Calcu!AC47</f>
        <v>#N/A</v>
      </c>
      <c r="L55" s="37" t="str">
        <f>LEFT(Calcu!AE47,1)</f>
        <v/>
      </c>
      <c r="M55" s="37" t="str">
        <f>IF(Calcu_ADJ!B47=FALSE,"-",Calcu_ADJ!AB47)</f>
        <v>-</v>
      </c>
      <c r="N55" s="37" t="str">
        <f>IF(Calcu_ADJ!B47=FALSE,"-",Calcu_ADJ!AC47)</f>
        <v>-</v>
      </c>
      <c r="O55" s="37" t="str">
        <f>IF(Calcu_ADJ!B47=FALSE,"-",LEFT(Calcu_ADJ!AE47,1))</f>
        <v>-</v>
      </c>
      <c r="Q55" s="37" t="e">
        <f ca="1">IF(Calcu_ADJ!B47=FALSE,Calcu!AF47,Calcu_ADJ!AF47)</f>
        <v>#N/A</v>
      </c>
    </row>
    <row r="56" spans="1:17" ht="15" customHeight="1">
      <c r="A56" s="44" t="str">
        <f>IF(Calcu!B48=TRUE,"","삭제")</f>
        <v>삭제</v>
      </c>
      <c r="B56" s="43"/>
      <c r="C56" s="43"/>
      <c r="D56" s="43"/>
      <c r="E56" s="43"/>
      <c r="F56" s="51" t="e">
        <f ca="1">IF(Calcu_ADJ!B48=FALSE,Calcu!AA48,Calcu_ADJ!AA48)</f>
        <v>#N/A</v>
      </c>
      <c r="G56" s="51" t="s">
        <v>186</v>
      </c>
      <c r="H56" s="51" t="e">
        <f ca="1">IF(Calcu_ADJ!B48=FALSE,Calcu!AD48,Calcu_ADJ!AD48)</f>
        <v>#N/A</v>
      </c>
      <c r="J56" s="37" t="e">
        <f ca="1">Calcu!AB48</f>
        <v>#N/A</v>
      </c>
      <c r="K56" s="37" t="e">
        <f ca="1">Calcu!AC48</f>
        <v>#N/A</v>
      </c>
      <c r="L56" s="37" t="str">
        <f>LEFT(Calcu!AE48,1)</f>
        <v/>
      </c>
      <c r="M56" s="37" t="str">
        <f>IF(Calcu_ADJ!B48=FALSE,"-",Calcu_ADJ!AB48)</f>
        <v>-</v>
      </c>
      <c r="N56" s="37" t="str">
        <f>IF(Calcu_ADJ!B48=FALSE,"-",Calcu_ADJ!AC48)</f>
        <v>-</v>
      </c>
      <c r="O56" s="37" t="str">
        <f>IF(Calcu_ADJ!B48=FALSE,"-",LEFT(Calcu_ADJ!AE48,1))</f>
        <v>-</v>
      </c>
      <c r="Q56" s="37" t="e">
        <f ca="1">IF(Calcu_ADJ!B48=FALSE,Calcu!AF48,Calcu_ADJ!AF48)</f>
        <v>#N/A</v>
      </c>
    </row>
    <row r="57" spans="1:17" ht="15" customHeight="1">
      <c r="A57" s="44" t="str">
        <f>IF(Calcu!B49=TRUE,"","삭제")</f>
        <v>삭제</v>
      </c>
      <c r="B57" s="43"/>
      <c r="C57" s="43"/>
      <c r="D57" s="43"/>
      <c r="E57" s="43"/>
      <c r="F57" s="51" t="e">
        <f ca="1">IF(Calcu_ADJ!B49=FALSE,Calcu!AA49,Calcu_ADJ!AA49)</f>
        <v>#N/A</v>
      </c>
      <c r="G57" s="51" t="s">
        <v>186</v>
      </c>
      <c r="H57" s="51" t="e">
        <f ca="1">IF(Calcu_ADJ!B49=FALSE,Calcu!AD49,Calcu_ADJ!AD49)</f>
        <v>#N/A</v>
      </c>
      <c r="J57" s="37" t="e">
        <f ca="1">Calcu!AB49</f>
        <v>#N/A</v>
      </c>
      <c r="K57" s="37" t="e">
        <f ca="1">Calcu!AC49</f>
        <v>#N/A</v>
      </c>
      <c r="L57" s="37" t="str">
        <f>LEFT(Calcu!AE49,1)</f>
        <v/>
      </c>
      <c r="M57" s="37" t="str">
        <f>IF(Calcu_ADJ!B49=FALSE,"-",Calcu_ADJ!AB49)</f>
        <v>-</v>
      </c>
      <c r="N57" s="37" t="str">
        <f>IF(Calcu_ADJ!B49=FALSE,"-",Calcu_ADJ!AC49)</f>
        <v>-</v>
      </c>
      <c r="O57" s="37" t="str">
        <f>IF(Calcu_ADJ!B49=FALSE,"-",LEFT(Calcu_ADJ!AE49,1))</f>
        <v>-</v>
      </c>
      <c r="Q57" s="37" t="e">
        <f ca="1">IF(Calcu_ADJ!B49=FALSE,Calcu!AF49,Calcu_ADJ!AF49)</f>
        <v>#N/A</v>
      </c>
    </row>
    <row r="58" spans="1:17" ht="15" customHeight="1">
      <c r="A58" s="44"/>
      <c r="F58" s="51"/>
      <c r="G58" s="51"/>
      <c r="H58" s="51"/>
    </row>
    <row r="59" spans="1:17" ht="15" customHeight="1">
      <c r="A59" s="44"/>
      <c r="G59" s="53" t="e">
        <f ca="1">IF(Calcu_ADJ!B9=FALSE,Calcu!E78,Calcu_ADJ!E78)</f>
        <v>#N/A</v>
      </c>
      <c r="H59" s="216" t="e">
        <f ca="1">IF(Calcu_ADJ!B9=FALSE,Calcu!F78,Calcu_ADJ!F78)</f>
        <v>#N/A</v>
      </c>
      <c r="K59" s="50"/>
      <c r="Q59" s="53"/>
    </row>
    <row r="60" spans="1:17" ht="15" customHeight="1"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6"/>
    </row>
  </sheetData>
  <mergeCells count="13">
    <mergeCell ref="M15:O15"/>
    <mergeCell ref="P15:P16"/>
    <mergeCell ref="Q15:Q16"/>
    <mergeCell ref="A1:Q2"/>
    <mergeCell ref="B15:B16"/>
    <mergeCell ref="C15:C16"/>
    <mergeCell ref="D15:D16"/>
    <mergeCell ref="E15:E16"/>
    <mergeCell ref="F15:F16"/>
    <mergeCell ref="G15:G16"/>
    <mergeCell ref="H15:H16"/>
    <mergeCell ref="I15:I16"/>
    <mergeCell ref="J15:L15"/>
  </mergeCells>
  <phoneticPr fontId="4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34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3.77734375" style="37" customWidth="1"/>
    <col min="5" max="8" width="11.77734375" style="37" customWidth="1"/>
    <col min="9" max="11" width="3.77734375" style="37" customWidth="1"/>
    <col min="12" max="12" width="3.77734375" style="95" customWidth="1"/>
    <col min="13" max="13" width="6.77734375" style="112" customWidth="1"/>
    <col min="14" max="16384" width="10.77734375" style="95"/>
  </cols>
  <sheetData>
    <row r="1" spans="1:13" s="82" customFormat="1" ht="33" customHeight="1">
      <c r="A1" s="390" t="s">
        <v>74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84"/>
    </row>
    <row r="2" spans="1:13" s="82" customFormat="1" ht="33" customHeight="1">
      <c r="A2" s="390"/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84"/>
    </row>
    <row r="3" spans="1:13" s="82" customFormat="1" ht="12.75" customHeight="1">
      <c r="A3" s="48"/>
      <c r="B3" s="48"/>
      <c r="C3" s="48"/>
      <c r="D3" s="22"/>
      <c r="E3" s="22"/>
      <c r="F3" s="22"/>
      <c r="G3" s="22"/>
      <c r="H3" s="22"/>
      <c r="I3" s="22"/>
      <c r="J3" s="22"/>
      <c r="K3" s="22"/>
      <c r="L3" s="83"/>
      <c r="M3" s="111"/>
    </row>
    <row r="4" spans="1:13" s="84" customFormat="1" ht="13.5" customHeight="1">
      <c r="A4" s="92"/>
      <c r="B4" s="92"/>
      <c r="C4" s="92"/>
      <c r="D4" s="93"/>
      <c r="E4" s="93"/>
      <c r="F4" s="102"/>
      <c r="G4" s="93"/>
      <c r="H4" s="93"/>
      <c r="I4" s="103"/>
      <c r="J4" s="94"/>
      <c r="K4" s="102"/>
      <c r="L4" s="92"/>
      <c r="M4" s="36"/>
    </row>
    <row r="5" spans="1:13" s="85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3" s="87" customFormat="1" ht="15" customHeight="1">
      <c r="A6" s="43"/>
      <c r="D6" s="43"/>
      <c r="E6" s="38" t="s">
        <v>241</v>
      </c>
      <c r="F6" s="37"/>
      <c r="G6" s="52"/>
      <c r="H6" s="52"/>
      <c r="I6" s="52"/>
      <c r="J6" s="51"/>
      <c r="K6" s="37"/>
      <c r="L6" s="96"/>
    </row>
    <row r="7" spans="1:13" s="87" customFormat="1" ht="15" customHeight="1">
      <c r="A7" s="43"/>
      <c r="D7" s="43"/>
      <c r="E7" s="172" t="s">
        <v>181</v>
      </c>
      <c r="F7" s="172" t="s">
        <v>112</v>
      </c>
      <c r="G7" s="202" t="s">
        <v>111</v>
      </c>
      <c r="H7" s="388" t="s">
        <v>113</v>
      </c>
      <c r="I7" s="51"/>
    </row>
    <row r="8" spans="1:13" s="87" customFormat="1" ht="15" customHeight="1">
      <c r="A8" s="43"/>
      <c r="D8" s="43"/>
      <c r="E8" s="171" t="s">
        <v>242</v>
      </c>
      <c r="F8" s="171" t="s">
        <v>242</v>
      </c>
      <c r="G8" s="171" t="s">
        <v>240</v>
      </c>
      <c r="H8" s="389"/>
      <c r="I8" s="51"/>
    </row>
    <row r="9" spans="1:13" s="87" customFormat="1" ht="15" customHeight="1">
      <c r="A9" s="43" t="str">
        <f>IF(Calcu!B9=TRUE,"","삭제")</f>
        <v>삭제</v>
      </c>
      <c r="D9" s="43"/>
      <c r="E9" s="222" t="e">
        <f ca="1">Calcu!AA9</f>
        <v>#N/A</v>
      </c>
      <c r="F9" s="222" t="e">
        <f ca="1">Calcu!AB9</f>
        <v>#N/A</v>
      </c>
      <c r="G9" s="222" t="e">
        <f ca="1">Calcu!AD9</f>
        <v>#N/A</v>
      </c>
      <c r="H9" s="222" t="str">
        <f>Calcu!AE9</f>
        <v/>
      </c>
    </row>
    <row r="10" spans="1:13" s="87" customFormat="1" ht="15" customHeight="1">
      <c r="A10" s="43" t="str">
        <f>IF(Calcu!B10=TRUE,"","삭제")</f>
        <v>삭제</v>
      </c>
      <c r="D10" s="43"/>
      <c r="E10" s="222" t="e">
        <f ca="1">Calcu!AA10</f>
        <v>#N/A</v>
      </c>
      <c r="F10" s="222" t="e">
        <f ca="1">Calcu!AB10</f>
        <v>#N/A</v>
      </c>
      <c r="G10" s="222" t="e">
        <f ca="1">Calcu!AD10</f>
        <v>#N/A</v>
      </c>
      <c r="H10" s="222" t="str">
        <f>Calcu!AE10</f>
        <v/>
      </c>
    </row>
    <row r="11" spans="1:13" s="87" customFormat="1" ht="15" customHeight="1">
      <c r="A11" s="43" t="str">
        <f>IF(Calcu!B11=TRUE,"","삭제")</f>
        <v>삭제</v>
      </c>
      <c r="D11" s="43"/>
      <c r="E11" s="222" t="e">
        <f ca="1">Calcu!AA11</f>
        <v>#N/A</v>
      </c>
      <c r="F11" s="222" t="e">
        <f ca="1">Calcu!AB11</f>
        <v>#N/A</v>
      </c>
      <c r="G11" s="222" t="e">
        <f ca="1">Calcu!AD11</f>
        <v>#N/A</v>
      </c>
      <c r="H11" s="222" t="str">
        <f>Calcu!AE11</f>
        <v/>
      </c>
    </row>
    <row r="12" spans="1:13" s="87" customFormat="1" ht="15" customHeight="1">
      <c r="A12" s="43" t="str">
        <f>IF(Calcu!B12=TRUE,"","삭제")</f>
        <v>삭제</v>
      </c>
      <c r="D12" s="43"/>
      <c r="E12" s="222" t="e">
        <f ca="1">Calcu!AA12</f>
        <v>#N/A</v>
      </c>
      <c r="F12" s="222" t="e">
        <f ca="1">Calcu!AB12</f>
        <v>#N/A</v>
      </c>
      <c r="G12" s="222" t="e">
        <f ca="1">Calcu!AD12</f>
        <v>#N/A</v>
      </c>
      <c r="H12" s="222" t="str">
        <f>Calcu!AE12</f>
        <v/>
      </c>
    </row>
    <row r="13" spans="1:13" s="87" customFormat="1" ht="15" customHeight="1">
      <c r="A13" s="43" t="str">
        <f>IF(Calcu!B13=TRUE,"","삭제")</f>
        <v>삭제</v>
      </c>
      <c r="D13" s="43"/>
      <c r="E13" s="222" t="e">
        <f ca="1">Calcu!AA13</f>
        <v>#N/A</v>
      </c>
      <c r="F13" s="222" t="e">
        <f ca="1">Calcu!AB13</f>
        <v>#N/A</v>
      </c>
      <c r="G13" s="222" t="e">
        <f ca="1">Calcu!AD13</f>
        <v>#N/A</v>
      </c>
      <c r="H13" s="222" t="str">
        <f>Calcu!AE13</f>
        <v/>
      </c>
    </row>
    <row r="14" spans="1:13" s="87" customFormat="1" ht="15" customHeight="1">
      <c r="A14" s="43" t="str">
        <f>IF(Calcu!B14=TRUE,"","삭제")</f>
        <v>삭제</v>
      </c>
      <c r="D14" s="43"/>
      <c r="E14" s="222" t="e">
        <f ca="1">Calcu!AA14</f>
        <v>#N/A</v>
      </c>
      <c r="F14" s="222" t="e">
        <f ca="1">Calcu!AB14</f>
        <v>#N/A</v>
      </c>
      <c r="G14" s="222" t="e">
        <f ca="1">Calcu!AD14</f>
        <v>#N/A</v>
      </c>
      <c r="H14" s="222" t="str">
        <f>Calcu!AE14</f>
        <v/>
      </c>
    </row>
    <row r="15" spans="1:13" s="87" customFormat="1" ht="15" customHeight="1">
      <c r="A15" s="43" t="str">
        <f>IF(Calcu!B15=TRUE,"","삭제")</f>
        <v>삭제</v>
      </c>
      <c r="D15" s="43"/>
      <c r="E15" s="222" t="e">
        <f ca="1">Calcu!AA15</f>
        <v>#N/A</v>
      </c>
      <c r="F15" s="222" t="e">
        <f ca="1">Calcu!AB15</f>
        <v>#N/A</v>
      </c>
      <c r="G15" s="222" t="e">
        <f ca="1">Calcu!AD15</f>
        <v>#N/A</v>
      </c>
      <c r="H15" s="222" t="str">
        <f>Calcu!AE15</f>
        <v/>
      </c>
    </row>
    <row r="16" spans="1:13" s="87" customFormat="1" ht="15" customHeight="1">
      <c r="A16" s="43" t="str">
        <f>IF(Calcu!B16=TRUE,"","삭제")</f>
        <v>삭제</v>
      </c>
      <c r="D16" s="43"/>
      <c r="E16" s="222" t="e">
        <f ca="1">Calcu!AA16</f>
        <v>#N/A</v>
      </c>
      <c r="F16" s="222" t="e">
        <f ca="1">Calcu!AB16</f>
        <v>#N/A</v>
      </c>
      <c r="G16" s="222" t="e">
        <f ca="1">Calcu!AD16</f>
        <v>#N/A</v>
      </c>
      <c r="H16" s="222" t="str">
        <f>Calcu!AE16</f>
        <v/>
      </c>
    </row>
    <row r="17" spans="1:13" s="87" customFormat="1" ht="15" customHeight="1">
      <c r="A17" s="43" t="str">
        <f>IF(Calcu!B17=TRUE,"","삭제")</f>
        <v>삭제</v>
      </c>
      <c r="D17" s="43"/>
      <c r="E17" s="222" t="e">
        <f ca="1">Calcu!AA17</f>
        <v>#N/A</v>
      </c>
      <c r="F17" s="222" t="e">
        <f ca="1">Calcu!AB17</f>
        <v>#N/A</v>
      </c>
      <c r="G17" s="222" t="e">
        <f ca="1">Calcu!AD17</f>
        <v>#N/A</v>
      </c>
      <c r="H17" s="222" t="str">
        <f>Calcu!AE17</f>
        <v/>
      </c>
    </row>
    <row r="18" spans="1:13" s="87" customFormat="1" ht="15" customHeight="1">
      <c r="A18" s="43" t="str">
        <f>IF(Calcu!B18=TRUE,"","삭제")</f>
        <v>삭제</v>
      </c>
      <c r="D18" s="43"/>
      <c r="E18" s="222" t="e">
        <f ca="1">Calcu!AA18</f>
        <v>#N/A</v>
      </c>
      <c r="F18" s="222" t="e">
        <f ca="1">Calcu!AB18</f>
        <v>#N/A</v>
      </c>
      <c r="G18" s="222" t="e">
        <f ca="1">Calcu!AD18</f>
        <v>#N/A</v>
      </c>
      <c r="H18" s="222" t="str">
        <f>Calcu!AE18</f>
        <v/>
      </c>
    </row>
    <row r="19" spans="1:13" s="87" customFormat="1" ht="15" customHeight="1">
      <c r="A19" s="43" t="str">
        <f>IF(Calcu!B19=TRUE,"","삭제")</f>
        <v>삭제</v>
      </c>
      <c r="D19" s="43"/>
      <c r="E19" s="222" t="e">
        <f ca="1">Calcu!AA19</f>
        <v>#N/A</v>
      </c>
      <c r="F19" s="222" t="e">
        <f ca="1">Calcu!AB19</f>
        <v>#N/A</v>
      </c>
      <c r="G19" s="222" t="e">
        <f ca="1">Calcu!AD19</f>
        <v>#N/A</v>
      </c>
      <c r="H19" s="222" t="str">
        <f>Calcu!AE19</f>
        <v/>
      </c>
    </row>
    <row r="20" spans="1:13" s="87" customFormat="1" ht="15" customHeight="1">
      <c r="A20" s="43" t="str">
        <f>IF(Calcu!B20=TRUE,"","삭제")</f>
        <v>삭제</v>
      </c>
      <c r="D20" s="43"/>
      <c r="E20" s="222" t="e">
        <f ca="1">Calcu!AA20</f>
        <v>#N/A</v>
      </c>
      <c r="F20" s="222" t="e">
        <f ca="1">Calcu!AB20</f>
        <v>#N/A</v>
      </c>
      <c r="G20" s="222" t="e">
        <f ca="1">Calcu!AD20</f>
        <v>#N/A</v>
      </c>
      <c r="H20" s="222" t="str">
        <f>Calcu!AE20</f>
        <v/>
      </c>
    </row>
    <row r="21" spans="1:13" s="87" customFormat="1" ht="15" customHeight="1">
      <c r="A21" s="43" t="str">
        <f>IF(Calcu!B21=TRUE,"","삭제")</f>
        <v>삭제</v>
      </c>
      <c r="D21" s="43"/>
      <c r="E21" s="222" t="e">
        <f ca="1">Calcu!AA21</f>
        <v>#N/A</v>
      </c>
      <c r="F21" s="222" t="e">
        <f ca="1">Calcu!AB21</f>
        <v>#N/A</v>
      </c>
      <c r="G21" s="222" t="e">
        <f ca="1">Calcu!AD21</f>
        <v>#N/A</v>
      </c>
      <c r="H21" s="222" t="str">
        <f>Calcu!AE21</f>
        <v/>
      </c>
    </row>
    <row r="22" spans="1:13" s="87" customFormat="1" ht="15" customHeight="1">
      <c r="A22" s="43" t="str">
        <f>IF(Calcu!B22=TRUE,"","삭제")</f>
        <v>삭제</v>
      </c>
      <c r="D22" s="43"/>
      <c r="E22" s="222" t="e">
        <f ca="1">Calcu!AA22</f>
        <v>#N/A</v>
      </c>
      <c r="F22" s="222" t="e">
        <f ca="1">Calcu!AB22</f>
        <v>#N/A</v>
      </c>
      <c r="G22" s="222" t="e">
        <f ca="1">Calcu!AD22</f>
        <v>#N/A</v>
      </c>
      <c r="H22" s="222" t="str">
        <f>Calcu!AE22</f>
        <v/>
      </c>
    </row>
    <row r="23" spans="1:13" s="87" customFormat="1" ht="15" customHeight="1">
      <c r="A23" s="43" t="str">
        <f>IF(Calcu!B23=TRUE,"","삭제")</f>
        <v>삭제</v>
      </c>
      <c r="D23" s="43"/>
      <c r="E23" s="222" t="e">
        <f ca="1">Calcu!AA23</f>
        <v>#N/A</v>
      </c>
      <c r="F23" s="222" t="e">
        <f ca="1">Calcu!AB23</f>
        <v>#N/A</v>
      </c>
      <c r="G23" s="222" t="e">
        <f ca="1">Calcu!AD23</f>
        <v>#N/A</v>
      </c>
      <c r="H23" s="222" t="str">
        <f>Calcu!AE23</f>
        <v/>
      </c>
    </row>
    <row r="24" spans="1:13" s="87" customFormat="1" ht="15" customHeight="1">
      <c r="A24" s="43" t="str">
        <f>IF(Calcu!B24=TRUE,"","삭제")</f>
        <v>삭제</v>
      </c>
      <c r="D24" s="43"/>
      <c r="E24" s="222" t="e">
        <f ca="1">Calcu!AA24</f>
        <v>#N/A</v>
      </c>
      <c r="F24" s="222" t="e">
        <f ca="1">Calcu!AB24</f>
        <v>#N/A</v>
      </c>
      <c r="G24" s="222" t="e">
        <f ca="1">Calcu!AD24</f>
        <v>#N/A</v>
      </c>
      <c r="H24" s="222" t="str">
        <f>Calcu!AE24</f>
        <v/>
      </c>
    </row>
    <row r="25" spans="1:13" s="87" customFormat="1" ht="15" customHeight="1">
      <c r="A25" s="43" t="str">
        <f>IF(Calcu!B25=TRUE,"","삭제")</f>
        <v>삭제</v>
      </c>
      <c r="D25" s="43"/>
      <c r="E25" s="222" t="e">
        <f ca="1">Calcu!AA25</f>
        <v>#N/A</v>
      </c>
      <c r="F25" s="222" t="e">
        <f ca="1">Calcu!AB25</f>
        <v>#N/A</v>
      </c>
      <c r="G25" s="222" t="e">
        <f ca="1">Calcu!AD25</f>
        <v>#N/A</v>
      </c>
      <c r="H25" s="222" t="str">
        <f>Calcu!AE25</f>
        <v/>
      </c>
    </row>
    <row r="26" spans="1:13" s="87" customFormat="1" ht="15" customHeight="1">
      <c r="A26" s="43" t="str">
        <f>IF(Calcu!B26=TRUE,"","삭제")</f>
        <v>삭제</v>
      </c>
      <c r="D26" s="43"/>
      <c r="E26" s="222" t="e">
        <f ca="1">Calcu!AA26</f>
        <v>#N/A</v>
      </c>
      <c r="F26" s="222" t="e">
        <f ca="1">Calcu!AB26</f>
        <v>#N/A</v>
      </c>
      <c r="G26" s="222" t="e">
        <f ca="1">Calcu!AD26</f>
        <v>#N/A</v>
      </c>
      <c r="H26" s="222" t="str">
        <f>Calcu!AE26</f>
        <v/>
      </c>
    </row>
    <row r="27" spans="1:13" s="87" customFormat="1" ht="15" customHeight="1">
      <c r="A27" s="43" t="str">
        <f>IF(Calcu!B27=TRUE,"","삭제")</f>
        <v>삭제</v>
      </c>
      <c r="D27" s="43"/>
      <c r="E27" s="222" t="e">
        <f ca="1">Calcu!AA27</f>
        <v>#N/A</v>
      </c>
      <c r="F27" s="222" t="e">
        <f ca="1">Calcu!AB27</f>
        <v>#N/A</v>
      </c>
      <c r="G27" s="222" t="e">
        <f ca="1">Calcu!AD27</f>
        <v>#N/A</v>
      </c>
      <c r="H27" s="222" t="str">
        <f>Calcu!AE27</f>
        <v/>
      </c>
    </row>
    <row r="28" spans="1:13" s="87" customFormat="1" ht="15" customHeight="1">
      <c r="A28" s="43" t="str">
        <f>IF(Calcu!B28=TRUE,"","삭제")</f>
        <v>삭제</v>
      </c>
      <c r="D28" s="43"/>
      <c r="E28" s="222" t="e">
        <f ca="1">Calcu!AA28</f>
        <v>#N/A</v>
      </c>
      <c r="F28" s="222" t="e">
        <f ca="1">Calcu!AB28</f>
        <v>#N/A</v>
      </c>
      <c r="G28" s="222" t="e">
        <f ca="1">Calcu!AD28</f>
        <v>#N/A</v>
      </c>
      <c r="H28" s="222" t="str">
        <f>Calcu!AE28</f>
        <v/>
      </c>
    </row>
    <row r="29" spans="1:13" s="87" customFormat="1" ht="15" customHeight="1">
      <c r="A29" s="43" t="str">
        <f>IF(Calcu!B29=TRUE,"","삭제")</f>
        <v>삭제</v>
      </c>
      <c r="D29" s="43"/>
      <c r="E29" s="222" t="e">
        <f ca="1">Calcu!AA29</f>
        <v>#N/A</v>
      </c>
      <c r="F29" s="222" t="e">
        <f ca="1">Calcu!AB29</f>
        <v>#N/A</v>
      </c>
      <c r="G29" s="222" t="e">
        <f ca="1">Calcu!AD29</f>
        <v>#N/A</v>
      </c>
      <c r="H29" s="222" t="str">
        <f>Calcu!AE29</f>
        <v/>
      </c>
    </row>
    <row r="30" spans="1:13" s="87" customFormat="1" ht="15" customHeight="1">
      <c r="A30" s="43" t="str">
        <f>IF(Calcu!B30=TRUE,"","삭제")</f>
        <v>삭제</v>
      </c>
      <c r="D30" s="43"/>
      <c r="E30" s="222" t="e">
        <f ca="1">Calcu!AA30</f>
        <v>#N/A</v>
      </c>
      <c r="F30" s="222" t="e">
        <f ca="1">Calcu!AB30</f>
        <v>#N/A</v>
      </c>
      <c r="G30" s="222" t="e">
        <f ca="1">Calcu!AD30</f>
        <v>#N/A</v>
      </c>
      <c r="H30" s="222" t="str">
        <f>Calcu!AE30</f>
        <v/>
      </c>
    </row>
    <row r="31" spans="1:13" s="87" customFormat="1" ht="15" customHeight="1">
      <c r="A31" s="43" t="str">
        <f>IF(Calcu!B31=TRUE,"","삭제")</f>
        <v>삭제</v>
      </c>
      <c r="D31" s="43"/>
      <c r="E31" s="222" t="e">
        <f ca="1">Calcu!AA31</f>
        <v>#N/A</v>
      </c>
      <c r="F31" s="222" t="e">
        <f ca="1">Calcu!AB31</f>
        <v>#N/A</v>
      </c>
      <c r="G31" s="222" t="e">
        <f ca="1">Calcu!AD31</f>
        <v>#N/A</v>
      </c>
      <c r="H31" s="222" t="str">
        <f>Calcu!AE31</f>
        <v/>
      </c>
    </row>
    <row r="32" spans="1:13" ht="15" customHeight="1">
      <c r="B32" s="95"/>
      <c r="C32" s="95"/>
      <c r="D32" s="75"/>
      <c r="E32" s="113"/>
      <c r="F32" s="113"/>
      <c r="G32" s="113"/>
      <c r="H32" s="113"/>
      <c r="I32" s="75"/>
      <c r="J32" s="112"/>
      <c r="K32" s="95"/>
      <c r="M32" s="95"/>
    </row>
    <row r="33" spans="10:13" ht="15" customHeight="1">
      <c r="J33" s="95"/>
      <c r="K33" s="112"/>
      <c r="M33" s="95"/>
    </row>
    <row r="34" spans="10:13" ht="15" customHeight="1">
      <c r="J34" s="95"/>
      <c r="K34" s="112"/>
      <c r="M34" s="95"/>
    </row>
  </sheetData>
  <mergeCells count="2">
    <mergeCell ref="H7:H8"/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95" customWidth="1"/>
    <col min="13" max="16384" width="10.77734375" style="87"/>
  </cols>
  <sheetData>
    <row r="1" spans="1:12" s="82" customFormat="1" ht="33" customHeight="1">
      <c r="A1" s="390" t="s">
        <v>59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</row>
    <row r="2" spans="1:12" s="82" customFormat="1" ht="33" customHeight="1">
      <c r="A2" s="390"/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</row>
    <row r="3" spans="1:12" s="82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83"/>
    </row>
    <row r="4" spans="1:12" s="84" customFormat="1" ht="13.5" customHeight="1">
      <c r="A4" s="92"/>
      <c r="B4" s="92"/>
      <c r="C4" s="93"/>
      <c r="D4" s="93"/>
      <c r="E4" s="102"/>
      <c r="F4" s="93"/>
      <c r="G4" s="93"/>
      <c r="H4" s="103"/>
      <c r="I4" s="94"/>
      <c r="J4" s="102"/>
      <c r="K4" s="102"/>
      <c r="L4" s="92"/>
    </row>
    <row r="5" spans="1:12" s="86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85"/>
    </row>
    <row r="6" spans="1:12" s="37" customFormat="1" ht="15" customHeight="1">
      <c r="C6" s="54" t="str">
        <f>"○ 품명 : "&amp;기본정보!C$5</f>
        <v xml:space="preserve">○ 품명 : </v>
      </c>
      <c r="L6" s="95"/>
    </row>
    <row r="7" spans="1:12" s="37" customFormat="1" ht="15" customHeight="1">
      <c r="C7" s="54" t="str">
        <f>"○ 제작회사 : "&amp;기본정보!C$6</f>
        <v xml:space="preserve">○ 제작회사 : </v>
      </c>
      <c r="L7" s="95"/>
    </row>
    <row r="8" spans="1:12" s="37" customFormat="1" ht="15" customHeight="1">
      <c r="C8" s="54" t="str">
        <f>"○ 형식 : "&amp;기본정보!C$7</f>
        <v xml:space="preserve">○ 형식 : </v>
      </c>
      <c r="L8" s="95"/>
    </row>
    <row r="9" spans="1:12" s="37" customFormat="1" ht="15" customHeight="1">
      <c r="C9" s="54" t="str">
        <f>"○ 기기번호 : "&amp;기본정보!C$8</f>
        <v xml:space="preserve">○ 기기번호 : </v>
      </c>
      <c r="L9" s="95"/>
    </row>
    <row r="10" spans="1:12" s="37" customFormat="1" ht="15" customHeight="1">
      <c r="L10" s="95"/>
    </row>
    <row r="11" spans="1:12" ht="15" customHeight="1">
      <c r="B11" s="75"/>
      <c r="C11" s="113"/>
      <c r="D11" s="113"/>
      <c r="E11" s="113"/>
      <c r="F11" s="113"/>
      <c r="G11" s="113"/>
      <c r="H11" s="114"/>
      <c r="I11" s="114"/>
      <c r="J11" s="113"/>
      <c r="K11" s="75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55"/>
  <sheetViews>
    <sheetView showGridLines="0" zoomScaleNormal="100" workbookViewId="0"/>
  </sheetViews>
  <sheetFormatPr defaultColWidth="8.77734375" defaultRowHeight="13.5" customHeight="1"/>
  <cols>
    <col min="1" max="1" width="2.77734375" style="30" customWidth="1"/>
    <col min="2" max="2" width="8.77734375" style="30"/>
    <col min="3" max="4" width="8.77734375" style="31"/>
    <col min="5" max="5" width="8.77734375" style="26"/>
    <col min="6" max="8" width="8.77734375" style="27"/>
    <col min="9" max="9" width="2.77734375" style="45" customWidth="1"/>
    <col min="10" max="18" width="8.77734375" style="45"/>
    <col min="19" max="16384" width="8.77734375" style="29"/>
  </cols>
  <sheetData>
    <row r="1" spans="1:29" s="68" customFormat="1" ht="25.5">
      <c r="A1" s="64" t="s">
        <v>61</v>
      </c>
      <c r="B1" s="31"/>
      <c r="C1" s="31"/>
      <c r="D1" s="31"/>
      <c r="E1" s="65"/>
      <c r="F1" s="27"/>
      <c r="G1" s="27"/>
      <c r="H1" s="27"/>
      <c r="I1" s="27"/>
      <c r="J1" s="66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</row>
    <row r="2" spans="1:29" s="28" customFormat="1" ht="15" customHeight="1">
      <c r="A2" s="25"/>
      <c r="B2" s="25"/>
      <c r="C2" s="25"/>
      <c r="D2" s="25"/>
      <c r="E2" s="25"/>
      <c r="F2" s="25"/>
      <c r="G2" s="25"/>
      <c r="H2" s="25"/>
    </row>
    <row r="3" spans="1:29" s="28" customFormat="1" ht="15" customHeight="1">
      <c r="A3" s="46"/>
      <c r="B3" s="105" t="s">
        <v>2</v>
      </c>
      <c r="C3" s="106">
        <f>기본정보!C3</f>
        <v>0</v>
      </c>
      <c r="D3" s="105" t="s">
        <v>106</v>
      </c>
      <c r="E3" s="398">
        <f>기본정보!H3</f>
        <v>0</v>
      </c>
      <c r="F3" s="399"/>
      <c r="G3" s="105" t="s">
        <v>110</v>
      </c>
      <c r="H3" s="108">
        <f>기본정보!H8</f>
        <v>0</v>
      </c>
    </row>
    <row r="4" spans="1:29" s="28" customFormat="1" ht="15" customHeight="1">
      <c r="A4" s="46"/>
      <c r="B4" s="105" t="s">
        <v>32</v>
      </c>
      <c r="C4" s="107">
        <f>기본정보!C8</f>
        <v>0</v>
      </c>
      <c r="D4" s="105" t="s">
        <v>107</v>
      </c>
      <c r="E4" s="396">
        <f>기본정보!H4</f>
        <v>0</v>
      </c>
      <c r="F4" s="397"/>
      <c r="G4" s="105" t="s">
        <v>14</v>
      </c>
      <c r="H4" s="108">
        <f>기본정보!H9</f>
        <v>0</v>
      </c>
    </row>
    <row r="5" spans="1:29" s="28" customFormat="1" ht="15" customHeight="1">
      <c r="A5" s="46"/>
      <c r="D5" s="25"/>
      <c r="E5" s="25"/>
      <c r="F5" s="25"/>
      <c r="G5" s="25"/>
      <c r="H5" s="25"/>
    </row>
    <row r="6" spans="1:29" s="28" customFormat="1" ht="15" customHeight="1">
      <c r="A6" s="46"/>
      <c r="B6" s="46" t="s">
        <v>108</v>
      </c>
      <c r="D6" s="25"/>
      <c r="E6" s="25"/>
      <c r="F6" s="25"/>
      <c r="G6" s="25"/>
      <c r="H6" s="25"/>
    </row>
    <row r="7" spans="1:29" s="28" customFormat="1" ht="15" customHeight="1">
      <c r="A7" s="46"/>
      <c r="B7" s="105" t="s">
        <v>131</v>
      </c>
      <c r="C7" s="105" t="s">
        <v>62</v>
      </c>
      <c r="D7" s="105" t="s">
        <v>60</v>
      </c>
      <c r="E7" s="25"/>
      <c r="F7" s="25"/>
      <c r="G7" s="25"/>
      <c r="H7" s="25"/>
    </row>
    <row r="8" spans="1:29" s="28" customFormat="1" ht="15" customHeight="1">
      <c r="A8" s="46"/>
      <c r="B8" s="106">
        <f>Calcu!F3</f>
        <v>0</v>
      </c>
      <c r="C8" s="106">
        <f>Calcu!G3</f>
        <v>0</v>
      </c>
      <c r="D8" s="106">
        <f>Calcu!I3</f>
        <v>0</v>
      </c>
      <c r="E8" s="25"/>
      <c r="F8" s="25"/>
      <c r="G8" s="25"/>
      <c r="H8" s="25"/>
    </row>
    <row r="9" spans="1:29" s="28" customFormat="1" ht="15" customHeight="1">
      <c r="A9" s="46"/>
      <c r="B9" s="25"/>
      <c r="C9" s="25"/>
      <c r="D9" s="25"/>
      <c r="E9" s="25"/>
      <c r="F9" s="25"/>
      <c r="G9" s="25"/>
      <c r="H9" s="25"/>
    </row>
    <row r="10" spans="1:29" s="28" customFormat="1" ht="15" customHeight="1">
      <c r="A10" s="46"/>
      <c r="B10" s="109" t="s">
        <v>109</v>
      </c>
      <c r="C10" s="25"/>
      <c r="D10" s="25"/>
      <c r="E10" s="25"/>
      <c r="F10" s="25"/>
      <c r="G10" s="25"/>
      <c r="H10" s="25"/>
      <c r="J10" s="109" t="s">
        <v>459</v>
      </c>
      <c r="K10" s="25"/>
      <c r="L10" s="25"/>
      <c r="M10" s="25"/>
      <c r="N10" s="25"/>
      <c r="O10" s="25"/>
    </row>
    <row r="11" spans="1:29" ht="13.5" customHeight="1">
      <c r="A11" s="29"/>
      <c r="B11" s="110" t="s">
        <v>237</v>
      </c>
      <c r="F11" s="25"/>
      <c r="G11" s="25"/>
      <c r="H11" s="25"/>
      <c r="I11" s="28"/>
      <c r="J11" s="110" t="s">
        <v>237</v>
      </c>
      <c r="K11" s="31"/>
      <c r="L11" s="31"/>
      <c r="M11" s="26"/>
      <c r="N11" s="25"/>
      <c r="O11" s="25"/>
    </row>
    <row r="12" spans="1:29" ht="13.5" customHeight="1">
      <c r="B12" s="394" t="s">
        <v>334</v>
      </c>
      <c r="C12" s="391" t="str">
        <f>Calcu!E6</f>
        <v>길이 변위계 지시값</v>
      </c>
      <c r="D12" s="392"/>
      <c r="E12" s="392"/>
      <c r="F12" s="392"/>
      <c r="G12" s="393"/>
      <c r="H12" s="25"/>
      <c r="I12" s="28"/>
      <c r="J12" s="394" t="s">
        <v>334</v>
      </c>
      <c r="K12" s="391" t="str">
        <f>Calcu_ADJ!E6</f>
        <v>길이 변위계 지시값</v>
      </c>
      <c r="L12" s="392"/>
      <c r="M12" s="392"/>
      <c r="N12" s="392"/>
      <c r="O12" s="393"/>
    </row>
    <row r="13" spans="1:29" ht="13.5" customHeight="1">
      <c r="B13" s="395"/>
      <c r="C13" s="105" t="s">
        <v>102</v>
      </c>
      <c r="D13" s="105" t="s">
        <v>77</v>
      </c>
      <c r="E13" s="105" t="s">
        <v>78</v>
      </c>
      <c r="F13" s="105" t="s">
        <v>238</v>
      </c>
      <c r="G13" s="105" t="s">
        <v>239</v>
      </c>
      <c r="H13" s="25"/>
      <c r="I13" s="28"/>
      <c r="J13" s="395"/>
      <c r="K13" s="105" t="s">
        <v>102</v>
      </c>
      <c r="L13" s="105" t="s">
        <v>77</v>
      </c>
      <c r="M13" s="105" t="s">
        <v>78</v>
      </c>
      <c r="N13" s="105" t="s">
        <v>238</v>
      </c>
      <c r="O13" s="105" t="s">
        <v>239</v>
      </c>
    </row>
    <row r="14" spans="1:29" ht="13.5" customHeight="1">
      <c r="B14" s="105">
        <f>D8</f>
        <v>0</v>
      </c>
      <c r="C14" s="105">
        <f t="shared" ref="C14:G14" si="0">B14</f>
        <v>0</v>
      </c>
      <c r="D14" s="105">
        <f t="shared" si="0"/>
        <v>0</v>
      </c>
      <c r="E14" s="105">
        <f t="shared" si="0"/>
        <v>0</v>
      </c>
      <c r="F14" s="105">
        <f t="shared" si="0"/>
        <v>0</v>
      </c>
      <c r="G14" s="105">
        <f t="shared" si="0"/>
        <v>0</v>
      </c>
      <c r="H14" s="25"/>
      <c r="I14" s="28"/>
      <c r="J14" s="105">
        <f>D8</f>
        <v>0</v>
      </c>
      <c r="K14" s="105">
        <f>J14</f>
        <v>0</v>
      </c>
      <c r="L14" s="105">
        <f>K14</f>
        <v>0</v>
      </c>
      <c r="M14" s="105">
        <f>L14</f>
        <v>0</v>
      </c>
      <c r="N14" s="105">
        <f>M14</f>
        <v>0</v>
      </c>
      <c r="O14" s="105">
        <f>N14</f>
        <v>0</v>
      </c>
    </row>
    <row r="15" spans="1:29" ht="13.5" customHeight="1">
      <c r="B15" s="106" t="str">
        <f>Calcu!C9</f>
        <v/>
      </c>
      <c r="C15" s="106" t="str">
        <f>IF(Calcu!$B9=FALSE,"",TEXT(Calcu!E9,Calcu!$Q$66))</f>
        <v/>
      </c>
      <c r="D15" s="106" t="str">
        <f>IF(Calcu!$B9=FALSE,"",TEXT(Calcu!F9,Calcu!$Q$66))</f>
        <v/>
      </c>
      <c r="E15" s="106" t="str">
        <f>IF(Calcu!$B9=FALSE,"",TEXT(Calcu!G9,Calcu!$Q$66))</f>
        <v/>
      </c>
      <c r="F15" s="106" t="str">
        <f>IF(Calcu!$B9=FALSE,"",TEXT(Calcu!H9,Calcu!$Q$66))</f>
        <v/>
      </c>
      <c r="G15" s="106" t="str">
        <f>IF(Calcu!$B9=FALSE,"",TEXT(Calcu!I9,Calcu!$Q$66))</f>
        <v/>
      </c>
      <c r="H15" s="25"/>
      <c r="I15" s="28"/>
      <c r="J15" s="106" t="str">
        <f>Calcu_ADJ!C9</f>
        <v/>
      </c>
      <c r="K15" s="106" t="str">
        <f>IF(Calcu_ADJ!$B9=FALSE,"",TEXT(Calcu_ADJ!E9,Calcu_ADJ!$Q$66))</f>
        <v/>
      </c>
      <c r="L15" s="106" t="str">
        <f>IF(Calcu_ADJ!$B9=FALSE,"",TEXT(Calcu_ADJ!F9,Calcu_ADJ!$Q$66))</f>
        <v/>
      </c>
      <c r="M15" s="106" t="str">
        <f>IF(Calcu_ADJ!$B9=FALSE,"",TEXT(Calcu_ADJ!G9,Calcu_ADJ!$Q$66))</f>
        <v/>
      </c>
      <c r="N15" s="106" t="str">
        <f>IF(Calcu_ADJ!$B9=FALSE,"",TEXT(Calcu_ADJ!H9,Calcu_ADJ!$Q$66))</f>
        <v/>
      </c>
      <c r="O15" s="106" t="str">
        <f>IF(Calcu_ADJ!$B9=FALSE,"",TEXT(Calcu_ADJ!I9,Calcu_ADJ!$Q$66))</f>
        <v/>
      </c>
    </row>
    <row r="16" spans="1:29" ht="13.5" customHeight="1">
      <c r="B16" s="106" t="str">
        <f>Calcu!C10</f>
        <v/>
      </c>
      <c r="C16" s="106" t="str">
        <f>IF(Calcu!$B10=FALSE,"",TEXT(Calcu!E10,Calcu!$Q$66))</f>
        <v/>
      </c>
      <c r="D16" s="106" t="str">
        <f>IF(Calcu!$B10=FALSE,"",TEXT(Calcu!F10,Calcu!$Q$66))</f>
        <v/>
      </c>
      <c r="E16" s="106" t="str">
        <f>IF(Calcu!$B10=FALSE,"",TEXT(Calcu!G10,Calcu!$Q$66))</f>
        <v/>
      </c>
      <c r="F16" s="106" t="str">
        <f>IF(Calcu!$B10=FALSE,"",TEXT(Calcu!H10,Calcu!$Q$66))</f>
        <v/>
      </c>
      <c r="G16" s="106" t="str">
        <f>IF(Calcu!$B10=FALSE,"",TEXT(Calcu!I10,Calcu!$Q$66))</f>
        <v/>
      </c>
      <c r="H16" s="25"/>
      <c r="I16" s="28"/>
      <c r="J16" s="106" t="str">
        <f>Calcu_ADJ!C10</f>
        <v/>
      </c>
      <c r="K16" s="106" t="str">
        <f>IF(Calcu_ADJ!$B10=FALSE,"",TEXT(Calcu_ADJ!E10,Calcu_ADJ!$Q$66))</f>
        <v/>
      </c>
      <c r="L16" s="106" t="str">
        <f>IF(Calcu_ADJ!$B10=FALSE,"",TEXT(Calcu_ADJ!F10,Calcu_ADJ!$Q$66))</f>
        <v/>
      </c>
      <c r="M16" s="106" t="str">
        <f>IF(Calcu_ADJ!$B10=FALSE,"",TEXT(Calcu_ADJ!G10,Calcu_ADJ!$Q$66))</f>
        <v/>
      </c>
      <c r="N16" s="106" t="str">
        <f>IF(Calcu_ADJ!$B10=FALSE,"",TEXT(Calcu_ADJ!H10,Calcu_ADJ!$Q$66))</f>
        <v/>
      </c>
      <c r="O16" s="106" t="str">
        <f>IF(Calcu_ADJ!$B10=FALSE,"",TEXT(Calcu_ADJ!I10,Calcu_ADJ!$Q$66))</f>
        <v/>
      </c>
    </row>
    <row r="17" spans="2:15" ht="13.5" customHeight="1">
      <c r="B17" s="106" t="str">
        <f>Calcu!C11</f>
        <v/>
      </c>
      <c r="C17" s="106" t="str">
        <f>IF(Calcu!$B11=FALSE,"",TEXT(Calcu!E11,Calcu!$Q$66))</f>
        <v/>
      </c>
      <c r="D17" s="106" t="str">
        <f>IF(Calcu!$B11=FALSE,"",TEXT(Calcu!F11,Calcu!$Q$66))</f>
        <v/>
      </c>
      <c r="E17" s="106" t="str">
        <f>IF(Calcu!$B11=FALSE,"",TEXT(Calcu!G11,Calcu!$Q$66))</f>
        <v/>
      </c>
      <c r="F17" s="106" t="str">
        <f>IF(Calcu!$B11=FALSE,"",TEXT(Calcu!H11,Calcu!$Q$66))</f>
        <v/>
      </c>
      <c r="G17" s="106" t="str">
        <f>IF(Calcu!$B11=FALSE,"",TEXT(Calcu!I11,Calcu!$Q$66))</f>
        <v/>
      </c>
      <c r="H17" s="25"/>
      <c r="I17" s="28"/>
      <c r="J17" s="106" t="str">
        <f>Calcu_ADJ!C11</f>
        <v/>
      </c>
      <c r="K17" s="106" t="str">
        <f>IF(Calcu_ADJ!$B11=FALSE,"",TEXT(Calcu_ADJ!E11,Calcu_ADJ!$Q$66))</f>
        <v/>
      </c>
      <c r="L17" s="106" t="str">
        <f>IF(Calcu_ADJ!$B11=FALSE,"",TEXT(Calcu_ADJ!F11,Calcu_ADJ!$Q$66))</f>
        <v/>
      </c>
      <c r="M17" s="106" t="str">
        <f>IF(Calcu_ADJ!$B11=FALSE,"",TEXT(Calcu_ADJ!G11,Calcu_ADJ!$Q$66))</f>
        <v/>
      </c>
      <c r="N17" s="106" t="str">
        <f>IF(Calcu_ADJ!$B11=FALSE,"",TEXT(Calcu_ADJ!H11,Calcu_ADJ!$Q$66))</f>
        <v/>
      </c>
      <c r="O17" s="106" t="str">
        <f>IF(Calcu_ADJ!$B11=FALSE,"",TEXT(Calcu_ADJ!I11,Calcu_ADJ!$Q$66))</f>
        <v/>
      </c>
    </row>
    <row r="18" spans="2:15" ht="13.5" customHeight="1">
      <c r="B18" s="106" t="str">
        <f>Calcu!C12</f>
        <v/>
      </c>
      <c r="C18" s="106" t="str">
        <f>IF(Calcu!$B12=FALSE,"",TEXT(Calcu!E12,Calcu!$Q$66))</f>
        <v/>
      </c>
      <c r="D18" s="106" t="str">
        <f>IF(Calcu!$B12=FALSE,"",TEXT(Calcu!F12,Calcu!$Q$66))</f>
        <v/>
      </c>
      <c r="E18" s="106" t="str">
        <f>IF(Calcu!$B12=FALSE,"",TEXT(Calcu!G12,Calcu!$Q$66))</f>
        <v/>
      </c>
      <c r="F18" s="106" t="str">
        <f>IF(Calcu!$B12=FALSE,"",TEXT(Calcu!H12,Calcu!$Q$66))</f>
        <v/>
      </c>
      <c r="G18" s="106" t="str">
        <f>IF(Calcu!$B12=FALSE,"",TEXT(Calcu!I12,Calcu!$Q$66))</f>
        <v/>
      </c>
      <c r="H18" s="25"/>
      <c r="I18" s="28"/>
      <c r="J18" s="106" t="str">
        <f>Calcu_ADJ!C12</f>
        <v/>
      </c>
      <c r="K18" s="106" t="str">
        <f>IF(Calcu_ADJ!$B12=FALSE,"",TEXT(Calcu_ADJ!E12,Calcu_ADJ!$Q$66))</f>
        <v/>
      </c>
      <c r="L18" s="106" t="str">
        <f>IF(Calcu_ADJ!$B12=FALSE,"",TEXT(Calcu_ADJ!F12,Calcu_ADJ!$Q$66))</f>
        <v/>
      </c>
      <c r="M18" s="106" t="str">
        <f>IF(Calcu_ADJ!$B12=FALSE,"",TEXT(Calcu_ADJ!G12,Calcu_ADJ!$Q$66))</f>
        <v/>
      </c>
      <c r="N18" s="106" t="str">
        <f>IF(Calcu_ADJ!$B12=FALSE,"",TEXT(Calcu_ADJ!H12,Calcu_ADJ!$Q$66))</f>
        <v/>
      </c>
      <c r="O18" s="106" t="str">
        <f>IF(Calcu_ADJ!$B12=FALSE,"",TEXT(Calcu_ADJ!I12,Calcu_ADJ!$Q$66))</f>
        <v/>
      </c>
    </row>
    <row r="19" spans="2:15" ht="13.5" customHeight="1">
      <c r="B19" s="106" t="str">
        <f>Calcu!C13</f>
        <v/>
      </c>
      <c r="C19" s="106" t="str">
        <f>IF(Calcu!$B13=FALSE,"",TEXT(Calcu!E13,Calcu!$Q$66))</f>
        <v/>
      </c>
      <c r="D19" s="106" t="str">
        <f>IF(Calcu!$B13=FALSE,"",TEXT(Calcu!F13,Calcu!$Q$66))</f>
        <v/>
      </c>
      <c r="E19" s="106" t="str">
        <f>IF(Calcu!$B13=FALSE,"",TEXT(Calcu!G13,Calcu!$Q$66))</f>
        <v/>
      </c>
      <c r="F19" s="106" t="str">
        <f>IF(Calcu!$B13=FALSE,"",TEXT(Calcu!H13,Calcu!$Q$66))</f>
        <v/>
      </c>
      <c r="G19" s="106" t="str">
        <f>IF(Calcu!$B13=FALSE,"",TEXT(Calcu!I13,Calcu!$Q$66))</f>
        <v/>
      </c>
      <c r="H19" s="25"/>
      <c r="I19" s="28"/>
      <c r="J19" s="106" t="str">
        <f>Calcu_ADJ!C13</f>
        <v/>
      </c>
      <c r="K19" s="106" t="str">
        <f>IF(Calcu_ADJ!$B13=FALSE,"",TEXT(Calcu_ADJ!E13,Calcu_ADJ!$Q$66))</f>
        <v/>
      </c>
      <c r="L19" s="106" t="str">
        <f>IF(Calcu_ADJ!$B13=FALSE,"",TEXT(Calcu_ADJ!F13,Calcu_ADJ!$Q$66))</f>
        <v/>
      </c>
      <c r="M19" s="106" t="str">
        <f>IF(Calcu_ADJ!$B13=FALSE,"",TEXT(Calcu_ADJ!G13,Calcu_ADJ!$Q$66))</f>
        <v/>
      </c>
      <c r="N19" s="106" t="str">
        <f>IF(Calcu_ADJ!$B13=FALSE,"",TEXT(Calcu_ADJ!H13,Calcu_ADJ!$Q$66))</f>
        <v/>
      </c>
      <c r="O19" s="106" t="str">
        <f>IF(Calcu_ADJ!$B13=FALSE,"",TEXT(Calcu_ADJ!I13,Calcu_ADJ!$Q$66))</f>
        <v/>
      </c>
    </row>
    <row r="20" spans="2:15" ht="13.5" customHeight="1">
      <c r="B20" s="106" t="str">
        <f>Calcu!C14</f>
        <v/>
      </c>
      <c r="C20" s="106" t="str">
        <f>IF(Calcu!$B14=FALSE,"",TEXT(Calcu!E14,Calcu!$Q$66))</f>
        <v/>
      </c>
      <c r="D20" s="106" t="str">
        <f>IF(Calcu!$B14=FALSE,"",TEXT(Calcu!F14,Calcu!$Q$66))</f>
        <v/>
      </c>
      <c r="E20" s="106" t="str">
        <f>IF(Calcu!$B14=FALSE,"",TEXT(Calcu!G14,Calcu!$Q$66))</f>
        <v/>
      </c>
      <c r="F20" s="106" t="str">
        <f>IF(Calcu!$B14=FALSE,"",TEXT(Calcu!H14,Calcu!$Q$66))</f>
        <v/>
      </c>
      <c r="G20" s="106" t="str">
        <f>IF(Calcu!$B14=FALSE,"",TEXT(Calcu!I14,Calcu!$Q$66))</f>
        <v/>
      </c>
      <c r="H20" s="25"/>
      <c r="I20" s="28"/>
      <c r="J20" s="106" t="str">
        <f>Calcu_ADJ!C14</f>
        <v/>
      </c>
      <c r="K20" s="106" t="str">
        <f>IF(Calcu_ADJ!$B14=FALSE,"",TEXT(Calcu_ADJ!E14,Calcu_ADJ!$Q$66))</f>
        <v/>
      </c>
      <c r="L20" s="106" t="str">
        <f>IF(Calcu_ADJ!$B14=FALSE,"",TEXT(Calcu_ADJ!F14,Calcu_ADJ!$Q$66))</f>
        <v/>
      </c>
      <c r="M20" s="106" t="str">
        <f>IF(Calcu_ADJ!$B14=FALSE,"",TEXT(Calcu_ADJ!G14,Calcu_ADJ!$Q$66))</f>
        <v/>
      </c>
      <c r="N20" s="106" t="str">
        <f>IF(Calcu_ADJ!$B14=FALSE,"",TEXT(Calcu_ADJ!H14,Calcu_ADJ!$Q$66))</f>
        <v/>
      </c>
      <c r="O20" s="106" t="str">
        <f>IF(Calcu_ADJ!$B14=FALSE,"",TEXT(Calcu_ADJ!I14,Calcu_ADJ!$Q$66))</f>
        <v/>
      </c>
    </row>
    <row r="21" spans="2:15" ht="13.5" customHeight="1">
      <c r="B21" s="106" t="str">
        <f>Calcu!C15</f>
        <v/>
      </c>
      <c r="C21" s="106" t="str">
        <f>IF(Calcu!$B15=FALSE,"",TEXT(Calcu!E15,Calcu!$Q$66))</f>
        <v/>
      </c>
      <c r="D21" s="106" t="str">
        <f>IF(Calcu!$B15=FALSE,"",TEXT(Calcu!F15,Calcu!$Q$66))</f>
        <v/>
      </c>
      <c r="E21" s="106" t="str">
        <f>IF(Calcu!$B15=FALSE,"",TEXT(Calcu!G15,Calcu!$Q$66))</f>
        <v/>
      </c>
      <c r="F21" s="106" t="str">
        <f>IF(Calcu!$B15=FALSE,"",TEXT(Calcu!H15,Calcu!$Q$66))</f>
        <v/>
      </c>
      <c r="G21" s="106" t="str">
        <f>IF(Calcu!$B15=FALSE,"",TEXT(Calcu!I15,Calcu!$Q$66))</f>
        <v/>
      </c>
      <c r="J21" s="106" t="str">
        <f>Calcu_ADJ!C15</f>
        <v/>
      </c>
      <c r="K21" s="106" t="str">
        <f>IF(Calcu_ADJ!$B15=FALSE,"",TEXT(Calcu_ADJ!E15,Calcu_ADJ!$Q$66))</f>
        <v/>
      </c>
      <c r="L21" s="106" t="str">
        <f>IF(Calcu_ADJ!$B15=FALSE,"",TEXT(Calcu_ADJ!F15,Calcu_ADJ!$Q$66))</f>
        <v/>
      </c>
      <c r="M21" s="106" t="str">
        <f>IF(Calcu_ADJ!$B15=FALSE,"",TEXT(Calcu_ADJ!G15,Calcu_ADJ!$Q$66))</f>
        <v/>
      </c>
      <c r="N21" s="106" t="str">
        <f>IF(Calcu_ADJ!$B15=FALSE,"",TEXT(Calcu_ADJ!H15,Calcu_ADJ!$Q$66))</f>
        <v/>
      </c>
      <c r="O21" s="106" t="str">
        <f>IF(Calcu_ADJ!$B15=FALSE,"",TEXT(Calcu_ADJ!I15,Calcu_ADJ!$Q$66))</f>
        <v/>
      </c>
    </row>
    <row r="22" spans="2:15" ht="13.5" customHeight="1">
      <c r="B22" s="106" t="str">
        <f>Calcu!C16</f>
        <v/>
      </c>
      <c r="C22" s="106" t="str">
        <f>IF(Calcu!$B16=FALSE,"",TEXT(Calcu!E16,Calcu!$Q$66))</f>
        <v/>
      </c>
      <c r="D22" s="106" t="str">
        <f>IF(Calcu!$B16=FALSE,"",TEXT(Calcu!F16,Calcu!$Q$66))</f>
        <v/>
      </c>
      <c r="E22" s="106" t="str">
        <f>IF(Calcu!$B16=FALSE,"",TEXT(Calcu!G16,Calcu!$Q$66))</f>
        <v/>
      </c>
      <c r="F22" s="106" t="str">
        <f>IF(Calcu!$B16=FALSE,"",TEXT(Calcu!H16,Calcu!$Q$66))</f>
        <v/>
      </c>
      <c r="G22" s="106" t="str">
        <f>IF(Calcu!$B16=FALSE,"",TEXT(Calcu!I16,Calcu!$Q$66))</f>
        <v/>
      </c>
      <c r="J22" s="106" t="str">
        <f>Calcu_ADJ!C16</f>
        <v/>
      </c>
      <c r="K22" s="106" t="str">
        <f>IF(Calcu_ADJ!$B16=FALSE,"",TEXT(Calcu_ADJ!E16,Calcu_ADJ!$Q$66))</f>
        <v/>
      </c>
      <c r="L22" s="106" t="str">
        <f>IF(Calcu_ADJ!$B16=FALSE,"",TEXT(Calcu_ADJ!F16,Calcu_ADJ!$Q$66))</f>
        <v/>
      </c>
      <c r="M22" s="106" t="str">
        <f>IF(Calcu_ADJ!$B16=FALSE,"",TEXT(Calcu_ADJ!G16,Calcu_ADJ!$Q$66))</f>
        <v/>
      </c>
      <c r="N22" s="106" t="str">
        <f>IF(Calcu_ADJ!$B16=FALSE,"",TEXT(Calcu_ADJ!H16,Calcu_ADJ!$Q$66))</f>
        <v/>
      </c>
      <c r="O22" s="106" t="str">
        <f>IF(Calcu_ADJ!$B16=FALSE,"",TEXT(Calcu_ADJ!I16,Calcu_ADJ!$Q$66))</f>
        <v/>
      </c>
    </row>
    <row r="23" spans="2:15" ht="13.5" customHeight="1">
      <c r="B23" s="106" t="str">
        <f>Calcu!C17</f>
        <v/>
      </c>
      <c r="C23" s="106" t="str">
        <f>IF(Calcu!$B17=FALSE,"",TEXT(Calcu!E17,Calcu!$Q$66))</f>
        <v/>
      </c>
      <c r="D23" s="106" t="str">
        <f>IF(Calcu!$B17=FALSE,"",TEXT(Calcu!F17,Calcu!$Q$66))</f>
        <v/>
      </c>
      <c r="E23" s="106" t="str">
        <f>IF(Calcu!$B17=FALSE,"",TEXT(Calcu!G17,Calcu!$Q$66))</f>
        <v/>
      </c>
      <c r="F23" s="106" t="str">
        <f>IF(Calcu!$B17=FALSE,"",TEXT(Calcu!H17,Calcu!$Q$66))</f>
        <v/>
      </c>
      <c r="G23" s="106" t="str">
        <f>IF(Calcu!$B17=FALSE,"",TEXT(Calcu!I17,Calcu!$Q$66))</f>
        <v/>
      </c>
      <c r="J23" s="106" t="str">
        <f>Calcu_ADJ!C17</f>
        <v/>
      </c>
      <c r="K23" s="106" t="str">
        <f>IF(Calcu_ADJ!$B17=FALSE,"",TEXT(Calcu_ADJ!E17,Calcu_ADJ!$Q$66))</f>
        <v/>
      </c>
      <c r="L23" s="106" t="str">
        <f>IF(Calcu_ADJ!$B17=FALSE,"",TEXT(Calcu_ADJ!F17,Calcu_ADJ!$Q$66))</f>
        <v/>
      </c>
      <c r="M23" s="106" t="str">
        <f>IF(Calcu_ADJ!$B17=FALSE,"",TEXT(Calcu_ADJ!G17,Calcu_ADJ!$Q$66))</f>
        <v/>
      </c>
      <c r="N23" s="106" t="str">
        <f>IF(Calcu_ADJ!$B17=FALSE,"",TEXT(Calcu_ADJ!H17,Calcu_ADJ!$Q$66))</f>
        <v/>
      </c>
      <c r="O23" s="106" t="str">
        <f>IF(Calcu_ADJ!$B17=FALSE,"",TEXT(Calcu_ADJ!I17,Calcu_ADJ!$Q$66))</f>
        <v/>
      </c>
    </row>
    <row r="24" spans="2:15" ht="13.5" customHeight="1">
      <c r="B24" s="106" t="str">
        <f>Calcu!C18</f>
        <v/>
      </c>
      <c r="C24" s="106" t="str">
        <f>IF(Calcu!$B18=FALSE,"",TEXT(Calcu!E18,Calcu!$Q$66))</f>
        <v/>
      </c>
      <c r="D24" s="106" t="str">
        <f>IF(Calcu!$B18=FALSE,"",TEXT(Calcu!F18,Calcu!$Q$66))</f>
        <v/>
      </c>
      <c r="E24" s="106" t="str">
        <f>IF(Calcu!$B18=FALSE,"",TEXT(Calcu!G18,Calcu!$Q$66))</f>
        <v/>
      </c>
      <c r="F24" s="106" t="str">
        <f>IF(Calcu!$B18=FALSE,"",TEXT(Calcu!H18,Calcu!$Q$66))</f>
        <v/>
      </c>
      <c r="G24" s="106" t="str">
        <f>IF(Calcu!$B18=FALSE,"",TEXT(Calcu!I18,Calcu!$Q$66))</f>
        <v/>
      </c>
      <c r="J24" s="106" t="str">
        <f>Calcu_ADJ!C18</f>
        <v/>
      </c>
      <c r="K24" s="106" t="str">
        <f>IF(Calcu_ADJ!$B18=FALSE,"",TEXT(Calcu_ADJ!E18,Calcu_ADJ!$Q$66))</f>
        <v/>
      </c>
      <c r="L24" s="106" t="str">
        <f>IF(Calcu_ADJ!$B18=FALSE,"",TEXT(Calcu_ADJ!F18,Calcu_ADJ!$Q$66))</f>
        <v/>
      </c>
      <c r="M24" s="106" t="str">
        <f>IF(Calcu_ADJ!$B18=FALSE,"",TEXT(Calcu_ADJ!G18,Calcu_ADJ!$Q$66))</f>
        <v/>
      </c>
      <c r="N24" s="106" t="str">
        <f>IF(Calcu_ADJ!$B18=FALSE,"",TEXT(Calcu_ADJ!H18,Calcu_ADJ!$Q$66))</f>
        <v/>
      </c>
      <c r="O24" s="106" t="str">
        <f>IF(Calcu_ADJ!$B18=FALSE,"",TEXT(Calcu_ADJ!I18,Calcu_ADJ!$Q$66))</f>
        <v/>
      </c>
    </row>
    <row r="25" spans="2:15" ht="13.5" customHeight="1">
      <c r="B25" s="106" t="str">
        <f>Calcu!C19</f>
        <v/>
      </c>
      <c r="C25" s="106" t="str">
        <f>IF(Calcu!$B19=FALSE,"",TEXT(Calcu!E19,Calcu!$Q$66))</f>
        <v/>
      </c>
      <c r="D25" s="106" t="str">
        <f>IF(Calcu!$B19=FALSE,"",TEXT(Calcu!F19,Calcu!$Q$66))</f>
        <v/>
      </c>
      <c r="E25" s="106" t="str">
        <f>IF(Calcu!$B19=FALSE,"",TEXT(Calcu!G19,Calcu!$Q$66))</f>
        <v/>
      </c>
      <c r="F25" s="106" t="str">
        <f>IF(Calcu!$B19=FALSE,"",TEXT(Calcu!H19,Calcu!$Q$66))</f>
        <v/>
      </c>
      <c r="G25" s="106" t="str">
        <f>IF(Calcu!$B19=FALSE,"",TEXT(Calcu!I19,Calcu!$Q$66))</f>
        <v/>
      </c>
      <c r="J25" s="106" t="str">
        <f>Calcu_ADJ!C19</f>
        <v/>
      </c>
      <c r="K25" s="106" t="str">
        <f>IF(Calcu_ADJ!$B19=FALSE,"",TEXT(Calcu_ADJ!E19,Calcu_ADJ!$Q$66))</f>
        <v/>
      </c>
      <c r="L25" s="106" t="str">
        <f>IF(Calcu_ADJ!$B19=FALSE,"",TEXT(Calcu_ADJ!F19,Calcu_ADJ!$Q$66))</f>
        <v/>
      </c>
      <c r="M25" s="106" t="str">
        <f>IF(Calcu_ADJ!$B19=FALSE,"",TEXT(Calcu_ADJ!G19,Calcu_ADJ!$Q$66))</f>
        <v/>
      </c>
      <c r="N25" s="106" t="str">
        <f>IF(Calcu_ADJ!$B19=FALSE,"",TEXT(Calcu_ADJ!H19,Calcu_ADJ!$Q$66))</f>
        <v/>
      </c>
      <c r="O25" s="106" t="str">
        <f>IF(Calcu_ADJ!$B19=FALSE,"",TEXT(Calcu_ADJ!I19,Calcu_ADJ!$Q$66))</f>
        <v/>
      </c>
    </row>
    <row r="26" spans="2:15" ht="13.5" customHeight="1">
      <c r="B26" s="106" t="str">
        <f>Calcu!C20</f>
        <v/>
      </c>
      <c r="C26" s="106" t="str">
        <f>IF(Calcu!$B20=FALSE,"",TEXT(Calcu!E20,Calcu!$Q$66))</f>
        <v/>
      </c>
      <c r="D26" s="106" t="str">
        <f>IF(Calcu!$B20=FALSE,"",TEXT(Calcu!F20,Calcu!$Q$66))</f>
        <v/>
      </c>
      <c r="E26" s="106" t="str">
        <f>IF(Calcu!$B20=FALSE,"",TEXT(Calcu!G20,Calcu!$Q$66))</f>
        <v/>
      </c>
      <c r="F26" s="106" t="str">
        <f>IF(Calcu!$B20=FALSE,"",TEXT(Calcu!H20,Calcu!$Q$66))</f>
        <v/>
      </c>
      <c r="G26" s="106" t="str">
        <f>IF(Calcu!$B20=FALSE,"",TEXT(Calcu!I20,Calcu!$Q$66))</f>
        <v/>
      </c>
      <c r="J26" s="106" t="str">
        <f>Calcu_ADJ!C20</f>
        <v/>
      </c>
      <c r="K26" s="106" t="str">
        <f>IF(Calcu_ADJ!$B20=FALSE,"",TEXT(Calcu_ADJ!E20,Calcu_ADJ!$Q$66))</f>
        <v/>
      </c>
      <c r="L26" s="106" t="str">
        <f>IF(Calcu_ADJ!$B20=FALSE,"",TEXT(Calcu_ADJ!F20,Calcu_ADJ!$Q$66))</f>
        <v/>
      </c>
      <c r="M26" s="106" t="str">
        <f>IF(Calcu_ADJ!$B20=FALSE,"",TEXT(Calcu_ADJ!G20,Calcu_ADJ!$Q$66))</f>
        <v/>
      </c>
      <c r="N26" s="106" t="str">
        <f>IF(Calcu_ADJ!$B20=FALSE,"",TEXT(Calcu_ADJ!H20,Calcu_ADJ!$Q$66))</f>
        <v/>
      </c>
      <c r="O26" s="106" t="str">
        <f>IF(Calcu_ADJ!$B20=FALSE,"",TEXT(Calcu_ADJ!I20,Calcu_ADJ!$Q$66))</f>
        <v/>
      </c>
    </row>
    <row r="27" spans="2:15" ht="13.5" customHeight="1">
      <c r="B27" s="106" t="str">
        <f>Calcu!C21</f>
        <v/>
      </c>
      <c r="C27" s="106" t="str">
        <f>IF(Calcu!$B21=FALSE,"",TEXT(Calcu!E21,Calcu!$Q$66))</f>
        <v/>
      </c>
      <c r="D27" s="106" t="str">
        <f>IF(Calcu!$B21=FALSE,"",TEXT(Calcu!F21,Calcu!$Q$66))</f>
        <v/>
      </c>
      <c r="E27" s="106" t="str">
        <f>IF(Calcu!$B21=FALSE,"",TEXT(Calcu!G21,Calcu!$Q$66))</f>
        <v/>
      </c>
      <c r="F27" s="106" t="str">
        <f>IF(Calcu!$B21=FALSE,"",TEXT(Calcu!H21,Calcu!$Q$66))</f>
        <v/>
      </c>
      <c r="G27" s="106" t="str">
        <f>IF(Calcu!$B21=FALSE,"",TEXT(Calcu!I21,Calcu!$Q$66))</f>
        <v/>
      </c>
      <c r="J27" s="106" t="str">
        <f>Calcu_ADJ!C21</f>
        <v/>
      </c>
      <c r="K27" s="106" t="str">
        <f>IF(Calcu_ADJ!$B21=FALSE,"",TEXT(Calcu_ADJ!E21,Calcu_ADJ!$Q$66))</f>
        <v/>
      </c>
      <c r="L27" s="106" t="str">
        <f>IF(Calcu_ADJ!$B21=FALSE,"",TEXT(Calcu_ADJ!F21,Calcu_ADJ!$Q$66))</f>
        <v/>
      </c>
      <c r="M27" s="106" t="str">
        <f>IF(Calcu_ADJ!$B21=FALSE,"",TEXT(Calcu_ADJ!G21,Calcu_ADJ!$Q$66))</f>
        <v/>
      </c>
      <c r="N27" s="106" t="str">
        <f>IF(Calcu_ADJ!$B21=FALSE,"",TEXT(Calcu_ADJ!H21,Calcu_ADJ!$Q$66))</f>
        <v/>
      </c>
      <c r="O27" s="106" t="str">
        <f>IF(Calcu_ADJ!$B21=FALSE,"",TEXT(Calcu_ADJ!I21,Calcu_ADJ!$Q$66))</f>
        <v/>
      </c>
    </row>
    <row r="28" spans="2:15" ht="13.5" customHeight="1">
      <c r="B28" s="106" t="str">
        <f>Calcu!C22</f>
        <v/>
      </c>
      <c r="C28" s="106" t="str">
        <f>IF(Calcu!$B22=FALSE,"",TEXT(Calcu!E22,Calcu!$Q$66))</f>
        <v/>
      </c>
      <c r="D28" s="106" t="str">
        <f>IF(Calcu!$B22=FALSE,"",TEXT(Calcu!F22,Calcu!$Q$66))</f>
        <v/>
      </c>
      <c r="E28" s="106" t="str">
        <f>IF(Calcu!$B22=FALSE,"",TEXT(Calcu!G22,Calcu!$Q$66))</f>
        <v/>
      </c>
      <c r="F28" s="106" t="str">
        <f>IF(Calcu!$B22=FALSE,"",TEXT(Calcu!H22,Calcu!$Q$66))</f>
        <v/>
      </c>
      <c r="G28" s="106" t="str">
        <f>IF(Calcu!$B22=FALSE,"",TEXT(Calcu!I22,Calcu!$Q$66))</f>
        <v/>
      </c>
      <c r="J28" s="106" t="str">
        <f>Calcu_ADJ!C22</f>
        <v/>
      </c>
      <c r="K28" s="106" t="str">
        <f>IF(Calcu_ADJ!$B22=FALSE,"",TEXT(Calcu_ADJ!E22,Calcu_ADJ!$Q$66))</f>
        <v/>
      </c>
      <c r="L28" s="106" t="str">
        <f>IF(Calcu_ADJ!$B22=FALSE,"",TEXT(Calcu_ADJ!F22,Calcu_ADJ!$Q$66))</f>
        <v/>
      </c>
      <c r="M28" s="106" t="str">
        <f>IF(Calcu_ADJ!$B22=FALSE,"",TEXT(Calcu_ADJ!G22,Calcu_ADJ!$Q$66))</f>
        <v/>
      </c>
      <c r="N28" s="106" t="str">
        <f>IF(Calcu_ADJ!$B22=FALSE,"",TEXT(Calcu_ADJ!H22,Calcu_ADJ!$Q$66))</f>
        <v/>
      </c>
      <c r="O28" s="106" t="str">
        <f>IF(Calcu_ADJ!$B22=FALSE,"",TEXT(Calcu_ADJ!I22,Calcu_ADJ!$Q$66))</f>
        <v/>
      </c>
    </row>
    <row r="29" spans="2:15" ht="13.5" customHeight="1">
      <c r="B29" s="106" t="str">
        <f>Calcu!C23</f>
        <v/>
      </c>
      <c r="C29" s="106" t="str">
        <f>IF(Calcu!$B23=FALSE,"",TEXT(Calcu!E23,Calcu!$Q$66))</f>
        <v/>
      </c>
      <c r="D29" s="106" t="str">
        <f>IF(Calcu!$B23=FALSE,"",TEXT(Calcu!F23,Calcu!$Q$66))</f>
        <v/>
      </c>
      <c r="E29" s="106" t="str">
        <f>IF(Calcu!$B23=FALSE,"",TEXT(Calcu!G23,Calcu!$Q$66))</f>
        <v/>
      </c>
      <c r="F29" s="106" t="str">
        <f>IF(Calcu!$B23=FALSE,"",TEXT(Calcu!H23,Calcu!$Q$66))</f>
        <v/>
      </c>
      <c r="G29" s="106" t="str">
        <f>IF(Calcu!$B23=FALSE,"",TEXT(Calcu!I23,Calcu!$Q$66))</f>
        <v/>
      </c>
      <c r="J29" s="106" t="str">
        <f>Calcu_ADJ!C23</f>
        <v/>
      </c>
      <c r="K29" s="106" t="str">
        <f>IF(Calcu_ADJ!$B23=FALSE,"",TEXT(Calcu_ADJ!E23,Calcu_ADJ!$Q$66))</f>
        <v/>
      </c>
      <c r="L29" s="106" t="str">
        <f>IF(Calcu_ADJ!$B23=FALSE,"",TEXT(Calcu_ADJ!F23,Calcu_ADJ!$Q$66))</f>
        <v/>
      </c>
      <c r="M29" s="106" t="str">
        <f>IF(Calcu_ADJ!$B23=FALSE,"",TEXT(Calcu_ADJ!G23,Calcu_ADJ!$Q$66))</f>
        <v/>
      </c>
      <c r="N29" s="106" t="str">
        <f>IF(Calcu_ADJ!$B23=FALSE,"",TEXT(Calcu_ADJ!H23,Calcu_ADJ!$Q$66))</f>
        <v/>
      </c>
      <c r="O29" s="106" t="str">
        <f>IF(Calcu_ADJ!$B23=FALSE,"",TEXT(Calcu_ADJ!I23,Calcu_ADJ!$Q$66))</f>
        <v/>
      </c>
    </row>
    <row r="30" spans="2:15" ht="13.5" customHeight="1">
      <c r="B30" s="106" t="str">
        <f>Calcu!C24</f>
        <v/>
      </c>
      <c r="C30" s="106" t="str">
        <f>IF(Calcu!$B24=FALSE,"",TEXT(Calcu!E24,Calcu!$Q$66))</f>
        <v/>
      </c>
      <c r="D30" s="106" t="str">
        <f>IF(Calcu!$B24=FALSE,"",TEXT(Calcu!F24,Calcu!$Q$66))</f>
        <v/>
      </c>
      <c r="E30" s="106" t="str">
        <f>IF(Calcu!$B24=FALSE,"",TEXT(Calcu!G24,Calcu!$Q$66))</f>
        <v/>
      </c>
      <c r="F30" s="106" t="str">
        <f>IF(Calcu!$B24=FALSE,"",TEXT(Calcu!H24,Calcu!$Q$66))</f>
        <v/>
      </c>
      <c r="G30" s="106" t="str">
        <f>IF(Calcu!$B24=FALSE,"",TEXT(Calcu!I24,Calcu!$Q$66))</f>
        <v/>
      </c>
      <c r="J30" s="106" t="str">
        <f>Calcu_ADJ!C24</f>
        <v/>
      </c>
      <c r="K30" s="106" t="str">
        <f>IF(Calcu_ADJ!$B24=FALSE,"",TEXT(Calcu_ADJ!E24,Calcu_ADJ!$Q$66))</f>
        <v/>
      </c>
      <c r="L30" s="106" t="str">
        <f>IF(Calcu_ADJ!$B24=FALSE,"",TEXT(Calcu_ADJ!F24,Calcu_ADJ!$Q$66))</f>
        <v/>
      </c>
      <c r="M30" s="106" t="str">
        <f>IF(Calcu_ADJ!$B24=FALSE,"",TEXT(Calcu_ADJ!G24,Calcu_ADJ!$Q$66))</f>
        <v/>
      </c>
      <c r="N30" s="106" t="str">
        <f>IF(Calcu_ADJ!$B24=FALSE,"",TEXT(Calcu_ADJ!H24,Calcu_ADJ!$Q$66))</f>
        <v/>
      </c>
      <c r="O30" s="106" t="str">
        <f>IF(Calcu_ADJ!$B24=FALSE,"",TEXT(Calcu_ADJ!I24,Calcu_ADJ!$Q$66))</f>
        <v/>
      </c>
    </row>
    <row r="31" spans="2:15" ht="13.5" customHeight="1">
      <c r="B31" s="106" t="str">
        <f>Calcu!C25</f>
        <v/>
      </c>
      <c r="C31" s="106" t="str">
        <f>IF(Calcu!$B25=FALSE,"",TEXT(Calcu!E25,Calcu!$Q$66))</f>
        <v/>
      </c>
      <c r="D31" s="106" t="str">
        <f>IF(Calcu!$B25=FALSE,"",TEXT(Calcu!F25,Calcu!$Q$66))</f>
        <v/>
      </c>
      <c r="E31" s="106" t="str">
        <f>IF(Calcu!$B25=FALSE,"",TEXT(Calcu!G25,Calcu!$Q$66))</f>
        <v/>
      </c>
      <c r="F31" s="106" t="str">
        <f>IF(Calcu!$B25=FALSE,"",TEXT(Calcu!H25,Calcu!$Q$66))</f>
        <v/>
      </c>
      <c r="G31" s="106" t="str">
        <f>IF(Calcu!$B25=FALSE,"",TEXT(Calcu!I25,Calcu!$Q$66))</f>
        <v/>
      </c>
      <c r="J31" s="106" t="str">
        <f>Calcu_ADJ!C25</f>
        <v/>
      </c>
      <c r="K31" s="106" t="str">
        <f>IF(Calcu_ADJ!$B25=FALSE,"",TEXT(Calcu_ADJ!E25,Calcu_ADJ!$Q$66))</f>
        <v/>
      </c>
      <c r="L31" s="106" t="str">
        <f>IF(Calcu_ADJ!$B25=FALSE,"",TEXT(Calcu_ADJ!F25,Calcu_ADJ!$Q$66))</f>
        <v/>
      </c>
      <c r="M31" s="106" t="str">
        <f>IF(Calcu_ADJ!$B25=FALSE,"",TEXT(Calcu_ADJ!G25,Calcu_ADJ!$Q$66))</f>
        <v/>
      </c>
      <c r="N31" s="106" t="str">
        <f>IF(Calcu_ADJ!$B25=FALSE,"",TEXT(Calcu_ADJ!H25,Calcu_ADJ!$Q$66))</f>
        <v/>
      </c>
      <c r="O31" s="106" t="str">
        <f>IF(Calcu_ADJ!$B25=FALSE,"",TEXT(Calcu_ADJ!I25,Calcu_ADJ!$Q$66))</f>
        <v/>
      </c>
    </row>
    <row r="32" spans="2:15" ht="13.5" customHeight="1">
      <c r="B32" s="106" t="str">
        <f>Calcu!C26</f>
        <v/>
      </c>
      <c r="C32" s="106" t="str">
        <f>IF(Calcu!$B26=FALSE,"",TEXT(Calcu!E26,Calcu!$Q$66))</f>
        <v/>
      </c>
      <c r="D32" s="106" t="str">
        <f>IF(Calcu!$B26=FALSE,"",TEXT(Calcu!F26,Calcu!$Q$66))</f>
        <v/>
      </c>
      <c r="E32" s="106" t="str">
        <f>IF(Calcu!$B26=FALSE,"",TEXT(Calcu!G26,Calcu!$Q$66))</f>
        <v/>
      </c>
      <c r="F32" s="106" t="str">
        <f>IF(Calcu!$B26=FALSE,"",TEXT(Calcu!H26,Calcu!$Q$66))</f>
        <v/>
      </c>
      <c r="G32" s="106" t="str">
        <f>IF(Calcu!$B26=FALSE,"",TEXT(Calcu!I26,Calcu!$Q$66))</f>
        <v/>
      </c>
      <c r="J32" s="106" t="str">
        <f>Calcu_ADJ!C26</f>
        <v/>
      </c>
      <c r="K32" s="106" t="str">
        <f>IF(Calcu_ADJ!$B26=FALSE,"",TEXT(Calcu_ADJ!E26,Calcu_ADJ!$Q$66))</f>
        <v/>
      </c>
      <c r="L32" s="106" t="str">
        <f>IF(Calcu_ADJ!$B26=FALSE,"",TEXT(Calcu_ADJ!F26,Calcu_ADJ!$Q$66))</f>
        <v/>
      </c>
      <c r="M32" s="106" t="str">
        <f>IF(Calcu_ADJ!$B26=FALSE,"",TEXT(Calcu_ADJ!G26,Calcu_ADJ!$Q$66))</f>
        <v/>
      </c>
      <c r="N32" s="106" t="str">
        <f>IF(Calcu_ADJ!$B26=FALSE,"",TEXT(Calcu_ADJ!H26,Calcu_ADJ!$Q$66))</f>
        <v/>
      </c>
      <c r="O32" s="106" t="str">
        <f>IF(Calcu_ADJ!$B26=FALSE,"",TEXT(Calcu_ADJ!I26,Calcu_ADJ!$Q$66))</f>
        <v/>
      </c>
    </row>
    <row r="33" spans="2:15" ht="13.5" customHeight="1">
      <c r="B33" s="106" t="str">
        <f>Calcu!C27</f>
        <v/>
      </c>
      <c r="C33" s="106" t="str">
        <f>IF(Calcu!$B27=FALSE,"",TEXT(Calcu!E27,Calcu!$Q$66))</f>
        <v/>
      </c>
      <c r="D33" s="106" t="str">
        <f>IF(Calcu!$B27=FALSE,"",TEXT(Calcu!F27,Calcu!$Q$66))</f>
        <v/>
      </c>
      <c r="E33" s="106" t="str">
        <f>IF(Calcu!$B27=FALSE,"",TEXT(Calcu!G27,Calcu!$Q$66))</f>
        <v/>
      </c>
      <c r="F33" s="106" t="str">
        <f>IF(Calcu!$B27=FALSE,"",TEXT(Calcu!H27,Calcu!$Q$66))</f>
        <v/>
      </c>
      <c r="G33" s="106" t="str">
        <f>IF(Calcu!$B27=FALSE,"",TEXT(Calcu!I27,Calcu!$Q$66))</f>
        <v/>
      </c>
      <c r="J33" s="106" t="str">
        <f>Calcu_ADJ!C27</f>
        <v/>
      </c>
      <c r="K33" s="106" t="str">
        <f>IF(Calcu_ADJ!$B27=FALSE,"",TEXT(Calcu_ADJ!E27,Calcu_ADJ!$Q$66))</f>
        <v/>
      </c>
      <c r="L33" s="106" t="str">
        <f>IF(Calcu_ADJ!$B27=FALSE,"",TEXT(Calcu_ADJ!F27,Calcu_ADJ!$Q$66))</f>
        <v/>
      </c>
      <c r="M33" s="106" t="str">
        <f>IF(Calcu_ADJ!$B27=FALSE,"",TEXT(Calcu_ADJ!G27,Calcu_ADJ!$Q$66))</f>
        <v/>
      </c>
      <c r="N33" s="106" t="str">
        <f>IF(Calcu_ADJ!$B27=FALSE,"",TEXT(Calcu_ADJ!H27,Calcu_ADJ!$Q$66))</f>
        <v/>
      </c>
      <c r="O33" s="106" t="str">
        <f>IF(Calcu_ADJ!$B27=FALSE,"",TEXT(Calcu_ADJ!I27,Calcu_ADJ!$Q$66))</f>
        <v/>
      </c>
    </row>
    <row r="34" spans="2:15" ht="13.5" customHeight="1">
      <c r="B34" s="106" t="str">
        <f>Calcu!C28</f>
        <v/>
      </c>
      <c r="C34" s="106" t="str">
        <f>IF(Calcu!$B28=FALSE,"",TEXT(Calcu!E28,Calcu!$Q$66))</f>
        <v/>
      </c>
      <c r="D34" s="106" t="str">
        <f>IF(Calcu!$B28=FALSE,"",TEXT(Calcu!F28,Calcu!$Q$66))</f>
        <v/>
      </c>
      <c r="E34" s="106" t="str">
        <f>IF(Calcu!$B28=FALSE,"",TEXT(Calcu!G28,Calcu!$Q$66))</f>
        <v/>
      </c>
      <c r="F34" s="106" t="str">
        <f>IF(Calcu!$B28=FALSE,"",TEXT(Calcu!H28,Calcu!$Q$66))</f>
        <v/>
      </c>
      <c r="G34" s="106" t="str">
        <f>IF(Calcu!$B28=FALSE,"",TEXT(Calcu!I28,Calcu!$Q$66))</f>
        <v/>
      </c>
      <c r="J34" s="106" t="str">
        <f>Calcu_ADJ!C28</f>
        <v/>
      </c>
      <c r="K34" s="106" t="str">
        <f>IF(Calcu_ADJ!$B28=FALSE,"",TEXT(Calcu_ADJ!E28,Calcu_ADJ!$Q$66))</f>
        <v/>
      </c>
      <c r="L34" s="106" t="str">
        <f>IF(Calcu_ADJ!$B28=FALSE,"",TEXT(Calcu_ADJ!F28,Calcu_ADJ!$Q$66))</f>
        <v/>
      </c>
      <c r="M34" s="106" t="str">
        <f>IF(Calcu_ADJ!$B28=FALSE,"",TEXT(Calcu_ADJ!G28,Calcu_ADJ!$Q$66))</f>
        <v/>
      </c>
      <c r="N34" s="106" t="str">
        <f>IF(Calcu_ADJ!$B28=FALSE,"",TEXT(Calcu_ADJ!H28,Calcu_ADJ!$Q$66))</f>
        <v/>
      </c>
      <c r="O34" s="106" t="str">
        <f>IF(Calcu_ADJ!$B28=FALSE,"",TEXT(Calcu_ADJ!I28,Calcu_ADJ!$Q$66))</f>
        <v/>
      </c>
    </row>
    <row r="35" spans="2:15" ht="13.5" customHeight="1">
      <c r="B35" s="106" t="str">
        <f>Calcu!C29</f>
        <v/>
      </c>
      <c r="C35" s="106" t="str">
        <f>IF(Calcu!$B29=FALSE,"",TEXT(Calcu!E29,Calcu!$Q$66))</f>
        <v/>
      </c>
      <c r="D35" s="106" t="str">
        <f>IF(Calcu!$B29=FALSE,"",TEXT(Calcu!F29,Calcu!$Q$66))</f>
        <v/>
      </c>
      <c r="E35" s="106" t="str">
        <f>IF(Calcu!$B29=FALSE,"",TEXT(Calcu!G29,Calcu!$Q$66))</f>
        <v/>
      </c>
      <c r="F35" s="106" t="str">
        <f>IF(Calcu!$B29=FALSE,"",TEXT(Calcu!H29,Calcu!$Q$66))</f>
        <v/>
      </c>
      <c r="G35" s="106" t="str">
        <f>IF(Calcu!$B29=FALSE,"",TEXT(Calcu!I29,Calcu!$Q$66))</f>
        <v/>
      </c>
      <c r="J35" s="106" t="str">
        <f>Calcu_ADJ!C29</f>
        <v/>
      </c>
      <c r="K35" s="106" t="str">
        <f>IF(Calcu_ADJ!$B29=FALSE,"",TEXT(Calcu_ADJ!E29,Calcu_ADJ!$Q$66))</f>
        <v/>
      </c>
      <c r="L35" s="106" t="str">
        <f>IF(Calcu_ADJ!$B29=FALSE,"",TEXT(Calcu_ADJ!F29,Calcu_ADJ!$Q$66))</f>
        <v/>
      </c>
      <c r="M35" s="106" t="str">
        <f>IF(Calcu_ADJ!$B29=FALSE,"",TEXT(Calcu_ADJ!G29,Calcu_ADJ!$Q$66))</f>
        <v/>
      </c>
      <c r="N35" s="106" t="str">
        <f>IF(Calcu_ADJ!$B29=FALSE,"",TEXT(Calcu_ADJ!H29,Calcu_ADJ!$Q$66))</f>
        <v/>
      </c>
      <c r="O35" s="106" t="str">
        <f>IF(Calcu_ADJ!$B29=FALSE,"",TEXT(Calcu_ADJ!I29,Calcu_ADJ!$Q$66))</f>
        <v/>
      </c>
    </row>
    <row r="36" spans="2:15" ht="13.5" customHeight="1">
      <c r="B36" s="106" t="str">
        <f>Calcu!C30</f>
        <v/>
      </c>
      <c r="C36" s="106" t="str">
        <f>IF(Calcu!$B30=FALSE,"",TEXT(Calcu!E30,Calcu!$Q$66))</f>
        <v/>
      </c>
      <c r="D36" s="106" t="str">
        <f>IF(Calcu!$B30=FALSE,"",TEXT(Calcu!F30,Calcu!$Q$66))</f>
        <v/>
      </c>
      <c r="E36" s="106" t="str">
        <f>IF(Calcu!$B30=FALSE,"",TEXT(Calcu!G30,Calcu!$Q$66))</f>
        <v/>
      </c>
      <c r="F36" s="106" t="str">
        <f>IF(Calcu!$B30=FALSE,"",TEXT(Calcu!H30,Calcu!$Q$66))</f>
        <v/>
      </c>
      <c r="G36" s="106" t="str">
        <f>IF(Calcu!$B30=FALSE,"",TEXT(Calcu!I30,Calcu!$Q$66))</f>
        <v/>
      </c>
      <c r="J36" s="106" t="str">
        <f>Calcu_ADJ!C30</f>
        <v/>
      </c>
      <c r="K36" s="106" t="str">
        <f>IF(Calcu_ADJ!$B30=FALSE,"",TEXT(Calcu_ADJ!E30,Calcu_ADJ!$Q$66))</f>
        <v/>
      </c>
      <c r="L36" s="106" t="str">
        <f>IF(Calcu_ADJ!$B30=FALSE,"",TEXT(Calcu_ADJ!F30,Calcu_ADJ!$Q$66))</f>
        <v/>
      </c>
      <c r="M36" s="106" t="str">
        <f>IF(Calcu_ADJ!$B30=FALSE,"",TEXT(Calcu_ADJ!G30,Calcu_ADJ!$Q$66))</f>
        <v/>
      </c>
      <c r="N36" s="106" t="str">
        <f>IF(Calcu_ADJ!$B30=FALSE,"",TEXT(Calcu_ADJ!H30,Calcu_ADJ!$Q$66))</f>
        <v/>
      </c>
      <c r="O36" s="106" t="str">
        <f>IF(Calcu_ADJ!$B30=FALSE,"",TEXT(Calcu_ADJ!I30,Calcu_ADJ!$Q$66))</f>
        <v/>
      </c>
    </row>
    <row r="37" spans="2:15" ht="13.5" customHeight="1">
      <c r="B37" s="106" t="str">
        <f>Calcu!C31</f>
        <v/>
      </c>
      <c r="C37" s="106" t="str">
        <f>IF(Calcu!$B31=FALSE,"",TEXT(Calcu!E31,Calcu!$Q$66))</f>
        <v/>
      </c>
      <c r="D37" s="106" t="str">
        <f>IF(Calcu!$B31=FALSE,"",TEXT(Calcu!F31,Calcu!$Q$66))</f>
        <v/>
      </c>
      <c r="E37" s="106" t="str">
        <f>IF(Calcu!$B31=FALSE,"",TEXT(Calcu!G31,Calcu!$Q$66))</f>
        <v/>
      </c>
      <c r="F37" s="106" t="str">
        <f>IF(Calcu!$B31=FALSE,"",TEXT(Calcu!H31,Calcu!$Q$66))</f>
        <v/>
      </c>
      <c r="G37" s="106" t="str">
        <f>IF(Calcu!$B31=FALSE,"",TEXT(Calcu!I31,Calcu!$Q$66))</f>
        <v/>
      </c>
      <c r="J37" s="106" t="str">
        <f>Calcu_ADJ!C31</f>
        <v/>
      </c>
      <c r="K37" s="106" t="str">
        <f>IF(Calcu_ADJ!$B31=FALSE,"",TEXT(Calcu_ADJ!E31,Calcu_ADJ!$Q$66))</f>
        <v/>
      </c>
      <c r="L37" s="106" t="str">
        <f>IF(Calcu_ADJ!$B31=FALSE,"",TEXT(Calcu_ADJ!F31,Calcu_ADJ!$Q$66))</f>
        <v/>
      </c>
      <c r="M37" s="106" t="str">
        <f>IF(Calcu_ADJ!$B31=FALSE,"",TEXT(Calcu_ADJ!G31,Calcu_ADJ!$Q$66))</f>
        <v/>
      </c>
      <c r="N37" s="106" t="str">
        <f>IF(Calcu_ADJ!$B31=FALSE,"",TEXT(Calcu_ADJ!H31,Calcu_ADJ!$Q$66))</f>
        <v/>
      </c>
      <c r="O37" s="106" t="str">
        <f>IF(Calcu_ADJ!$B31=FALSE,"",TEXT(Calcu_ADJ!I31,Calcu_ADJ!$Q$66))</f>
        <v/>
      </c>
    </row>
    <row r="38" spans="2:15" ht="13.5" customHeight="1">
      <c r="B38" s="106" t="str">
        <f>Calcu!C32</f>
        <v/>
      </c>
      <c r="C38" s="106" t="str">
        <f>IF(Calcu!$B32=FALSE,"",TEXT(Calcu!E32,Calcu!$Q$66))</f>
        <v/>
      </c>
      <c r="D38" s="106" t="str">
        <f>IF(Calcu!$B32=FALSE,"",TEXT(Calcu!F32,Calcu!$Q$66))</f>
        <v/>
      </c>
      <c r="E38" s="106" t="str">
        <f>IF(Calcu!$B32=FALSE,"",TEXT(Calcu!G32,Calcu!$Q$66))</f>
        <v/>
      </c>
      <c r="F38" s="106" t="str">
        <f>IF(Calcu!$B32=FALSE,"",TEXT(Calcu!H32,Calcu!$Q$66))</f>
        <v/>
      </c>
      <c r="G38" s="106" t="str">
        <f>IF(Calcu!$B32=FALSE,"",TEXT(Calcu!I32,Calcu!$Q$66))</f>
        <v/>
      </c>
      <c r="J38" s="106" t="str">
        <f>Calcu_ADJ!C32</f>
        <v/>
      </c>
      <c r="K38" s="106" t="str">
        <f>IF(Calcu_ADJ!$B32=FALSE,"",TEXT(Calcu_ADJ!E32,Calcu_ADJ!$Q$66))</f>
        <v/>
      </c>
      <c r="L38" s="106" t="str">
        <f>IF(Calcu_ADJ!$B32=FALSE,"",TEXT(Calcu_ADJ!F32,Calcu_ADJ!$Q$66))</f>
        <v/>
      </c>
      <c r="M38" s="106" t="str">
        <f>IF(Calcu_ADJ!$B32=FALSE,"",TEXT(Calcu_ADJ!G32,Calcu_ADJ!$Q$66))</f>
        <v/>
      </c>
      <c r="N38" s="106" t="str">
        <f>IF(Calcu_ADJ!$B32=FALSE,"",TEXT(Calcu_ADJ!H32,Calcu_ADJ!$Q$66))</f>
        <v/>
      </c>
      <c r="O38" s="106" t="str">
        <f>IF(Calcu_ADJ!$B32=FALSE,"",TEXT(Calcu_ADJ!I32,Calcu_ADJ!$Q$66))</f>
        <v/>
      </c>
    </row>
    <row r="39" spans="2:15" ht="13.5" customHeight="1">
      <c r="B39" s="106" t="str">
        <f>Calcu!C33</f>
        <v/>
      </c>
      <c r="C39" s="106" t="str">
        <f>IF(Calcu!$B33=FALSE,"",TEXT(Calcu!E33,Calcu!$Q$66))</f>
        <v/>
      </c>
      <c r="D39" s="106" t="str">
        <f>IF(Calcu!$B33=FALSE,"",TEXT(Calcu!F33,Calcu!$Q$66))</f>
        <v/>
      </c>
      <c r="E39" s="106" t="str">
        <f>IF(Calcu!$B33=FALSE,"",TEXT(Calcu!G33,Calcu!$Q$66))</f>
        <v/>
      </c>
      <c r="F39" s="106" t="str">
        <f>IF(Calcu!$B33=FALSE,"",TEXT(Calcu!H33,Calcu!$Q$66))</f>
        <v/>
      </c>
      <c r="G39" s="106" t="str">
        <f>IF(Calcu!$B33=FALSE,"",TEXT(Calcu!I33,Calcu!$Q$66))</f>
        <v/>
      </c>
      <c r="J39" s="106" t="str">
        <f>Calcu_ADJ!C33</f>
        <v/>
      </c>
      <c r="K39" s="106" t="str">
        <f>IF(Calcu_ADJ!$B33=FALSE,"",TEXT(Calcu_ADJ!E33,Calcu_ADJ!$Q$66))</f>
        <v/>
      </c>
      <c r="L39" s="106" t="str">
        <f>IF(Calcu_ADJ!$B33=FALSE,"",TEXT(Calcu_ADJ!F33,Calcu_ADJ!$Q$66))</f>
        <v/>
      </c>
      <c r="M39" s="106" t="str">
        <f>IF(Calcu_ADJ!$B33=FALSE,"",TEXT(Calcu_ADJ!G33,Calcu_ADJ!$Q$66))</f>
        <v/>
      </c>
      <c r="N39" s="106" t="str">
        <f>IF(Calcu_ADJ!$B33=FALSE,"",TEXT(Calcu_ADJ!H33,Calcu_ADJ!$Q$66))</f>
        <v/>
      </c>
      <c r="O39" s="106" t="str">
        <f>IF(Calcu_ADJ!$B33=FALSE,"",TEXT(Calcu_ADJ!I33,Calcu_ADJ!$Q$66))</f>
        <v/>
      </c>
    </row>
    <row r="40" spans="2:15" ht="13.5" customHeight="1">
      <c r="B40" s="106" t="str">
        <f>Calcu!C34</f>
        <v/>
      </c>
      <c r="C40" s="106" t="str">
        <f>IF(Calcu!$B34=FALSE,"",TEXT(Calcu!E34,Calcu!$Q$66))</f>
        <v/>
      </c>
      <c r="D40" s="106" t="str">
        <f>IF(Calcu!$B34=FALSE,"",TEXT(Calcu!F34,Calcu!$Q$66))</f>
        <v/>
      </c>
      <c r="E40" s="106" t="str">
        <f>IF(Calcu!$B34=FALSE,"",TEXT(Calcu!G34,Calcu!$Q$66))</f>
        <v/>
      </c>
      <c r="F40" s="106" t="str">
        <f>IF(Calcu!$B34=FALSE,"",TEXT(Calcu!H34,Calcu!$Q$66))</f>
        <v/>
      </c>
      <c r="G40" s="106" t="str">
        <f>IF(Calcu!$B34=FALSE,"",TEXT(Calcu!I34,Calcu!$Q$66))</f>
        <v/>
      </c>
      <c r="J40" s="106" t="str">
        <f>Calcu_ADJ!C34</f>
        <v/>
      </c>
      <c r="K40" s="106" t="str">
        <f>IF(Calcu_ADJ!$B34=FALSE,"",TEXT(Calcu_ADJ!E34,Calcu_ADJ!$Q$66))</f>
        <v/>
      </c>
      <c r="L40" s="106" t="str">
        <f>IF(Calcu_ADJ!$B34=FALSE,"",TEXT(Calcu_ADJ!F34,Calcu_ADJ!$Q$66))</f>
        <v/>
      </c>
      <c r="M40" s="106" t="str">
        <f>IF(Calcu_ADJ!$B34=FALSE,"",TEXT(Calcu_ADJ!G34,Calcu_ADJ!$Q$66))</f>
        <v/>
      </c>
      <c r="N40" s="106" t="str">
        <f>IF(Calcu_ADJ!$B34=FALSE,"",TEXT(Calcu_ADJ!H34,Calcu_ADJ!$Q$66))</f>
        <v/>
      </c>
      <c r="O40" s="106" t="str">
        <f>IF(Calcu_ADJ!$B34=FALSE,"",TEXT(Calcu_ADJ!I34,Calcu_ADJ!$Q$66))</f>
        <v/>
      </c>
    </row>
    <row r="41" spans="2:15" ht="13.5" customHeight="1">
      <c r="B41" s="106" t="str">
        <f>Calcu!C35</f>
        <v/>
      </c>
      <c r="C41" s="106" t="str">
        <f>IF(Calcu!$B35=FALSE,"",TEXT(Calcu!E35,Calcu!$Q$66))</f>
        <v/>
      </c>
      <c r="D41" s="106" t="str">
        <f>IF(Calcu!$B35=FALSE,"",TEXT(Calcu!F35,Calcu!$Q$66))</f>
        <v/>
      </c>
      <c r="E41" s="106" t="str">
        <f>IF(Calcu!$B35=FALSE,"",TEXT(Calcu!G35,Calcu!$Q$66))</f>
        <v/>
      </c>
      <c r="F41" s="106" t="str">
        <f>IF(Calcu!$B35=FALSE,"",TEXT(Calcu!H35,Calcu!$Q$66))</f>
        <v/>
      </c>
      <c r="G41" s="106" t="str">
        <f>IF(Calcu!$B35=FALSE,"",TEXT(Calcu!I35,Calcu!$Q$66))</f>
        <v/>
      </c>
      <c r="J41" s="106" t="str">
        <f>Calcu_ADJ!C35</f>
        <v/>
      </c>
      <c r="K41" s="106" t="str">
        <f>IF(Calcu_ADJ!$B35=FALSE,"",TEXT(Calcu_ADJ!E35,Calcu_ADJ!$Q$66))</f>
        <v/>
      </c>
      <c r="L41" s="106" t="str">
        <f>IF(Calcu_ADJ!$B35=FALSE,"",TEXT(Calcu_ADJ!F35,Calcu_ADJ!$Q$66))</f>
        <v/>
      </c>
      <c r="M41" s="106" t="str">
        <f>IF(Calcu_ADJ!$B35=FALSE,"",TEXT(Calcu_ADJ!G35,Calcu_ADJ!$Q$66))</f>
        <v/>
      </c>
      <c r="N41" s="106" t="str">
        <f>IF(Calcu_ADJ!$B35=FALSE,"",TEXT(Calcu_ADJ!H35,Calcu_ADJ!$Q$66))</f>
        <v/>
      </c>
      <c r="O41" s="106" t="str">
        <f>IF(Calcu_ADJ!$B35=FALSE,"",TEXT(Calcu_ADJ!I35,Calcu_ADJ!$Q$66))</f>
        <v/>
      </c>
    </row>
    <row r="42" spans="2:15" ht="13.5" customHeight="1">
      <c r="B42" s="106" t="str">
        <f>Calcu!C36</f>
        <v/>
      </c>
      <c r="C42" s="106" t="str">
        <f>IF(Calcu!$B36=FALSE,"",TEXT(Calcu!E36,Calcu!$Q$66))</f>
        <v/>
      </c>
      <c r="D42" s="106" t="str">
        <f>IF(Calcu!$B36=FALSE,"",TEXT(Calcu!F36,Calcu!$Q$66))</f>
        <v/>
      </c>
      <c r="E42" s="106" t="str">
        <f>IF(Calcu!$B36=FALSE,"",TEXT(Calcu!G36,Calcu!$Q$66))</f>
        <v/>
      </c>
      <c r="F42" s="106" t="str">
        <f>IF(Calcu!$B36=FALSE,"",TEXT(Calcu!H36,Calcu!$Q$66))</f>
        <v/>
      </c>
      <c r="G42" s="106" t="str">
        <f>IF(Calcu!$B36=FALSE,"",TEXT(Calcu!I36,Calcu!$Q$66))</f>
        <v/>
      </c>
      <c r="J42" s="106" t="str">
        <f>Calcu_ADJ!C36</f>
        <v/>
      </c>
      <c r="K42" s="106" t="str">
        <f>IF(Calcu_ADJ!$B36=FALSE,"",TEXT(Calcu_ADJ!E36,Calcu_ADJ!$Q$66))</f>
        <v/>
      </c>
      <c r="L42" s="106" t="str">
        <f>IF(Calcu_ADJ!$B36=FALSE,"",TEXT(Calcu_ADJ!F36,Calcu_ADJ!$Q$66))</f>
        <v/>
      </c>
      <c r="M42" s="106" t="str">
        <f>IF(Calcu_ADJ!$B36=FALSE,"",TEXT(Calcu_ADJ!G36,Calcu_ADJ!$Q$66))</f>
        <v/>
      </c>
      <c r="N42" s="106" t="str">
        <f>IF(Calcu_ADJ!$B36=FALSE,"",TEXT(Calcu_ADJ!H36,Calcu_ADJ!$Q$66))</f>
        <v/>
      </c>
      <c r="O42" s="106" t="str">
        <f>IF(Calcu_ADJ!$B36=FALSE,"",TEXT(Calcu_ADJ!I36,Calcu_ADJ!$Q$66))</f>
        <v/>
      </c>
    </row>
    <row r="43" spans="2:15" ht="13.5" customHeight="1">
      <c r="B43" s="106" t="str">
        <f>Calcu!C37</f>
        <v/>
      </c>
      <c r="C43" s="106" t="str">
        <f>IF(Calcu!$B37=FALSE,"",TEXT(Calcu!E37,Calcu!$Q$66))</f>
        <v/>
      </c>
      <c r="D43" s="106" t="str">
        <f>IF(Calcu!$B37=FALSE,"",TEXT(Calcu!F37,Calcu!$Q$66))</f>
        <v/>
      </c>
      <c r="E43" s="106" t="str">
        <f>IF(Calcu!$B37=FALSE,"",TEXT(Calcu!G37,Calcu!$Q$66))</f>
        <v/>
      </c>
      <c r="F43" s="106" t="str">
        <f>IF(Calcu!$B37=FALSE,"",TEXT(Calcu!H37,Calcu!$Q$66))</f>
        <v/>
      </c>
      <c r="G43" s="106" t="str">
        <f>IF(Calcu!$B37=FALSE,"",TEXT(Calcu!I37,Calcu!$Q$66))</f>
        <v/>
      </c>
      <c r="J43" s="106" t="str">
        <f>Calcu_ADJ!C37</f>
        <v/>
      </c>
      <c r="K43" s="106" t="str">
        <f>IF(Calcu_ADJ!$B37=FALSE,"",TEXT(Calcu_ADJ!E37,Calcu_ADJ!$Q$66))</f>
        <v/>
      </c>
      <c r="L43" s="106" t="str">
        <f>IF(Calcu_ADJ!$B37=FALSE,"",TEXT(Calcu_ADJ!F37,Calcu_ADJ!$Q$66))</f>
        <v/>
      </c>
      <c r="M43" s="106" t="str">
        <f>IF(Calcu_ADJ!$B37=FALSE,"",TEXT(Calcu_ADJ!G37,Calcu_ADJ!$Q$66))</f>
        <v/>
      </c>
      <c r="N43" s="106" t="str">
        <f>IF(Calcu_ADJ!$B37=FALSE,"",TEXT(Calcu_ADJ!H37,Calcu_ADJ!$Q$66))</f>
        <v/>
      </c>
      <c r="O43" s="106" t="str">
        <f>IF(Calcu_ADJ!$B37=FALSE,"",TEXT(Calcu_ADJ!I37,Calcu_ADJ!$Q$66))</f>
        <v/>
      </c>
    </row>
    <row r="44" spans="2:15" ht="13.5" customHeight="1">
      <c r="B44" s="106" t="str">
        <f>Calcu!C38</f>
        <v/>
      </c>
      <c r="C44" s="106" t="str">
        <f>IF(Calcu!$B38=FALSE,"",TEXT(Calcu!E38,Calcu!$Q$66))</f>
        <v/>
      </c>
      <c r="D44" s="106" t="str">
        <f>IF(Calcu!$B38=FALSE,"",TEXT(Calcu!F38,Calcu!$Q$66))</f>
        <v/>
      </c>
      <c r="E44" s="106" t="str">
        <f>IF(Calcu!$B38=FALSE,"",TEXT(Calcu!G38,Calcu!$Q$66))</f>
        <v/>
      </c>
      <c r="F44" s="106" t="str">
        <f>IF(Calcu!$B38=FALSE,"",TEXT(Calcu!H38,Calcu!$Q$66))</f>
        <v/>
      </c>
      <c r="G44" s="106" t="str">
        <f>IF(Calcu!$B38=FALSE,"",TEXT(Calcu!I38,Calcu!$Q$66))</f>
        <v/>
      </c>
      <c r="J44" s="106" t="str">
        <f>Calcu_ADJ!C38</f>
        <v/>
      </c>
      <c r="K44" s="106" t="str">
        <f>IF(Calcu_ADJ!$B38=FALSE,"",TEXT(Calcu_ADJ!E38,Calcu_ADJ!$Q$66))</f>
        <v/>
      </c>
      <c r="L44" s="106" t="str">
        <f>IF(Calcu_ADJ!$B38=FALSE,"",TEXT(Calcu_ADJ!F38,Calcu_ADJ!$Q$66))</f>
        <v/>
      </c>
      <c r="M44" s="106" t="str">
        <f>IF(Calcu_ADJ!$B38=FALSE,"",TEXT(Calcu_ADJ!G38,Calcu_ADJ!$Q$66))</f>
        <v/>
      </c>
      <c r="N44" s="106" t="str">
        <f>IF(Calcu_ADJ!$B38=FALSE,"",TEXT(Calcu_ADJ!H38,Calcu_ADJ!$Q$66))</f>
        <v/>
      </c>
      <c r="O44" s="106" t="str">
        <f>IF(Calcu_ADJ!$B38=FALSE,"",TEXT(Calcu_ADJ!I38,Calcu_ADJ!$Q$66))</f>
        <v/>
      </c>
    </row>
    <row r="45" spans="2:15" ht="13.5" customHeight="1">
      <c r="B45" s="106" t="str">
        <f>Calcu!C39</f>
        <v/>
      </c>
      <c r="C45" s="106" t="str">
        <f>IF(Calcu!$B39=FALSE,"",TEXT(Calcu!E39,Calcu!$Q$66))</f>
        <v/>
      </c>
      <c r="D45" s="106" t="str">
        <f>IF(Calcu!$B39=FALSE,"",TEXT(Calcu!F39,Calcu!$Q$66))</f>
        <v/>
      </c>
      <c r="E45" s="106" t="str">
        <f>IF(Calcu!$B39=FALSE,"",TEXT(Calcu!G39,Calcu!$Q$66))</f>
        <v/>
      </c>
      <c r="F45" s="106" t="str">
        <f>IF(Calcu!$B39=FALSE,"",TEXT(Calcu!H39,Calcu!$Q$66))</f>
        <v/>
      </c>
      <c r="G45" s="106" t="str">
        <f>IF(Calcu!$B39=FALSE,"",TEXT(Calcu!I39,Calcu!$Q$66))</f>
        <v/>
      </c>
      <c r="J45" s="106" t="str">
        <f>Calcu_ADJ!C39</f>
        <v/>
      </c>
      <c r="K45" s="106" t="str">
        <f>IF(Calcu_ADJ!$B39=FALSE,"",TEXT(Calcu_ADJ!E39,Calcu_ADJ!$Q$66))</f>
        <v/>
      </c>
      <c r="L45" s="106" t="str">
        <f>IF(Calcu_ADJ!$B39=FALSE,"",TEXT(Calcu_ADJ!F39,Calcu_ADJ!$Q$66))</f>
        <v/>
      </c>
      <c r="M45" s="106" t="str">
        <f>IF(Calcu_ADJ!$B39=FALSE,"",TEXT(Calcu_ADJ!G39,Calcu_ADJ!$Q$66))</f>
        <v/>
      </c>
      <c r="N45" s="106" t="str">
        <f>IF(Calcu_ADJ!$B39=FALSE,"",TEXT(Calcu_ADJ!H39,Calcu_ADJ!$Q$66))</f>
        <v/>
      </c>
      <c r="O45" s="106" t="str">
        <f>IF(Calcu_ADJ!$B39=FALSE,"",TEXT(Calcu_ADJ!I39,Calcu_ADJ!$Q$66))</f>
        <v/>
      </c>
    </row>
    <row r="46" spans="2:15" ht="13.5" customHeight="1">
      <c r="B46" s="106" t="str">
        <f>Calcu!C40</f>
        <v/>
      </c>
      <c r="C46" s="106" t="str">
        <f>IF(Calcu!$B40=FALSE,"",TEXT(Calcu!E40,Calcu!$Q$66))</f>
        <v/>
      </c>
      <c r="D46" s="106" t="str">
        <f>IF(Calcu!$B40=FALSE,"",TEXT(Calcu!F40,Calcu!$Q$66))</f>
        <v/>
      </c>
      <c r="E46" s="106" t="str">
        <f>IF(Calcu!$B40=FALSE,"",TEXT(Calcu!G40,Calcu!$Q$66))</f>
        <v/>
      </c>
      <c r="F46" s="106" t="str">
        <f>IF(Calcu!$B40=FALSE,"",TEXT(Calcu!H40,Calcu!$Q$66))</f>
        <v/>
      </c>
      <c r="G46" s="106" t="str">
        <f>IF(Calcu!$B40=FALSE,"",TEXT(Calcu!I40,Calcu!$Q$66))</f>
        <v/>
      </c>
      <c r="J46" s="106" t="str">
        <f>Calcu_ADJ!C40</f>
        <v/>
      </c>
      <c r="K46" s="106" t="str">
        <f>IF(Calcu_ADJ!$B40=FALSE,"",TEXT(Calcu_ADJ!E40,Calcu_ADJ!$Q$66))</f>
        <v/>
      </c>
      <c r="L46" s="106" t="str">
        <f>IF(Calcu_ADJ!$B40=FALSE,"",TEXT(Calcu_ADJ!F40,Calcu_ADJ!$Q$66))</f>
        <v/>
      </c>
      <c r="M46" s="106" t="str">
        <f>IF(Calcu_ADJ!$B40=FALSE,"",TEXT(Calcu_ADJ!G40,Calcu_ADJ!$Q$66))</f>
        <v/>
      </c>
      <c r="N46" s="106" t="str">
        <f>IF(Calcu_ADJ!$B40=FALSE,"",TEXT(Calcu_ADJ!H40,Calcu_ADJ!$Q$66))</f>
        <v/>
      </c>
      <c r="O46" s="106" t="str">
        <f>IF(Calcu_ADJ!$B40=FALSE,"",TEXT(Calcu_ADJ!I40,Calcu_ADJ!$Q$66))</f>
        <v/>
      </c>
    </row>
    <row r="47" spans="2:15" ht="13.5" customHeight="1">
      <c r="B47" s="106" t="str">
        <f>Calcu!C41</f>
        <v/>
      </c>
      <c r="C47" s="106" t="str">
        <f>IF(Calcu!$B41=FALSE,"",TEXT(Calcu!E41,Calcu!$Q$66))</f>
        <v/>
      </c>
      <c r="D47" s="106" t="str">
        <f>IF(Calcu!$B41=FALSE,"",TEXT(Calcu!F41,Calcu!$Q$66))</f>
        <v/>
      </c>
      <c r="E47" s="106" t="str">
        <f>IF(Calcu!$B41=FALSE,"",TEXT(Calcu!G41,Calcu!$Q$66))</f>
        <v/>
      </c>
      <c r="F47" s="106" t="str">
        <f>IF(Calcu!$B41=FALSE,"",TEXT(Calcu!H41,Calcu!$Q$66))</f>
        <v/>
      </c>
      <c r="G47" s="106" t="str">
        <f>IF(Calcu!$B41=FALSE,"",TEXT(Calcu!I41,Calcu!$Q$66))</f>
        <v/>
      </c>
      <c r="J47" s="106" t="str">
        <f>Calcu_ADJ!C41</f>
        <v/>
      </c>
      <c r="K47" s="106" t="str">
        <f>IF(Calcu_ADJ!$B41=FALSE,"",TEXT(Calcu_ADJ!E41,Calcu_ADJ!$Q$66))</f>
        <v/>
      </c>
      <c r="L47" s="106" t="str">
        <f>IF(Calcu_ADJ!$B41=FALSE,"",TEXT(Calcu_ADJ!F41,Calcu_ADJ!$Q$66))</f>
        <v/>
      </c>
      <c r="M47" s="106" t="str">
        <f>IF(Calcu_ADJ!$B41=FALSE,"",TEXT(Calcu_ADJ!G41,Calcu_ADJ!$Q$66))</f>
        <v/>
      </c>
      <c r="N47" s="106" t="str">
        <f>IF(Calcu_ADJ!$B41=FALSE,"",TEXT(Calcu_ADJ!H41,Calcu_ADJ!$Q$66))</f>
        <v/>
      </c>
      <c r="O47" s="106" t="str">
        <f>IF(Calcu_ADJ!$B41=FALSE,"",TEXT(Calcu_ADJ!I41,Calcu_ADJ!$Q$66))</f>
        <v/>
      </c>
    </row>
    <row r="48" spans="2:15" ht="13.5" customHeight="1">
      <c r="B48" s="106" t="str">
        <f>Calcu!C42</f>
        <v/>
      </c>
      <c r="C48" s="106" t="str">
        <f>IF(Calcu!$B42=FALSE,"",TEXT(Calcu!E42,Calcu!$Q$66))</f>
        <v/>
      </c>
      <c r="D48" s="106" t="str">
        <f>IF(Calcu!$B42=FALSE,"",TEXT(Calcu!F42,Calcu!$Q$66))</f>
        <v/>
      </c>
      <c r="E48" s="106" t="str">
        <f>IF(Calcu!$B42=FALSE,"",TEXT(Calcu!G42,Calcu!$Q$66))</f>
        <v/>
      </c>
      <c r="F48" s="106" t="str">
        <f>IF(Calcu!$B42=FALSE,"",TEXT(Calcu!H42,Calcu!$Q$66))</f>
        <v/>
      </c>
      <c r="G48" s="106" t="str">
        <f>IF(Calcu!$B42=FALSE,"",TEXT(Calcu!I42,Calcu!$Q$66))</f>
        <v/>
      </c>
      <c r="J48" s="106" t="str">
        <f>Calcu_ADJ!C42</f>
        <v/>
      </c>
      <c r="K48" s="106" t="str">
        <f>IF(Calcu_ADJ!$B42=FALSE,"",TEXT(Calcu_ADJ!E42,Calcu_ADJ!$Q$66))</f>
        <v/>
      </c>
      <c r="L48" s="106" t="str">
        <f>IF(Calcu_ADJ!$B42=FALSE,"",TEXT(Calcu_ADJ!F42,Calcu_ADJ!$Q$66))</f>
        <v/>
      </c>
      <c r="M48" s="106" t="str">
        <f>IF(Calcu_ADJ!$B42=FALSE,"",TEXT(Calcu_ADJ!G42,Calcu_ADJ!$Q$66))</f>
        <v/>
      </c>
      <c r="N48" s="106" t="str">
        <f>IF(Calcu_ADJ!$B42=FALSE,"",TEXT(Calcu_ADJ!H42,Calcu_ADJ!$Q$66))</f>
        <v/>
      </c>
      <c r="O48" s="106" t="str">
        <f>IF(Calcu_ADJ!$B42=FALSE,"",TEXT(Calcu_ADJ!I42,Calcu_ADJ!$Q$66))</f>
        <v/>
      </c>
    </row>
    <row r="49" spans="2:15" ht="13.5" customHeight="1">
      <c r="B49" s="106" t="str">
        <f>Calcu!C43</f>
        <v/>
      </c>
      <c r="C49" s="106" t="str">
        <f>IF(Calcu!$B43=FALSE,"",TEXT(Calcu!E43,Calcu!$Q$66))</f>
        <v/>
      </c>
      <c r="D49" s="106" t="str">
        <f>IF(Calcu!$B43=FALSE,"",TEXT(Calcu!F43,Calcu!$Q$66))</f>
        <v/>
      </c>
      <c r="E49" s="106" t="str">
        <f>IF(Calcu!$B43=FALSE,"",TEXT(Calcu!G43,Calcu!$Q$66))</f>
        <v/>
      </c>
      <c r="F49" s="106" t="str">
        <f>IF(Calcu!$B43=FALSE,"",TEXT(Calcu!H43,Calcu!$Q$66))</f>
        <v/>
      </c>
      <c r="G49" s="106" t="str">
        <f>IF(Calcu!$B43=FALSE,"",TEXT(Calcu!I43,Calcu!$Q$66))</f>
        <v/>
      </c>
      <c r="J49" s="106" t="str">
        <f>Calcu_ADJ!C43</f>
        <v/>
      </c>
      <c r="K49" s="106" t="str">
        <f>IF(Calcu_ADJ!$B43=FALSE,"",TEXT(Calcu_ADJ!E43,Calcu_ADJ!$Q$66))</f>
        <v/>
      </c>
      <c r="L49" s="106" t="str">
        <f>IF(Calcu_ADJ!$B43=FALSE,"",TEXT(Calcu_ADJ!F43,Calcu_ADJ!$Q$66))</f>
        <v/>
      </c>
      <c r="M49" s="106" t="str">
        <f>IF(Calcu_ADJ!$B43=FALSE,"",TEXT(Calcu_ADJ!G43,Calcu_ADJ!$Q$66))</f>
        <v/>
      </c>
      <c r="N49" s="106" t="str">
        <f>IF(Calcu_ADJ!$B43=FALSE,"",TEXT(Calcu_ADJ!H43,Calcu_ADJ!$Q$66))</f>
        <v/>
      </c>
      <c r="O49" s="106" t="str">
        <f>IF(Calcu_ADJ!$B43=FALSE,"",TEXT(Calcu_ADJ!I43,Calcu_ADJ!$Q$66))</f>
        <v/>
      </c>
    </row>
    <row r="50" spans="2:15" ht="13.5" customHeight="1">
      <c r="B50" s="106" t="str">
        <f>Calcu!C44</f>
        <v/>
      </c>
      <c r="C50" s="106" t="str">
        <f>IF(Calcu!$B44=FALSE,"",TEXT(Calcu!E44,Calcu!$Q$66))</f>
        <v/>
      </c>
      <c r="D50" s="106" t="str">
        <f>IF(Calcu!$B44=FALSE,"",TEXT(Calcu!F44,Calcu!$Q$66))</f>
        <v/>
      </c>
      <c r="E50" s="106" t="str">
        <f>IF(Calcu!$B44=FALSE,"",TEXT(Calcu!G44,Calcu!$Q$66))</f>
        <v/>
      </c>
      <c r="F50" s="106" t="str">
        <f>IF(Calcu!$B44=FALSE,"",TEXT(Calcu!H44,Calcu!$Q$66))</f>
        <v/>
      </c>
      <c r="G50" s="106" t="str">
        <f>IF(Calcu!$B44=FALSE,"",TEXT(Calcu!I44,Calcu!$Q$66))</f>
        <v/>
      </c>
      <c r="J50" s="106" t="str">
        <f>Calcu_ADJ!C44</f>
        <v/>
      </c>
      <c r="K50" s="106" t="str">
        <f>IF(Calcu_ADJ!$B44=FALSE,"",TEXT(Calcu_ADJ!E44,Calcu_ADJ!$Q$66))</f>
        <v/>
      </c>
      <c r="L50" s="106" t="str">
        <f>IF(Calcu_ADJ!$B44=FALSE,"",TEXT(Calcu_ADJ!F44,Calcu_ADJ!$Q$66))</f>
        <v/>
      </c>
      <c r="M50" s="106" t="str">
        <f>IF(Calcu_ADJ!$B44=FALSE,"",TEXT(Calcu_ADJ!G44,Calcu_ADJ!$Q$66))</f>
        <v/>
      </c>
      <c r="N50" s="106" t="str">
        <f>IF(Calcu_ADJ!$B44=FALSE,"",TEXT(Calcu_ADJ!H44,Calcu_ADJ!$Q$66))</f>
        <v/>
      </c>
      <c r="O50" s="106" t="str">
        <f>IF(Calcu_ADJ!$B44=FALSE,"",TEXT(Calcu_ADJ!I44,Calcu_ADJ!$Q$66))</f>
        <v/>
      </c>
    </row>
    <row r="51" spans="2:15" ht="13.5" customHeight="1">
      <c r="B51" s="106" t="str">
        <f>Calcu!C45</f>
        <v/>
      </c>
      <c r="C51" s="106" t="str">
        <f>IF(Calcu!$B45=FALSE,"",TEXT(Calcu!E45,Calcu!$Q$66))</f>
        <v/>
      </c>
      <c r="D51" s="106" t="str">
        <f>IF(Calcu!$B45=FALSE,"",TEXT(Calcu!F45,Calcu!$Q$66))</f>
        <v/>
      </c>
      <c r="E51" s="106" t="str">
        <f>IF(Calcu!$B45=FALSE,"",TEXT(Calcu!G45,Calcu!$Q$66))</f>
        <v/>
      </c>
      <c r="F51" s="106" t="str">
        <f>IF(Calcu!$B45=FALSE,"",TEXT(Calcu!H45,Calcu!$Q$66))</f>
        <v/>
      </c>
      <c r="G51" s="106" t="str">
        <f>IF(Calcu!$B45=FALSE,"",TEXT(Calcu!I45,Calcu!$Q$66))</f>
        <v/>
      </c>
      <c r="J51" s="106" t="str">
        <f>Calcu_ADJ!C45</f>
        <v/>
      </c>
      <c r="K51" s="106" t="str">
        <f>IF(Calcu_ADJ!$B45=FALSE,"",TEXT(Calcu_ADJ!E45,Calcu_ADJ!$Q$66))</f>
        <v/>
      </c>
      <c r="L51" s="106" t="str">
        <f>IF(Calcu_ADJ!$B45=FALSE,"",TEXT(Calcu_ADJ!F45,Calcu_ADJ!$Q$66))</f>
        <v/>
      </c>
      <c r="M51" s="106" t="str">
        <f>IF(Calcu_ADJ!$B45=FALSE,"",TEXT(Calcu_ADJ!G45,Calcu_ADJ!$Q$66))</f>
        <v/>
      </c>
      <c r="N51" s="106" t="str">
        <f>IF(Calcu_ADJ!$B45=FALSE,"",TEXT(Calcu_ADJ!H45,Calcu_ADJ!$Q$66))</f>
        <v/>
      </c>
      <c r="O51" s="106" t="str">
        <f>IF(Calcu_ADJ!$B45=FALSE,"",TEXT(Calcu_ADJ!I45,Calcu_ADJ!$Q$66))</f>
        <v/>
      </c>
    </row>
    <row r="52" spans="2:15" ht="13.5" customHeight="1">
      <c r="B52" s="106" t="str">
        <f>Calcu!C46</f>
        <v/>
      </c>
      <c r="C52" s="106" t="str">
        <f>IF(Calcu!$B46=FALSE,"",TEXT(Calcu!E46,Calcu!$Q$66))</f>
        <v/>
      </c>
      <c r="D52" s="106" t="str">
        <f>IF(Calcu!$B46=FALSE,"",TEXT(Calcu!F46,Calcu!$Q$66))</f>
        <v/>
      </c>
      <c r="E52" s="106" t="str">
        <f>IF(Calcu!$B46=FALSE,"",TEXT(Calcu!G46,Calcu!$Q$66))</f>
        <v/>
      </c>
      <c r="F52" s="106" t="str">
        <f>IF(Calcu!$B46=FALSE,"",TEXT(Calcu!H46,Calcu!$Q$66))</f>
        <v/>
      </c>
      <c r="G52" s="106" t="str">
        <f>IF(Calcu!$B46=FALSE,"",TEXT(Calcu!I46,Calcu!$Q$66))</f>
        <v/>
      </c>
      <c r="J52" s="106" t="str">
        <f>Calcu_ADJ!C46</f>
        <v/>
      </c>
      <c r="K52" s="106" t="str">
        <f>IF(Calcu_ADJ!$B46=FALSE,"",TEXT(Calcu_ADJ!E46,Calcu_ADJ!$Q$66))</f>
        <v/>
      </c>
      <c r="L52" s="106" t="str">
        <f>IF(Calcu_ADJ!$B46=FALSE,"",TEXT(Calcu_ADJ!F46,Calcu_ADJ!$Q$66))</f>
        <v/>
      </c>
      <c r="M52" s="106" t="str">
        <f>IF(Calcu_ADJ!$B46=FALSE,"",TEXT(Calcu_ADJ!G46,Calcu_ADJ!$Q$66))</f>
        <v/>
      </c>
      <c r="N52" s="106" t="str">
        <f>IF(Calcu_ADJ!$B46=FALSE,"",TEXT(Calcu_ADJ!H46,Calcu_ADJ!$Q$66))</f>
        <v/>
      </c>
      <c r="O52" s="106" t="str">
        <f>IF(Calcu_ADJ!$B46=FALSE,"",TEXT(Calcu_ADJ!I46,Calcu_ADJ!$Q$66))</f>
        <v/>
      </c>
    </row>
    <row r="53" spans="2:15" ht="13.5" customHeight="1">
      <c r="B53" s="106" t="str">
        <f>Calcu!C47</f>
        <v/>
      </c>
      <c r="C53" s="106" t="str">
        <f>IF(Calcu!$B47=FALSE,"",TEXT(Calcu!E47,Calcu!$Q$66))</f>
        <v/>
      </c>
      <c r="D53" s="106" t="str">
        <f>IF(Calcu!$B47=FALSE,"",TEXT(Calcu!F47,Calcu!$Q$66))</f>
        <v/>
      </c>
      <c r="E53" s="106" t="str">
        <f>IF(Calcu!$B47=FALSE,"",TEXT(Calcu!G47,Calcu!$Q$66))</f>
        <v/>
      </c>
      <c r="F53" s="106" t="str">
        <f>IF(Calcu!$B47=FALSE,"",TEXT(Calcu!H47,Calcu!$Q$66))</f>
        <v/>
      </c>
      <c r="G53" s="106" t="str">
        <f>IF(Calcu!$B47=FALSE,"",TEXT(Calcu!I47,Calcu!$Q$66))</f>
        <v/>
      </c>
      <c r="J53" s="106" t="str">
        <f>Calcu_ADJ!C47</f>
        <v/>
      </c>
      <c r="K53" s="106" t="str">
        <f>IF(Calcu_ADJ!$B47=FALSE,"",TEXT(Calcu_ADJ!E47,Calcu_ADJ!$Q$66))</f>
        <v/>
      </c>
      <c r="L53" s="106" t="str">
        <f>IF(Calcu_ADJ!$B47=FALSE,"",TEXT(Calcu_ADJ!F47,Calcu_ADJ!$Q$66))</f>
        <v/>
      </c>
      <c r="M53" s="106" t="str">
        <f>IF(Calcu_ADJ!$B47=FALSE,"",TEXT(Calcu_ADJ!G47,Calcu_ADJ!$Q$66))</f>
        <v/>
      </c>
      <c r="N53" s="106" t="str">
        <f>IF(Calcu_ADJ!$B47=FALSE,"",TEXT(Calcu_ADJ!H47,Calcu_ADJ!$Q$66))</f>
        <v/>
      </c>
      <c r="O53" s="106" t="str">
        <f>IF(Calcu_ADJ!$B47=FALSE,"",TEXT(Calcu_ADJ!I47,Calcu_ADJ!$Q$66))</f>
        <v/>
      </c>
    </row>
    <row r="54" spans="2:15" ht="13.5" customHeight="1">
      <c r="B54" s="106" t="str">
        <f>Calcu!C48</f>
        <v/>
      </c>
      <c r="C54" s="106" t="str">
        <f>IF(Calcu!$B48=FALSE,"",TEXT(Calcu!E48,Calcu!$Q$66))</f>
        <v/>
      </c>
      <c r="D54" s="106" t="str">
        <f>IF(Calcu!$B48=FALSE,"",TEXT(Calcu!F48,Calcu!$Q$66))</f>
        <v/>
      </c>
      <c r="E54" s="106" t="str">
        <f>IF(Calcu!$B48=FALSE,"",TEXT(Calcu!G48,Calcu!$Q$66))</f>
        <v/>
      </c>
      <c r="F54" s="106" t="str">
        <f>IF(Calcu!$B48=FALSE,"",TEXT(Calcu!H48,Calcu!$Q$66))</f>
        <v/>
      </c>
      <c r="G54" s="106" t="str">
        <f>IF(Calcu!$B48=FALSE,"",TEXT(Calcu!I48,Calcu!$Q$66))</f>
        <v/>
      </c>
      <c r="J54" s="106" t="str">
        <f>Calcu_ADJ!C48</f>
        <v/>
      </c>
      <c r="K54" s="106" t="str">
        <f>IF(Calcu_ADJ!$B48=FALSE,"",TEXT(Calcu_ADJ!E48,Calcu_ADJ!$Q$66))</f>
        <v/>
      </c>
      <c r="L54" s="106" t="str">
        <f>IF(Calcu_ADJ!$B48=FALSE,"",TEXT(Calcu_ADJ!F48,Calcu_ADJ!$Q$66))</f>
        <v/>
      </c>
      <c r="M54" s="106" t="str">
        <f>IF(Calcu_ADJ!$B48=FALSE,"",TEXT(Calcu_ADJ!G48,Calcu_ADJ!$Q$66))</f>
        <v/>
      </c>
      <c r="N54" s="106" t="str">
        <f>IF(Calcu_ADJ!$B48=FALSE,"",TEXT(Calcu_ADJ!H48,Calcu_ADJ!$Q$66))</f>
        <v/>
      </c>
      <c r="O54" s="106" t="str">
        <f>IF(Calcu_ADJ!$B48=FALSE,"",TEXT(Calcu_ADJ!I48,Calcu_ADJ!$Q$66))</f>
        <v/>
      </c>
    </row>
    <row r="55" spans="2:15" ht="13.5" customHeight="1">
      <c r="B55" s="106" t="str">
        <f>Calcu!C49</f>
        <v/>
      </c>
      <c r="C55" s="106" t="str">
        <f>IF(Calcu!$B49=FALSE,"",TEXT(Calcu!E49,Calcu!$Q$66))</f>
        <v/>
      </c>
      <c r="D55" s="106" t="str">
        <f>IF(Calcu!$B49=FALSE,"",TEXT(Calcu!F49,Calcu!$Q$66))</f>
        <v/>
      </c>
      <c r="E55" s="106" t="str">
        <f>IF(Calcu!$B49=FALSE,"",TEXT(Calcu!G49,Calcu!$Q$66))</f>
        <v/>
      </c>
      <c r="F55" s="106" t="str">
        <f>IF(Calcu!$B49=FALSE,"",TEXT(Calcu!H49,Calcu!$Q$66))</f>
        <v/>
      </c>
      <c r="G55" s="106" t="str">
        <f>IF(Calcu!$B49=FALSE,"",TEXT(Calcu!I49,Calcu!$Q$66))</f>
        <v/>
      </c>
      <c r="J55" s="106" t="str">
        <f>Calcu_ADJ!C49</f>
        <v/>
      </c>
      <c r="K55" s="106" t="str">
        <f>IF(Calcu_ADJ!$B49=FALSE,"",TEXT(Calcu_ADJ!E49,Calcu_ADJ!$Q$66))</f>
        <v/>
      </c>
      <c r="L55" s="106" t="str">
        <f>IF(Calcu_ADJ!$B49=FALSE,"",TEXT(Calcu_ADJ!F49,Calcu_ADJ!$Q$66))</f>
        <v/>
      </c>
      <c r="M55" s="106" t="str">
        <f>IF(Calcu_ADJ!$B49=FALSE,"",TEXT(Calcu_ADJ!G49,Calcu_ADJ!$Q$66))</f>
        <v/>
      </c>
      <c r="N55" s="106" t="str">
        <f>IF(Calcu_ADJ!$B49=FALSE,"",TEXT(Calcu_ADJ!H49,Calcu_ADJ!$Q$66))</f>
        <v/>
      </c>
      <c r="O55" s="106" t="str">
        <f>IF(Calcu_ADJ!$B49=FALSE,"",TEXT(Calcu_ADJ!I49,Calcu_ADJ!$Q$66))</f>
        <v/>
      </c>
    </row>
  </sheetData>
  <sortState ref="S5:T14">
    <sortCondition descending="1" ref="S5"/>
  </sortState>
  <mergeCells count="6">
    <mergeCell ref="K12:O12"/>
    <mergeCell ref="B12:B13"/>
    <mergeCell ref="C12:G12"/>
    <mergeCell ref="E4:F4"/>
    <mergeCell ref="E3:F3"/>
    <mergeCell ref="J12:J13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308"/>
  <sheetViews>
    <sheetView showGridLines="0" zoomScaleNormal="100" zoomScaleSheetLayoutView="100" workbookViewId="0"/>
  </sheetViews>
  <sheetFormatPr defaultColWidth="1.77734375" defaultRowHeight="18.75" customHeight="1"/>
  <cols>
    <col min="1" max="11" width="1.77734375" style="56"/>
    <col min="12" max="12" width="1.77734375" style="56" customWidth="1"/>
    <col min="13" max="26" width="1.77734375" style="56"/>
    <col min="27" max="27" width="1.77734375" style="56" customWidth="1"/>
    <col min="28" max="28" width="1.77734375" style="56"/>
    <col min="29" max="29" width="1.77734375" style="56" customWidth="1"/>
    <col min="30" max="16384" width="1.77734375" style="56"/>
  </cols>
  <sheetData>
    <row r="1" spans="1:44" s="70" customFormat="1" ht="31.5">
      <c r="A1" s="69" t="s">
        <v>79</v>
      </c>
    </row>
    <row r="2" spans="1:44" s="70" customFormat="1" ht="18.75" customHeight="1"/>
    <row r="3" spans="1:44" s="70" customFormat="1" ht="18.75" customHeight="1">
      <c r="A3" s="71" t="s">
        <v>243</v>
      </c>
    </row>
    <row r="4" spans="1:44" s="70" customFormat="1" ht="18.75" customHeight="1">
      <c r="B4" s="400" t="s">
        <v>60</v>
      </c>
      <c r="C4" s="400"/>
      <c r="D4" s="400"/>
      <c r="E4" s="400"/>
      <c r="F4" s="400"/>
      <c r="G4" s="400"/>
      <c r="H4" s="401" t="s">
        <v>80</v>
      </c>
      <c r="I4" s="401"/>
      <c r="J4" s="401"/>
      <c r="K4" s="401"/>
      <c r="L4" s="401"/>
      <c r="M4" s="401"/>
      <c r="N4" s="400" t="s">
        <v>30</v>
      </c>
      <c r="O4" s="400"/>
      <c r="P4" s="400"/>
      <c r="Q4" s="400"/>
      <c r="R4" s="400"/>
      <c r="S4" s="400"/>
      <c r="T4" s="400" t="s">
        <v>361</v>
      </c>
      <c r="U4" s="400"/>
      <c r="V4" s="400"/>
      <c r="W4" s="400"/>
      <c r="X4" s="400"/>
      <c r="Y4" s="400"/>
    </row>
    <row r="5" spans="1:44" s="70" customFormat="1" ht="18.75" customHeight="1">
      <c r="B5" s="402">
        <f>Calcu!I3</f>
        <v>0</v>
      </c>
      <c r="C5" s="402"/>
      <c r="D5" s="402"/>
      <c r="E5" s="402"/>
      <c r="F5" s="402"/>
      <c r="G5" s="402"/>
      <c r="H5" s="403">
        <f>Calcu!J3</f>
        <v>1</v>
      </c>
      <c r="I5" s="403"/>
      <c r="J5" s="403"/>
      <c r="K5" s="403"/>
      <c r="L5" s="403"/>
      <c r="M5" s="403"/>
      <c r="N5" s="402" t="s">
        <v>379</v>
      </c>
      <c r="O5" s="402"/>
      <c r="P5" s="402"/>
      <c r="Q5" s="402"/>
      <c r="R5" s="402"/>
      <c r="S5" s="402"/>
      <c r="T5" s="402" t="str">
        <f>Calcu!D3</f>
        <v>게이지 블록</v>
      </c>
      <c r="U5" s="402"/>
      <c r="V5" s="402"/>
      <c r="W5" s="402"/>
      <c r="X5" s="402"/>
      <c r="Y5" s="402"/>
    </row>
    <row r="6" spans="1:44" s="70" customFormat="1" ht="18.75" customHeight="1"/>
    <row r="7" spans="1:44" ht="18.75" customHeight="1">
      <c r="A7" s="58" t="s">
        <v>244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  <c r="Z7" s="227"/>
      <c r="AA7" s="227"/>
      <c r="AB7" s="227"/>
      <c r="AC7" s="227"/>
      <c r="AD7" s="227"/>
      <c r="AE7" s="227"/>
      <c r="AF7" s="227"/>
      <c r="AG7" s="227"/>
      <c r="AH7" s="227"/>
      <c r="AI7" s="227"/>
      <c r="AJ7" s="227"/>
      <c r="AK7" s="227"/>
      <c r="AL7" s="227"/>
      <c r="AM7" s="227"/>
      <c r="AN7" s="227"/>
      <c r="AO7" s="227"/>
      <c r="AP7" s="227"/>
      <c r="AQ7" s="227"/>
      <c r="AR7" s="227"/>
    </row>
    <row r="8" spans="1:44" ht="18.75" customHeight="1">
      <c r="A8" s="58"/>
      <c r="B8" s="404" t="s">
        <v>115</v>
      </c>
      <c r="C8" s="405"/>
      <c r="D8" s="405"/>
      <c r="E8" s="405"/>
      <c r="F8" s="406"/>
      <c r="G8" s="410" t="str">
        <f>N5&amp;" 지시값"</f>
        <v>길이 변위계 지시값</v>
      </c>
      <c r="H8" s="411"/>
      <c r="I8" s="411"/>
      <c r="J8" s="411"/>
      <c r="K8" s="411"/>
      <c r="L8" s="411"/>
      <c r="M8" s="411"/>
      <c r="N8" s="411"/>
      <c r="O8" s="411"/>
      <c r="P8" s="411"/>
      <c r="Q8" s="411"/>
      <c r="R8" s="411"/>
      <c r="S8" s="411"/>
      <c r="T8" s="411"/>
      <c r="U8" s="411"/>
      <c r="V8" s="411"/>
      <c r="W8" s="411"/>
      <c r="X8" s="411"/>
      <c r="Y8" s="411"/>
      <c r="Z8" s="411"/>
      <c r="AA8" s="411"/>
      <c r="AB8" s="411"/>
      <c r="AC8" s="411"/>
      <c r="AD8" s="411"/>
      <c r="AE8" s="412"/>
      <c r="AF8" s="404" t="s">
        <v>245</v>
      </c>
      <c r="AG8" s="405"/>
      <c r="AH8" s="405"/>
      <c r="AI8" s="405"/>
      <c r="AJ8" s="406"/>
      <c r="AK8" s="404" t="s">
        <v>81</v>
      </c>
      <c r="AL8" s="405"/>
      <c r="AM8" s="405"/>
      <c r="AN8" s="405"/>
      <c r="AO8" s="406"/>
    </row>
    <row r="9" spans="1:44" ht="18.75" customHeight="1">
      <c r="A9" s="58"/>
      <c r="B9" s="407"/>
      <c r="C9" s="408"/>
      <c r="D9" s="408"/>
      <c r="E9" s="408"/>
      <c r="F9" s="409"/>
      <c r="G9" s="410" t="s">
        <v>102</v>
      </c>
      <c r="H9" s="411"/>
      <c r="I9" s="411"/>
      <c r="J9" s="411"/>
      <c r="K9" s="412"/>
      <c r="L9" s="410" t="s">
        <v>153</v>
      </c>
      <c r="M9" s="411"/>
      <c r="N9" s="411"/>
      <c r="O9" s="411"/>
      <c r="P9" s="412"/>
      <c r="Q9" s="410" t="s">
        <v>246</v>
      </c>
      <c r="R9" s="411"/>
      <c r="S9" s="411"/>
      <c r="T9" s="411"/>
      <c r="U9" s="412"/>
      <c r="V9" s="410" t="s">
        <v>247</v>
      </c>
      <c r="W9" s="411"/>
      <c r="X9" s="411"/>
      <c r="Y9" s="411"/>
      <c r="Z9" s="412"/>
      <c r="AA9" s="410" t="s">
        <v>248</v>
      </c>
      <c r="AB9" s="411"/>
      <c r="AC9" s="411"/>
      <c r="AD9" s="411"/>
      <c r="AE9" s="412"/>
      <c r="AF9" s="407"/>
      <c r="AG9" s="408"/>
      <c r="AH9" s="408"/>
      <c r="AI9" s="408"/>
      <c r="AJ9" s="409"/>
      <c r="AK9" s="407"/>
      <c r="AL9" s="408"/>
      <c r="AM9" s="408"/>
      <c r="AN9" s="408"/>
      <c r="AO9" s="409"/>
    </row>
    <row r="10" spans="1:44" ht="18.75" customHeight="1">
      <c r="A10" s="58"/>
      <c r="B10" s="410" t="s">
        <v>186</v>
      </c>
      <c r="C10" s="411"/>
      <c r="D10" s="411"/>
      <c r="E10" s="411"/>
      <c r="F10" s="412"/>
      <c r="G10" s="410" t="str">
        <f>B10</f>
        <v>mm</v>
      </c>
      <c r="H10" s="411"/>
      <c r="I10" s="411"/>
      <c r="J10" s="411"/>
      <c r="K10" s="412"/>
      <c r="L10" s="410" t="str">
        <f>G10</f>
        <v>mm</v>
      </c>
      <c r="M10" s="411"/>
      <c r="N10" s="411"/>
      <c r="O10" s="411"/>
      <c r="P10" s="412"/>
      <c r="Q10" s="410" t="str">
        <f>L10</f>
        <v>mm</v>
      </c>
      <c r="R10" s="411"/>
      <c r="S10" s="411"/>
      <c r="T10" s="411"/>
      <c r="U10" s="412"/>
      <c r="V10" s="410" t="str">
        <f>Q10</f>
        <v>mm</v>
      </c>
      <c r="W10" s="411"/>
      <c r="X10" s="411"/>
      <c r="Y10" s="411"/>
      <c r="Z10" s="412"/>
      <c r="AA10" s="410" t="str">
        <f>V10</f>
        <v>mm</v>
      </c>
      <c r="AB10" s="411"/>
      <c r="AC10" s="411"/>
      <c r="AD10" s="411"/>
      <c r="AE10" s="412"/>
      <c r="AF10" s="410" t="s">
        <v>186</v>
      </c>
      <c r="AG10" s="411"/>
      <c r="AH10" s="411"/>
      <c r="AI10" s="411"/>
      <c r="AJ10" s="412"/>
      <c r="AK10" s="410" t="s">
        <v>186</v>
      </c>
      <c r="AL10" s="411"/>
      <c r="AM10" s="411"/>
      <c r="AN10" s="411"/>
      <c r="AO10" s="412"/>
    </row>
    <row r="11" spans="1:44" ht="18.75" customHeight="1">
      <c r="A11" s="58"/>
      <c r="B11" s="413" t="str">
        <f>Calcu!T9</f>
        <v/>
      </c>
      <c r="C11" s="414"/>
      <c r="D11" s="414"/>
      <c r="E11" s="414"/>
      <c r="F11" s="415"/>
      <c r="G11" s="413" t="str">
        <f>IF(Calcu!B9=TRUE,Calcu!E9*$H$5,"")</f>
        <v/>
      </c>
      <c r="H11" s="414"/>
      <c r="I11" s="414"/>
      <c r="J11" s="414"/>
      <c r="K11" s="415"/>
      <c r="L11" s="413" t="str">
        <f>IF(Calcu!B9=TRUE,Calcu!F9*H$5,"")</f>
        <v/>
      </c>
      <c r="M11" s="414"/>
      <c r="N11" s="414"/>
      <c r="O11" s="414"/>
      <c r="P11" s="415"/>
      <c r="Q11" s="413" t="str">
        <f>IF(Calcu!B9=TRUE,Calcu!G9*H$5,"")</f>
        <v/>
      </c>
      <c r="R11" s="414"/>
      <c r="S11" s="414"/>
      <c r="T11" s="414"/>
      <c r="U11" s="415"/>
      <c r="V11" s="413" t="str">
        <f>IF(Calcu!B9=TRUE,Calcu!H9*H$5,"")</f>
        <v/>
      </c>
      <c r="W11" s="414"/>
      <c r="X11" s="414"/>
      <c r="Y11" s="414"/>
      <c r="Z11" s="415"/>
      <c r="AA11" s="413" t="str">
        <f>IF(Calcu!B9=TRUE,Calcu!I9*H$5,"")</f>
        <v/>
      </c>
      <c r="AB11" s="414"/>
      <c r="AC11" s="414"/>
      <c r="AD11" s="414"/>
      <c r="AE11" s="415"/>
      <c r="AF11" s="413" t="str">
        <f>Calcu!M9</f>
        <v/>
      </c>
      <c r="AG11" s="414"/>
      <c r="AH11" s="414"/>
      <c r="AI11" s="414"/>
      <c r="AJ11" s="415"/>
      <c r="AK11" s="413" t="str">
        <f>Calcu!K9</f>
        <v/>
      </c>
      <c r="AL11" s="414"/>
      <c r="AM11" s="414"/>
      <c r="AN11" s="414"/>
      <c r="AO11" s="415"/>
    </row>
    <row r="12" spans="1:44" ht="18.75" customHeight="1">
      <c r="A12" s="58"/>
      <c r="B12" s="413" t="str">
        <f>Calcu!T10</f>
        <v/>
      </c>
      <c r="C12" s="414"/>
      <c r="D12" s="414"/>
      <c r="E12" s="414"/>
      <c r="F12" s="415"/>
      <c r="G12" s="413" t="str">
        <f>IF(Calcu!B10=TRUE,Calcu!E10*$H$5,"")</f>
        <v/>
      </c>
      <c r="H12" s="414"/>
      <c r="I12" s="414"/>
      <c r="J12" s="414"/>
      <c r="K12" s="415"/>
      <c r="L12" s="413" t="str">
        <f>IF(Calcu!B10=TRUE,Calcu!F10*H$5,"")</f>
        <v/>
      </c>
      <c r="M12" s="414"/>
      <c r="N12" s="414"/>
      <c r="O12" s="414"/>
      <c r="P12" s="415"/>
      <c r="Q12" s="413" t="str">
        <f>IF(Calcu!B10=TRUE,Calcu!G10*H$5,"")</f>
        <v/>
      </c>
      <c r="R12" s="414"/>
      <c r="S12" s="414"/>
      <c r="T12" s="414"/>
      <c r="U12" s="415"/>
      <c r="V12" s="413" t="str">
        <f>IF(Calcu!B10=TRUE,Calcu!H10*H$5,"")</f>
        <v/>
      </c>
      <c r="W12" s="414"/>
      <c r="X12" s="414"/>
      <c r="Y12" s="414"/>
      <c r="Z12" s="415"/>
      <c r="AA12" s="413" t="str">
        <f>IF(Calcu!B10=TRUE,Calcu!I10*H$5,"")</f>
        <v/>
      </c>
      <c r="AB12" s="414"/>
      <c r="AC12" s="414"/>
      <c r="AD12" s="414"/>
      <c r="AE12" s="415"/>
      <c r="AF12" s="413" t="str">
        <f>Calcu!M10</f>
        <v/>
      </c>
      <c r="AG12" s="414"/>
      <c r="AH12" s="414"/>
      <c r="AI12" s="414"/>
      <c r="AJ12" s="415"/>
      <c r="AK12" s="413" t="str">
        <f>Calcu!K10</f>
        <v/>
      </c>
      <c r="AL12" s="414"/>
      <c r="AM12" s="414"/>
      <c r="AN12" s="414"/>
      <c r="AO12" s="415"/>
    </row>
    <row r="13" spans="1:44" ht="18.75" customHeight="1">
      <c r="A13" s="58"/>
      <c r="B13" s="413" t="str">
        <f>Calcu!T11</f>
        <v/>
      </c>
      <c r="C13" s="414"/>
      <c r="D13" s="414"/>
      <c r="E13" s="414"/>
      <c r="F13" s="415"/>
      <c r="G13" s="413" t="str">
        <f>IF(Calcu!B11=TRUE,Calcu!E11*$H$5,"")</f>
        <v/>
      </c>
      <c r="H13" s="414"/>
      <c r="I13" s="414"/>
      <c r="J13" s="414"/>
      <c r="K13" s="415"/>
      <c r="L13" s="413" t="str">
        <f>IF(Calcu!B11=TRUE,Calcu!F11*H$5,"")</f>
        <v/>
      </c>
      <c r="M13" s="414"/>
      <c r="N13" s="414"/>
      <c r="O13" s="414"/>
      <c r="P13" s="415"/>
      <c r="Q13" s="413" t="str">
        <f>IF(Calcu!B11=TRUE,Calcu!G11*H$5,"")</f>
        <v/>
      </c>
      <c r="R13" s="414"/>
      <c r="S13" s="414"/>
      <c r="T13" s="414"/>
      <c r="U13" s="415"/>
      <c r="V13" s="413" t="str">
        <f>IF(Calcu!B11=TRUE,Calcu!H11*H$5,"")</f>
        <v/>
      </c>
      <c r="W13" s="414"/>
      <c r="X13" s="414"/>
      <c r="Y13" s="414"/>
      <c r="Z13" s="415"/>
      <c r="AA13" s="413" t="str">
        <f>IF(Calcu!B11=TRUE,Calcu!I11*H$5,"")</f>
        <v/>
      </c>
      <c r="AB13" s="414"/>
      <c r="AC13" s="414"/>
      <c r="AD13" s="414"/>
      <c r="AE13" s="415"/>
      <c r="AF13" s="413" t="str">
        <f>Calcu!M11</f>
        <v/>
      </c>
      <c r="AG13" s="414"/>
      <c r="AH13" s="414"/>
      <c r="AI13" s="414"/>
      <c r="AJ13" s="415"/>
      <c r="AK13" s="413" t="str">
        <f>Calcu!K11</f>
        <v/>
      </c>
      <c r="AL13" s="414"/>
      <c r="AM13" s="414"/>
      <c r="AN13" s="414"/>
      <c r="AO13" s="415"/>
    </row>
    <row r="14" spans="1:44" ht="18.75" customHeight="1">
      <c r="A14" s="58"/>
      <c r="B14" s="413" t="str">
        <f>Calcu!T12</f>
        <v/>
      </c>
      <c r="C14" s="414"/>
      <c r="D14" s="414"/>
      <c r="E14" s="414"/>
      <c r="F14" s="415"/>
      <c r="G14" s="413" t="str">
        <f>IF(Calcu!B12=TRUE,Calcu!E12*$H$5,"")</f>
        <v/>
      </c>
      <c r="H14" s="414"/>
      <c r="I14" s="414"/>
      <c r="J14" s="414"/>
      <c r="K14" s="415"/>
      <c r="L14" s="413" t="str">
        <f>IF(Calcu!B12=TRUE,Calcu!F12*H$5,"")</f>
        <v/>
      </c>
      <c r="M14" s="414"/>
      <c r="N14" s="414"/>
      <c r="O14" s="414"/>
      <c r="P14" s="415"/>
      <c r="Q14" s="413" t="str">
        <f>IF(Calcu!B12=TRUE,Calcu!G12*H$5,"")</f>
        <v/>
      </c>
      <c r="R14" s="414"/>
      <c r="S14" s="414"/>
      <c r="T14" s="414"/>
      <c r="U14" s="415"/>
      <c r="V14" s="413" t="str">
        <f>IF(Calcu!B12=TRUE,Calcu!H12*H$5,"")</f>
        <v/>
      </c>
      <c r="W14" s="414"/>
      <c r="X14" s="414"/>
      <c r="Y14" s="414"/>
      <c r="Z14" s="415"/>
      <c r="AA14" s="413" t="str">
        <f>IF(Calcu!B12=TRUE,Calcu!I12*H$5,"")</f>
        <v/>
      </c>
      <c r="AB14" s="414"/>
      <c r="AC14" s="414"/>
      <c r="AD14" s="414"/>
      <c r="AE14" s="415"/>
      <c r="AF14" s="413" t="str">
        <f>Calcu!M12</f>
        <v/>
      </c>
      <c r="AG14" s="414"/>
      <c r="AH14" s="414"/>
      <c r="AI14" s="414"/>
      <c r="AJ14" s="415"/>
      <c r="AK14" s="413" t="str">
        <f>Calcu!K12</f>
        <v/>
      </c>
      <c r="AL14" s="414"/>
      <c r="AM14" s="414"/>
      <c r="AN14" s="414"/>
      <c r="AO14" s="415"/>
    </row>
    <row r="15" spans="1:44" ht="18.75" customHeight="1">
      <c r="A15" s="58"/>
      <c r="B15" s="413" t="str">
        <f>Calcu!T13</f>
        <v/>
      </c>
      <c r="C15" s="414"/>
      <c r="D15" s="414"/>
      <c r="E15" s="414"/>
      <c r="F15" s="415"/>
      <c r="G15" s="413" t="str">
        <f>IF(Calcu!B13=TRUE,Calcu!E13*$H$5,"")</f>
        <v/>
      </c>
      <c r="H15" s="414"/>
      <c r="I15" s="414"/>
      <c r="J15" s="414"/>
      <c r="K15" s="415"/>
      <c r="L15" s="413" t="str">
        <f>IF(Calcu!B13=TRUE,Calcu!F13*H$5,"")</f>
        <v/>
      </c>
      <c r="M15" s="414"/>
      <c r="N15" s="414"/>
      <c r="O15" s="414"/>
      <c r="P15" s="415"/>
      <c r="Q15" s="413" t="str">
        <f>IF(Calcu!B13=TRUE,Calcu!G13*H$5,"")</f>
        <v/>
      </c>
      <c r="R15" s="414"/>
      <c r="S15" s="414"/>
      <c r="T15" s="414"/>
      <c r="U15" s="415"/>
      <c r="V15" s="413" t="str">
        <f>IF(Calcu!B13=TRUE,Calcu!H13*H$5,"")</f>
        <v/>
      </c>
      <c r="W15" s="414"/>
      <c r="X15" s="414"/>
      <c r="Y15" s="414"/>
      <c r="Z15" s="415"/>
      <c r="AA15" s="413" t="str">
        <f>IF(Calcu!B13=TRUE,Calcu!I13*H$5,"")</f>
        <v/>
      </c>
      <c r="AB15" s="414"/>
      <c r="AC15" s="414"/>
      <c r="AD15" s="414"/>
      <c r="AE15" s="415"/>
      <c r="AF15" s="413" t="str">
        <f>Calcu!M13</f>
        <v/>
      </c>
      <c r="AG15" s="414"/>
      <c r="AH15" s="414"/>
      <c r="AI15" s="414"/>
      <c r="AJ15" s="415"/>
      <c r="AK15" s="413" t="str">
        <f>Calcu!K13</f>
        <v/>
      </c>
      <c r="AL15" s="414"/>
      <c r="AM15" s="414"/>
      <c r="AN15" s="414"/>
      <c r="AO15" s="415"/>
    </row>
    <row r="16" spans="1:44" ht="18.75" customHeight="1">
      <c r="A16" s="58"/>
      <c r="B16" s="413" t="str">
        <f>Calcu!T14</f>
        <v/>
      </c>
      <c r="C16" s="414"/>
      <c r="D16" s="414"/>
      <c r="E16" s="414"/>
      <c r="F16" s="415"/>
      <c r="G16" s="413" t="str">
        <f>IF(Calcu!B14=TRUE,Calcu!E14*$H$5,"")</f>
        <v/>
      </c>
      <c r="H16" s="414"/>
      <c r="I16" s="414"/>
      <c r="J16" s="414"/>
      <c r="K16" s="415"/>
      <c r="L16" s="413" t="str">
        <f>IF(Calcu!B14=TRUE,Calcu!F14*H$5,"")</f>
        <v/>
      </c>
      <c r="M16" s="414"/>
      <c r="N16" s="414"/>
      <c r="O16" s="414"/>
      <c r="P16" s="415"/>
      <c r="Q16" s="413" t="str">
        <f>IF(Calcu!B14=TRUE,Calcu!G14*H$5,"")</f>
        <v/>
      </c>
      <c r="R16" s="414"/>
      <c r="S16" s="414"/>
      <c r="T16" s="414"/>
      <c r="U16" s="415"/>
      <c r="V16" s="413" t="str">
        <f>IF(Calcu!B14=TRUE,Calcu!H14*H$5,"")</f>
        <v/>
      </c>
      <c r="W16" s="414"/>
      <c r="X16" s="414"/>
      <c r="Y16" s="414"/>
      <c r="Z16" s="415"/>
      <c r="AA16" s="413" t="str">
        <f>IF(Calcu!B14=TRUE,Calcu!I14*H$5,"")</f>
        <v/>
      </c>
      <c r="AB16" s="414"/>
      <c r="AC16" s="414"/>
      <c r="AD16" s="414"/>
      <c r="AE16" s="415"/>
      <c r="AF16" s="413" t="str">
        <f>Calcu!M14</f>
        <v/>
      </c>
      <c r="AG16" s="414"/>
      <c r="AH16" s="414"/>
      <c r="AI16" s="414"/>
      <c r="AJ16" s="415"/>
      <c r="AK16" s="413" t="str">
        <f>Calcu!K14</f>
        <v/>
      </c>
      <c r="AL16" s="414"/>
      <c r="AM16" s="414"/>
      <c r="AN16" s="414"/>
      <c r="AO16" s="415"/>
    </row>
    <row r="17" spans="1:41" ht="18.75" customHeight="1">
      <c r="A17" s="58"/>
      <c r="B17" s="413" t="str">
        <f>Calcu!T15</f>
        <v/>
      </c>
      <c r="C17" s="414"/>
      <c r="D17" s="414"/>
      <c r="E17" s="414"/>
      <c r="F17" s="415"/>
      <c r="G17" s="413" t="str">
        <f>IF(Calcu!B15=TRUE,Calcu!E15*$H$5,"")</f>
        <v/>
      </c>
      <c r="H17" s="414"/>
      <c r="I17" s="414"/>
      <c r="J17" s="414"/>
      <c r="K17" s="415"/>
      <c r="L17" s="413" t="str">
        <f>IF(Calcu!B15=TRUE,Calcu!F15*H$5,"")</f>
        <v/>
      </c>
      <c r="M17" s="414"/>
      <c r="N17" s="414"/>
      <c r="O17" s="414"/>
      <c r="P17" s="415"/>
      <c r="Q17" s="413" t="str">
        <f>IF(Calcu!B15=TRUE,Calcu!G15*H$5,"")</f>
        <v/>
      </c>
      <c r="R17" s="414"/>
      <c r="S17" s="414"/>
      <c r="T17" s="414"/>
      <c r="U17" s="415"/>
      <c r="V17" s="413" t="str">
        <f>IF(Calcu!B15=TRUE,Calcu!H15*H$5,"")</f>
        <v/>
      </c>
      <c r="W17" s="414"/>
      <c r="X17" s="414"/>
      <c r="Y17" s="414"/>
      <c r="Z17" s="415"/>
      <c r="AA17" s="413" t="str">
        <f>IF(Calcu!B15=TRUE,Calcu!I15*H$5,"")</f>
        <v/>
      </c>
      <c r="AB17" s="414"/>
      <c r="AC17" s="414"/>
      <c r="AD17" s="414"/>
      <c r="AE17" s="415"/>
      <c r="AF17" s="413" t="str">
        <f>Calcu!M15</f>
        <v/>
      </c>
      <c r="AG17" s="414"/>
      <c r="AH17" s="414"/>
      <c r="AI17" s="414"/>
      <c r="AJ17" s="415"/>
      <c r="AK17" s="413" t="str">
        <f>Calcu!K15</f>
        <v/>
      </c>
      <c r="AL17" s="414"/>
      <c r="AM17" s="414"/>
      <c r="AN17" s="414"/>
      <c r="AO17" s="415"/>
    </row>
    <row r="18" spans="1:41" ht="18.75" customHeight="1">
      <c r="A18" s="58"/>
      <c r="B18" s="413" t="str">
        <f>Calcu!T16</f>
        <v/>
      </c>
      <c r="C18" s="414"/>
      <c r="D18" s="414"/>
      <c r="E18" s="414"/>
      <c r="F18" s="415"/>
      <c r="G18" s="413" t="str">
        <f>IF(Calcu!B16=TRUE,Calcu!E16*$H$5,"")</f>
        <v/>
      </c>
      <c r="H18" s="414"/>
      <c r="I18" s="414"/>
      <c r="J18" s="414"/>
      <c r="K18" s="415"/>
      <c r="L18" s="413" t="str">
        <f>IF(Calcu!B16=TRUE,Calcu!F16*H$5,"")</f>
        <v/>
      </c>
      <c r="M18" s="414"/>
      <c r="N18" s="414"/>
      <c r="O18" s="414"/>
      <c r="P18" s="415"/>
      <c r="Q18" s="413" t="str">
        <f>IF(Calcu!B16=TRUE,Calcu!G16*H$5,"")</f>
        <v/>
      </c>
      <c r="R18" s="414"/>
      <c r="S18" s="414"/>
      <c r="T18" s="414"/>
      <c r="U18" s="415"/>
      <c r="V18" s="413" t="str">
        <f>IF(Calcu!B16=TRUE,Calcu!H16*H$5,"")</f>
        <v/>
      </c>
      <c r="W18" s="414"/>
      <c r="X18" s="414"/>
      <c r="Y18" s="414"/>
      <c r="Z18" s="415"/>
      <c r="AA18" s="413" t="str">
        <f>IF(Calcu!B16=TRUE,Calcu!I16*H$5,"")</f>
        <v/>
      </c>
      <c r="AB18" s="414"/>
      <c r="AC18" s="414"/>
      <c r="AD18" s="414"/>
      <c r="AE18" s="415"/>
      <c r="AF18" s="413" t="str">
        <f>Calcu!M16</f>
        <v/>
      </c>
      <c r="AG18" s="414"/>
      <c r="AH18" s="414"/>
      <c r="AI18" s="414"/>
      <c r="AJ18" s="415"/>
      <c r="AK18" s="413" t="str">
        <f>Calcu!K16</f>
        <v/>
      </c>
      <c r="AL18" s="414"/>
      <c r="AM18" s="414"/>
      <c r="AN18" s="414"/>
      <c r="AO18" s="415"/>
    </row>
    <row r="19" spans="1:41" ht="18.75" customHeight="1">
      <c r="A19" s="58"/>
      <c r="B19" s="413" t="str">
        <f>Calcu!T17</f>
        <v/>
      </c>
      <c r="C19" s="414"/>
      <c r="D19" s="414"/>
      <c r="E19" s="414"/>
      <c r="F19" s="415"/>
      <c r="G19" s="413" t="str">
        <f>IF(Calcu!B17=TRUE,Calcu!E17*$H$5,"")</f>
        <v/>
      </c>
      <c r="H19" s="414"/>
      <c r="I19" s="414"/>
      <c r="J19" s="414"/>
      <c r="K19" s="415"/>
      <c r="L19" s="413" t="str">
        <f>IF(Calcu!B17=TRUE,Calcu!F17*H$5,"")</f>
        <v/>
      </c>
      <c r="M19" s="414"/>
      <c r="N19" s="414"/>
      <c r="O19" s="414"/>
      <c r="P19" s="415"/>
      <c r="Q19" s="413" t="str">
        <f>IF(Calcu!B17=TRUE,Calcu!G17*H$5,"")</f>
        <v/>
      </c>
      <c r="R19" s="414"/>
      <c r="S19" s="414"/>
      <c r="T19" s="414"/>
      <c r="U19" s="415"/>
      <c r="V19" s="413" t="str">
        <f>IF(Calcu!B17=TRUE,Calcu!H17*H$5,"")</f>
        <v/>
      </c>
      <c r="W19" s="414"/>
      <c r="X19" s="414"/>
      <c r="Y19" s="414"/>
      <c r="Z19" s="415"/>
      <c r="AA19" s="413" t="str">
        <f>IF(Calcu!B17=TRUE,Calcu!I17*H$5,"")</f>
        <v/>
      </c>
      <c r="AB19" s="414"/>
      <c r="AC19" s="414"/>
      <c r="AD19" s="414"/>
      <c r="AE19" s="415"/>
      <c r="AF19" s="413" t="str">
        <f>Calcu!M17</f>
        <v/>
      </c>
      <c r="AG19" s="414"/>
      <c r="AH19" s="414"/>
      <c r="AI19" s="414"/>
      <c r="AJ19" s="415"/>
      <c r="AK19" s="413" t="str">
        <f>Calcu!K17</f>
        <v/>
      </c>
      <c r="AL19" s="414"/>
      <c r="AM19" s="414"/>
      <c r="AN19" s="414"/>
      <c r="AO19" s="415"/>
    </row>
    <row r="20" spans="1:41" ht="18.75" customHeight="1">
      <c r="A20" s="58"/>
      <c r="B20" s="413" t="str">
        <f>Calcu!T18</f>
        <v/>
      </c>
      <c r="C20" s="414"/>
      <c r="D20" s="414"/>
      <c r="E20" s="414"/>
      <c r="F20" s="415"/>
      <c r="G20" s="413" t="str">
        <f>IF(Calcu!B18=TRUE,Calcu!E18*$H$5,"")</f>
        <v/>
      </c>
      <c r="H20" s="414"/>
      <c r="I20" s="414"/>
      <c r="J20" s="414"/>
      <c r="K20" s="415"/>
      <c r="L20" s="413" t="str">
        <f>IF(Calcu!B18=TRUE,Calcu!F18*H$5,"")</f>
        <v/>
      </c>
      <c r="M20" s="414"/>
      <c r="N20" s="414"/>
      <c r="O20" s="414"/>
      <c r="P20" s="415"/>
      <c r="Q20" s="413" t="str">
        <f>IF(Calcu!B18=TRUE,Calcu!G18*H$5,"")</f>
        <v/>
      </c>
      <c r="R20" s="414"/>
      <c r="S20" s="414"/>
      <c r="T20" s="414"/>
      <c r="U20" s="415"/>
      <c r="V20" s="413" t="str">
        <f>IF(Calcu!B18=TRUE,Calcu!H18*H$5,"")</f>
        <v/>
      </c>
      <c r="W20" s="414"/>
      <c r="X20" s="414"/>
      <c r="Y20" s="414"/>
      <c r="Z20" s="415"/>
      <c r="AA20" s="413" t="str">
        <f>IF(Calcu!B18=TRUE,Calcu!I18*H$5,"")</f>
        <v/>
      </c>
      <c r="AB20" s="414"/>
      <c r="AC20" s="414"/>
      <c r="AD20" s="414"/>
      <c r="AE20" s="415"/>
      <c r="AF20" s="413" t="str">
        <f>Calcu!M18</f>
        <v/>
      </c>
      <c r="AG20" s="414"/>
      <c r="AH20" s="414"/>
      <c r="AI20" s="414"/>
      <c r="AJ20" s="415"/>
      <c r="AK20" s="413" t="str">
        <f>Calcu!K18</f>
        <v/>
      </c>
      <c r="AL20" s="414"/>
      <c r="AM20" s="414"/>
      <c r="AN20" s="414"/>
      <c r="AO20" s="415"/>
    </row>
    <row r="21" spans="1:41" ht="18.75" customHeight="1">
      <c r="A21" s="58"/>
      <c r="B21" s="413" t="str">
        <f>Calcu!T19</f>
        <v/>
      </c>
      <c r="C21" s="414"/>
      <c r="D21" s="414"/>
      <c r="E21" s="414"/>
      <c r="F21" s="415"/>
      <c r="G21" s="413" t="str">
        <f>IF(Calcu!B19=TRUE,Calcu!E19*$H$5,"")</f>
        <v/>
      </c>
      <c r="H21" s="414"/>
      <c r="I21" s="414"/>
      <c r="J21" s="414"/>
      <c r="K21" s="415"/>
      <c r="L21" s="413" t="str">
        <f>IF(Calcu!B19=TRUE,Calcu!F19*H$5,"")</f>
        <v/>
      </c>
      <c r="M21" s="414"/>
      <c r="N21" s="414"/>
      <c r="O21" s="414"/>
      <c r="P21" s="415"/>
      <c r="Q21" s="413" t="str">
        <f>IF(Calcu!B19=TRUE,Calcu!G19*H$5,"")</f>
        <v/>
      </c>
      <c r="R21" s="414"/>
      <c r="S21" s="414"/>
      <c r="T21" s="414"/>
      <c r="U21" s="415"/>
      <c r="V21" s="413" t="str">
        <f>IF(Calcu!B19=TRUE,Calcu!H19*H$5,"")</f>
        <v/>
      </c>
      <c r="W21" s="414"/>
      <c r="X21" s="414"/>
      <c r="Y21" s="414"/>
      <c r="Z21" s="415"/>
      <c r="AA21" s="413" t="str">
        <f>IF(Calcu!B19=TRUE,Calcu!I19*H$5,"")</f>
        <v/>
      </c>
      <c r="AB21" s="414"/>
      <c r="AC21" s="414"/>
      <c r="AD21" s="414"/>
      <c r="AE21" s="415"/>
      <c r="AF21" s="413" t="str">
        <f>Calcu!M19</f>
        <v/>
      </c>
      <c r="AG21" s="414"/>
      <c r="AH21" s="414"/>
      <c r="AI21" s="414"/>
      <c r="AJ21" s="415"/>
      <c r="AK21" s="413" t="str">
        <f>Calcu!K19</f>
        <v/>
      </c>
      <c r="AL21" s="414"/>
      <c r="AM21" s="414"/>
      <c r="AN21" s="414"/>
      <c r="AO21" s="415"/>
    </row>
    <row r="22" spans="1:41" ht="18.75" customHeight="1">
      <c r="A22" s="58"/>
      <c r="B22" s="413" t="str">
        <f>Calcu!T20</f>
        <v/>
      </c>
      <c r="C22" s="414"/>
      <c r="D22" s="414"/>
      <c r="E22" s="414"/>
      <c r="F22" s="415"/>
      <c r="G22" s="413" t="str">
        <f>IF(Calcu!B20=TRUE,Calcu!E20*$H$5,"")</f>
        <v/>
      </c>
      <c r="H22" s="414"/>
      <c r="I22" s="414"/>
      <c r="J22" s="414"/>
      <c r="K22" s="415"/>
      <c r="L22" s="413" t="str">
        <f>IF(Calcu!B20=TRUE,Calcu!F20*H$5,"")</f>
        <v/>
      </c>
      <c r="M22" s="414"/>
      <c r="N22" s="414"/>
      <c r="O22" s="414"/>
      <c r="P22" s="415"/>
      <c r="Q22" s="413" t="str">
        <f>IF(Calcu!B20=TRUE,Calcu!G20*H$5,"")</f>
        <v/>
      </c>
      <c r="R22" s="414"/>
      <c r="S22" s="414"/>
      <c r="T22" s="414"/>
      <c r="U22" s="415"/>
      <c r="V22" s="413" t="str">
        <f>IF(Calcu!B20=TRUE,Calcu!H20*H$5,"")</f>
        <v/>
      </c>
      <c r="W22" s="414"/>
      <c r="X22" s="414"/>
      <c r="Y22" s="414"/>
      <c r="Z22" s="415"/>
      <c r="AA22" s="413" t="str">
        <f>IF(Calcu!B20=TRUE,Calcu!I20*H$5,"")</f>
        <v/>
      </c>
      <c r="AB22" s="414"/>
      <c r="AC22" s="414"/>
      <c r="AD22" s="414"/>
      <c r="AE22" s="415"/>
      <c r="AF22" s="413" t="str">
        <f>Calcu!M20</f>
        <v/>
      </c>
      <c r="AG22" s="414"/>
      <c r="AH22" s="414"/>
      <c r="AI22" s="414"/>
      <c r="AJ22" s="415"/>
      <c r="AK22" s="413" t="str">
        <f>Calcu!K20</f>
        <v/>
      </c>
      <c r="AL22" s="414"/>
      <c r="AM22" s="414"/>
      <c r="AN22" s="414"/>
      <c r="AO22" s="415"/>
    </row>
    <row r="23" spans="1:41" ht="18.75" customHeight="1">
      <c r="A23" s="58"/>
      <c r="B23" s="413" t="str">
        <f>Calcu!T21</f>
        <v/>
      </c>
      <c r="C23" s="414"/>
      <c r="D23" s="414"/>
      <c r="E23" s="414"/>
      <c r="F23" s="415"/>
      <c r="G23" s="413" t="str">
        <f>IF(Calcu!B21=TRUE,Calcu!E21*$H$5,"")</f>
        <v/>
      </c>
      <c r="H23" s="414"/>
      <c r="I23" s="414"/>
      <c r="J23" s="414"/>
      <c r="K23" s="415"/>
      <c r="L23" s="413" t="str">
        <f>IF(Calcu!B21=TRUE,Calcu!F21*H$5,"")</f>
        <v/>
      </c>
      <c r="M23" s="414"/>
      <c r="N23" s="414"/>
      <c r="O23" s="414"/>
      <c r="P23" s="415"/>
      <c r="Q23" s="413" t="str">
        <f>IF(Calcu!B21=TRUE,Calcu!G21*H$5,"")</f>
        <v/>
      </c>
      <c r="R23" s="414"/>
      <c r="S23" s="414"/>
      <c r="T23" s="414"/>
      <c r="U23" s="415"/>
      <c r="V23" s="413" t="str">
        <f>IF(Calcu!B21=TRUE,Calcu!H21*H$5,"")</f>
        <v/>
      </c>
      <c r="W23" s="414"/>
      <c r="X23" s="414"/>
      <c r="Y23" s="414"/>
      <c r="Z23" s="415"/>
      <c r="AA23" s="413" t="str">
        <f>IF(Calcu!B21=TRUE,Calcu!I21*H$5,"")</f>
        <v/>
      </c>
      <c r="AB23" s="414"/>
      <c r="AC23" s="414"/>
      <c r="AD23" s="414"/>
      <c r="AE23" s="415"/>
      <c r="AF23" s="413" t="str">
        <f>Calcu!M21</f>
        <v/>
      </c>
      <c r="AG23" s="414"/>
      <c r="AH23" s="414"/>
      <c r="AI23" s="414"/>
      <c r="AJ23" s="415"/>
      <c r="AK23" s="413" t="str">
        <f>Calcu!K21</f>
        <v/>
      </c>
      <c r="AL23" s="414"/>
      <c r="AM23" s="414"/>
      <c r="AN23" s="414"/>
      <c r="AO23" s="415"/>
    </row>
    <row r="24" spans="1:41" ht="18.75" customHeight="1">
      <c r="A24" s="58"/>
      <c r="B24" s="413" t="str">
        <f>Calcu!T22</f>
        <v/>
      </c>
      <c r="C24" s="414"/>
      <c r="D24" s="414"/>
      <c r="E24" s="414"/>
      <c r="F24" s="415"/>
      <c r="G24" s="413" t="str">
        <f>IF(Calcu!B22=TRUE,Calcu!E22*$H$5,"")</f>
        <v/>
      </c>
      <c r="H24" s="414"/>
      <c r="I24" s="414"/>
      <c r="J24" s="414"/>
      <c r="K24" s="415"/>
      <c r="L24" s="413" t="str">
        <f>IF(Calcu!B22=TRUE,Calcu!F22*H$5,"")</f>
        <v/>
      </c>
      <c r="M24" s="414"/>
      <c r="N24" s="414"/>
      <c r="O24" s="414"/>
      <c r="P24" s="415"/>
      <c r="Q24" s="413" t="str">
        <f>IF(Calcu!B22=TRUE,Calcu!G22*H$5,"")</f>
        <v/>
      </c>
      <c r="R24" s="414"/>
      <c r="S24" s="414"/>
      <c r="T24" s="414"/>
      <c r="U24" s="415"/>
      <c r="V24" s="413" t="str">
        <f>IF(Calcu!B22=TRUE,Calcu!H22*H$5,"")</f>
        <v/>
      </c>
      <c r="W24" s="414"/>
      <c r="X24" s="414"/>
      <c r="Y24" s="414"/>
      <c r="Z24" s="415"/>
      <c r="AA24" s="413" t="str">
        <f>IF(Calcu!B22=TRUE,Calcu!I22*H$5,"")</f>
        <v/>
      </c>
      <c r="AB24" s="414"/>
      <c r="AC24" s="414"/>
      <c r="AD24" s="414"/>
      <c r="AE24" s="415"/>
      <c r="AF24" s="413" t="str">
        <f>Calcu!M22</f>
        <v/>
      </c>
      <c r="AG24" s="414"/>
      <c r="AH24" s="414"/>
      <c r="AI24" s="414"/>
      <c r="AJ24" s="415"/>
      <c r="AK24" s="413" t="str">
        <f>Calcu!K22</f>
        <v/>
      </c>
      <c r="AL24" s="414"/>
      <c r="AM24" s="414"/>
      <c r="AN24" s="414"/>
      <c r="AO24" s="415"/>
    </row>
    <row r="25" spans="1:41" ht="18.75" customHeight="1">
      <c r="A25" s="58"/>
      <c r="B25" s="413" t="str">
        <f>Calcu!T23</f>
        <v/>
      </c>
      <c r="C25" s="414"/>
      <c r="D25" s="414"/>
      <c r="E25" s="414"/>
      <c r="F25" s="415"/>
      <c r="G25" s="413" t="str">
        <f>IF(Calcu!B23=TRUE,Calcu!E23*$H$5,"")</f>
        <v/>
      </c>
      <c r="H25" s="414"/>
      <c r="I25" s="414"/>
      <c r="J25" s="414"/>
      <c r="K25" s="415"/>
      <c r="L25" s="413" t="str">
        <f>IF(Calcu!B23=TRUE,Calcu!F23*H$5,"")</f>
        <v/>
      </c>
      <c r="M25" s="414"/>
      <c r="N25" s="414"/>
      <c r="O25" s="414"/>
      <c r="P25" s="415"/>
      <c r="Q25" s="413" t="str">
        <f>IF(Calcu!B23=TRUE,Calcu!G23*H$5,"")</f>
        <v/>
      </c>
      <c r="R25" s="414"/>
      <c r="S25" s="414"/>
      <c r="T25" s="414"/>
      <c r="U25" s="415"/>
      <c r="V25" s="413" t="str">
        <f>IF(Calcu!B23=TRUE,Calcu!H23*H$5,"")</f>
        <v/>
      </c>
      <c r="W25" s="414"/>
      <c r="X25" s="414"/>
      <c r="Y25" s="414"/>
      <c r="Z25" s="415"/>
      <c r="AA25" s="413" t="str">
        <f>IF(Calcu!B23=TRUE,Calcu!I23*H$5,"")</f>
        <v/>
      </c>
      <c r="AB25" s="414"/>
      <c r="AC25" s="414"/>
      <c r="AD25" s="414"/>
      <c r="AE25" s="415"/>
      <c r="AF25" s="413" t="str">
        <f>Calcu!M23</f>
        <v/>
      </c>
      <c r="AG25" s="414"/>
      <c r="AH25" s="414"/>
      <c r="AI25" s="414"/>
      <c r="AJ25" s="415"/>
      <c r="AK25" s="413" t="str">
        <f>Calcu!K23</f>
        <v/>
      </c>
      <c r="AL25" s="414"/>
      <c r="AM25" s="414"/>
      <c r="AN25" s="414"/>
      <c r="AO25" s="415"/>
    </row>
    <row r="26" spans="1:41" ht="18.75" customHeight="1">
      <c r="A26" s="58"/>
      <c r="B26" s="413" t="str">
        <f>Calcu!T24</f>
        <v/>
      </c>
      <c r="C26" s="414"/>
      <c r="D26" s="414"/>
      <c r="E26" s="414"/>
      <c r="F26" s="415"/>
      <c r="G26" s="413" t="str">
        <f>IF(Calcu!B24=TRUE,Calcu!E24*$H$5,"")</f>
        <v/>
      </c>
      <c r="H26" s="414"/>
      <c r="I26" s="414"/>
      <c r="J26" s="414"/>
      <c r="K26" s="415"/>
      <c r="L26" s="413" t="str">
        <f>IF(Calcu!B24=TRUE,Calcu!F24*H$5,"")</f>
        <v/>
      </c>
      <c r="M26" s="414"/>
      <c r="N26" s="414"/>
      <c r="O26" s="414"/>
      <c r="P26" s="415"/>
      <c r="Q26" s="413" t="str">
        <f>IF(Calcu!B24=TRUE,Calcu!G24*H$5,"")</f>
        <v/>
      </c>
      <c r="R26" s="414"/>
      <c r="S26" s="414"/>
      <c r="T26" s="414"/>
      <c r="U26" s="415"/>
      <c r="V26" s="413" t="str">
        <f>IF(Calcu!B24=TRUE,Calcu!H24*H$5,"")</f>
        <v/>
      </c>
      <c r="W26" s="414"/>
      <c r="X26" s="414"/>
      <c r="Y26" s="414"/>
      <c r="Z26" s="415"/>
      <c r="AA26" s="413" t="str">
        <f>IF(Calcu!B24=TRUE,Calcu!I24*H$5,"")</f>
        <v/>
      </c>
      <c r="AB26" s="414"/>
      <c r="AC26" s="414"/>
      <c r="AD26" s="414"/>
      <c r="AE26" s="415"/>
      <c r="AF26" s="413" t="str">
        <f>Calcu!M24</f>
        <v/>
      </c>
      <c r="AG26" s="414"/>
      <c r="AH26" s="414"/>
      <c r="AI26" s="414"/>
      <c r="AJ26" s="415"/>
      <c r="AK26" s="413" t="str">
        <f>Calcu!K24</f>
        <v/>
      </c>
      <c r="AL26" s="414"/>
      <c r="AM26" s="414"/>
      <c r="AN26" s="414"/>
      <c r="AO26" s="415"/>
    </row>
    <row r="27" spans="1:41" ht="18.75" customHeight="1">
      <c r="A27" s="58"/>
      <c r="B27" s="413" t="str">
        <f>Calcu!T25</f>
        <v/>
      </c>
      <c r="C27" s="414"/>
      <c r="D27" s="414"/>
      <c r="E27" s="414"/>
      <c r="F27" s="415"/>
      <c r="G27" s="413" t="str">
        <f>IF(Calcu!B25=TRUE,Calcu!E25*$H$5,"")</f>
        <v/>
      </c>
      <c r="H27" s="414"/>
      <c r="I27" s="414"/>
      <c r="J27" s="414"/>
      <c r="K27" s="415"/>
      <c r="L27" s="413" t="str">
        <f>IF(Calcu!B25=TRUE,Calcu!F25*H$5,"")</f>
        <v/>
      </c>
      <c r="M27" s="414"/>
      <c r="N27" s="414"/>
      <c r="O27" s="414"/>
      <c r="P27" s="415"/>
      <c r="Q27" s="413" t="str">
        <f>IF(Calcu!B25=TRUE,Calcu!G25*H$5,"")</f>
        <v/>
      </c>
      <c r="R27" s="414"/>
      <c r="S27" s="414"/>
      <c r="T27" s="414"/>
      <c r="U27" s="415"/>
      <c r="V27" s="413" t="str">
        <f>IF(Calcu!B25=TRUE,Calcu!H25*H$5,"")</f>
        <v/>
      </c>
      <c r="W27" s="414"/>
      <c r="X27" s="414"/>
      <c r="Y27" s="414"/>
      <c r="Z27" s="415"/>
      <c r="AA27" s="413" t="str">
        <f>IF(Calcu!B25=TRUE,Calcu!I25*H$5,"")</f>
        <v/>
      </c>
      <c r="AB27" s="414"/>
      <c r="AC27" s="414"/>
      <c r="AD27" s="414"/>
      <c r="AE27" s="415"/>
      <c r="AF27" s="413" t="str">
        <f>Calcu!M25</f>
        <v/>
      </c>
      <c r="AG27" s="414"/>
      <c r="AH27" s="414"/>
      <c r="AI27" s="414"/>
      <c r="AJ27" s="415"/>
      <c r="AK27" s="413" t="str">
        <f>Calcu!K25</f>
        <v/>
      </c>
      <c r="AL27" s="414"/>
      <c r="AM27" s="414"/>
      <c r="AN27" s="414"/>
      <c r="AO27" s="415"/>
    </row>
    <row r="28" spans="1:41" ht="18.75" customHeight="1">
      <c r="A28" s="58"/>
      <c r="B28" s="413" t="str">
        <f>Calcu!T26</f>
        <v/>
      </c>
      <c r="C28" s="414"/>
      <c r="D28" s="414"/>
      <c r="E28" s="414"/>
      <c r="F28" s="415"/>
      <c r="G28" s="413" t="str">
        <f>IF(Calcu!B26=TRUE,Calcu!E26*$H$5,"")</f>
        <v/>
      </c>
      <c r="H28" s="414"/>
      <c r="I28" s="414"/>
      <c r="J28" s="414"/>
      <c r="K28" s="415"/>
      <c r="L28" s="413" t="str">
        <f>IF(Calcu!B26=TRUE,Calcu!F26*H$5,"")</f>
        <v/>
      </c>
      <c r="M28" s="414"/>
      <c r="N28" s="414"/>
      <c r="O28" s="414"/>
      <c r="P28" s="415"/>
      <c r="Q28" s="413" t="str">
        <f>IF(Calcu!B26=TRUE,Calcu!G26*H$5,"")</f>
        <v/>
      </c>
      <c r="R28" s="414"/>
      <c r="S28" s="414"/>
      <c r="T28" s="414"/>
      <c r="U28" s="415"/>
      <c r="V28" s="413" t="str">
        <f>IF(Calcu!B26=TRUE,Calcu!H26*H$5,"")</f>
        <v/>
      </c>
      <c r="W28" s="414"/>
      <c r="X28" s="414"/>
      <c r="Y28" s="414"/>
      <c r="Z28" s="415"/>
      <c r="AA28" s="413" t="str">
        <f>IF(Calcu!B26=TRUE,Calcu!I26*H$5,"")</f>
        <v/>
      </c>
      <c r="AB28" s="414"/>
      <c r="AC28" s="414"/>
      <c r="AD28" s="414"/>
      <c r="AE28" s="415"/>
      <c r="AF28" s="413" t="str">
        <f>Calcu!M26</f>
        <v/>
      </c>
      <c r="AG28" s="414"/>
      <c r="AH28" s="414"/>
      <c r="AI28" s="414"/>
      <c r="AJ28" s="415"/>
      <c r="AK28" s="413" t="str">
        <f>Calcu!K26</f>
        <v/>
      </c>
      <c r="AL28" s="414"/>
      <c r="AM28" s="414"/>
      <c r="AN28" s="414"/>
      <c r="AO28" s="415"/>
    </row>
    <row r="29" spans="1:41" ht="18.75" customHeight="1">
      <c r="A29" s="58"/>
      <c r="B29" s="413" t="str">
        <f>Calcu!T27</f>
        <v/>
      </c>
      <c r="C29" s="414"/>
      <c r="D29" s="414"/>
      <c r="E29" s="414"/>
      <c r="F29" s="415"/>
      <c r="G29" s="413" t="str">
        <f>IF(Calcu!B27=TRUE,Calcu!E27*$H$5,"")</f>
        <v/>
      </c>
      <c r="H29" s="414"/>
      <c r="I29" s="414"/>
      <c r="J29" s="414"/>
      <c r="K29" s="415"/>
      <c r="L29" s="413" t="str">
        <f>IF(Calcu!B27=TRUE,Calcu!F27*H$5,"")</f>
        <v/>
      </c>
      <c r="M29" s="414"/>
      <c r="N29" s="414"/>
      <c r="O29" s="414"/>
      <c r="P29" s="415"/>
      <c r="Q29" s="413" t="str">
        <f>IF(Calcu!B27=TRUE,Calcu!G27*H$5,"")</f>
        <v/>
      </c>
      <c r="R29" s="414"/>
      <c r="S29" s="414"/>
      <c r="T29" s="414"/>
      <c r="U29" s="415"/>
      <c r="V29" s="413" t="str">
        <f>IF(Calcu!B27=TRUE,Calcu!H27*H$5,"")</f>
        <v/>
      </c>
      <c r="W29" s="414"/>
      <c r="X29" s="414"/>
      <c r="Y29" s="414"/>
      <c r="Z29" s="415"/>
      <c r="AA29" s="413" t="str">
        <f>IF(Calcu!B27=TRUE,Calcu!I27*H$5,"")</f>
        <v/>
      </c>
      <c r="AB29" s="414"/>
      <c r="AC29" s="414"/>
      <c r="AD29" s="414"/>
      <c r="AE29" s="415"/>
      <c r="AF29" s="413" t="str">
        <f>Calcu!M27</f>
        <v/>
      </c>
      <c r="AG29" s="414"/>
      <c r="AH29" s="414"/>
      <c r="AI29" s="414"/>
      <c r="AJ29" s="415"/>
      <c r="AK29" s="413" t="str">
        <f>Calcu!K27</f>
        <v/>
      </c>
      <c r="AL29" s="414"/>
      <c r="AM29" s="414"/>
      <c r="AN29" s="414"/>
      <c r="AO29" s="415"/>
    </row>
    <row r="30" spans="1:41" ht="18.75" customHeight="1">
      <c r="A30" s="58"/>
      <c r="B30" s="413" t="str">
        <f>Calcu!T28</f>
        <v/>
      </c>
      <c r="C30" s="414"/>
      <c r="D30" s="414"/>
      <c r="E30" s="414"/>
      <c r="F30" s="415"/>
      <c r="G30" s="413" t="str">
        <f>IF(Calcu!B28=TRUE,Calcu!E28*$H$5,"")</f>
        <v/>
      </c>
      <c r="H30" s="414"/>
      <c r="I30" s="414"/>
      <c r="J30" s="414"/>
      <c r="K30" s="415"/>
      <c r="L30" s="413" t="str">
        <f>IF(Calcu!B28=TRUE,Calcu!F28*H$5,"")</f>
        <v/>
      </c>
      <c r="M30" s="414"/>
      <c r="N30" s="414"/>
      <c r="O30" s="414"/>
      <c r="P30" s="415"/>
      <c r="Q30" s="413" t="str">
        <f>IF(Calcu!B28=TRUE,Calcu!G28*H$5,"")</f>
        <v/>
      </c>
      <c r="R30" s="414"/>
      <c r="S30" s="414"/>
      <c r="T30" s="414"/>
      <c r="U30" s="415"/>
      <c r="V30" s="413" t="str">
        <f>IF(Calcu!B28=TRUE,Calcu!H28*H$5,"")</f>
        <v/>
      </c>
      <c r="W30" s="414"/>
      <c r="X30" s="414"/>
      <c r="Y30" s="414"/>
      <c r="Z30" s="415"/>
      <c r="AA30" s="413" t="str">
        <f>IF(Calcu!B28=TRUE,Calcu!I28*H$5,"")</f>
        <v/>
      </c>
      <c r="AB30" s="414"/>
      <c r="AC30" s="414"/>
      <c r="AD30" s="414"/>
      <c r="AE30" s="415"/>
      <c r="AF30" s="413" t="str">
        <f>Calcu!M28</f>
        <v/>
      </c>
      <c r="AG30" s="414"/>
      <c r="AH30" s="414"/>
      <c r="AI30" s="414"/>
      <c r="AJ30" s="415"/>
      <c r="AK30" s="413" t="str">
        <f>Calcu!K28</f>
        <v/>
      </c>
      <c r="AL30" s="414"/>
      <c r="AM30" s="414"/>
      <c r="AN30" s="414"/>
      <c r="AO30" s="415"/>
    </row>
    <row r="31" spans="1:41" ht="18.75" customHeight="1">
      <c r="A31" s="58"/>
      <c r="B31" s="413" t="str">
        <f>Calcu!T29</f>
        <v/>
      </c>
      <c r="C31" s="414"/>
      <c r="D31" s="414"/>
      <c r="E31" s="414"/>
      <c r="F31" s="415"/>
      <c r="G31" s="413" t="str">
        <f>IF(Calcu!B29=TRUE,Calcu!E29*$H$5,"")</f>
        <v/>
      </c>
      <c r="H31" s="414"/>
      <c r="I31" s="414"/>
      <c r="J31" s="414"/>
      <c r="K31" s="415"/>
      <c r="L31" s="413" t="str">
        <f>IF(Calcu!B29=TRUE,Calcu!F29*H$5,"")</f>
        <v/>
      </c>
      <c r="M31" s="414"/>
      <c r="N31" s="414"/>
      <c r="O31" s="414"/>
      <c r="P31" s="415"/>
      <c r="Q31" s="413" t="str">
        <f>IF(Calcu!B29=TRUE,Calcu!G29*H$5,"")</f>
        <v/>
      </c>
      <c r="R31" s="414"/>
      <c r="S31" s="414"/>
      <c r="T31" s="414"/>
      <c r="U31" s="415"/>
      <c r="V31" s="413" t="str">
        <f>IF(Calcu!B29=TRUE,Calcu!H29*H$5,"")</f>
        <v/>
      </c>
      <c r="W31" s="414"/>
      <c r="X31" s="414"/>
      <c r="Y31" s="414"/>
      <c r="Z31" s="415"/>
      <c r="AA31" s="413" t="str">
        <f>IF(Calcu!B29=TRUE,Calcu!I29*H$5,"")</f>
        <v/>
      </c>
      <c r="AB31" s="414"/>
      <c r="AC31" s="414"/>
      <c r="AD31" s="414"/>
      <c r="AE31" s="415"/>
      <c r="AF31" s="413" t="str">
        <f>Calcu!M29</f>
        <v/>
      </c>
      <c r="AG31" s="414"/>
      <c r="AH31" s="414"/>
      <c r="AI31" s="414"/>
      <c r="AJ31" s="415"/>
      <c r="AK31" s="413" t="str">
        <f>Calcu!K29</f>
        <v/>
      </c>
      <c r="AL31" s="414"/>
      <c r="AM31" s="414"/>
      <c r="AN31" s="414"/>
      <c r="AO31" s="415"/>
    </row>
    <row r="32" spans="1:41" ht="18.75" customHeight="1">
      <c r="A32" s="58"/>
      <c r="B32" s="413" t="str">
        <f>Calcu!T30</f>
        <v/>
      </c>
      <c r="C32" s="414"/>
      <c r="D32" s="414"/>
      <c r="E32" s="414"/>
      <c r="F32" s="415"/>
      <c r="G32" s="413" t="str">
        <f>IF(Calcu!B30=TRUE,Calcu!E30*$H$5,"")</f>
        <v/>
      </c>
      <c r="H32" s="414"/>
      <c r="I32" s="414"/>
      <c r="J32" s="414"/>
      <c r="K32" s="415"/>
      <c r="L32" s="413" t="str">
        <f>IF(Calcu!B30=TRUE,Calcu!F30*H$5,"")</f>
        <v/>
      </c>
      <c r="M32" s="414"/>
      <c r="N32" s="414"/>
      <c r="O32" s="414"/>
      <c r="P32" s="415"/>
      <c r="Q32" s="413" t="str">
        <f>IF(Calcu!B30=TRUE,Calcu!G30*H$5,"")</f>
        <v/>
      </c>
      <c r="R32" s="414"/>
      <c r="S32" s="414"/>
      <c r="T32" s="414"/>
      <c r="U32" s="415"/>
      <c r="V32" s="413" t="str">
        <f>IF(Calcu!B30=TRUE,Calcu!H30*H$5,"")</f>
        <v/>
      </c>
      <c r="W32" s="414"/>
      <c r="X32" s="414"/>
      <c r="Y32" s="414"/>
      <c r="Z32" s="415"/>
      <c r="AA32" s="413" t="str">
        <f>IF(Calcu!B30=TRUE,Calcu!I30*H$5,"")</f>
        <v/>
      </c>
      <c r="AB32" s="414"/>
      <c r="AC32" s="414"/>
      <c r="AD32" s="414"/>
      <c r="AE32" s="415"/>
      <c r="AF32" s="413" t="str">
        <f>Calcu!M30</f>
        <v/>
      </c>
      <c r="AG32" s="414"/>
      <c r="AH32" s="414"/>
      <c r="AI32" s="414"/>
      <c r="AJ32" s="415"/>
      <c r="AK32" s="413" t="str">
        <f>Calcu!K30</f>
        <v/>
      </c>
      <c r="AL32" s="414"/>
      <c r="AM32" s="414"/>
      <c r="AN32" s="414"/>
      <c r="AO32" s="415"/>
    </row>
    <row r="33" spans="1:41" ht="18.75" customHeight="1">
      <c r="A33" s="58"/>
      <c r="B33" s="413" t="str">
        <f>Calcu!T31</f>
        <v/>
      </c>
      <c r="C33" s="414"/>
      <c r="D33" s="414"/>
      <c r="E33" s="414"/>
      <c r="F33" s="415"/>
      <c r="G33" s="413" t="str">
        <f>IF(Calcu!B31=TRUE,Calcu!E31*$H$5,"")</f>
        <v/>
      </c>
      <c r="H33" s="414"/>
      <c r="I33" s="414"/>
      <c r="J33" s="414"/>
      <c r="K33" s="415"/>
      <c r="L33" s="413" t="str">
        <f>IF(Calcu!B31=TRUE,Calcu!F31*H$5,"")</f>
        <v/>
      </c>
      <c r="M33" s="414"/>
      <c r="N33" s="414"/>
      <c r="O33" s="414"/>
      <c r="P33" s="415"/>
      <c r="Q33" s="413" t="str">
        <f>IF(Calcu!B31=TRUE,Calcu!G31*H$5,"")</f>
        <v/>
      </c>
      <c r="R33" s="414"/>
      <c r="S33" s="414"/>
      <c r="T33" s="414"/>
      <c r="U33" s="415"/>
      <c r="V33" s="413" t="str">
        <f>IF(Calcu!B31=TRUE,Calcu!H31*H$5,"")</f>
        <v/>
      </c>
      <c r="W33" s="414"/>
      <c r="X33" s="414"/>
      <c r="Y33" s="414"/>
      <c r="Z33" s="415"/>
      <c r="AA33" s="413" t="str">
        <f>IF(Calcu!B31=TRUE,Calcu!I31*H$5,"")</f>
        <v/>
      </c>
      <c r="AB33" s="414"/>
      <c r="AC33" s="414"/>
      <c r="AD33" s="414"/>
      <c r="AE33" s="415"/>
      <c r="AF33" s="413" t="str">
        <f>Calcu!M31</f>
        <v/>
      </c>
      <c r="AG33" s="414"/>
      <c r="AH33" s="414"/>
      <c r="AI33" s="414"/>
      <c r="AJ33" s="415"/>
      <c r="AK33" s="413" t="str">
        <f>Calcu!K31</f>
        <v/>
      </c>
      <c r="AL33" s="414"/>
      <c r="AM33" s="414"/>
      <c r="AN33" s="414"/>
      <c r="AO33" s="415"/>
    </row>
    <row r="34" spans="1:41" ht="18.75" customHeight="1">
      <c r="A34" s="58"/>
      <c r="B34" s="413" t="str">
        <f>Calcu!T32</f>
        <v/>
      </c>
      <c r="C34" s="414"/>
      <c r="D34" s="414"/>
      <c r="E34" s="414"/>
      <c r="F34" s="415"/>
      <c r="G34" s="413" t="str">
        <f>IF(Calcu!B32=TRUE,Calcu!E32*$H$5,"")</f>
        <v/>
      </c>
      <c r="H34" s="414"/>
      <c r="I34" s="414"/>
      <c r="J34" s="414"/>
      <c r="K34" s="415"/>
      <c r="L34" s="413" t="str">
        <f>IF(Calcu!B32=TRUE,Calcu!F32*H$5,"")</f>
        <v/>
      </c>
      <c r="M34" s="414"/>
      <c r="N34" s="414"/>
      <c r="O34" s="414"/>
      <c r="P34" s="415"/>
      <c r="Q34" s="413" t="str">
        <f>IF(Calcu!B32=TRUE,Calcu!G32*H$5,"")</f>
        <v/>
      </c>
      <c r="R34" s="414"/>
      <c r="S34" s="414"/>
      <c r="T34" s="414"/>
      <c r="U34" s="415"/>
      <c r="V34" s="413" t="str">
        <f>IF(Calcu!B32=TRUE,Calcu!H32*H$5,"")</f>
        <v/>
      </c>
      <c r="W34" s="414"/>
      <c r="X34" s="414"/>
      <c r="Y34" s="414"/>
      <c r="Z34" s="415"/>
      <c r="AA34" s="413" t="str">
        <f>IF(Calcu!B32=TRUE,Calcu!I32*H$5,"")</f>
        <v/>
      </c>
      <c r="AB34" s="414"/>
      <c r="AC34" s="414"/>
      <c r="AD34" s="414"/>
      <c r="AE34" s="415"/>
      <c r="AF34" s="413" t="str">
        <f>Calcu!M32</f>
        <v/>
      </c>
      <c r="AG34" s="414"/>
      <c r="AH34" s="414"/>
      <c r="AI34" s="414"/>
      <c r="AJ34" s="415"/>
      <c r="AK34" s="413" t="str">
        <f>Calcu!K32</f>
        <v/>
      </c>
      <c r="AL34" s="414"/>
      <c r="AM34" s="414"/>
      <c r="AN34" s="414"/>
      <c r="AO34" s="415"/>
    </row>
    <row r="35" spans="1:41" ht="18.75" customHeight="1">
      <c r="A35" s="58"/>
      <c r="B35" s="413" t="str">
        <f>Calcu!T33</f>
        <v/>
      </c>
      <c r="C35" s="414"/>
      <c r="D35" s="414"/>
      <c r="E35" s="414"/>
      <c r="F35" s="415"/>
      <c r="G35" s="413" t="str">
        <f>IF(Calcu!B33=TRUE,Calcu!E33*$H$5,"")</f>
        <v/>
      </c>
      <c r="H35" s="414"/>
      <c r="I35" s="414"/>
      <c r="J35" s="414"/>
      <c r="K35" s="415"/>
      <c r="L35" s="413" t="str">
        <f>IF(Calcu!B33=TRUE,Calcu!F33*H$5,"")</f>
        <v/>
      </c>
      <c r="M35" s="414"/>
      <c r="N35" s="414"/>
      <c r="O35" s="414"/>
      <c r="P35" s="415"/>
      <c r="Q35" s="413" t="str">
        <f>IF(Calcu!B33=TRUE,Calcu!G33*H$5,"")</f>
        <v/>
      </c>
      <c r="R35" s="414"/>
      <c r="S35" s="414"/>
      <c r="T35" s="414"/>
      <c r="U35" s="415"/>
      <c r="V35" s="413" t="str">
        <f>IF(Calcu!B33=TRUE,Calcu!H33*H$5,"")</f>
        <v/>
      </c>
      <c r="W35" s="414"/>
      <c r="X35" s="414"/>
      <c r="Y35" s="414"/>
      <c r="Z35" s="415"/>
      <c r="AA35" s="413" t="str">
        <f>IF(Calcu!B33=TRUE,Calcu!I33*H$5,"")</f>
        <v/>
      </c>
      <c r="AB35" s="414"/>
      <c r="AC35" s="414"/>
      <c r="AD35" s="414"/>
      <c r="AE35" s="415"/>
      <c r="AF35" s="413" t="str">
        <f>Calcu!M33</f>
        <v/>
      </c>
      <c r="AG35" s="414"/>
      <c r="AH35" s="414"/>
      <c r="AI35" s="414"/>
      <c r="AJ35" s="415"/>
      <c r="AK35" s="413" t="str">
        <f>Calcu!K33</f>
        <v/>
      </c>
      <c r="AL35" s="414"/>
      <c r="AM35" s="414"/>
      <c r="AN35" s="414"/>
      <c r="AO35" s="415"/>
    </row>
    <row r="36" spans="1:41" ht="18.75" customHeight="1">
      <c r="A36" s="58"/>
      <c r="B36" s="413" t="str">
        <f>Calcu!T34</f>
        <v/>
      </c>
      <c r="C36" s="414"/>
      <c r="D36" s="414"/>
      <c r="E36" s="414"/>
      <c r="F36" s="415"/>
      <c r="G36" s="413" t="str">
        <f>IF(Calcu!B34=TRUE,Calcu!E34*$H$5,"")</f>
        <v/>
      </c>
      <c r="H36" s="414"/>
      <c r="I36" s="414"/>
      <c r="J36" s="414"/>
      <c r="K36" s="415"/>
      <c r="L36" s="413" t="str">
        <f>IF(Calcu!B34=TRUE,Calcu!F34*H$5,"")</f>
        <v/>
      </c>
      <c r="M36" s="414"/>
      <c r="N36" s="414"/>
      <c r="O36" s="414"/>
      <c r="P36" s="415"/>
      <c r="Q36" s="413" t="str">
        <f>IF(Calcu!B34=TRUE,Calcu!G34*H$5,"")</f>
        <v/>
      </c>
      <c r="R36" s="414"/>
      <c r="S36" s="414"/>
      <c r="T36" s="414"/>
      <c r="U36" s="415"/>
      <c r="V36" s="413" t="str">
        <f>IF(Calcu!B34=TRUE,Calcu!H34*H$5,"")</f>
        <v/>
      </c>
      <c r="W36" s="414"/>
      <c r="X36" s="414"/>
      <c r="Y36" s="414"/>
      <c r="Z36" s="415"/>
      <c r="AA36" s="413" t="str">
        <f>IF(Calcu!B34=TRUE,Calcu!I34*H$5,"")</f>
        <v/>
      </c>
      <c r="AB36" s="414"/>
      <c r="AC36" s="414"/>
      <c r="AD36" s="414"/>
      <c r="AE36" s="415"/>
      <c r="AF36" s="413" t="str">
        <f>Calcu!M34</f>
        <v/>
      </c>
      <c r="AG36" s="414"/>
      <c r="AH36" s="414"/>
      <c r="AI36" s="414"/>
      <c r="AJ36" s="415"/>
      <c r="AK36" s="413" t="str">
        <f>Calcu!K34</f>
        <v/>
      </c>
      <c r="AL36" s="414"/>
      <c r="AM36" s="414"/>
      <c r="AN36" s="414"/>
      <c r="AO36" s="415"/>
    </row>
    <row r="37" spans="1:41" ht="18.75" customHeight="1">
      <c r="A37" s="58"/>
      <c r="B37" s="413" t="str">
        <f>Calcu!T35</f>
        <v/>
      </c>
      <c r="C37" s="414"/>
      <c r="D37" s="414"/>
      <c r="E37" s="414"/>
      <c r="F37" s="415"/>
      <c r="G37" s="413" t="str">
        <f>IF(Calcu!B35=TRUE,Calcu!E35*$H$5,"")</f>
        <v/>
      </c>
      <c r="H37" s="414"/>
      <c r="I37" s="414"/>
      <c r="J37" s="414"/>
      <c r="K37" s="415"/>
      <c r="L37" s="413" t="str">
        <f>IF(Calcu!B35=TRUE,Calcu!F35*H$5,"")</f>
        <v/>
      </c>
      <c r="M37" s="414"/>
      <c r="N37" s="414"/>
      <c r="O37" s="414"/>
      <c r="P37" s="415"/>
      <c r="Q37" s="413" t="str">
        <f>IF(Calcu!B35=TRUE,Calcu!G35*H$5,"")</f>
        <v/>
      </c>
      <c r="R37" s="414"/>
      <c r="S37" s="414"/>
      <c r="T37" s="414"/>
      <c r="U37" s="415"/>
      <c r="V37" s="413" t="str">
        <f>IF(Calcu!B35=TRUE,Calcu!H35*H$5,"")</f>
        <v/>
      </c>
      <c r="W37" s="414"/>
      <c r="X37" s="414"/>
      <c r="Y37" s="414"/>
      <c r="Z37" s="415"/>
      <c r="AA37" s="413" t="str">
        <f>IF(Calcu!B35=TRUE,Calcu!I35*H$5,"")</f>
        <v/>
      </c>
      <c r="AB37" s="414"/>
      <c r="AC37" s="414"/>
      <c r="AD37" s="414"/>
      <c r="AE37" s="415"/>
      <c r="AF37" s="413" t="str">
        <f>Calcu!M35</f>
        <v/>
      </c>
      <c r="AG37" s="414"/>
      <c r="AH37" s="414"/>
      <c r="AI37" s="414"/>
      <c r="AJ37" s="415"/>
      <c r="AK37" s="413" t="str">
        <f>Calcu!K35</f>
        <v/>
      </c>
      <c r="AL37" s="414"/>
      <c r="AM37" s="414"/>
      <c r="AN37" s="414"/>
      <c r="AO37" s="415"/>
    </row>
    <row r="38" spans="1:41" ht="18.75" customHeight="1">
      <c r="A38" s="58"/>
      <c r="B38" s="413" t="str">
        <f>Calcu!T36</f>
        <v/>
      </c>
      <c r="C38" s="414"/>
      <c r="D38" s="414"/>
      <c r="E38" s="414"/>
      <c r="F38" s="415"/>
      <c r="G38" s="413" t="str">
        <f>IF(Calcu!B36=TRUE,Calcu!E36*$H$5,"")</f>
        <v/>
      </c>
      <c r="H38" s="414"/>
      <c r="I38" s="414"/>
      <c r="J38" s="414"/>
      <c r="K38" s="415"/>
      <c r="L38" s="413" t="str">
        <f>IF(Calcu!B36=TRUE,Calcu!F36*H$5,"")</f>
        <v/>
      </c>
      <c r="M38" s="414"/>
      <c r="N38" s="414"/>
      <c r="O38" s="414"/>
      <c r="P38" s="415"/>
      <c r="Q38" s="413" t="str">
        <f>IF(Calcu!B36=TRUE,Calcu!G36*H$5,"")</f>
        <v/>
      </c>
      <c r="R38" s="414"/>
      <c r="S38" s="414"/>
      <c r="T38" s="414"/>
      <c r="U38" s="415"/>
      <c r="V38" s="413" t="str">
        <f>IF(Calcu!B36=TRUE,Calcu!H36*H$5,"")</f>
        <v/>
      </c>
      <c r="W38" s="414"/>
      <c r="X38" s="414"/>
      <c r="Y38" s="414"/>
      <c r="Z38" s="415"/>
      <c r="AA38" s="413" t="str">
        <f>IF(Calcu!B36=TRUE,Calcu!I36*H$5,"")</f>
        <v/>
      </c>
      <c r="AB38" s="414"/>
      <c r="AC38" s="414"/>
      <c r="AD38" s="414"/>
      <c r="AE38" s="415"/>
      <c r="AF38" s="413" t="str">
        <f>Calcu!M36</f>
        <v/>
      </c>
      <c r="AG38" s="414"/>
      <c r="AH38" s="414"/>
      <c r="AI38" s="414"/>
      <c r="AJ38" s="415"/>
      <c r="AK38" s="413" t="str">
        <f>Calcu!K36</f>
        <v/>
      </c>
      <c r="AL38" s="414"/>
      <c r="AM38" s="414"/>
      <c r="AN38" s="414"/>
      <c r="AO38" s="415"/>
    </row>
    <row r="39" spans="1:41" ht="18.75" customHeight="1">
      <c r="A39" s="58"/>
      <c r="B39" s="413" t="str">
        <f>Calcu!T37</f>
        <v/>
      </c>
      <c r="C39" s="414"/>
      <c r="D39" s="414"/>
      <c r="E39" s="414"/>
      <c r="F39" s="415"/>
      <c r="G39" s="413" t="str">
        <f>IF(Calcu!B37=TRUE,Calcu!E37*$H$5,"")</f>
        <v/>
      </c>
      <c r="H39" s="414"/>
      <c r="I39" s="414"/>
      <c r="J39" s="414"/>
      <c r="K39" s="415"/>
      <c r="L39" s="413" t="str">
        <f>IF(Calcu!B37=TRUE,Calcu!F37*H$5,"")</f>
        <v/>
      </c>
      <c r="M39" s="414"/>
      <c r="N39" s="414"/>
      <c r="O39" s="414"/>
      <c r="P39" s="415"/>
      <c r="Q39" s="413" t="str">
        <f>IF(Calcu!B37=TRUE,Calcu!G37*H$5,"")</f>
        <v/>
      </c>
      <c r="R39" s="414"/>
      <c r="S39" s="414"/>
      <c r="T39" s="414"/>
      <c r="U39" s="415"/>
      <c r="V39" s="413" t="str">
        <f>IF(Calcu!B37=TRUE,Calcu!H37*H$5,"")</f>
        <v/>
      </c>
      <c r="W39" s="414"/>
      <c r="X39" s="414"/>
      <c r="Y39" s="414"/>
      <c r="Z39" s="415"/>
      <c r="AA39" s="413" t="str">
        <f>IF(Calcu!B37=TRUE,Calcu!I37*H$5,"")</f>
        <v/>
      </c>
      <c r="AB39" s="414"/>
      <c r="AC39" s="414"/>
      <c r="AD39" s="414"/>
      <c r="AE39" s="415"/>
      <c r="AF39" s="413" t="str">
        <f>Calcu!M37</f>
        <v/>
      </c>
      <c r="AG39" s="414"/>
      <c r="AH39" s="414"/>
      <c r="AI39" s="414"/>
      <c r="AJ39" s="415"/>
      <c r="AK39" s="413" t="str">
        <f>Calcu!K37</f>
        <v/>
      </c>
      <c r="AL39" s="414"/>
      <c r="AM39" s="414"/>
      <c r="AN39" s="414"/>
      <c r="AO39" s="415"/>
    </row>
    <row r="40" spans="1:41" ht="18.75" customHeight="1">
      <c r="A40" s="58"/>
      <c r="B40" s="413" t="str">
        <f>Calcu!T38</f>
        <v/>
      </c>
      <c r="C40" s="414"/>
      <c r="D40" s="414"/>
      <c r="E40" s="414"/>
      <c r="F40" s="415"/>
      <c r="G40" s="413" t="str">
        <f>IF(Calcu!B38=TRUE,Calcu!E38*$H$5,"")</f>
        <v/>
      </c>
      <c r="H40" s="414"/>
      <c r="I40" s="414"/>
      <c r="J40" s="414"/>
      <c r="K40" s="415"/>
      <c r="L40" s="413" t="str">
        <f>IF(Calcu!B38=TRUE,Calcu!F38*H$5,"")</f>
        <v/>
      </c>
      <c r="M40" s="414"/>
      <c r="N40" s="414"/>
      <c r="O40" s="414"/>
      <c r="P40" s="415"/>
      <c r="Q40" s="413" t="str">
        <f>IF(Calcu!B38=TRUE,Calcu!G38*H$5,"")</f>
        <v/>
      </c>
      <c r="R40" s="414"/>
      <c r="S40" s="414"/>
      <c r="T40" s="414"/>
      <c r="U40" s="415"/>
      <c r="V40" s="413" t="str">
        <f>IF(Calcu!B38=TRUE,Calcu!H38*H$5,"")</f>
        <v/>
      </c>
      <c r="W40" s="414"/>
      <c r="X40" s="414"/>
      <c r="Y40" s="414"/>
      <c r="Z40" s="415"/>
      <c r="AA40" s="413" t="str">
        <f>IF(Calcu!B38=TRUE,Calcu!I38*H$5,"")</f>
        <v/>
      </c>
      <c r="AB40" s="414"/>
      <c r="AC40" s="414"/>
      <c r="AD40" s="414"/>
      <c r="AE40" s="415"/>
      <c r="AF40" s="413" t="str">
        <f>Calcu!M38</f>
        <v/>
      </c>
      <c r="AG40" s="414"/>
      <c r="AH40" s="414"/>
      <c r="AI40" s="414"/>
      <c r="AJ40" s="415"/>
      <c r="AK40" s="413" t="str">
        <f>Calcu!K38</f>
        <v/>
      </c>
      <c r="AL40" s="414"/>
      <c r="AM40" s="414"/>
      <c r="AN40" s="414"/>
      <c r="AO40" s="415"/>
    </row>
    <row r="41" spans="1:41" ht="18.75" customHeight="1">
      <c r="A41" s="58"/>
      <c r="B41" s="413" t="str">
        <f>Calcu!T39</f>
        <v/>
      </c>
      <c r="C41" s="414"/>
      <c r="D41" s="414"/>
      <c r="E41" s="414"/>
      <c r="F41" s="415"/>
      <c r="G41" s="413" t="str">
        <f>IF(Calcu!B39=TRUE,Calcu!E39*$H$5,"")</f>
        <v/>
      </c>
      <c r="H41" s="414"/>
      <c r="I41" s="414"/>
      <c r="J41" s="414"/>
      <c r="K41" s="415"/>
      <c r="L41" s="413" t="str">
        <f>IF(Calcu!B39=TRUE,Calcu!F39*H$5,"")</f>
        <v/>
      </c>
      <c r="M41" s="414"/>
      <c r="N41" s="414"/>
      <c r="O41" s="414"/>
      <c r="P41" s="415"/>
      <c r="Q41" s="413" t="str">
        <f>IF(Calcu!B39=TRUE,Calcu!G39*H$5,"")</f>
        <v/>
      </c>
      <c r="R41" s="414"/>
      <c r="S41" s="414"/>
      <c r="T41" s="414"/>
      <c r="U41" s="415"/>
      <c r="V41" s="413" t="str">
        <f>IF(Calcu!B39=TRUE,Calcu!H39*H$5,"")</f>
        <v/>
      </c>
      <c r="W41" s="414"/>
      <c r="X41" s="414"/>
      <c r="Y41" s="414"/>
      <c r="Z41" s="415"/>
      <c r="AA41" s="413" t="str">
        <f>IF(Calcu!B39=TRUE,Calcu!I39*H$5,"")</f>
        <v/>
      </c>
      <c r="AB41" s="414"/>
      <c r="AC41" s="414"/>
      <c r="AD41" s="414"/>
      <c r="AE41" s="415"/>
      <c r="AF41" s="413" t="str">
        <f>Calcu!M39</f>
        <v/>
      </c>
      <c r="AG41" s="414"/>
      <c r="AH41" s="414"/>
      <c r="AI41" s="414"/>
      <c r="AJ41" s="415"/>
      <c r="AK41" s="413" t="str">
        <f>Calcu!K39</f>
        <v/>
      </c>
      <c r="AL41" s="414"/>
      <c r="AM41" s="414"/>
      <c r="AN41" s="414"/>
      <c r="AO41" s="415"/>
    </row>
    <row r="42" spans="1:41" ht="18.75" customHeight="1">
      <c r="A42" s="58"/>
      <c r="B42" s="413" t="str">
        <f>Calcu!T40</f>
        <v/>
      </c>
      <c r="C42" s="414"/>
      <c r="D42" s="414"/>
      <c r="E42" s="414"/>
      <c r="F42" s="415"/>
      <c r="G42" s="413" t="str">
        <f>IF(Calcu!B40=TRUE,Calcu!E40*$H$5,"")</f>
        <v/>
      </c>
      <c r="H42" s="414"/>
      <c r="I42" s="414"/>
      <c r="J42" s="414"/>
      <c r="K42" s="415"/>
      <c r="L42" s="413" t="str">
        <f>IF(Calcu!B40=TRUE,Calcu!F40*H$5,"")</f>
        <v/>
      </c>
      <c r="M42" s="414"/>
      <c r="N42" s="414"/>
      <c r="O42" s="414"/>
      <c r="P42" s="415"/>
      <c r="Q42" s="413" t="str">
        <f>IF(Calcu!B40=TRUE,Calcu!G40*H$5,"")</f>
        <v/>
      </c>
      <c r="R42" s="414"/>
      <c r="S42" s="414"/>
      <c r="T42" s="414"/>
      <c r="U42" s="415"/>
      <c r="V42" s="413" t="str">
        <f>IF(Calcu!B40=TRUE,Calcu!H40*H$5,"")</f>
        <v/>
      </c>
      <c r="W42" s="414"/>
      <c r="X42" s="414"/>
      <c r="Y42" s="414"/>
      <c r="Z42" s="415"/>
      <c r="AA42" s="413" t="str">
        <f>IF(Calcu!B40=TRUE,Calcu!I40*H$5,"")</f>
        <v/>
      </c>
      <c r="AB42" s="414"/>
      <c r="AC42" s="414"/>
      <c r="AD42" s="414"/>
      <c r="AE42" s="415"/>
      <c r="AF42" s="413" t="str">
        <f>Calcu!M40</f>
        <v/>
      </c>
      <c r="AG42" s="414"/>
      <c r="AH42" s="414"/>
      <c r="AI42" s="414"/>
      <c r="AJ42" s="415"/>
      <c r="AK42" s="413" t="str">
        <f>Calcu!K40</f>
        <v/>
      </c>
      <c r="AL42" s="414"/>
      <c r="AM42" s="414"/>
      <c r="AN42" s="414"/>
      <c r="AO42" s="415"/>
    </row>
    <row r="43" spans="1:41" ht="18.75" customHeight="1">
      <c r="A43" s="58"/>
      <c r="B43" s="413" t="str">
        <f>Calcu!T41</f>
        <v/>
      </c>
      <c r="C43" s="414"/>
      <c r="D43" s="414"/>
      <c r="E43" s="414"/>
      <c r="F43" s="415"/>
      <c r="G43" s="413" t="str">
        <f>IF(Calcu!B41=TRUE,Calcu!E41*$H$5,"")</f>
        <v/>
      </c>
      <c r="H43" s="414"/>
      <c r="I43" s="414"/>
      <c r="J43" s="414"/>
      <c r="K43" s="415"/>
      <c r="L43" s="413" t="str">
        <f>IF(Calcu!B41=TRUE,Calcu!F41*H$5,"")</f>
        <v/>
      </c>
      <c r="M43" s="414"/>
      <c r="N43" s="414"/>
      <c r="O43" s="414"/>
      <c r="P43" s="415"/>
      <c r="Q43" s="413" t="str">
        <f>IF(Calcu!B41=TRUE,Calcu!G41*H$5,"")</f>
        <v/>
      </c>
      <c r="R43" s="414"/>
      <c r="S43" s="414"/>
      <c r="T43" s="414"/>
      <c r="U43" s="415"/>
      <c r="V43" s="413" t="str">
        <f>IF(Calcu!B41=TRUE,Calcu!H41*H$5,"")</f>
        <v/>
      </c>
      <c r="W43" s="414"/>
      <c r="X43" s="414"/>
      <c r="Y43" s="414"/>
      <c r="Z43" s="415"/>
      <c r="AA43" s="413" t="str">
        <f>IF(Calcu!B41=TRUE,Calcu!I41*H$5,"")</f>
        <v/>
      </c>
      <c r="AB43" s="414"/>
      <c r="AC43" s="414"/>
      <c r="AD43" s="414"/>
      <c r="AE43" s="415"/>
      <c r="AF43" s="413" t="str">
        <f>Calcu!M41</f>
        <v/>
      </c>
      <c r="AG43" s="414"/>
      <c r="AH43" s="414"/>
      <c r="AI43" s="414"/>
      <c r="AJ43" s="415"/>
      <c r="AK43" s="413" t="str">
        <f>Calcu!K41</f>
        <v/>
      </c>
      <c r="AL43" s="414"/>
      <c r="AM43" s="414"/>
      <c r="AN43" s="414"/>
      <c r="AO43" s="415"/>
    </row>
    <row r="44" spans="1:41" ht="18.75" customHeight="1">
      <c r="A44" s="58"/>
      <c r="B44" s="413" t="str">
        <f>Calcu!T42</f>
        <v/>
      </c>
      <c r="C44" s="414"/>
      <c r="D44" s="414"/>
      <c r="E44" s="414"/>
      <c r="F44" s="415"/>
      <c r="G44" s="413" t="str">
        <f>IF(Calcu!B42=TRUE,Calcu!E42*$H$5,"")</f>
        <v/>
      </c>
      <c r="H44" s="414"/>
      <c r="I44" s="414"/>
      <c r="J44" s="414"/>
      <c r="K44" s="415"/>
      <c r="L44" s="413" t="str">
        <f>IF(Calcu!B42=TRUE,Calcu!F42*H$5,"")</f>
        <v/>
      </c>
      <c r="M44" s="414"/>
      <c r="N44" s="414"/>
      <c r="O44" s="414"/>
      <c r="P44" s="415"/>
      <c r="Q44" s="413" t="str">
        <f>IF(Calcu!B42=TRUE,Calcu!G42*H$5,"")</f>
        <v/>
      </c>
      <c r="R44" s="414"/>
      <c r="S44" s="414"/>
      <c r="T44" s="414"/>
      <c r="U44" s="415"/>
      <c r="V44" s="413" t="str">
        <f>IF(Calcu!B42=TRUE,Calcu!H42*H$5,"")</f>
        <v/>
      </c>
      <c r="W44" s="414"/>
      <c r="X44" s="414"/>
      <c r="Y44" s="414"/>
      <c r="Z44" s="415"/>
      <c r="AA44" s="413" t="str">
        <f>IF(Calcu!B42=TRUE,Calcu!I42*H$5,"")</f>
        <v/>
      </c>
      <c r="AB44" s="414"/>
      <c r="AC44" s="414"/>
      <c r="AD44" s="414"/>
      <c r="AE44" s="415"/>
      <c r="AF44" s="413" t="str">
        <f>Calcu!M42</f>
        <v/>
      </c>
      <c r="AG44" s="414"/>
      <c r="AH44" s="414"/>
      <c r="AI44" s="414"/>
      <c r="AJ44" s="415"/>
      <c r="AK44" s="413" t="str">
        <f>Calcu!K42</f>
        <v/>
      </c>
      <c r="AL44" s="414"/>
      <c r="AM44" s="414"/>
      <c r="AN44" s="414"/>
      <c r="AO44" s="415"/>
    </row>
    <row r="45" spans="1:41" ht="18.75" customHeight="1">
      <c r="A45" s="58"/>
      <c r="B45" s="413" t="str">
        <f>Calcu!T43</f>
        <v/>
      </c>
      <c r="C45" s="414"/>
      <c r="D45" s="414"/>
      <c r="E45" s="414"/>
      <c r="F45" s="415"/>
      <c r="G45" s="413" t="str">
        <f>IF(Calcu!B43=TRUE,Calcu!E43*$H$5,"")</f>
        <v/>
      </c>
      <c r="H45" s="414"/>
      <c r="I45" s="414"/>
      <c r="J45" s="414"/>
      <c r="K45" s="415"/>
      <c r="L45" s="413" t="str">
        <f>IF(Calcu!B43=TRUE,Calcu!F43*H$5,"")</f>
        <v/>
      </c>
      <c r="M45" s="414"/>
      <c r="N45" s="414"/>
      <c r="O45" s="414"/>
      <c r="P45" s="415"/>
      <c r="Q45" s="413" t="str">
        <f>IF(Calcu!B43=TRUE,Calcu!G43*H$5,"")</f>
        <v/>
      </c>
      <c r="R45" s="414"/>
      <c r="S45" s="414"/>
      <c r="T45" s="414"/>
      <c r="U45" s="415"/>
      <c r="V45" s="413" t="str">
        <f>IF(Calcu!B43=TRUE,Calcu!H43*H$5,"")</f>
        <v/>
      </c>
      <c r="W45" s="414"/>
      <c r="X45" s="414"/>
      <c r="Y45" s="414"/>
      <c r="Z45" s="415"/>
      <c r="AA45" s="413" t="str">
        <f>IF(Calcu!B43=TRUE,Calcu!I43*H$5,"")</f>
        <v/>
      </c>
      <c r="AB45" s="414"/>
      <c r="AC45" s="414"/>
      <c r="AD45" s="414"/>
      <c r="AE45" s="415"/>
      <c r="AF45" s="413" t="str">
        <f>Calcu!M43</f>
        <v/>
      </c>
      <c r="AG45" s="414"/>
      <c r="AH45" s="414"/>
      <c r="AI45" s="414"/>
      <c r="AJ45" s="415"/>
      <c r="AK45" s="413" t="str">
        <f>Calcu!K43</f>
        <v/>
      </c>
      <c r="AL45" s="414"/>
      <c r="AM45" s="414"/>
      <c r="AN45" s="414"/>
      <c r="AO45" s="415"/>
    </row>
    <row r="46" spans="1:41" ht="18.75" customHeight="1">
      <c r="A46" s="58"/>
      <c r="B46" s="413" t="str">
        <f>Calcu!T44</f>
        <v/>
      </c>
      <c r="C46" s="414"/>
      <c r="D46" s="414"/>
      <c r="E46" s="414"/>
      <c r="F46" s="415"/>
      <c r="G46" s="413" t="str">
        <f>IF(Calcu!B44=TRUE,Calcu!E44*$H$5,"")</f>
        <v/>
      </c>
      <c r="H46" s="414"/>
      <c r="I46" s="414"/>
      <c r="J46" s="414"/>
      <c r="K46" s="415"/>
      <c r="L46" s="413" t="str">
        <f>IF(Calcu!B44=TRUE,Calcu!F44*H$5,"")</f>
        <v/>
      </c>
      <c r="M46" s="414"/>
      <c r="N46" s="414"/>
      <c r="O46" s="414"/>
      <c r="P46" s="415"/>
      <c r="Q46" s="413" t="str">
        <f>IF(Calcu!B44=TRUE,Calcu!G44*H$5,"")</f>
        <v/>
      </c>
      <c r="R46" s="414"/>
      <c r="S46" s="414"/>
      <c r="T46" s="414"/>
      <c r="U46" s="415"/>
      <c r="V46" s="413" t="str">
        <f>IF(Calcu!B44=TRUE,Calcu!H44*H$5,"")</f>
        <v/>
      </c>
      <c r="W46" s="414"/>
      <c r="X46" s="414"/>
      <c r="Y46" s="414"/>
      <c r="Z46" s="415"/>
      <c r="AA46" s="413" t="str">
        <f>IF(Calcu!B44=TRUE,Calcu!I44*H$5,"")</f>
        <v/>
      </c>
      <c r="AB46" s="414"/>
      <c r="AC46" s="414"/>
      <c r="AD46" s="414"/>
      <c r="AE46" s="415"/>
      <c r="AF46" s="413" t="str">
        <f>Calcu!M44</f>
        <v/>
      </c>
      <c r="AG46" s="414"/>
      <c r="AH46" s="414"/>
      <c r="AI46" s="414"/>
      <c r="AJ46" s="415"/>
      <c r="AK46" s="413" t="str">
        <f>Calcu!K44</f>
        <v/>
      </c>
      <c r="AL46" s="414"/>
      <c r="AM46" s="414"/>
      <c r="AN46" s="414"/>
      <c r="AO46" s="415"/>
    </row>
    <row r="47" spans="1:41" ht="18.75" customHeight="1">
      <c r="A47" s="58"/>
      <c r="B47" s="413" t="str">
        <f>Calcu!T45</f>
        <v/>
      </c>
      <c r="C47" s="414"/>
      <c r="D47" s="414"/>
      <c r="E47" s="414"/>
      <c r="F47" s="415"/>
      <c r="G47" s="413" t="str">
        <f>IF(Calcu!B45=TRUE,Calcu!E45*$H$5,"")</f>
        <v/>
      </c>
      <c r="H47" s="414"/>
      <c r="I47" s="414"/>
      <c r="J47" s="414"/>
      <c r="K47" s="415"/>
      <c r="L47" s="413" t="str">
        <f>IF(Calcu!B45=TRUE,Calcu!F45*H$5,"")</f>
        <v/>
      </c>
      <c r="M47" s="414"/>
      <c r="N47" s="414"/>
      <c r="O47" s="414"/>
      <c r="P47" s="415"/>
      <c r="Q47" s="413" t="str">
        <f>IF(Calcu!B45=TRUE,Calcu!G45*H$5,"")</f>
        <v/>
      </c>
      <c r="R47" s="414"/>
      <c r="S47" s="414"/>
      <c r="T47" s="414"/>
      <c r="U47" s="415"/>
      <c r="V47" s="413" t="str">
        <f>IF(Calcu!B45=TRUE,Calcu!H45*H$5,"")</f>
        <v/>
      </c>
      <c r="W47" s="414"/>
      <c r="X47" s="414"/>
      <c r="Y47" s="414"/>
      <c r="Z47" s="415"/>
      <c r="AA47" s="413" t="str">
        <f>IF(Calcu!B45=TRUE,Calcu!I45*H$5,"")</f>
        <v/>
      </c>
      <c r="AB47" s="414"/>
      <c r="AC47" s="414"/>
      <c r="AD47" s="414"/>
      <c r="AE47" s="415"/>
      <c r="AF47" s="413" t="str">
        <f>Calcu!M45</f>
        <v/>
      </c>
      <c r="AG47" s="414"/>
      <c r="AH47" s="414"/>
      <c r="AI47" s="414"/>
      <c r="AJ47" s="415"/>
      <c r="AK47" s="413" t="str">
        <f>Calcu!K45</f>
        <v/>
      </c>
      <c r="AL47" s="414"/>
      <c r="AM47" s="414"/>
      <c r="AN47" s="414"/>
      <c r="AO47" s="415"/>
    </row>
    <row r="48" spans="1:41" ht="18.75" customHeight="1">
      <c r="A48" s="58"/>
      <c r="B48" s="413" t="str">
        <f>Calcu!T46</f>
        <v/>
      </c>
      <c r="C48" s="414"/>
      <c r="D48" s="414"/>
      <c r="E48" s="414"/>
      <c r="F48" s="415"/>
      <c r="G48" s="413" t="str">
        <f>IF(Calcu!B46=TRUE,Calcu!E46*$H$5,"")</f>
        <v/>
      </c>
      <c r="H48" s="414"/>
      <c r="I48" s="414"/>
      <c r="J48" s="414"/>
      <c r="K48" s="415"/>
      <c r="L48" s="413" t="str">
        <f>IF(Calcu!B46=TRUE,Calcu!F46*H$5,"")</f>
        <v/>
      </c>
      <c r="M48" s="414"/>
      <c r="N48" s="414"/>
      <c r="O48" s="414"/>
      <c r="P48" s="415"/>
      <c r="Q48" s="413" t="str">
        <f>IF(Calcu!B46=TRUE,Calcu!G46*H$5,"")</f>
        <v/>
      </c>
      <c r="R48" s="414"/>
      <c r="S48" s="414"/>
      <c r="T48" s="414"/>
      <c r="U48" s="415"/>
      <c r="V48" s="413" t="str">
        <f>IF(Calcu!B46=TRUE,Calcu!H46*H$5,"")</f>
        <v/>
      </c>
      <c r="W48" s="414"/>
      <c r="X48" s="414"/>
      <c r="Y48" s="414"/>
      <c r="Z48" s="415"/>
      <c r="AA48" s="413" t="str">
        <f>IF(Calcu!B46=TRUE,Calcu!I46*H$5,"")</f>
        <v/>
      </c>
      <c r="AB48" s="414"/>
      <c r="AC48" s="414"/>
      <c r="AD48" s="414"/>
      <c r="AE48" s="415"/>
      <c r="AF48" s="413" t="str">
        <f>Calcu!M46</f>
        <v/>
      </c>
      <c r="AG48" s="414"/>
      <c r="AH48" s="414"/>
      <c r="AI48" s="414"/>
      <c r="AJ48" s="415"/>
      <c r="AK48" s="413" t="str">
        <f>Calcu!K46</f>
        <v/>
      </c>
      <c r="AL48" s="414"/>
      <c r="AM48" s="414"/>
      <c r="AN48" s="414"/>
      <c r="AO48" s="415"/>
    </row>
    <row r="49" spans="1:54" ht="18.75" customHeight="1">
      <c r="A49" s="58"/>
      <c r="B49" s="413" t="str">
        <f>Calcu!T47</f>
        <v/>
      </c>
      <c r="C49" s="414"/>
      <c r="D49" s="414"/>
      <c r="E49" s="414"/>
      <c r="F49" s="415"/>
      <c r="G49" s="413" t="str">
        <f>IF(Calcu!B47=TRUE,Calcu!E47*$H$5,"")</f>
        <v/>
      </c>
      <c r="H49" s="414"/>
      <c r="I49" s="414"/>
      <c r="J49" s="414"/>
      <c r="K49" s="415"/>
      <c r="L49" s="413" t="str">
        <f>IF(Calcu!B47=TRUE,Calcu!F47*H$5,"")</f>
        <v/>
      </c>
      <c r="M49" s="414"/>
      <c r="N49" s="414"/>
      <c r="O49" s="414"/>
      <c r="P49" s="415"/>
      <c r="Q49" s="413" t="str">
        <f>IF(Calcu!B47=TRUE,Calcu!G47*H$5,"")</f>
        <v/>
      </c>
      <c r="R49" s="414"/>
      <c r="S49" s="414"/>
      <c r="T49" s="414"/>
      <c r="U49" s="415"/>
      <c r="V49" s="413" t="str">
        <f>IF(Calcu!B47=TRUE,Calcu!H47*H$5,"")</f>
        <v/>
      </c>
      <c r="W49" s="414"/>
      <c r="X49" s="414"/>
      <c r="Y49" s="414"/>
      <c r="Z49" s="415"/>
      <c r="AA49" s="413" t="str">
        <f>IF(Calcu!B47=TRUE,Calcu!I47*H$5,"")</f>
        <v/>
      </c>
      <c r="AB49" s="414"/>
      <c r="AC49" s="414"/>
      <c r="AD49" s="414"/>
      <c r="AE49" s="415"/>
      <c r="AF49" s="413" t="str">
        <f>Calcu!M47</f>
        <v/>
      </c>
      <c r="AG49" s="414"/>
      <c r="AH49" s="414"/>
      <c r="AI49" s="414"/>
      <c r="AJ49" s="415"/>
      <c r="AK49" s="413" t="str">
        <f>Calcu!K47</f>
        <v/>
      </c>
      <c r="AL49" s="414"/>
      <c r="AM49" s="414"/>
      <c r="AN49" s="414"/>
      <c r="AO49" s="415"/>
    </row>
    <row r="50" spans="1:54" ht="18.75" customHeight="1">
      <c r="A50" s="58"/>
      <c r="B50" s="413" t="str">
        <f>Calcu!T48</f>
        <v/>
      </c>
      <c r="C50" s="414"/>
      <c r="D50" s="414"/>
      <c r="E50" s="414"/>
      <c r="F50" s="415"/>
      <c r="G50" s="413" t="str">
        <f>IF(Calcu!B48=TRUE,Calcu!E48*$H$5,"")</f>
        <v/>
      </c>
      <c r="H50" s="414"/>
      <c r="I50" s="414"/>
      <c r="J50" s="414"/>
      <c r="K50" s="415"/>
      <c r="L50" s="413" t="str">
        <f>IF(Calcu!B48=TRUE,Calcu!F48*H$5,"")</f>
        <v/>
      </c>
      <c r="M50" s="414"/>
      <c r="N50" s="414"/>
      <c r="O50" s="414"/>
      <c r="P50" s="415"/>
      <c r="Q50" s="413" t="str">
        <f>IF(Calcu!B48=TRUE,Calcu!G48*H$5,"")</f>
        <v/>
      </c>
      <c r="R50" s="414"/>
      <c r="S50" s="414"/>
      <c r="T50" s="414"/>
      <c r="U50" s="415"/>
      <c r="V50" s="413" t="str">
        <f>IF(Calcu!B48=TRUE,Calcu!H48*H$5,"")</f>
        <v/>
      </c>
      <c r="W50" s="414"/>
      <c r="X50" s="414"/>
      <c r="Y50" s="414"/>
      <c r="Z50" s="415"/>
      <c r="AA50" s="413" t="str">
        <f>IF(Calcu!B48=TRUE,Calcu!I48*H$5,"")</f>
        <v/>
      </c>
      <c r="AB50" s="414"/>
      <c r="AC50" s="414"/>
      <c r="AD50" s="414"/>
      <c r="AE50" s="415"/>
      <c r="AF50" s="413" t="str">
        <f>Calcu!M48</f>
        <v/>
      </c>
      <c r="AG50" s="414"/>
      <c r="AH50" s="414"/>
      <c r="AI50" s="414"/>
      <c r="AJ50" s="415"/>
      <c r="AK50" s="413" t="str">
        <f>Calcu!K48</f>
        <v/>
      </c>
      <c r="AL50" s="414"/>
      <c r="AM50" s="414"/>
      <c r="AN50" s="414"/>
      <c r="AO50" s="415"/>
    </row>
    <row r="51" spans="1:54" ht="18.75" customHeight="1">
      <c r="A51" s="58"/>
      <c r="B51" s="413" t="str">
        <f>Calcu!T49</f>
        <v/>
      </c>
      <c r="C51" s="414"/>
      <c r="D51" s="414"/>
      <c r="E51" s="414"/>
      <c r="F51" s="415"/>
      <c r="G51" s="413" t="str">
        <f>IF(Calcu!B49=TRUE,Calcu!E49*$H$5,"")</f>
        <v/>
      </c>
      <c r="H51" s="414"/>
      <c r="I51" s="414"/>
      <c r="J51" s="414"/>
      <c r="K51" s="415"/>
      <c r="L51" s="413" t="str">
        <f>IF(Calcu!B49=TRUE,Calcu!F49*H$5,"")</f>
        <v/>
      </c>
      <c r="M51" s="414"/>
      <c r="N51" s="414"/>
      <c r="O51" s="414"/>
      <c r="P51" s="415"/>
      <c r="Q51" s="413" t="str">
        <f>IF(Calcu!B49=TRUE,Calcu!G49*H$5,"")</f>
        <v/>
      </c>
      <c r="R51" s="414"/>
      <c r="S51" s="414"/>
      <c r="T51" s="414"/>
      <c r="U51" s="415"/>
      <c r="V51" s="413" t="str">
        <f>IF(Calcu!B49=TRUE,Calcu!H49*H$5,"")</f>
        <v/>
      </c>
      <c r="W51" s="414"/>
      <c r="X51" s="414"/>
      <c r="Y51" s="414"/>
      <c r="Z51" s="415"/>
      <c r="AA51" s="413" t="str">
        <f>IF(Calcu!B49=TRUE,Calcu!I49*H$5,"")</f>
        <v/>
      </c>
      <c r="AB51" s="414"/>
      <c r="AC51" s="414"/>
      <c r="AD51" s="414"/>
      <c r="AE51" s="415"/>
      <c r="AF51" s="413" t="str">
        <f>Calcu!M49</f>
        <v/>
      </c>
      <c r="AG51" s="414"/>
      <c r="AH51" s="414"/>
      <c r="AI51" s="414"/>
      <c r="AJ51" s="415"/>
      <c r="AK51" s="413" t="str">
        <f>Calcu!K49</f>
        <v/>
      </c>
      <c r="AL51" s="414"/>
      <c r="AM51" s="414"/>
      <c r="AN51" s="414"/>
      <c r="AO51" s="415"/>
    </row>
    <row r="52" spans="1:54" ht="18.75" customHeight="1">
      <c r="A52" s="58"/>
      <c r="B52" s="227"/>
      <c r="C52" s="227"/>
      <c r="D52" s="227"/>
      <c r="E52" s="227"/>
      <c r="F52" s="227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27"/>
      <c r="R52" s="227"/>
      <c r="S52" s="227"/>
      <c r="T52" s="227"/>
      <c r="U52" s="227"/>
      <c r="V52" s="227"/>
      <c r="W52" s="227"/>
      <c r="X52" s="227"/>
      <c r="Y52" s="227"/>
      <c r="Z52" s="227"/>
      <c r="AA52" s="227"/>
      <c r="AB52" s="227"/>
      <c r="AC52" s="227"/>
      <c r="AD52" s="227"/>
      <c r="AE52" s="227"/>
      <c r="AF52" s="227"/>
      <c r="AG52" s="227"/>
      <c r="AH52" s="227"/>
      <c r="AI52" s="227"/>
      <c r="AJ52" s="227"/>
      <c r="AK52" s="227"/>
      <c r="AL52" s="227"/>
      <c r="AM52" s="227"/>
      <c r="AN52" s="227"/>
      <c r="AO52" s="227"/>
      <c r="AP52" s="227"/>
      <c r="AQ52" s="227"/>
      <c r="AR52" s="227"/>
      <c r="AS52" s="227"/>
      <c r="AT52" s="227"/>
    </row>
    <row r="53" spans="1:54" ht="18.75" customHeight="1">
      <c r="A53" s="58" t="s">
        <v>249</v>
      </c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</row>
    <row r="54" spans="1:54" ht="18.75" customHeight="1">
      <c r="A54" s="72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</row>
    <row r="55" spans="1:54" ht="18.75" customHeight="1">
      <c r="A55" s="72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</row>
    <row r="56" spans="1:54" ht="18.75" customHeight="1">
      <c r="A56" s="72"/>
      <c r="B56" s="57"/>
      <c r="C56" s="469" t="s">
        <v>325</v>
      </c>
      <c r="D56" s="469"/>
      <c r="E56" s="469"/>
      <c r="F56" s="227" t="s">
        <v>250</v>
      </c>
      <c r="G56" s="57" t="str">
        <f>"표준온도에서 "&amp;N5&amp;"의 보정값"</f>
        <v>표준온도에서 길이 변위계의 보정값</v>
      </c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W56" s="60"/>
      <c r="X56" s="60"/>
      <c r="Y56" s="60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</row>
    <row r="57" spans="1:54" ht="18.75" customHeight="1">
      <c r="A57" s="72"/>
      <c r="B57" s="57"/>
      <c r="C57" s="469" t="s">
        <v>252</v>
      </c>
      <c r="D57" s="469"/>
      <c r="E57" s="469"/>
      <c r="F57" s="227" t="s">
        <v>250</v>
      </c>
      <c r="G57" s="57" t="str">
        <f>T5&amp;"의 교정값"</f>
        <v>게이지 블록의 교정값</v>
      </c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</row>
    <row r="58" spans="1:54" ht="18.75" customHeight="1">
      <c r="A58" s="72"/>
      <c r="B58" s="57"/>
      <c r="C58" s="469" t="s">
        <v>251</v>
      </c>
      <c r="D58" s="469"/>
      <c r="E58" s="469"/>
      <c r="F58" s="227" t="s">
        <v>250</v>
      </c>
      <c r="G58" s="57" t="str">
        <f>N5&amp;"의 지시값"</f>
        <v>길이 변위계의 지시값</v>
      </c>
      <c r="H58" s="57"/>
      <c r="I58" s="57"/>
      <c r="J58" s="57"/>
      <c r="K58" s="57"/>
      <c r="L58" s="57"/>
      <c r="M58" s="57"/>
      <c r="N58" s="57"/>
      <c r="O58" s="57"/>
      <c r="P58" s="57"/>
      <c r="Q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</row>
    <row r="59" spans="1:54" ht="18.75" customHeight="1">
      <c r="A59" s="72"/>
      <c r="B59" s="57"/>
      <c r="C59" s="469" t="s">
        <v>253</v>
      </c>
      <c r="D59" s="469"/>
      <c r="E59" s="469"/>
      <c r="F59" s="227" t="s">
        <v>250</v>
      </c>
      <c r="G59" s="57" t="str">
        <f>T5&amp;"의 명목값"</f>
        <v>게이지 블록의 명목값</v>
      </c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</row>
    <row r="60" spans="1:54" ht="18.75" customHeight="1">
      <c r="A60" s="72"/>
      <c r="B60" s="57"/>
      <c r="C60" s="469"/>
      <c r="D60" s="469"/>
      <c r="E60" s="469"/>
      <c r="F60" s="227" t="s">
        <v>250</v>
      </c>
      <c r="G60" s="57" t="str">
        <f>N5&amp;"와 "&amp;T5&amp;"의 평균열팽창계수"</f>
        <v>길이 변위계와 게이지 블록의 평균열팽창계수</v>
      </c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</row>
    <row r="61" spans="1:54" ht="18.75" customHeight="1">
      <c r="A61" s="72"/>
      <c r="B61" s="57"/>
      <c r="C61" s="469" t="s">
        <v>155</v>
      </c>
      <c r="D61" s="469"/>
      <c r="E61" s="469"/>
      <c r="F61" s="227" t="s">
        <v>250</v>
      </c>
      <c r="G61" s="57" t="str">
        <f>N5&amp;"와 "&amp;T5&amp;"의 온도차이"</f>
        <v>길이 변위계와 게이지 블록의 온도차이</v>
      </c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</row>
    <row r="62" spans="1:54" ht="18.75" customHeight="1">
      <c r="A62" s="72"/>
      <c r="B62" s="57"/>
      <c r="C62" s="469" t="s">
        <v>156</v>
      </c>
      <c r="D62" s="469"/>
      <c r="E62" s="469"/>
      <c r="F62" s="227" t="s">
        <v>250</v>
      </c>
      <c r="G62" s="57" t="str">
        <f>N5&amp;"와 "&amp;T5&amp;"의 열팽창계수 차이"</f>
        <v>길이 변위계와 게이지 블록의 열팽창계수 차이</v>
      </c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</row>
    <row r="63" spans="1:54" ht="18.75" customHeight="1">
      <c r="A63" s="72"/>
      <c r="B63" s="57"/>
      <c r="C63" s="469" t="s">
        <v>157</v>
      </c>
      <c r="D63" s="469"/>
      <c r="E63" s="469"/>
      <c r="F63" s="227" t="s">
        <v>250</v>
      </c>
      <c r="G63" s="57" t="str">
        <f>N5&amp;"와 "&amp;T5&amp;"의 평균 온도값과 기준온도와의 차"</f>
        <v>길이 변위계와 게이지 블록의 평균 온도값과 기준온도와의 차</v>
      </c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</row>
    <row r="64" spans="1:54" ht="18.75" customHeight="1">
      <c r="A64" s="72"/>
      <c r="B64" s="57"/>
      <c r="C64" s="469" t="s">
        <v>510</v>
      </c>
      <c r="D64" s="469"/>
      <c r="E64" s="469"/>
      <c r="F64" s="227" t="s">
        <v>250</v>
      </c>
      <c r="G64" s="57" t="str">
        <f>N5&amp;"의 분해능 한계에 대한 보정값 (기대값=0)"</f>
        <v>길이 변위계의 분해능 한계에 대한 보정값 (기대값=0)</v>
      </c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</row>
    <row r="65" spans="1:69" ht="18.75" customHeight="1">
      <c r="A65" s="72"/>
      <c r="B65" s="57"/>
      <c r="C65" s="469" t="s">
        <v>381</v>
      </c>
      <c r="D65" s="469"/>
      <c r="E65" s="469"/>
      <c r="F65" s="227" t="s">
        <v>250</v>
      </c>
      <c r="G65" s="57" t="s">
        <v>370</v>
      </c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</row>
    <row r="66" spans="1:69" ht="18.75" customHeight="1">
      <c r="A66" s="72"/>
      <c r="B66" s="57"/>
      <c r="C66" s="469"/>
      <c r="D66" s="469"/>
      <c r="E66" s="469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D66" s="59"/>
      <c r="BE66" s="59"/>
      <c r="BF66" s="59"/>
      <c r="BG66" s="59"/>
      <c r="BH66" s="59"/>
      <c r="BI66" s="59"/>
      <c r="BJ66" s="59"/>
      <c r="BK66" s="59"/>
      <c r="BL66" s="59"/>
      <c r="BM66" s="59"/>
      <c r="BN66" s="59"/>
      <c r="BO66" s="59"/>
      <c r="BP66" s="59"/>
      <c r="BQ66" s="59"/>
    </row>
    <row r="67" spans="1:69" ht="18.75" customHeight="1">
      <c r="A67" s="58" t="s">
        <v>254</v>
      </c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</row>
    <row r="68" spans="1:69" ht="18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</row>
    <row r="69" spans="1:69" ht="18.75" customHeight="1">
      <c r="A69" s="57"/>
      <c r="B69" s="57"/>
      <c r="C69" s="57" t="s">
        <v>255</v>
      </c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</row>
    <row r="70" spans="1:69" ht="18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</row>
    <row r="71" spans="1:69" ht="18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</row>
    <row r="72" spans="1:69" ht="18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</row>
    <row r="73" spans="1:69" ht="18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</row>
    <row r="74" spans="1:69" ht="18.75" customHeight="1">
      <c r="A74" s="61" t="s">
        <v>256</v>
      </c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</row>
    <row r="75" spans="1:69" ht="18.75" customHeight="1">
      <c r="A75" s="57"/>
      <c r="B75" s="420"/>
      <c r="C75" s="421"/>
      <c r="D75" s="417"/>
      <c r="E75" s="418"/>
      <c r="F75" s="418"/>
      <c r="G75" s="419"/>
      <c r="H75" s="416">
        <v>1</v>
      </c>
      <c r="I75" s="416"/>
      <c r="J75" s="416"/>
      <c r="K75" s="416"/>
      <c r="L75" s="416"/>
      <c r="M75" s="416"/>
      <c r="N75" s="416"/>
      <c r="O75" s="416">
        <v>2</v>
      </c>
      <c r="P75" s="416"/>
      <c r="Q75" s="416"/>
      <c r="R75" s="416"/>
      <c r="S75" s="416"/>
      <c r="T75" s="416"/>
      <c r="U75" s="416"/>
      <c r="V75" s="416">
        <v>3</v>
      </c>
      <c r="W75" s="416"/>
      <c r="X75" s="416"/>
      <c r="Y75" s="416"/>
      <c r="Z75" s="416"/>
      <c r="AA75" s="417">
        <v>4</v>
      </c>
      <c r="AB75" s="418"/>
      <c r="AC75" s="418"/>
      <c r="AD75" s="418"/>
      <c r="AE75" s="418"/>
      <c r="AF75" s="418"/>
      <c r="AG75" s="419"/>
      <c r="AH75" s="416">
        <v>5</v>
      </c>
      <c r="AI75" s="416"/>
      <c r="AJ75" s="416"/>
      <c r="AK75" s="416"/>
      <c r="AL75" s="416"/>
      <c r="AM75" s="416"/>
      <c r="AN75" s="416"/>
      <c r="AO75" s="416"/>
      <c r="AP75" s="416">
        <v>6</v>
      </c>
      <c r="AQ75" s="416"/>
      <c r="AR75" s="416"/>
      <c r="AS75" s="416"/>
      <c r="AT75" s="57"/>
    </row>
    <row r="76" spans="1:69" ht="18.75" customHeight="1">
      <c r="A76" s="57"/>
      <c r="B76" s="422"/>
      <c r="C76" s="423"/>
      <c r="D76" s="420" t="s">
        <v>172</v>
      </c>
      <c r="E76" s="426"/>
      <c r="F76" s="426"/>
      <c r="G76" s="421"/>
      <c r="H76" s="434" t="s">
        <v>173</v>
      </c>
      <c r="I76" s="434"/>
      <c r="J76" s="434"/>
      <c r="K76" s="434"/>
      <c r="L76" s="434"/>
      <c r="M76" s="434"/>
      <c r="N76" s="434"/>
      <c r="O76" s="434" t="s">
        <v>176</v>
      </c>
      <c r="P76" s="434"/>
      <c r="Q76" s="434"/>
      <c r="R76" s="434"/>
      <c r="S76" s="434"/>
      <c r="T76" s="434"/>
      <c r="U76" s="434"/>
      <c r="V76" s="434" t="s">
        <v>177</v>
      </c>
      <c r="W76" s="434"/>
      <c r="X76" s="434"/>
      <c r="Y76" s="434"/>
      <c r="Z76" s="434"/>
      <c r="AA76" s="420" t="s">
        <v>178</v>
      </c>
      <c r="AB76" s="426"/>
      <c r="AC76" s="426"/>
      <c r="AD76" s="426"/>
      <c r="AE76" s="426"/>
      <c r="AF76" s="426"/>
      <c r="AG76" s="421"/>
      <c r="AH76" s="434" t="s">
        <v>257</v>
      </c>
      <c r="AI76" s="434"/>
      <c r="AJ76" s="434"/>
      <c r="AK76" s="434"/>
      <c r="AL76" s="434"/>
      <c r="AM76" s="434"/>
      <c r="AN76" s="434"/>
      <c r="AO76" s="434"/>
      <c r="AP76" s="434" t="s">
        <v>180</v>
      </c>
      <c r="AQ76" s="434"/>
      <c r="AR76" s="434"/>
      <c r="AS76" s="434"/>
      <c r="AT76" s="57"/>
    </row>
    <row r="77" spans="1:69" ht="18.75" customHeight="1">
      <c r="A77" s="57"/>
      <c r="B77" s="424"/>
      <c r="C77" s="425"/>
      <c r="D77" s="427" t="s">
        <v>258</v>
      </c>
      <c r="E77" s="428"/>
      <c r="F77" s="428"/>
      <c r="G77" s="429"/>
      <c r="H77" s="430" t="s">
        <v>338</v>
      </c>
      <c r="I77" s="430"/>
      <c r="J77" s="430"/>
      <c r="K77" s="430"/>
      <c r="L77" s="430"/>
      <c r="M77" s="430"/>
      <c r="N77" s="430"/>
      <c r="O77" s="430" t="s">
        <v>339</v>
      </c>
      <c r="P77" s="430"/>
      <c r="Q77" s="430"/>
      <c r="R77" s="430"/>
      <c r="S77" s="430"/>
      <c r="T77" s="430"/>
      <c r="U77" s="430"/>
      <c r="V77" s="430"/>
      <c r="W77" s="430"/>
      <c r="X77" s="430"/>
      <c r="Y77" s="430"/>
      <c r="Z77" s="430"/>
      <c r="AA77" s="431" t="s">
        <v>337</v>
      </c>
      <c r="AB77" s="432"/>
      <c r="AC77" s="432"/>
      <c r="AD77" s="432"/>
      <c r="AE77" s="432"/>
      <c r="AF77" s="432"/>
      <c r="AG77" s="433"/>
      <c r="AH77" s="430" t="s">
        <v>340</v>
      </c>
      <c r="AI77" s="430"/>
      <c r="AJ77" s="430"/>
      <c r="AK77" s="430"/>
      <c r="AL77" s="430"/>
      <c r="AM77" s="430"/>
      <c r="AN77" s="430"/>
      <c r="AO77" s="430"/>
      <c r="AP77" s="430"/>
      <c r="AQ77" s="430"/>
      <c r="AR77" s="430"/>
      <c r="AS77" s="430"/>
      <c r="AT77" s="57"/>
    </row>
    <row r="78" spans="1:69" ht="18.75" customHeight="1">
      <c r="A78" s="57"/>
      <c r="B78" s="416" t="s">
        <v>183</v>
      </c>
      <c r="C78" s="416"/>
      <c r="D78" s="435" t="s">
        <v>252</v>
      </c>
      <c r="E78" s="436"/>
      <c r="F78" s="436"/>
      <c r="G78" s="437"/>
      <c r="H78" s="438" t="e">
        <f ca="1">Calcu!E54</f>
        <v>#N/A</v>
      </c>
      <c r="I78" s="439"/>
      <c r="J78" s="439"/>
      <c r="K78" s="439"/>
      <c r="L78" s="439"/>
      <c r="M78" s="440" t="str">
        <f>Calcu!F54</f>
        <v>mm</v>
      </c>
      <c r="N78" s="441"/>
      <c r="O78" s="442" t="e">
        <f ca="1">Calcu!J54</f>
        <v>#N/A</v>
      </c>
      <c r="P78" s="443"/>
      <c r="Q78" s="443"/>
      <c r="R78" s="443"/>
      <c r="S78" s="444" t="str">
        <f>Calcu!K54</f>
        <v>μm</v>
      </c>
      <c r="T78" s="440"/>
      <c r="U78" s="441"/>
      <c r="V78" s="416" t="str">
        <f>Calcu!L54</f>
        <v>정규</v>
      </c>
      <c r="W78" s="416"/>
      <c r="X78" s="416"/>
      <c r="Y78" s="416"/>
      <c r="Z78" s="416"/>
      <c r="AA78" s="417">
        <f>Calcu!O54</f>
        <v>1</v>
      </c>
      <c r="AB78" s="418"/>
      <c r="AC78" s="418"/>
      <c r="AD78" s="418"/>
      <c r="AE78" s="418"/>
      <c r="AF78" s="418"/>
      <c r="AG78" s="419"/>
      <c r="AH78" s="442" t="e">
        <f ca="1">Calcu!Q54</f>
        <v>#N/A</v>
      </c>
      <c r="AI78" s="443"/>
      <c r="AJ78" s="443"/>
      <c r="AK78" s="443"/>
      <c r="AL78" s="443"/>
      <c r="AM78" s="444" t="str">
        <f>Calcu!R54</f>
        <v>μm</v>
      </c>
      <c r="AN78" s="444"/>
      <c r="AO78" s="445"/>
      <c r="AP78" s="416" t="str">
        <f>Calcu!S54</f>
        <v>∞</v>
      </c>
      <c r="AQ78" s="416"/>
      <c r="AR78" s="416"/>
      <c r="AS78" s="416"/>
      <c r="AT78" s="57"/>
    </row>
    <row r="79" spans="1:69" ht="18.75" customHeight="1">
      <c r="A79" s="57"/>
      <c r="B79" s="416" t="s">
        <v>189</v>
      </c>
      <c r="C79" s="416"/>
      <c r="D79" s="435" t="s">
        <v>251</v>
      </c>
      <c r="E79" s="436"/>
      <c r="F79" s="436"/>
      <c r="G79" s="437"/>
      <c r="H79" s="438" t="e">
        <f ca="1">Calcu!E55</f>
        <v>#N/A</v>
      </c>
      <c r="I79" s="439"/>
      <c r="J79" s="439"/>
      <c r="K79" s="439"/>
      <c r="L79" s="439"/>
      <c r="M79" s="440" t="str">
        <f>Calcu!F55</f>
        <v>mm</v>
      </c>
      <c r="N79" s="441"/>
      <c r="O79" s="442">
        <f>Calcu!J55</f>
        <v>0</v>
      </c>
      <c r="P79" s="443"/>
      <c r="Q79" s="443"/>
      <c r="R79" s="443"/>
      <c r="S79" s="444" t="str">
        <f>Calcu!K55</f>
        <v>μm</v>
      </c>
      <c r="T79" s="440"/>
      <c r="U79" s="441"/>
      <c r="V79" s="416" t="str">
        <f>Calcu!L55</f>
        <v>직사각형</v>
      </c>
      <c r="W79" s="416"/>
      <c r="X79" s="416"/>
      <c r="Y79" s="416"/>
      <c r="Z79" s="416"/>
      <c r="AA79" s="417">
        <f>Calcu!O55</f>
        <v>-1</v>
      </c>
      <c r="AB79" s="418"/>
      <c r="AC79" s="418"/>
      <c r="AD79" s="418"/>
      <c r="AE79" s="418"/>
      <c r="AF79" s="418"/>
      <c r="AG79" s="419"/>
      <c r="AH79" s="442">
        <f>Calcu!Q55</f>
        <v>0</v>
      </c>
      <c r="AI79" s="443"/>
      <c r="AJ79" s="443"/>
      <c r="AK79" s="443"/>
      <c r="AL79" s="443"/>
      <c r="AM79" s="444" t="str">
        <f>Calcu!R55</f>
        <v>μm</v>
      </c>
      <c r="AN79" s="444"/>
      <c r="AO79" s="445"/>
      <c r="AP79" s="416" t="str">
        <f>Calcu!S55</f>
        <v>∞</v>
      </c>
      <c r="AQ79" s="416"/>
      <c r="AR79" s="416"/>
      <c r="AS79" s="416"/>
      <c r="AT79" s="57"/>
    </row>
    <row r="80" spans="1:69" ht="18.75" customHeight="1">
      <c r="A80" s="57"/>
      <c r="B80" s="416" t="s">
        <v>82</v>
      </c>
      <c r="C80" s="416"/>
      <c r="D80" s="435"/>
      <c r="E80" s="436"/>
      <c r="F80" s="436"/>
      <c r="G80" s="437"/>
      <c r="H80" s="438" t="e">
        <f ca="1">Calcu!E56</f>
        <v>#N/A</v>
      </c>
      <c r="I80" s="439"/>
      <c r="J80" s="439"/>
      <c r="K80" s="439"/>
      <c r="L80" s="439"/>
      <c r="M80" s="440" t="str">
        <f>Calcu!F56</f>
        <v>/℃</v>
      </c>
      <c r="N80" s="441"/>
      <c r="O80" s="450">
        <f>Calcu!J56</f>
        <v>4.0824829046386305E-7</v>
      </c>
      <c r="P80" s="440"/>
      <c r="Q80" s="440"/>
      <c r="R80" s="440"/>
      <c r="S80" s="444" t="str">
        <f>Calcu!K56</f>
        <v>/℃</v>
      </c>
      <c r="T80" s="440"/>
      <c r="U80" s="441"/>
      <c r="V80" s="416" t="str">
        <f>Calcu!L56</f>
        <v>삼각형</v>
      </c>
      <c r="W80" s="416"/>
      <c r="X80" s="416"/>
      <c r="Y80" s="416"/>
      <c r="Z80" s="416"/>
      <c r="AA80" s="446">
        <f>Calcu!O56</f>
        <v>0</v>
      </c>
      <c r="AB80" s="447"/>
      <c r="AC80" s="447"/>
      <c r="AD80" s="447"/>
      <c r="AE80" s="448" t="str">
        <f>Calcu!P56</f>
        <v>℃·μm</v>
      </c>
      <c r="AF80" s="448"/>
      <c r="AG80" s="449"/>
      <c r="AH80" s="442">
        <f>Calcu!Q56</f>
        <v>0</v>
      </c>
      <c r="AI80" s="443"/>
      <c r="AJ80" s="443"/>
      <c r="AK80" s="443"/>
      <c r="AL80" s="443"/>
      <c r="AM80" s="444" t="str">
        <f>Calcu!R56</f>
        <v>μm</v>
      </c>
      <c r="AN80" s="444"/>
      <c r="AO80" s="445"/>
      <c r="AP80" s="416">
        <f>Calcu!S56</f>
        <v>100</v>
      </c>
      <c r="AQ80" s="416"/>
      <c r="AR80" s="416"/>
      <c r="AS80" s="416"/>
      <c r="AT80" s="57"/>
    </row>
    <row r="81" spans="1:46" ht="18.75" customHeight="1">
      <c r="A81" s="57"/>
      <c r="B81" s="416" t="s">
        <v>83</v>
      </c>
      <c r="C81" s="416"/>
      <c r="D81" s="435" t="s">
        <v>155</v>
      </c>
      <c r="E81" s="436"/>
      <c r="F81" s="436"/>
      <c r="G81" s="437"/>
      <c r="H81" s="438" t="str">
        <f>Calcu!E57</f>
        <v/>
      </c>
      <c r="I81" s="439"/>
      <c r="J81" s="439"/>
      <c r="K81" s="439"/>
      <c r="L81" s="439"/>
      <c r="M81" s="440" t="str">
        <f>Calcu!F57</f>
        <v>℃</v>
      </c>
      <c r="N81" s="441"/>
      <c r="O81" s="442">
        <f>Calcu!J57</f>
        <v>0.28867513459481292</v>
      </c>
      <c r="P81" s="443"/>
      <c r="Q81" s="443"/>
      <c r="R81" s="443"/>
      <c r="S81" s="444" t="str">
        <f>Calcu!K57</f>
        <v>℃</v>
      </c>
      <c r="T81" s="440"/>
      <c r="U81" s="441"/>
      <c r="V81" s="416" t="str">
        <f>Calcu!L57</f>
        <v>직사각형</v>
      </c>
      <c r="W81" s="416"/>
      <c r="X81" s="416"/>
      <c r="Y81" s="416"/>
      <c r="Z81" s="416"/>
      <c r="AA81" s="446" t="e">
        <f ca="1">Calcu!O57</f>
        <v>#N/A</v>
      </c>
      <c r="AB81" s="447"/>
      <c r="AC81" s="447"/>
      <c r="AD81" s="447"/>
      <c r="AE81" s="448" t="str">
        <f>Calcu!P57</f>
        <v>/℃·μm</v>
      </c>
      <c r="AF81" s="448"/>
      <c r="AG81" s="449"/>
      <c r="AH81" s="442" t="e">
        <f ca="1">Calcu!Q57</f>
        <v>#N/A</v>
      </c>
      <c r="AI81" s="443"/>
      <c r="AJ81" s="443"/>
      <c r="AK81" s="443"/>
      <c r="AL81" s="443"/>
      <c r="AM81" s="444" t="str">
        <f>Calcu!R57</f>
        <v>μm</v>
      </c>
      <c r="AN81" s="444"/>
      <c r="AO81" s="445"/>
      <c r="AP81" s="416">
        <f>Calcu!S57</f>
        <v>12</v>
      </c>
      <c r="AQ81" s="416"/>
      <c r="AR81" s="416"/>
      <c r="AS81" s="416"/>
      <c r="AT81" s="57"/>
    </row>
    <row r="82" spans="1:46" ht="18.75" customHeight="1">
      <c r="A82" s="57"/>
      <c r="B82" s="416" t="s">
        <v>196</v>
      </c>
      <c r="C82" s="416"/>
      <c r="D82" s="435" t="s">
        <v>156</v>
      </c>
      <c r="E82" s="436"/>
      <c r="F82" s="436"/>
      <c r="G82" s="437"/>
      <c r="H82" s="438" t="e">
        <f ca="1">Calcu!E58</f>
        <v>#N/A</v>
      </c>
      <c r="I82" s="439"/>
      <c r="J82" s="439"/>
      <c r="K82" s="439"/>
      <c r="L82" s="439"/>
      <c r="M82" s="440" t="str">
        <f>Calcu!F58</f>
        <v>/℃</v>
      </c>
      <c r="N82" s="441"/>
      <c r="O82" s="450">
        <f>Calcu!J58</f>
        <v>8.1649658092772609E-7</v>
      </c>
      <c r="P82" s="440"/>
      <c r="Q82" s="440"/>
      <c r="R82" s="440"/>
      <c r="S82" s="444" t="str">
        <f>Calcu!K58</f>
        <v>/℃</v>
      </c>
      <c r="T82" s="440"/>
      <c r="U82" s="441"/>
      <c r="V82" s="416" t="str">
        <f>Calcu!L58</f>
        <v>삼각형</v>
      </c>
      <c r="W82" s="416"/>
      <c r="X82" s="416"/>
      <c r="Y82" s="416"/>
      <c r="Z82" s="416"/>
      <c r="AA82" s="446">
        <f>Calcu!O58</f>
        <v>0</v>
      </c>
      <c r="AB82" s="447"/>
      <c r="AC82" s="447"/>
      <c r="AD82" s="447"/>
      <c r="AE82" s="448" t="str">
        <f>Calcu!P58</f>
        <v>℃·μm</v>
      </c>
      <c r="AF82" s="448"/>
      <c r="AG82" s="449"/>
      <c r="AH82" s="442">
        <f>Calcu!Q58</f>
        <v>0</v>
      </c>
      <c r="AI82" s="443"/>
      <c r="AJ82" s="443"/>
      <c r="AK82" s="443"/>
      <c r="AL82" s="443"/>
      <c r="AM82" s="444" t="str">
        <f>Calcu!R58</f>
        <v>μm</v>
      </c>
      <c r="AN82" s="444"/>
      <c r="AO82" s="445"/>
      <c r="AP82" s="416">
        <f>Calcu!S58</f>
        <v>100</v>
      </c>
      <c r="AQ82" s="416"/>
      <c r="AR82" s="416"/>
      <c r="AS82" s="416"/>
      <c r="AT82" s="57"/>
    </row>
    <row r="83" spans="1:46" ht="18.75" customHeight="1">
      <c r="A83" s="57"/>
      <c r="B83" s="416" t="s">
        <v>199</v>
      </c>
      <c r="C83" s="416"/>
      <c r="D83" s="435" t="s">
        <v>157</v>
      </c>
      <c r="E83" s="436"/>
      <c r="F83" s="436"/>
      <c r="G83" s="437"/>
      <c r="H83" s="438">
        <f>Calcu!E59</f>
        <v>0.1</v>
      </c>
      <c r="I83" s="439"/>
      <c r="J83" s="439"/>
      <c r="K83" s="439"/>
      <c r="L83" s="439"/>
      <c r="M83" s="440" t="str">
        <f>Calcu!F59</f>
        <v>℃</v>
      </c>
      <c r="N83" s="441"/>
      <c r="O83" s="442">
        <f>Calcu!J59</f>
        <v>0.57735026918962584</v>
      </c>
      <c r="P83" s="443"/>
      <c r="Q83" s="443"/>
      <c r="R83" s="443"/>
      <c r="S83" s="444" t="str">
        <f>Calcu!K59</f>
        <v>℃</v>
      </c>
      <c r="T83" s="440"/>
      <c r="U83" s="441"/>
      <c r="V83" s="416" t="str">
        <f>Calcu!L59</f>
        <v>직사각형</v>
      </c>
      <c r="W83" s="416"/>
      <c r="X83" s="416"/>
      <c r="Y83" s="416"/>
      <c r="Z83" s="416"/>
      <c r="AA83" s="446" t="e">
        <f ca="1">Calcu!O59</f>
        <v>#N/A</v>
      </c>
      <c r="AB83" s="447"/>
      <c r="AC83" s="447"/>
      <c r="AD83" s="447"/>
      <c r="AE83" s="448" t="str">
        <f>Calcu!P59</f>
        <v>/℃·μm</v>
      </c>
      <c r="AF83" s="448"/>
      <c r="AG83" s="449"/>
      <c r="AH83" s="442" t="e">
        <f ca="1">Calcu!Q59</f>
        <v>#N/A</v>
      </c>
      <c r="AI83" s="443"/>
      <c r="AJ83" s="443"/>
      <c r="AK83" s="443"/>
      <c r="AL83" s="443"/>
      <c r="AM83" s="444" t="str">
        <f>Calcu!R59</f>
        <v>μm</v>
      </c>
      <c r="AN83" s="444"/>
      <c r="AO83" s="445"/>
      <c r="AP83" s="416">
        <f>Calcu!S59</f>
        <v>12</v>
      </c>
      <c r="AQ83" s="416"/>
      <c r="AR83" s="416"/>
      <c r="AS83" s="416"/>
      <c r="AT83" s="57"/>
    </row>
    <row r="84" spans="1:46" ht="18.75" customHeight="1">
      <c r="A84" s="57"/>
      <c r="B84" s="416" t="s">
        <v>200</v>
      </c>
      <c r="C84" s="416"/>
      <c r="D84" s="435" t="s">
        <v>511</v>
      </c>
      <c r="E84" s="436"/>
      <c r="F84" s="436"/>
      <c r="G84" s="437"/>
      <c r="H84" s="438">
        <f>Calcu!E60</f>
        <v>0</v>
      </c>
      <c r="I84" s="439"/>
      <c r="J84" s="439"/>
      <c r="K84" s="439"/>
      <c r="L84" s="439"/>
      <c r="M84" s="440" t="str">
        <f>Calcu!F60</f>
        <v>mm</v>
      </c>
      <c r="N84" s="441"/>
      <c r="O84" s="442">
        <f>Calcu!J60</f>
        <v>0</v>
      </c>
      <c r="P84" s="443"/>
      <c r="Q84" s="443"/>
      <c r="R84" s="443"/>
      <c r="S84" s="444" t="str">
        <f>Calcu!K60</f>
        <v>μm</v>
      </c>
      <c r="T84" s="440"/>
      <c r="U84" s="441"/>
      <c r="V84" s="416" t="str">
        <f>Calcu!L60</f>
        <v>직사각형</v>
      </c>
      <c r="W84" s="416"/>
      <c r="X84" s="416"/>
      <c r="Y84" s="416"/>
      <c r="Z84" s="416"/>
      <c r="AA84" s="417">
        <f>Calcu!O60</f>
        <v>1</v>
      </c>
      <c r="AB84" s="418"/>
      <c r="AC84" s="418"/>
      <c r="AD84" s="418"/>
      <c r="AE84" s="418"/>
      <c r="AF84" s="418"/>
      <c r="AG84" s="419"/>
      <c r="AH84" s="442">
        <f>Calcu!Q60</f>
        <v>0</v>
      </c>
      <c r="AI84" s="443"/>
      <c r="AJ84" s="443"/>
      <c r="AK84" s="443"/>
      <c r="AL84" s="443"/>
      <c r="AM84" s="444" t="str">
        <f>Calcu!R60</f>
        <v>μm</v>
      </c>
      <c r="AN84" s="444"/>
      <c r="AO84" s="445"/>
      <c r="AP84" s="416" t="str">
        <f>Calcu!S60</f>
        <v>∞</v>
      </c>
      <c r="AQ84" s="416"/>
      <c r="AR84" s="416"/>
      <c r="AS84" s="416"/>
      <c r="AT84" s="57"/>
    </row>
    <row r="85" spans="1:46" ht="18.75" customHeight="1">
      <c r="A85" s="57"/>
      <c r="B85" s="416" t="s">
        <v>203</v>
      </c>
      <c r="C85" s="416"/>
      <c r="D85" s="435" t="s">
        <v>381</v>
      </c>
      <c r="E85" s="436"/>
      <c r="F85" s="436"/>
      <c r="G85" s="437"/>
      <c r="H85" s="438">
        <f>Calcu!E61</f>
        <v>0</v>
      </c>
      <c r="I85" s="439"/>
      <c r="J85" s="439"/>
      <c r="K85" s="439"/>
      <c r="L85" s="439"/>
      <c r="M85" s="440" t="str">
        <f>Calcu!F61</f>
        <v>mm</v>
      </c>
      <c r="N85" s="441"/>
      <c r="O85" s="442">
        <f>Calcu!J61</f>
        <v>0</v>
      </c>
      <c r="P85" s="443"/>
      <c r="Q85" s="443"/>
      <c r="R85" s="443"/>
      <c r="S85" s="444" t="str">
        <f>Calcu!K61</f>
        <v>μm</v>
      </c>
      <c r="T85" s="440"/>
      <c r="U85" s="441"/>
      <c r="V85" s="416" t="str">
        <f>Calcu!L61</f>
        <v>직사각형</v>
      </c>
      <c r="W85" s="416"/>
      <c r="X85" s="416"/>
      <c r="Y85" s="416"/>
      <c r="Z85" s="416"/>
      <c r="AA85" s="417">
        <f>Calcu!O61</f>
        <v>1</v>
      </c>
      <c r="AB85" s="418"/>
      <c r="AC85" s="418"/>
      <c r="AD85" s="418"/>
      <c r="AE85" s="418"/>
      <c r="AF85" s="418"/>
      <c r="AG85" s="419"/>
      <c r="AH85" s="442">
        <f>Calcu!Q61</f>
        <v>0</v>
      </c>
      <c r="AI85" s="443"/>
      <c r="AJ85" s="443"/>
      <c r="AK85" s="443"/>
      <c r="AL85" s="443"/>
      <c r="AM85" s="444" t="str">
        <f>Calcu!R61</f>
        <v>μm</v>
      </c>
      <c r="AN85" s="444"/>
      <c r="AO85" s="445"/>
      <c r="AP85" s="416" t="str">
        <f>Calcu!S61</f>
        <v>∞</v>
      </c>
      <c r="AQ85" s="416"/>
      <c r="AR85" s="416"/>
      <c r="AS85" s="416"/>
      <c r="AT85" s="57"/>
    </row>
    <row r="86" spans="1:46" ht="18.75" customHeight="1">
      <c r="A86" s="57"/>
      <c r="B86" s="416" t="s">
        <v>205</v>
      </c>
      <c r="C86" s="416"/>
      <c r="D86" s="435" t="s">
        <v>325</v>
      </c>
      <c r="E86" s="436"/>
      <c r="F86" s="436"/>
      <c r="G86" s="437"/>
      <c r="H86" s="438" t="e">
        <f ca="1">Calcu!E62</f>
        <v>#N/A</v>
      </c>
      <c r="I86" s="439"/>
      <c r="J86" s="439"/>
      <c r="K86" s="439"/>
      <c r="L86" s="439"/>
      <c r="M86" s="440" t="str">
        <f>Calcu!F62</f>
        <v>mm</v>
      </c>
      <c r="N86" s="441"/>
      <c r="O86" s="417"/>
      <c r="P86" s="418"/>
      <c r="Q86" s="418"/>
      <c r="R86" s="418"/>
      <c r="S86" s="418"/>
      <c r="T86" s="418"/>
      <c r="U86" s="419"/>
      <c r="V86" s="416"/>
      <c r="W86" s="416"/>
      <c r="X86" s="416"/>
      <c r="Y86" s="416"/>
      <c r="Z86" s="416"/>
      <c r="AA86" s="417"/>
      <c r="AB86" s="418"/>
      <c r="AC86" s="418"/>
      <c r="AD86" s="418"/>
      <c r="AE86" s="418"/>
      <c r="AF86" s="418"/>
      <c r="AG86" s="419"/>
      <c r="AH86" s="442" t="e">
        <f ca="1">Calcu!Q62</f>
        <v>#N/A</v>
      </c>
      <c r="AI86" s="443"/>
      <c r="AJ86" s="443"/>
      <c r="AK86" s="443"/>
      <c r="AL86" s="443"/>
      <c r="AM86" s="444" t="str">
        <f>Calcu!R62</f>
        <v>μm</v>
      </c>
      <c r="AN86" s="444"/>
      <c r="AO86" s="445"/>
      <c r="AP86" s="416" t="e">
        <f ca="1">Calcu!S62</f>
        <v>#N/A</v>
      </c>
      <c r="AQ86" s="416"/>
      <c r="AR86" s="416"/>
      <c r="AS86" s="416"/>
      <c r="AT86" s="57"/>
    </row>
    <row r="87" spans="1:46" ht="18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</row>
    <row r="88" spans="1:46" ht="18.75" customHeight="1">
      <c r="A88" s="58" t="s">
        <v>259</v>
      </c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</row>
    <row r="89" spans="1:46" ht="18.75" customHeight="1">
      <c r="A89" s="57"/>
      <c r="B89" s="61" t="str">
        <f>"1. "&amp;T5&amp;"의 표준불확도,"</f>
        <v>1. 게이지 블록의 표준불확도,</v>
      </c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238" t="s">
        <v>371</v>
      </c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</row>
    <row r="90" spans="1:46" ht="18.75" customHeight="1">
      <c r="A90" s="57"/>
      <c r="B90" s="61"/>
      <c r="C90" s="57" t="str">
        <f>"※ 교정성적서에 주어진 "&amp;T5&amp;"의 측정불확도를 포함인자로 나누어 구한다."</f>
        <v>※ 교정성적서에 주어진 게이지 블록의 측정불확도를 포함인자로 나누어 구한다.</v>
      </c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</row>
    <row r="91" spans="1:46" ht="18.75" customHeight="1">
      <c r="A91" s="57"/>
      <c r="B91" s="57"/>
      <c r="C91" s="57" t="s">
        <v>326</v>
      </c>
      <c r="D91" s="57"/>
      <c r="E91" s="57"/>
      <c r="F91" s="57"/>
      <c r="G91" s="57"/>
      <c r="H91" s="57"/>
      <c r="I91" s="472" t="e">
        <f ca="1">H78</f>
        <v>#N/A</v>
      </c>
      <c r="J91" s="472"/>
      <c r="K91" s="472"/>
      <c r="L91" s="472"/>
      <c r="M91" s="472"/>
      <c r="N91" s="455" t="str">
        <f>M78</f>
        <v>mm</v>
      </c>
      <c r="O91" s="455"/>
      <c r="P91" s="229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</row>
    <row r="92" spans="1:46" ht="18.75" customHeight="1">
      <c r="A92" s="57"/>
      <c r="B92" s="61"/>
      <c r="C92" s="211" t="s">
        <v>372</v>
      </c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</row>
    <row r="93" spans="1:46" ht="18.75" customHeight="1">
      <c r="A93" s="57"/>
      <c r="B93" s="57"/>
      <c r="C93" s="466" t="s">
        <v>262</v>
      </c>
      <c r="D93" s="466"/>
      <c r="E93" s="466"/>
      <c r="F93" s="466"/>
      <c r="G93" s="466"/>
      <c r="H93" s="466"/>
      <c r="I93" s="466"/>
      <c r="J93" s="469" t="s">
        <v>438</v>
      </c>
      <c r="K93" s="469"/>
      <c r="L93" s="469"/>
      <c r="M93" s="469" t="s">
        <v>265</v>
      </c>
      <c r="N93" s="428" t="s">
        <v>88</v>
      </c>
      <c r="O93" s="428"/>
      <c r="P93" s="469" t="s">
        <v>265</v>
      </c>
      <c r="Q93" s="468" t="e">
        <f ca="1">Calcu!G54</f>
        <v>#N/A</v>
      </c>
      <c r="R93" s="468"/>
      <c r="S93" s="468"/>
      <c r="T93" s="101" t="s">
        <v>144</v>
      </c>
      <c r="U93" s="101"/>
      <c r="V93" s="101"/>
      <c r="W93" s="469" t="s">
        <v>265</v>
      </c>
      <c r="X93" s="457" t="e">
        <f ca="1">Q93/2</f>
        <v>#N/A</v>
      </c>
      <c r="Y93" s="457"/>
      <c r="Z93" s="457"/>
      <c r="AA93" s="471" t="str">
        <f>T93</f>
        <v>μm</v>
      </c>
      <c r="AB93" s="471"/>
      <c r="AC93" s="229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</row>
    <row r="94" spans="1:46" ht="18.75" customHeight="1">
      <c r="A94" s="57"/>
      <c r="B94" s="57"/>
      <c r="C94" s="466"/>
      <c r="D94" s="466"/>
      <c r="E94" s="466"/>
      <c r="F94" s="466"/>
      <c r="G94" s="466"/>
      <c r="H94" s="466"/>
      <c r="I94" s="466"/>
      <c r="J94" s="469"/>
      <c r="K94" s="469"/>
      <c r="L94" s="469"/>
      <c r="M94" s="469"/>
      <c r="N94" s="467" t="s">
        <v>89</v>
      </c>
      <c r="O94" s="467"/>
      <c r="P94" s="469"/>
      <c r="Q94" s="426">
        <v>2</v>
      </c>
      <c r="R94" s="426"/>
      <c r="S94" s="426"/>
      <c r="T94" s="426"/>
      <c r="U94" s="426"/>
      <c r="V94" s="426"/>
      <c r="W94" s="469"/>
      <c r="X94" s="457"/>
      <c r="Y94" s="457"/>
      <c r="Z94" s="457"/>
      <c r="AA94" s="471"/>
      <c r="AB94" s="471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</row>
    <row r="95" spans="1:46" ht="18.75" customHeight="1">
      <c r="A95" s="57"/>
      <c r="B95" s="61"/>
      <c r="C95" s="211" t="s">
        <v>345</v>
      </c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</row>
    <row r="96" spans="1:46" ht="18.75" customHeight="1">
      <c r="A96" s="57"/>
      <c r="B96" s="61"/>
      <c r="C96" s="466" t="s">
        <v>262</v>
      </c>
      <c r="D96" s="466"/>
      <c r="E96" s="466"/>
      <c r="F96" s="466"/>
      <c r="G96" s="466"/>
      <c r="H96" s="466"/>
      <c r="I96" s="466"/>
      <c r="J96" s="469" t="s">
        <v>438</v>
      </c>
      <c r="K96" s="469"/>
      <c r="L96" s="469"/>
      <c r="M96" s="469" t="s">
        <v>265</v>
      </c>
      <c r="N96" s="428" t="s">
        <v>88</v>
      </c>
      <c r="O96" s="428"/>
      <c r="P96" s="469" t="s">
        <v>265</v>
      </c>
      <c r="Q96" s="212"/>
      <c r="R96" s="478" t="e">
        <f ca="1">Calcu!G54</f>
        <v>#N/A</v>
      </c>
      <c r="S96" s="478"/>
      <c r="T96" s="212"/>
      <c r="U96" s="212"/>
      <c r="V96" s="478" t="e">
        <f ca="1">Calcu!H54</f>
        <v>#N/A</v>
      </c>
      <c r="W96" s="478"/>
      <c r="X96" s="212"/>
      <c r="Y96" s="212"/>
      <c r="Z96" s="212"/>
      <c r="AA96" s="212"/>
      <c r="AB96" s="212"/>
      <c r="AC96" s="451" t="s">
        <v>265</v>
      </c>
      <c r="AD96" s="212"/>
      <c r="AE96" s="478" t="e">
        <f ca="1">R96</f>
        <v>#N/A</v>
      </c>
      <c r="AF96" s="478"/>
      <c r="AG96" s="212"/>
      <c r="AH96" s="212"/>
      <c r="AI96" s="478" t="e">
        <f ca="1">V96</f>
        <v>#N/A</v>
      </c>
      <c r="AJ96" s="478"/>
      <c r="AK96" s="212"/>
      <c r="AL96" s="478">
        <f>Calcu!L3</f>
        <v>0</v>
      </c>
      <c r="AM96" s="478"/>
      <c r="AN96" s="478"/>
      <c r="AO96" s="212" t="s">
        <v>373</v>
      </c>
      <c r="AP96" s="212"/>
      <c r="AQ96" s="212"/>
      <c r="AR96" s="212"/>
      <c r="AS96" s="212"/>
      <c r="AT96" s="57"/>
    </row>
    <row r="97" spans="1:48" ht="18.75" customHeight="1">
      <c r="A97" s="57"/>
      <c r="B97" s="61"/>
      <c r="C97" s="466"/>
      <c r="D97" s="466"/>
      <c r="E97" s="466"/>
      <c r="F97" s="466"/>
      <c r="G97" s="466"/>
      <c r="H97" s="466"/>
      <c r="I97" s="466"/>
      <c r="J97" s="469"/>
      <c r="K97" s="469"/>
      <c r="L97" s="469"/>
      <c r="M97" s="469"/>
      <c r="N97" s="467" t="s">
        <v>89</v>
      </c>
      <c r="O97" s="467"/>
      <c r="P97" s="469"/>
      <c r="Q97" s="426">
        <v>2</v>
      </c>
      <c r="R97" s="426"/>
      <c r="S97" s="426"/>
      <c r="T97" s="426"/>
      <c r="U97" s="426"/>
      <c r="V97" s="426"/>
      <c r="W97" s="426"/>
      <c r="X97" s="426"/>
      <c r="Y97" s="426"/>
      <c r="Z97" s="426"/>
      <c r="AA97" s="426"/>
      <c r="AB97" s="426"/>
      <c r="AC97" s="451"/>
      <c r="AD97" s="426">
        <v>2</v>
      </c>
      <c r="AE97" s="426"/>
      <c r="AF97" s="426"/>
      <c r="AG97" s="426"/>
      <c r="AH97" s="426"/>
      <c r="AI97" s="426"/>
      <c r="AJ97" s="426"/>
      <c r="AK97" s="426"/>
      <c r="AL97" s="426"/>
      <c r="AM97" s="426"/>
      <c r="AN97" s="426"/>
      <c r="AO97" s="426"/>
      <c r="AP97" s="426"/>
      <c r="AQ97" s="426"/>
      <c r="AR97" s="426"/>
      <c r="AS97" s="426"/>
      <c r="AT97" s="57"/>
    </row>
    <row r="98" spans="1:48" ht="18.75" customHeight="1">
      <c r="A98" s="57"/>
      <c r="B98" s="61"/>
      <c r="C98" s="211"/>
      <c r="D98" s="57"/>
      <c r="E98" s="57"/>
      <c r="F98" s="57"/>
      <c r="G98" s="57"/>
      <c r="H98" s="57"/>
      <c r="I98" s="57"/>
      <c r="J98" s="235"/>
      <c r="K98" s="235"/>
      <c r="L98" s="235"/>
      <c r="M98" s="234" t="s">
        <v>265</v>
      </c>
      <c r="N98" s="490" t="e">
        <f ca="1">SQRT(SUMSQ(AE96,AI96*AL96))/2/1000</f>
        <v>#N/A</v>
      </c>
      <c r="O98" s="451"/>
      <c r="P98" s="451"/>
      <c r="Q98" s="226" t="s">
        <v>144</v>
      </c>
      <c r="R98" s="227"/>
      <c r="S98" s="227"/>
      <c r="T98" s="227"/>
      <c r="U98" s="227"/>
      <c r="V98" s="227"/>
      <c r="W98" s="227"/>
      <c r="X98" s="227"/>
      <c r="Y98" s="227"/>
      <c r="Z98" s="227"/>
      <c r="AA98" s="227"/>
      <c r="AB98" s="227"/>
      <c r="AC98" s="227"/>
      <c r="AD98" s="227"/>
      <c r="AE98" s="227"/>
      <c r="AF98" s="227"/>
      <c r="AG98" s="227"/>
      <c r="AH98" s="227"/>
      <c r="AI98" s="227"/>
      <c r="AJ98" s="227"/>
      <c r="AK98" s="227"/>
      <c r="AL98" s="227"/>
      <c r="AM98" s="227"/>
      <c r="AN98" s="227"/>
      <c r="AO98" s="227"/>
      <c r="AP98" s="227"/>
      <c r="AQ98" s="227"/>
      <c r="AR98" s="227"/>
      <c r="AS98" s="57"/>
      <c r="AT98" s="57"/>
    </row>
    <row r="99" spans="1:48" ht="18.75" customHeight="1">
      <c r="A99" s="57"/>
      <c r="B99" s="57"/>
      <c r="C99" s="57" t="s">
        <v>327</v>
      </c>
      <c r="D99" s="57"/>
      <c r="E99" s="57"/>
      <c r="F99" s="57"/>
      <c r="G99" s="57"/>
      <c r="H99" s="57"/>
      <c r="I99" s="459" t="str">
        <f>V78</f>
        <v>정규</v>
      </c>
      <c r="J99" s="459"/>
      <c r="K99" s="459"/>
      <c r="L99" s="459"/>
      <c r="M99" s="459"/>
      <c r="N99" s="459"/>
      <c r="O99" s="459"/>
      <c r="P99" s="459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</row>
    <row r="100" spans="1:48" ht="18.75" customHeight="1">
      <c r="A100" s="57"/>
      <c r="B100" s="57"/>
      <c r="C100" s="462" t="s">
        <v>266</v>
      </c>
      <c r="D100" s="462"/>
      <c r="E100" s="462"/>
      <c r="F100" s="462"/>
      <c r="G100" s="462"/>
      <c r="H100" s="462"/>
      <c r="I100" s="226"/>
      <c r="J100" s="226"/>
      <c r="K100" s="57"/>
      <c r="L100" s="57"/>
      <c r="N100" s="459">
        <f>AA78</f>
        <v>1</v>
      </c>
      <c r="O100" s="459"/>
      <c r="P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</row>
    <row r="101" spans="1:48" ht="18.75" customHeight="1">
      <c r="A101" s="57"/>
      <c r="B101" s="57"/>
      <c r="C101" s="462"/>
      <c r="D101" s="462"/>
      <c r="E101" s="462"/>
      <c r="F101" s="462"/>
      <c r="G101" s="462"/>
      <c r="H101" s="462"/>
      <c r="I101" s="228"/>
      <c r="J101" s="228"/>
      <c r="K101" s="57"/>
      <c r="L101" s="57"/>
      <c r="N101" s="459"/>
      <c r="O101" s="459"/>
      <c r="P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</row>
    <row r="102" spans="1:48" s="57" customFormat="1" ht="18.75" customHeight="1">
      <c r="C102" s="57" t="s">
        <v>84</v>
      </c>
      <c r="K102" s="236" t="s">
        <v>85</v>
      </c>
      <c r="L102" s="479">
        <f>N100</f>
        <v>1</v>
      </c>
      <c r="M102" s="479"/>
      <c r="N102" s="259" t="s">
        <v>86</v>
      </c>
      <c r="O102" s="457" t="e">
        <f ca="1">Calcu!J54</f>
        <v>#N/A</v>
      </c>
      <c r="P102" s="457"/>
      <c r="Q102" s="457"/>
      <c r="R102" s="471" t="str">
        <f>AA93</f>
        <v>μm</v>
      </c>
      <c r="S102" s="455"/>
      <c r="T102" s="236" t="s">
        <v>85</v>
      </c>
      <c r="U102" s="74" t="s">
        <v>265</v>
      </c>
      <c r="V102" s="457" t="e">
        <f ca="1">O102</f>
        <v>#N/A</v>
      </c>
      <c r="W102" s="457"/>
      <c r="X102" s="457"/>
      <c r="Y102" s="471" t="str">
        <f>R102</f>
        <v>μm</v>
      </c>
      <c r="Z102" s="455"/>
      <c r="AA102" s="229"/>
      <c r="AB102" s="226"/>
      <c r="AC102" s="226"/>
    </row>
    <row r="103" spans="1:48" ht="18.75" customHeight="1">
      <c r="A103" s="57"/>
      <c r="B103" s="57"/>
      <c r="C103" s="226" t="s">
        <v>87</v>
      </c>
      <c r="D103" s="226"/>
      <c r="E103" s="226"/>
      <c r="F103" s="226"/>
      <c r="G103" s="226"/>
      <c r="I103" s="115" t="s">
        <v>354</v>
      </c>
      <c r="J103" s="57"/>
      <c r="K103" s="57"/>
      <c r="L103" s="57"/>
      <c r="M103" s="57"/>
      <c r="N103" s="57"/>
      <c r="O103" s="57"/>
      <c r="P103" s="57"/>
      <c r="Q103" s="57"/>
      <c r="R103" s="57"/>
      <c r="U103" s="213"/>
      <c r="V103" s="213"/>
      <c r="W103" s="57"/>
      <c r="Y103" s="57"/>
      <c r="Z103" s="57"/>
      <c r="AA103" s="57"/>
      <c r="AB103" s="57"/>
      <c r="AC103" s="57"/>
      <c r="AD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</row>
    <row r="104" spans="1:48" ht="18.75" customHeight="1">
      <c r="A104" s="57"/>
      <c r="B104" s="57"/>
      <c r="C104" s="226"/>
      <c r="D104" s="226"/>
      <c r="E104" s="226"/>
      <c r="F104" s="226"/>
      <c r="G104" s="226"/>
      <c r="H104" s="62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U104" s="213"/>
      <c r="V104" s="213"/>
      <c r="W104" s="57"/>
      <c r="X104" s="57"/>
      <c r="Y104" s="57"/>
      <c r="Z104" s="57"/>
      <c r="AA104" s="57"/>
      <c r="AB104" s="57"/>
      <c r="AC104" s="57"/>
      <c r="AD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</row>
    <row r="105" spans="1:48" ht="18.75" customHeight="1">
      <c r="A105" s="57"/>
      <c r="B105" s="61" t="str">
        <f>"2. "&amp;N5&amp;" 지시값의 표준불확도,"</f>
        <v>2. 길이 변위계 지시값의 표준불확도,</v>
      </c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238" t="s">
        <v>374</v>
      </c>
      <c r="P105" s="57"/>
      <c r="Q105" s="57"/>
      <c r="R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</row>
    <row r="106" spans="1:48" ht="18.75" customHeight="1">
      <c r="A106" s="57"/>
      <c r="C106" s="57" t="s">
        <v>260</v>
      </c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</row>
    <row r="107" spans="1:48" ht="18.75" customHeight="1">
      <c r="A107" s="57"/>
      <c r="C107" s="61"/>
      <c r="D107" s="57" t="s">
        <v>261</v>
      </c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</row>
    <row r="108" spans="1:48" ht="18.75" customHeight="1">
      <c r="B108" s="57"/>
      <c r="C108" s="57" t="s">
        <v>268</v>
      </c>
      <c r="D108" s="57"/>
      <c r="E108" s="57"/>
      <c r="F108" s="57"/>
      <c r="G108" s="57"/>
      <c r="H108" s="57"/>
      <c r="I108" s="455" t="e">
        <f ca="1">H79</f>
        <v>#N/A</v>
      </c>
      <c r="J108" s="455"/>
      <c r="K108" s="455"/>
      <c r="L108" s="455"/>
      <c r="M108" s="455"/>
      <c r="N108" s="455" t="str">
        <f>M79</f>
        <v>mm</v>
      </c>
      <c r="O108" s="455"/>
      <c r="P108" s="229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</row>
    <row r="109" spans="1:48" ht="18.75" customHeight="1">
      <c r="B109" s="57"/>
      <c r="C109" s="57" t="s">
        <v>90</v>
      </c>
      <c r="D109" s="57"/>
      <c r="E109" s="57"/>
      <c r="F109" s="57"/>
      <c r="G109" s="57"/>
      <c r="H109" s="57"/>
      <c r="I109" s="57"/>
      <c r="J109" s="62" t="s">
        <v>263</v>
      </c>
      <c r="K109" s="57"/>
      <c r="L109" s="57"/>
      <c r="M109" s="57"/>
      <c r="N109" s="57"/>
      <c r="O109" s="57"/>
      <c r="P109" s="57"/>
      <c r="Q109" s="455">
        <f>MAX(AK11:AO51)*1000</f>
        <v>0</v>
      </c>
      <c r="R109" s="455"/>
      <c r="S109" s="455"/>
      <c r="T109" s="470" t="s">
        <v>144</v>
      </c>
      <c r="U109" s="470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</row>
    <row r="110" spans="1:48" ht="18.75" customHeight="1">
      <c r="B110" s="57"/>
      <c r="C110" s="57"/>
      <c r="D110" s="57"/>
      <c r="E110" s="57"/>
      <c r="F110" s="57"/>
      <c r="G110" s="261"/>
      <c r="H110" s="261"/>
      <c r="I110" s="57"/>
      <c r="J110" s="477" t="s">
        <v>439</v>
      </c>
      <c r="K110" s="477"/>
      <c r="L110" s="477"/>
      <c r="M110" s="469" t="s">
        <v>265</v>
      </c>
      <c r="N110" s="428" t="s">
        <v>264</v>
      </c>
      <c r="O110" s="428"/>
      <c r="P110" s="469" t="s">
        <v>265</v>
      </c>
      <c r="Q110" s="463">
        <f>Q109</f>
        <v>0</v>
      </c>
      <c r="R110" s="463"/>
      <c r="S110" s="463"/>
      <c r="T110" s="480" t="str">
        <f>T109</f>
        <v>μm</v>
      </c>
      <c r="U110" s="480"/>
      <c r="V110" s="469" t="s">
        <v>265</v>
      </c>
      <c r="W110" s="457">
        <f>Q110/SQRT(5)</f>
        <v>0</v>
      </c>
      <c r="X110" s="457"/>
      <c r="Y110" s="457"/>
      <c r="Z110" s="471" t="str">
        <f>T109</f>
        <v>μm</v>
      </c>
      <c r="AA110" s="471"/>
      <c r="AB110" s="232"/>
      <c r="AC110" s="232"/>
      <c r="AD110" s="232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</row>
    <row r="111" spans="1:48" ht="18.75" customHeight="1">
      <c r="B111" s="57"/>
      <c r="C111" s="57"/>
      <c r="D111" s="57"/>
      <c r="E111" s="57"/>
      <c r="F111" s="57"/>
      <c r="G111" s="261"/>
      <c r="H111" s="261"/>
      <c r="I111" s="57"/>
      <c r="J111" s="477"/>
      <c r="K111" s="477"/>
      <c r="L111" s="477"/>
      <c r="M111" s="469"/>
      <c r="N111" s="467"/>
      <c r="O111" s="467"/>
      <c r="P111" s="469"/>
      <c r="Q111" s="426"/>
      <c r="R111" s="426"/>
      <c r="S111" s="426"/>
      <c r="T111" s="426"/>
      <c r="U111" s="426"/>
      <c r="V111" s="469"/>
      <c r="W111" s="457"/>
      <c r="X111" s="457"/>
      <c r="Y111" s="457"/>
      <c r="Z111" s="471"/>
      <c r="AA111" s="471"/>
      <c r="AB111" s="232"/>
      <c r="AC111" s="232"/>
      <c r="AD111" s="232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</row>
    <row r="112" spans="1:48" ht="18.75" customHeight="1">
      <c r="B112" s="57"/>
      <c r="C112" s="57"/>
      <c r="D112" s="57"/>
      <c r="E112" s="196" t="s">
        <v>323</v>
      </c>
      <c r="F112" s="57"/>
      <c r="G112" s="57"/>
      <c r="H112" s="57"/>
      <c r="I112" s="235"/>
      <c r="J112" s="235"/>
      <c r="K112" s="235"/>
      <c r="L112" s="235"/>
      <c r="M112" s="234"/>
      <c r="N112" s="234"/>
      <c r="O112" s="234"/>
      <c r="P112" s="227"/>
      <c r="Q112" s="227"/>
      <c r="R112" s="227"/>
      <c r="S112" s="227"/>
      <c r="T112" s="227"/>
      <c r="U112" s="234"/>
      <c r="V112" s="231"/>
      <c r="W112" s="231"/>
      <c r="X112" s="231"/>
      <c r="Y112" s="232"/>
      <c r="Z112" s="232"/>
      <c r="AA112" s="232"/>
      <c r="AB112" s="232"/>
      <c r="AC112" s="232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</row>
    <row r="113" spans="1:83" ht="18.75" customHeight="1">
      <c r="B113" s="57"/>
      <c r="C113" s="57"/>
      <c r="D113" s="57"/>
      <c r="E113" s="196"/>
      <c r="F113" s="57"/>
      <c r="G113" s="57"/>
      <c r="H113" s="261"/>
      <c r="I113" s="57"/>
      <c r="J113" s="477" t="s">
        <v>439</v>
      </c>
      <c r="K113" s="477"/>
      <c r="L113" s="477"/>
      <c r="M113" s="469" t="s">
        <v>265</v>
      </c>
      <c r="N113" s="428" t="s">
        <v>324</v>
      </c>
      <c r="O113" s="428"/>
      <c r="P113" s="469" t="s">
        <v>265</v>
      </c>
      <c r="Q113" s="463">
        <f>Calcu!P3*1000</f>
        <v>0</v>
      </c>
      <c r="R113" s="463"/>
      <c r="S113" s="463"/>
      <c r="T113" s="480" t="str">
        <f>T109</f>
        <v>μm</v>
      </c>
      <c r="U113" s="480"/>
      <c r="V113" s="469" t="s">
        <v>265</v>
      </c>
      <c r="W113" s="457">
        <f>Q113/(2*SQRT(3))</f>
        <v>0</v>
      </c>
      <c r="X113" s="457"/>
      <c r="Y113" s="457"/>
      <c r="Z113" s="471" t="str">
        <f>T109</f>
        <v>μm</v>
      </c>
      <c r="AA113" s="471"/>
      <c r="AB113" s="232"/>
      <c r="AC113" s="232"/>
      <c r="AD113" s="232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</row>
    <row r="114" spans="1:83" ht="18.75" customHeight="1">
      <c r="B114" s="57"/>
      <c r="C114" s="57"/>
      <c r="D114" s="57"/>
      <c r="E114" s="196"/>
      <c r="F114" s="57"/>
      <c r="G114" s="57"/>
      <c r="H114" s="261"/>
      <c r="I114" s="57"/>
      <c r="J114" s="477"/>
      <c r="K114" s="477"/>
      <c r="L114" s="477"/>
      <c r="M114" s="469"/>
      <c r="N114" s="467"/>
      <c r="O114" s="467"/>
      <c r="P114" s="469"/>
      <c r="Q114" s="426"/>
      <c r="R114" s="426"/>
      <c r="S114" s="426"/>
      <c r="T114" s="426"/>
      <c r="U114" s="426"/>
      <c r="V114" s="469"/>
      <c r="W114" s="457"/>
      <c r="X114" s="457"/>
      <c r="Y114" s="457"/>
      <c r="Z114" s="471"/>
      <c r="AA114" s="471"/>
      <c r="AB114" s="232"/>
      <c r="AC114" s="232"/>
      <c r="AD114" s="232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</row>
    <row r="115" spans="1:83" ht="18.75" customHeight="1">
      <c r="B115" s="57"/>
      <c r="C115" s="57" t="s">
        <v>91</v>
      </c>
      <c r="D115" s="57"/>
      <c r="E115" s="57"/>
      <c r="F115" s="57"/>
      <c r="G115" s="57"/>
      <c r="H115" s="57"/>
      <c r="I115" s="459" t="str">
        <f>V79</f>
        <v>직사각형</v>
      </c>
      <c r="J115" s="459"/>
      <c r="K115" s="459"/>
      <c r="L115" s="459"/>
      <c r="M115" s="459"/>
      <c r="N115" s="459"/>
      <c r="O115" s="459"/>
      <c r="P115" s="459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</row>
    <row r="116" spans="1:83" ht="18.75" customHeight="1">
      <c r="B116" s="57"/>
      <c r="C116" s="462" t="s">
        <v>92</v>
      </c>
      <c r="D116" s="462"/>
      <c r="E116" s="462"/>
      <c r="F116" s="462"/>
      <c r="G116" s="462"/>
      <c r="H116" s="462"/>
      <c r="I116" s="226"/>
      <c r="J116" s="226"/>
      <c r="K116" s="57"/>
      <c r="L116" s="57"/>
      <c r="N116" s="459">
        <f>AA79</f>
        <v>-1</v>
      </c>
      <c r="O116" s="459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</row>
    <row r="117" spans="1:83" ht="18.75" customHeight="1">
      <c r="B117" s="57"/>
      <c r="C117" s="462"/>
      <c r="D117" s="462"/>
      <c r="E117" s="462"/>
      <c r="F117" s="462"/>
      <c r="G117" s="462"/>
      <c r="H117" s="462"/>
      <c r="I117" s="228"/>
      <c r="J117" s="228"/>
      <c r="K117" s="57"/>
      <c r="L117" s="57"/>
      <c r="N117" s="459"/>
      <c r="O117" s="459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</row>
    <row r="118" spans="1:83" ht="18.75" customHeight="1">
      <c r="B118" s="57"/>
      <c r="C118" s="57" t="s">
        <v>269</v>
      </c>
      <c r="D118" s="57"/>
      <c r="E118" s="57"/>
      <c r="F118" s="57"/>
      <c r="G118" s="57"/>
      <c r="H118" s="57"/>
      <c r="I118" s="57"/>
      <c r="J118" s="57"/>
      <c r="K118" s="236" t="s">
        <v>85</v>
      </c>
      <c r="L118" s="479">
        <f>N116</f>
        <v>-1</v>
      </c>
      <c r="M118" s="479"/>
      <c r="N118" s="259" t="s">
        <v>86</v>
      </c>
      <c r="O118" s="457">
        <f>AH79</f>
        <v>0</v>
      </c>
      <c r="P118" s="457"/>
      <c r="Q118" s="457"/>
      <c r="R118" s="471" t="str">
        <f>Z110</f>
        <v>μm</v>
      </c>
      <c r="S118" s="455"/>
      <c r="T118" s="236" t="s">
        <v>85</v>
      </c>
      <c r="U118" s="74" t="s">
        <v>265</v>
      </c>
      <c r="V118" s="457">
        <f>O118</f>
        <v>0</v>
      </c>
      <c r="W118" s="457"/>
      <c r="X118" s="457"/>
      <c r="Y118" s="471" t="str">
        <f>R118</f>
        <v>μm</v>
      </c>
      <c r="Z118" s="455"/>
      <c r="AA118" s="229"/>
      <c r="AB118" s="57"/>
      <c r="AC118" s="57"/>
      <c r="AD118" s="57"/>
      <c r="AE118" s="57"/>
      <c r="AF118" s="57"/>
      <c r="AP118" s="57"/>
      <c r="AQ118" s="57"/>
      <c r="AR118" s="57"/>
      <c r="AS118" s="57"/>
      <c r="AT118" s="57"/>
      <c r="AU118" s="57"/>
      <c r="AV118" s="57"/>
    </row>
    <row r="119" spans="1:83" ht="18.75" customHeight="1">
      <c r="B119" s="57"/>
      <c r="C119" s="57" t="s">
        <v>93</v>
      </c>
      <c r="D119" s="57"/>
      <c r="E119" s="57"/>
      <c r="F119" s="57"/>
      <c r="G119" s="57"/>
      <c r="H119" s="57"/>
      <c r="I119" s="115" t="s">
        <v>267</v>
      </c>
      <c r="J119" s="115"/>
      <c r="K119" s="115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57"/>
      <c r="AB119" s="57"/>
      <c r="AC119" s="57"/>
      <c r="AD119" s="57"/>
      <c r="AE119" s="57"/>
      <c r="AF119" s="57"/>
    </row>
    <row r="120" spans="1:83" ht="18.75" customHeight="1">
      <c r="B120" s="57"/>
      <c r="C120" s="57"/>
      <c r="D120" s="57"/>
      <c r="E120" s="57"/>
      <c r="F120" s="57"/>
      <c r="G120" s="57"/>
      <c r="H120" s="57"/>
      <c r="I120" s="115"/>
      <c r="J120" s="100"/>
      <c r="K120" s="115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57"/>
      <c r="AB120" s="57"/>
      <c r="AC120" s="57"/>
      <c r="AD120" s="57"/>
      <c r="AE120" s="57"/>
      <c r="AF120" s="57"/>
    </row>
    <row r="121" spans="1:83" s="175" customFormat="1" ht="18.75" customHeight="1">
      <c r="A121" s="227"/>
      <c r="B121" s="58" t="str">
        <f>"3. "&amp;N5&amp;"와 "&amp;T5&amp;"의 평균 열팽창계수에 의한 표준불확도,"</f>
        <v>3. 길이 변위계와 게이지 블록의 평균 열팽창계수에 의한 표준불확도,</v>
      </c>
      <c r="C121" s="226"/>
      <c r="D121" s="226"/>
      <c r="E121" s="226"/>
      <c r="F121" s="226"/>
      <c r="G121" s="226"/>
      <c r="H121" s="226"/>
      <c r="I121" s="226"/>
      <c r="J121" s="226"/>
      <c r="K121" s="226"/>
      <c r="L121" s="226"/>
      <c r="M121" s="226"/>
      <c r="N121" s="226"/>
      <c r="O121" s="226"/>
      <c r="P121" s="226"/>
      <c r="Q121" s="226"/>
      <c r="R121" s="226"/>
      <c r="S121" s="226"/>
      <c r="T121" s="226"/>
      <c r="U121" s="226"/>
      <c r="V121" s="226"/>
      <c r="W121" s="226"/>
      <c r="X121" s="226"/>
      <c r="Y121" s="226"/>
      <c r="Z121" s="226"/>
      <c r="AA121" s="226"/>
      <c r="AB121" s="226"/>
      <c r="AC121" s="226"/>
      <c r="AD121" s="226"/>
      <c r="AE121" s="226"/>
      <c r="AF121" s="226"/>
      <c r="AG121" s="226"/>
      <c r="AH121" s="226"/>
      <c r="AI121" s="226"/>
      <c r="AJ121" s="226"/>
      <c r="AK121" s="226"/>
      <c r="AL121" s="227"/>
      <c r="AM121" s="227"/>
      <c r="AN121" s="227"/>
      <c r="AO121" s="227"/>
      <c r="AP121" s="227"/>
      <c r="AQ121" s="227"/>
      <c r="AR121" s="227"/>
      <c r="AS121" s="227"/>
      <c r="AT121" s="227"/>
      <c r="AU121" s="227"/>
      <c r="AV121" s="227"/>
      <c r="AW121" s="227"/>
      <c r="AX121" s="227"/>
      <c r="AY121" s="226"/>
      <c r="AZ121" s="226"/>
      <c r="BA121" s="226"/>
      <c r="BB121" s="226"/>
      <c r="BC121" s="226"/>
      <c r="BD121" s="226"/>
      <c r="BE121" s="226"/>
      <c r="BF121" s="226"/>
      <c r="BG121" s="59"/>
      <c r="BH121" s="59"/>
      <c r="BI121" s="59"/>
      <c r="BJ121" s="59"/>
      <c r="BK121" s="59"/>
      <c r="BL121" s="59"/>
      <c r="BM121" s="59"/>
    </row>
    <row r="122" spans="1:83" s="175" customFormat="1" ht="18.75" customHeight="1">
      <c r="A122" s="250"/>
      <c r="B122" s="58"/>
      <c r="C122" s="226" t="str">
        <f>"※ "&amp;N5&amp;"와 "&amp;T5&amp;"의 평균 열팽창계수 :"</f>
        <v>※ 길이 변위계와 게이지 블록의 평균 열팽창계수 :</v>
      </c>
      <c r="D122" s="226"/>
      <c r="E122" s="226"/>
      <c r="F122" s="226"/>
      <c r="G122" s="226"/>
      <c r="H122" s="226"/>
      <c r="I122" s="226"/>
      <c r="J122" s="226"/>
      <c r="K122" s="226"/>
      <c r="L122" s="226"/>
      <c r="M122" s="226"/>
      <c r="N122" s="226"/>
      <c r="O122" s="226"/>
      <c r="P122" s="226"/>
      <c r="Q122" s="226"/>
      <c r="R122" s="226"/>
      <c r="S122" s="226"/>
      <c r="T122" s="226"/>
      <c r="U122" s="226"/>
      <c r="V122" s="176"/>
      <c r="W122" s="60"/>
      <c r="X122" s="226"/>
      <c r="Y122" s="60"/>
      <c r="Z122" s="227"/>
      <c r="AA122" s="226"/>
      <c r="AB122" s="227"/>
      <c r="AC122" s="227"/>
      <c r="AD122" s="177"/>
      <c r="AE122" s="227"/>
      <c r="AF122" s="227"/>
      <c r="AG122" s="226"/>
      <c r="AH122" s="226"/>
      <c r="AI122" s="226"/>
      <c r="AJ122" s="226"/>
      <c r="AK122" s="226"/>
      <c r="AL122" s="226"/>
      <c r="AM122" s="226"/>
      <c r="AN122" s="226"/>
      <c r="AO122" s="250"/>
      <c r="AP122" s="250"/>
      <c r="AQ122" s="250"/>
      <c r="AR122" s="250"/>
      <c r="AS122" s="250"/>
      <c r="AT122" s="250"/>
      <c r="AU122" s="250"/>
      <c r="AV122" s="250"/>
      <c r="AW122" s="250"/>
      <c r="AX122" s="250"/>
      <c r="AY122" s="249"/>
      <c r="AZ122" s="249"/>
      <c r="BA122" s="249"/>
      <c r="BB122" s="249"/>
      <c r="BC122" s="249"/>
      <c r="BD122" s="249"/>
      <c r="BE122" s="249"/>
      <c r="BF122" s="249"/>
      <c r="BG122" s="59"/>
      <c r="BH122" s="59"/>
      <c r="BI122" s="59"/>
      <c r="BJ122" s="59"/>
      <c r="BK122" s="59"/>
      <c r="BL122" s="59"/>
      <c r="BM122" s="59"/>
    </row>
    <row r="123" spans="1:83" s="175" customFormat="1" ht="18.75" customHeight="1">
      <c r="B123" s="227"/>
      <c r="C123" s="228" t="s">
        <v>270</v>
      </c>
      <c r="D123" s="227"/>
      <c r="E123" s="227"/>
      <c r="F123" s="227"/>
      <c r="G123" s="227"/>
      <c r="H123" s="483" t="e">
        <f ca="1">H80*10^6</f>
        <v>#N/A</v>
      </c>
      <c r="I123" s="483"/>
      <c r="J123" s="483"/>
      <c r="K123" s="229" t="s">
        <v>271</v>
      </c>
      <c r="L123" s="227"/>
      <c r="M123" s="227"/>
      <c r="N123" s="229"/>
      <c r="O123" s="229"/>
      <c r="P123" s="229"/>
      <c r="Q123" s="226"/>
      <c r="R123" s="226"/>
      <c r="S123" s="226"/>
      <c r="T123" s="226"/>
      <c r="U123" s="226"/>
      <c r="V123" s="226"/>
      <c r="W123" s="226"/>
      <c r="X123" s="226"/>
      <c r="Y123" s="226"/>
      <c r="Z123" s="226"/>
      <c r="AA123" s="226"/>
      <c r="AB123" s="226"/>
      <c r="AC123" s="226"/>
      <c r="AD123" s="226"/>
      <c r="AE123" s="226"/>
      <c r="AF123" s="60"/>
      <c r="AG123" s="226"/>
      <c r="AH123" s="226"/>
      <c r="AI123" s="226"/>
      <c r="AJ123" s="226"/>
      <c r="AK123" s="226"/>
      <c r="AL123" s="226"/>
      <c r="AM123" s="227"/>
      <c r="AN123" s="227"/>
      <c r="AO123" s="227"/>
      <c r="AP123" s="227"/>
      <c r="AQ123" s="227"/>
      <c r="AR123" s="227"/>
      <c r="AS123" s="227"/>
      <c r="AT123" s="227"/>
      <c r="AU123" s="227"/>
      <c r="AV123" s="227"/>
      <c r="AW123" s="227"/>
      <c r="AX123" s="227"/>
      <c r="AY123" s="227"/>
      <c r="AZ123" s="226"/>
      <c r="BA123" s="226"/>
      <c r="BB123" s="226"/>
      <c r="BC123" s="226"/>
      <c r="BD123" s="226"/>
      <c r="BE123" s="226"/>
      <c r="BF123" s="226"/>
      <c r="BG123" s="226"/>
      <c r="BH123" s="59"/>
      <c r="BI123" s="59"/>
      <c r="BJ123" s="59"/>
      <c r="BK123" s="59"/>
      <c r="BL123" s="59"/>
      <c r="BM123" s="59"/>
    </row>
    <row r="124" spans="1:83" s="175" customFormat="1" ht="18.75" customHeight="1">
      <c r="B124" s="227"/>
      <c r="C124" s="462" t="s">
        <v>272</v>
      </c>
      <c r="D124" s="462"/>
      <c r="E124" s="462"/>
      <c r="F124" s="462"/>
      <c r="G124" s="462"/>
      <c r="H124" s="462"/>
      <c r="I124" s="462"/>
      <c r="J124" s="459" t="s">
        <v>273</v>
      </c>
      <c r="K124" s="459"/>
      <c r="L124" s="459"/>
      <c r="M124" s="459"/>
      <c r="N124" s="459"/>
      <c r="O124" s="459"/>
      <c r="P124" s="459"/>
      <c r="Q124" s="459"/>
      <c r="R124" s="459"/>
      <c r="S124" s="459"/>
      <c r="T124" s="459"/>
      <c r="U124" s="459"/>
      <c r="V124" s="459"/>
      <c r="W124" s="459"/>
      <c r="X124" s="226"/>
      <c r="Y124" s="226"/>
      <c r="Z124" s="226"/>
      <c r="AA124" s="226"/>
      <c r="AB124" s="226"/>
      <c r="AC124" s="226"/>
      <c r="AD124" s="226"/>
      <c r="AE124" s="226"/>
      <c r="AF124" s="226"/>
      <c r="AG124" s="226"/>
      <c r="AH124" s="226"/>
      <c r="AI124" s="226"/>
      <c r="AJ124" s="226"/>
      <c r="AK124" s="227"/>
      <c r="AL124" s="227"/>
      <c r="AM124" s="227"/>
      <c r="AN124" s="226"/>
      <c r="AO124" s="226"/>
      <c r="AP124" s="226"/>
      <c r="AQ124" s="226"/>
      <c r="AR124" s="226"/>
      <c r="AS124" s="226"/>
      <c r="AT124" s="226"/>
      <c r="AU124" s="226"/>
      <c r="AV124" s="226"/>
      <c r="AW124" s="226"/>
      <c r="AX124" s="226"/>
      <c r="AY124" s="226"/>
      <c r="AZ124" s="226"/>
      <c r="BA124" s="226"/>
      <c r="BB124" s="226"/>
      <c r="BC124" s="226"/>
      <c r="BD124" s="226"/>
      <c r="BE124" s="226"/>
      <c r="BF124" s="226"/>
      <c r="BG124" s="226"/>
      <c r="BH124" s="59"/>
      <c r="BI124" s="59"/>
      <c r="BJ124" s="59"/>
      <c r="BK124" s="59"/>
      <c r="BL124" s="59"/>
      <c r="BM124" s="59"/>
      <c r="BN124" s="59"/>
    </row>
    <row r="125" spans="1:83" s="175" customFormat="1" ht="18.75" customHeight="1">
      <c r="B125" s="227"/>
      <c r="C125" s="462"/>
      <c r="D125" s="462"/>
      <c r="E125" s="462"/>
      <c r="F125" s="462"/>
      <c r="G125" s="462"/>
      <c r="H125" s="462"/>
      <c r="I125" s="462"/>
      <c r="J125" s="459"/>
      <c r="K125" s="459"/>
      <c r="L125" s="459"/>
      <c r="M125" s="459"/>
      <c r="N125" s="459"/>
      <c r="O125" s="459"/>
      <c r="P125" s="459"/>
      <c r="Q125" s="459"/>
      <c r="R125" s="459"/>
      <c r="S125" s="459"/>
      <c r="T125" s="459"/>
      <c r="U125" s="459"/>
      <c r="V125" s="459"/>
      <c r="W125" s="459"/>
      <c r="X125" s="226"/>
      <c r="Y125" s="226"/>
      <c r="Z125" s="226"/>
      <c r="AA125" s="226"/>
      <c r="AB125" s="226"/>
      <c r="AC125" s="226"/>
      <c r="AD125" s="226"/>
      <c r="AE125" s="226"/>
      <c r="AF125" s="227"/>
      <c r="AG125" s="226"/>
      <c r="AH125" s="226"/>
      <c r="AI125" s="226"/>
      <c r="AJ125" s="226"/>
      <c r="AK125" s="227"/>
      <c r="AL125" s="227"/>
      <c r="AM125" s="227"/>
      <c r="AN125" s="226"/>
      <c r="AO125" s="226"/>
      <c r="AP125" s="226"/>
      <c r="AQ125" s="226"/>
      <c r="AR125" s="226"/>
      <c r="AS125" s="227"/>
      <c r="AT125" s="226"/>
      <c r="AU125" s="226"/>
      <c r="AV125" s="226"/>
      <c r="AW125" s="226"/>
      <c r="AX125" s="226"/>
      <c r="AY125" s="226"/>
      <c r="AZ125" s="226"/>
      <c r="BA125" s="226"/>
      <c r="BB125" s="226"/>
      <c r="BC125" s="226"/>
      <c r="BD125" s="226"/>
      <c r="BE125" s="226"/>
      <c r="BF125" s="226"/>
      <c r="BG125" s="226"/>
      <c r="BH125" s="59"/>
      <c r="BI125" s="59"/>
      <c r="BJ125" s="59"/>
      <c r="BK125" s="59"/>
      <c r="BL125" s="59"/>
      <c r="BM125" s="59"/>
      <c r="BN125" s="59"/>
    </row>
    <row r="126" spans="1:83" s="175" customFormat="1" ht="18.75" customHeight="1">
      <c r="B126" s="227"/>
      <c r="C126" s="226"/>
      <c r="D126" s="226"/>
      <c r="E126" s="226"/>
      <c r="F126" s="226"/>
      <c r="G126" s="226"/>
      <c r="H126" s="226"/>
      <c r="I126" s="227"/>
      <c r="J126" s="459" t="s">
        <v>274</v>
      </c>
      <c r="K126" s="459"/>
      <c r="L126" s="459"/>
      <c r="M126" s="459"/>
      <c r="N126" s="459"/>
      <c r="O126" s="459"/>
      <c r="P126" s="459"/>
      <c r="Q126" s="459"/>
      <c r="R126" s="459"/>
      <c r="S126" s="459"/>
      <c r="T126" s="459"/>
      <c r="U126" s="459"/>
      <c r="V126" s="459"/>
      <c r="W126" s="459"/>
      <c r="X126" s="459"/>
      <c r="Y126" s="459"/>
      <c r="Z126" s="459"/>
      <c r="AA126" s="491" t="s">
        <v>275</v>
      </c>
      <c r="AB126" s="491"/>
      <c r="AC126" s="491"/>
      <c r="AD126" s="491"/>
      <c r="AE126" s="491"/>
      <c r="AF126" s="451" t="s">
        <v>265</v>
      </c>
      <c r="AG126" s="459" t="s">
        <v>276</v>
      </c>
      <c r="AH126" s="459"/>
      <c r="AI126" s="459"/>
      <c r="AJ126" s="459"/>
      <c r="AK126" s="459"/>
      <c r="AL126" s="459"/>
      <c r="AM126" s="227"/>
      <c r="AN126" s="226"/>
      <c r="AO126" s="226"/>
      <c r="AP126" s="226"/>
      <c r="AQ126" s="226"/>
      <c r="AR126" s="226"/>
      <c r="AS126" s="227"/>
      <c r="AT126" s="226"/>
      <c r="AU126" s="226"/>
      <c r="AV126" s="226"/>
      <c r="AW126" s="226"/>
      <c r="AX126" s="226"/>
      <c r="AY126" s="226"/>
      <c r="AZ126" s="226"/>
      <c r="BA126" s="226"/>
      <c r="BB126" s="226"/>
      <c r="BC126" s="226"/>
      <c r="BD126" s="226"/>
      <c r="BE126" s="226"/>
      <c r="BF126" s="226"/>
      <c r="BG126" s="226"/>
      <c r="BH126" s="59"/>
      <c r="BI126" s="59"/>
      <c r="BJ126" s="59"/>
      <c r="BK126" s="59"/>
      <c r="BL126" s="59"/>
      <c r="BM126" s="59"/>
      <c r="BN126" s="59"/>
    </row>
    <row r="127" spans="1:83" s="175" customFormat="1" ht="18.75" customHeight="1">
      <c r="B127" s="227"/>
      <c r="C127" s="226"/>
      <c r="D127" s="226"/>
      <c r="E127" s="226"/>
      <c r="F127" s="226"/>
      <c r="G127" s="226"/>
      <c r="H127" s="226"/>
      <c r="I127" s="227"/>
      <c r="J127" s="459"/>
      <c r="K127" s="459"/>
      <c r="L127" s="459"/>
      <c r="M127" s="459"/>
      <c r="N127" s="459"/>
      <c r="O127" s="459"/>
      <c r="P127" s="459"/>
      <c r="Q127" s="459"/>
      <c r="R127" s="459"/>
      <c r="S127" s="459"/>
      <c r="T127" s="459"/>
      <c r="U127" s="459"/>
      <c r="V127" s="459"/>
      <c r="W127" s="459"/>
      <c r="X127" s="459"/>
      <c r="Y127" s="459"/>
      <c r="Z127" s="459"/>
      <c r="AA127" s="226"/>
      <c r="AB127" s="227"/>
      <c r="AC127" s="227"/>
      <c r="AD127" s="227"/>
      <c r="AE127" s="227"/>
      <c r="AF127" s="451"/>
      <c r="AG127" s="459"/>
      <c r="AH127" s="459"/>
      <c r="AI127" s="459"/>
      <c r="AJ127" s="459"/>
      <c r="AK127" s="459"/>
      <c r="AL127" s="459"/>
      <c r="AM127" s="227"/>
      <c r="AN127" s="226"/>
      <c r="AO127" s="226"/>
      <c r="AP127" s="226"/>
      <c r="AQ127" s="226"/>
      <c r="AR127" s="226"/>
      <c r="AS127" s="226"/>
      <c r="AT127" s="226"/>
      <c r="AU127" s="226"/>
      <c r="AV127" s="226"/>
      <c r="AW127" s="226"/>
      <c r="AX127" s="226"/>
      <c r="AY127" s="226"/>
      <c r="AZ127" s="226"/>
      <c r="BA127" s="226"/>
      <c r="BB127" s="226"/>
      <c r="BC127" s="226"/>
      <c r="BD127" s="226"/>
      <c r="BE127" s="226"/>
      <c r="BF127" s="226"/>
      <c r="BG127" s="226"/>
      <c r="BH127" s="59"/>
      <c r="BI127" s="59"/>
      <c r="BJ127" s="59"/>
      <c r="BK127" s="59"/>
      <c r="BL127" s="59"/>
      <c r="BM127" s="59"/>
      <c r="BN127" s="59"/>
    </row>
    <row r="128" spans="1:83" s="175" customFormat="1" ht="18.75" customHeight="1">
      <c r="B128" s="227"/>
      <c r="C128" s="226"/>
      <c r="D128" s="226"/>
      <c r="E128" s="226"/>
      <c r="F128" s="226"/>
      <c r="G128" s="244"/>
      <c r="H128" s="226"/>
      <c r="I128" s="226"/>
      <c r="J128" s="227"/>
      <c r="K128" s="228" t="s">
        <v>277</v>
      </c>
      <c r="L128" s="228"/>
      <c r="M128" s="228"/>
      <c r="N128" s="228"/>
      <c r="O128" s="228"/>
      <c r="P128" s="228"/>
      <c r="Q128" s="228"/>
      <c r="R128" s="228"/>
      <c r="S128" s="226"/>
      <c r="T128" s="226"/>
      <c r="U128" s="226"/>
      <c r="V128" s="226"/>
      <c r="W128" s="226"/>
      <c r="X128" s="226"/>
      <c r="Y128" s="226"/>
      <c r="Z128" s="226"/>
      <c r="AA128" s="226"/>
      <c r="AB128" s="226"/>
      <c r="AC128" s="226"/>
      <c r="AD128" s="226"/>
      <c r="AE128" s="226"/>
      <c r="AF128" s="226"/>
      <c r="AG128" s="227"/>
      <c r="AH128" s="226"/>
      <c r="AI128" s="226"/>
      <c r="AJ128" s="226"/>
      <c r="AK128" s="227"/>
      <c r="AL128" s="227"/>
      <c r="AM128" s="227"/>
      <c r="AN128" s="227"/>
      <c r="AO128" s="226"/>
      <c r="AP128" s="226"/>
      <c r="AQ128" s="226"/>
      <c r="AR128" s="226"/>
      <c r="AS128" s="226"/>
      <c r="AT128" s="226"/>
      <c r="AU128" s="226"/>
      <c r="AV128" s="226"/>
      <c r="AW128" s="226"/>
      <c r="AX128" s="226"/>
      <c r="AY128" s="226"/>
      <c r="AZ128" s="226"/>
      <c r="BA128" s="226"/>
      <c r="BB128" s="226"/>
      <c r="BC128" s="226"/>
      <c r="BD128" s="226"/>
      <c r="BE128" s="226"/>
      <c r="BF128" s="226"/>
      <c r="BG128" s="226"/>
      <c r="BH128" s="227"/>
      <c r="BN128" s="59"/>
      <c r="BO128" s="59"/>
      <c r="BP128" s="59"/>
      <c r="BQ128" s="59"/>
      <c r="BR128" s="59"/>
      <c r="BS128" s="59"/>
      <c r="BX128" s="59"/>
      <c r="CE128" s="59"/>
    </row>
    <row r="129" spans="2:83" s="175" customFormat="1" ht="18.75" customHeight="1">
      <c r="B129" s="227"/>
      <c r="C129" s="226"/>
      <c r="D129" s="226"/>
      <c r="E129" s="226"/>
      <c r="F129" s="226"/>
      <c r="G129" s="244"/>
      <c r="H129" s="226"/>
      <c r="I129" s="226"/>
      <c r="J129" s="115"/>
      <c r="K129" s="115"/>
      <c r="L129" s="115"/>
      <c r="M129" s="227"/>
      <c r="N129" s="115"/>
      <c r="O129" s="115"/>
      <c r="P129" s="115"/>
      <c r="Q129" s="115"/>
      <c r="R129" s="115"/>
      <c r="S129" s="115"/>
      <c r="T129" s="115"/>
      <c r="U129" s="115"/>
      <c r="V129" s="227"/>
      <c r="W129" s="178"/>
      <c r="X129" s="178"/>
      <c r="Y129" s="178"/>
      <c r="Z129" s="227"/>
      <c r="AF129" s="227"/>
      <c r="AG129" s="459" t="s">
        <v>278</v>
      </c>
      <c r="AH129" s="459"/>
      <c r="AI129" s="459"/>
      <c r="AJ129" s="459"/>
      <c r="AK129" s="459"/>
      <c r="AL129" s="179"/>
      <c r="AM129" s="179"/>
      <c r="AN129" s="227"/>
      <c r="AO129" s="227"/>
      <c r="AP129" s="227"/>
      <c r="AQ129" s="227"/>
      <c r="AR129" s="227"/>
      <c r="AS129" s="226"/>
      <c r="AT129" s="226"/>
      <c r="AU129" s="227"/>
      <c r="AV129" s="227"/>
      <c r="AW129" s="227"/>
      <c r="AX129" s="227"/>
      <c r="AY129" s="227"/>
      <c r="AZ129" s="226"/>
      <c r="BA129" s="226"/>
      <c r="BB129" s="226"/>
      <c r="BC129" s="226"/>
      <c r="BD129" s="226"/>
      <c r="BE129" s="226"/>
      <c r="BF129" s="226"/>
      <c r="BG129" s="226"/>
      <c r="BH129" s="227"/>
      <c r="BN129" s="59"/>
      <c r="BO129" s="59"/>
      <c r="BP129" s="59"/>
      <c r="BQ129" s="59"/>
      <c r="BR129" s="59"/>
      <c r="BS129" s="59"/>
      <c r="BT129" s="59"/>
      <c r="BU129" s="59"/>
      <c r="BV129" s="59"/>
      <c r="BW129" s="59"/>
      <c r="BX129" s="59"/>
      <c r="CE129" s="59"/>
    </row>
    <row r="130" spans="2:83" s="175" customFormat="1" ht="18.75" customHeight="1">
      <c r="B130" s="227"/>
      <c r="C130" s="226"/>
      <c r="D130" s="226"/>
      <c r="E130" s="226"/>
      <c r="F130" s="226"/>
      <c r="G130" s="244"/>
      <c r="H130" s="226"/>
      <c r="I130" s="226"/>
      <c r="J130" s="115"/>
      <c r="K130" s="115"/>
      <c r="L130" s="115"/>
      <c r="M130" s="227"/>
      <c r="N130" s="115"/>
      <c r="O130" s="115"/>
      <c r="P130" s="115"/>
      <c r="Q130" s="115"/>
      <c r="R130" s="115"/>
      <c r="S130" s="115"/>
      <c r="T130" s="115"/>
      <c r="U130" s="115"/>
      <c r="V130" s="227"/>
      <c r="W130" s="178"/>
      <c r="X130" s="178"/>
      <c r="Y130" s="178"/>
      <c r="Z130" s="227"/>
      <c r="AF130" s="227"/>
      <c r="AG130" s="459"/>
      <c r="AH130" s="459"/>
      <c r="AI130" s="459"/>
      <c r="AJ130" s="459"/>
      <c r="AK130" s="459"/>
      <c r="AL130" s="179"/>
      <c r="AM130" s="179"/>
      <c r="AN130" s="227"/>
      <c r="AO130" s="227"/>
      <c r="AP130" s="227"/>
      <c r="AQ130" s="227"/>
      <c r="AR130" s="227"/>
      <c r="AS130" s="226"/>
      <c r="AT130" s="226"/>
      <c r="AU130" s="227"/>
      <c r="AV130" s="227"/>
      <c r="AW130" s="227"/>
      <c r="AX130" s="227"/>
      <c r="AY130" s="227"/>
      <c r="AZ130" s="226"/>
      <c r="BA130" s="226"/>
      <c r="BB130" s="226"/>
      <c r="BC130" s="226"/>
      <c r="BD130" s="226"/>
      <c r="BE130" s="226"/>
      <c r="BF130" s="226"/>
      <c r="BG130" s="226"/>
      <c r="BH130" s="226"/>
      <c r="BI130" s="59"/>
      <c r="BJ130" s="59"/>
      <c r="BK130" s="59"/>
      <c r="BL130" s="59"/>
      <c r="BM130" s="59"/>
    </row>
    <row r="131" spans="2:83" s="175" customFormat="1" ht="18.75" customHeight="1">
      <c r="B131" s="227"/>
      <c r="C131" s="226" t="s">
        <v>95</v>
      </c>
      <c r="D131" s="226"/>
      <c r="E131" s="226"/>
      <c r="F131" s="226"/>
      <c r="G131" s="226"/>
      <c r="H131" s="226"/>
      <c r="I131" s="459" t="str">
        <f>V80</f>
        <v>삼각형</v>
      </c>
      <c r="J131" s="459"/>
      <c r="K131" s="459"/>
      <c r="L131" s="459"/>
      <c r="M131" s="459"/>
      <c r="N131" s="459"/>
      <c r="O131" s="459"/>
      <c r="P131" s="459"/>
      <c r="Q131" s="226"/>
      <c r="R131" s="226"/>
      <c r="S131" s="226"/>
      <c r="T131" s="226"/>
      <c r="U131" s="226"/>
      <c r="V131" s="226"/>
      <c r="W131" s="226"/>
      <c r="X131" s="226"/>
      <c r="Y131" s="226"/>
      <c r="Z131" s="227"/>
      <c r="AA131" s="227"/>
      <c r="AB131" s="227"/>
      <c r="AC131" s="227"/>
      <c r="AD131" s="227"/>
      <c r="AE131" s="227"/>
      <c r="AF131" s="227"/>
      <c r="AG131" s="227"/>
      <c r="AH131" s="226"/>
      <c r="AI131" s="226"/>
      <c r="AJ131" s="226"/>
      <c r="AK131" s="226"/>
      <c r="AL131" s="226"/>
      <c r="AM131" s="226"/>
      <c r="AN131" s="226"/>
      <c r="AO131" s="226"/>
      <c r="AP131" s="226"/>
      <c r="AQ131" s="226"/>
      <c r="AR131" s="226"/>
      <c r="AS131" s="226"/>
      <c r="AT131" s="226"/>
      <c r="AU131" s="226"/>
      <c r="AV131" s="226"/>
      <c r="AW131" s="226"/>
      <c r="AX131" s="226"/>
      <c r="AY131" s="226"/>
      <c r="AZ131" s="226"/>
      <c r="BA131" s="226"/>
      <c r="BB131" s="226"/>
      <c r="BC131" s="226"/>
      <c r="BD131" s="226"/>
      <c r="BE131" s="226"/>
      <c r="BF131" s="226"/>
      <c r="BG131" s="226"/>
      <c r="BH131" s="59"/>
      <c r="BI131" s="59"/>
      <c r="BJ131" s="59"/>
      <c r="BK131" s="59"/>
      <c r="BL131" s="59"/>
      <c r="BM131" s="59"/>
      <c r="BN131" s="59"/>
    </row>
    <row r="132" spans="2:83" s="175" customFormat="1" ht="18.75" customHeight="1">
      <c r="B132" s="227"/>
      <c r="C132" s="462" t="s">
        <v>96</v>
      </c>
      <c r="D132" s="462"/>
      <c r="E132" s="462"/>
      <c r="F132" s="462"/>
      <c r="G132" s="462"/>
      <c r="H132" s="462"/>
      <c r="I132" s="226"/>
      <c r="J132" s="226"/>
      <c r="K132" s="226"/>
      <c r="L132" s="226"/>
      <c r="M132" s="226"/>
      <c r="N132" s="226"/>
      <c r="O132" s="226"/>
      <c r="R132" s="454" t="e">
        <f>-H81</f>
        <v>#VALUE!</v>
      </c>
      <c r="S132" s="454"/>
      <c r="T132" s="462" t="s">
        <v>279</v>
      </c>
      <c r="U132" s="462"/>
      <c r="V132" s="481">
        <f>Calcu!N56</f>
        <v>0</v>
      </c>
      <c r="W132" s="481"/>
      <c r="X132" s="481"/>
      <c r="Y132" s="462" t="s">
        <v>144</v>
      </c>
      <c r="Z132" s="462"/>
      <c r="AA132" s="451" t="s">
        <v>265</v>
      </c>
      <c r="AB132" s="455" t="e">
        <f>R132*V132</f>
        <v>#VALUE!</v>
      </c>
      <c r="AC132" s="455"/>
      <c r="AD132" s="455"/>
      <c r="AE132" s="455"/>
      <c r="AF132" s="462" t="s">
        <v>147</v>
      </c>
      <c r="AG132" s="462"/>
      <c r="AH132" s="462"/>
      <c r="AI132" s="462"/>
      <c r="AJ132" s="462"/>
      <c r="AK132" s="462"/>
      <c r="AL132" s="462"/>
      <c r="AM132" s="226"/>
      <c r="AN132" s="226"/>
      <c r="AO132" s="226"/>
      <c r="AP132" s="226"/>
      <c r="AQ132" s="226"/>
      <c r="AR132" s="227"/>
      <c r="AS132" s="227"/>
      <c r="AT132" s="227"/>
      <c r="AU132" s="227"/>
      <c r="AV132" s="227"/>
      <c r="AW132" s="227"/>
      <c r="AX132" s="227"/>
      <c r="AY132" s="227"/>
      <c r="AZ132" s="227"/>
      <c r="BA132" s="227"/>
    </row>
    <row r="133" spans="2:83" s="175" customFormat="1" ht="18.75" customHeight="1">
      <c r="B133" s="227"/>
      <c r="C133" s="462"/>
      <c r="D133" s="462"/>
      <c r="E133" s="462"/>
      <c r="F133" s="462"/>
      <c r="G133" s="462"/>
      <c r="H133" s="462"/>
      <c r="I133" s="226"/>
      <c r="J133" s="226"/>
      <c r="K133" s="226"/>
      <c r="L133" s="226"/>
      <c r="M133" s="226"/>
      <c r="N133" s="226"/>
      <c r="O133" s="226"/>
      <c r="R133" s="454"/>
      <c r="S133" s="454"/>
      <c r="T133" s="462"/>
      <c r="U133" s="462"/>
      <c r="V133" s="481"/>
      <c r="W133" s="481"/>
      <c r="X133" s="481"/>
      <c r="Y133" s="462"/>
      <c r="Z133" s="462"/>
      <c r="AA133" s="451"/>
      <c r="AB133" s="455"/>
      <c r="AC133" s="455"/>
      <c r="AD133" s="455"/>
      <c r="AE133" s="455"/>
      <c r="AF133" s="462"/>
      <c r="AG133" s="462"/>
      <c r="AH133" s="462"/>
      <c r="AI133" s="462"/>
      <c r="AJ133" s="462"/>
      <c r="AK133" s="462"/>
      <c r="AL133" s="462"/>
      <c r="AM133" s="226"/>
      <c r="AN133" s="226"/>
      <c r="AO133" s="226"/>
      <c r="AP133" s="226"/>
      <c r="AQ133" s="226"/>
      <c r="AR133" s="227"/>
      <c r="AS133" s="227"/>
      <c r="AT133" s="227"/>
      <c r="AU133" s="227"/>
      <c r="AV133" s="227"/>
      <c r="AW133" s="227"/>
      <c r="AX133" s="227"/>
      <c r="AY133" s="227"/>
      <c r="AZ133" s="227"/>
      <c r="BA133" s="227"/>
    </row>
    <row r="134" spans="2:83" s="175" customFormat="1" ht="18.75" customHeight="1">
      <c r="B134" s="227"/>
      <c r="C134" s="226" t="s">
        <v>280</v>
      </c>
      <c r="D134" s="226"/>
      <c r="E134" s="226"/>
      <c r="F134" s="226"/>
      <c r="G134" s="226"/>
      <c r="H134" s="226"/>
      <c r="I134" s="226"/>
      <c r="J134" s="227"/>
      <c r="K134" s="57" t="s">
        <v>281</v>
      </c>
      <c r="L134" s="454" t="e">
        <f>AB132</f>
        <v>#VALUE!</v>
      </c>
      <c r="M134" s="454"/>
      <c r="N134" s="454"/>
      <c r="O134" s="454"/>
      <c r="P134" s="179" t="s">
        <v>282</v>
      </c>
      <c r="Q134" s="227"/>
      <c r="R134" s="227"/>
      <c r="S134" s="227"/>
      <c r="T134" s="227"/>
      <c r="U134" s="227"/>
      <c r="V134" s="227"/>
      <c r="W134" s="227"/>
      <c r="X134" s="227"/>
      <c r="Y134" s="57" t="s">
        <v>281</v>
      </c>
      <c r="Z134" s="227" t="s">
        <v>265</v>
      </c>
      <c r="AA134" s="457" t="e">
        <f>ABS(L134*O80)</f>
        <v>#VALUE!</v>
      </c>
      <c r="AB134" s="457"/>
      <c r="AC134" s="457"/>
      <c r="AD134" s="228" t="s">
        <v>144</v>
      </c>
      <c r="AE134" s="228"/>
      <c r="AF134" s="227"/>
      <c r="AG134" s="227"/>
      <c r="AH134" s="227"/>
      <c r="AI134" s="227"/>
      <c r="AJ134" s="227"/>
      <c r="AK134" s="227"/>
      <c r="AL134" s="227"/>
      <c r="AM134" s="227"/>
      <c r="AN134" s="227"/>
      <c r="AO134" s="227"/>
      <c r="AP134" s="227"/>
      <c r="AQ134" s="227"/>
      <c r="AR134" s="227"/>
      <c r="AS134" s="227"/>
      <c r="AT134" s="227"/>
      <c r="AU134" s="180"/>
      <c r="AV134" s="179"/>
      <c r="AW134" s="226"/>
      <c r="AX134" s="227"/>
      <c r="AY134" s="227"/>
      <c r="AZ134" s="227"/>
      <c r="BA134" s="227"/>
      <c r="BB134" s="227"/>
      <c r="BC134" s="227"/>
      <c r="BD134" s="227"/>
      <c r="BE134" s="227"/>
      <c r="BF134" s="227"/>
      <c r="BG134" s="227"/>
      <c r="BH134" s="59"/>
      <c r="BI134" s="59"/>
      <c r="BP134" s="228"/>
      <c r="BQ134" s="237"/>
    </row>
    <row r="135" spans="2:83" s="175" customFormat="1" ht="18.75" customHeight="1">
      <c r="B135" s="227"/>
      <c r="C135" s="462" t="s">
        <v>97</v>
      </c>
      <c r="D135" s="462"/>
      <c r="E135" s="462"/>
      <c r="F135" s="462"/>
      <c r="G135" s="462"/>
      <c r="H135" s="226"/>
      <c r="J135" s="226"/>
      <c r="K135" s="226"/>
      <c r="L135" s="226"/>
      <c r="M135" s="226"/>
      <c r="N135" s="226"/>
      <c r="O135" s="226"/>
      <c r="P135" s="226"/>
      <c r="Q135" s="226"/>
      <c r="R135" s="179"/>
      <c r="S135" s="226"/>
      <c r="T135" s="226"/>
      <c r="U135" s="226"/>
      <c r="W135" s="226"/>
      <c r="X135" s="226"/>
      <c r="Y135" s="226"/>
      <c r="Z135" s="226"/>
      <c r="AA135" s="57" t="s">
        <v>346</v>
      </c>
      <c r="AB135" s="226"/>
      <c r="AC135" s="226"/>
      <c r="AD135" s="226"/>
      <c r="AE135" s="227"/>
      <c r="AF135" s="227"/>
      <c r="AH135" s="227"/>
      <c r="AI135" s="227"/>
      <c r="AJ135" s="227"/>
      <c r="AK135" s="227"/>
      <c r="AL135" s="227"/>
      <c r="AM135" s="227"/>
      <c r="AN135" s="227"/>
      <c r="AO135" s="227"/>
      <c r="AP135" s="227"/>
      <c r="AQ135" s="227"/>
      <c r="AR135" s="227"/>
      <c r="AS135" s="227"/>
      <c r="AT135" s="227"/>
      <c r="AU135" s="227"/>
      <c r="AV135" s="227"/>
      <c r="AW135" s="227"/>
      <c r="AX135" s="227"/>
      <c r="AY135" s="227"/>
      <c r="AZ135" s="227"/>
      <c r="BA135" s="227"/>
      <c r="BB135" s="227"/>
      <c r="BC135" s="227"/>
      <c r="BD135" s="227"/>
      <c r="BE135" s="227"/>
      <c r="BF135" s="227"/>
      <c r="BG135" s="227"/>
      <c r="BH135" s="59"/>
      <c r="BI135" s="59"/>
      <c r="BJ135" s="59"/>
      <c r="BK135" s="59"/>
      <c r="BL135" s="59"/>
    </row>
    <row r="136" spans="2:83" s="175" customFormat="1" ht="18.75" customHeight="1">
      <c r="B136" s="227"/>
      <c r="C136" s="462"/>
      <c r="D136" s="462"/>
      <c r="E136" s="462"/>
      <c r="F136" s="462"/>
      <c r="G136" s="462"/>
      <c r="H136" s="226"/>
      <c r="I136" s="226"/>
      <c r="J136" s="226"/>
      <c r="K136" s="226"/>
      <c r="L136" s="226"/>
      <c r="M136" s="226"/>
      <c r="N136" s="226"/>
      <c r="O136" s="226"/>
      <c r="P136" s="226"/>
      <c r="Q136" s="226"/>
      <c r="R136" s="179"/>
      <c r="S136" s="226"/>
      <c r="T136" s="226"/>
      <c r="U136" s="226"/>
      <c r="V136" s="226"/>
      <c r="W136" s="226"/>
      <c r="X136" s="226"/>
      <c r="Y136" s="226"/>
      <c r="Z136" s="226"/>
      <c r="AA136" s="226"/>
      <c r="AB136" s="226"/>
      <c r="AC136" s="226"/>
      <c r="AD136" s="226"/>
      <c r="AE136" s="227"/>
      <c r="AF136" s="227"/>
      <c r="AG136" s="227"/>
      <c r="AH136" s="227"/>
      <c r="AI136" s="227"/>
      <c r="AJ136" s="227"/>
      <c r="AK136" s="227"/>
      <c r="AL136" s="227"/>
      <c r="AM136" s="227"/>
      <c r="AN136" s="227"/>
      <c r="AO136" s="227"/>
      <c r="AP136" s="227"/>
      <c r="AQ136" s="227"/>
      <c r="AR136" s="227"/>
      <c r="AS136" s="227"/>
      <c r="AT136" s="227"/>
      <c r="AU136" s="227"/>
      <c r="AV136" s="227"/>
      <c r="AW136" s="227"/>
      <c r="AX136" s="227"/>
      <c r="AY136" s="227"/>
      <c r="AZ136" s="227"/>
      <c r="BA136" s="227"/>
      <c r="BB136" s="227"/>
      <c r="BC136" s="227"/>
      <c r="BD136" s="227"/>
      <c r="BE136" s="227"/>
      <c r="BF136" s="227"/>
      <c r="BG136" s="227"/>
      <c r="BH136" s="59"/>
      <c r="BI136" s="59"/>
      <c r="BJ136" s="59"/>
      <c r="BK136" s="59"/>
      <c r="BL136" s="59"/>
    </row>
    <row r="137" spans="2:83" s="175" customFormat="1" ht="18.75" customHeight="1">
      <c r="B137" s="227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  <c r="N137" s="226"/>
      <c r="O137" s="226"/>
      <c r="P137" s="226"/>
      <c r="Q137" s="226"/>
      <c r="R137" s="179"/>
      <c r="S137" s="226"/>
      <c r="T137" s="226"/>
      <c r="U137" s="226"/>
      <c r="V137" s="226"/>
      <c r="W137" s="226"/>
      <c r="X137" s="226"/>
      <c r="Y137" s="226"/>
      <c r="Z137" s="226"/>
      <c r="AA137" s="226"/>
      <c r="AB137" s="459">
        <v>100</v>
      </c>
      <c r="AC137" s="459"/>
      <c r="AD137" s="226"/>
      <c r="AE137" s="227"/>
      <c r="AF137" s="227"/>
      <c r="AG137" s="227"/>
      <c r="AH137" s="227"/>
      <c r="AI137" s="227"/>
      <c r="AJ137" s="227"/>
      <c r="AK137" s="227"/>
      <c r="AL137" s="227"/>
      <c r="AM137" s="227"/>
      <c r="AN137" s="227"/>
      <c r="AO137" s="227"/>
      <c r="AP137" s="227"/>
      <c r="AQ137" s="227"/>
      <c r="AR137" s="227"/>
      <c r="AS137" s="227"/>
      <c r="AT137" s="227"/>
      <c r="AU137" s="227"/>
      <c r="AV137" s="227"/>
      <c r="AW137" s="227"/>
      <c r="AX137" s="227"/>
      <c r="AY137" s="227"/>
      <c r="AZ137" s="227"/>
      <c r="BA137" s="227"/>
      <c r="BB137" s="227"/>
      <c r="BC137" s="227"/>
      <c r="BD137" s="227"/>
      <c r="BE137" s="227"/>
      <c r="BF137" s="227"/>
      <c r="BG137" s="227"/>
      <c r="BH137" s="59"/>
      <c r="BI137" s="59"/>
      <c r="BJ137" s="59"/>
      <c r="BK137" s="59"/>
      <c r="BL137" s="59"/>
    </row>
    <row r="138" spans="2:83" s="175" customFormat="1" ht="18.75" customHeight="1">
      <c r="B138" s="227"/>
      <c r="C138" s="226"/>
      <c r="D138" s="226"/>
      <c r="E138" s="226"/>
      <c r="F138" s="226"/>
      <c r="G138" s="226"/>
      <c r="H138" s="226"/>
      <c r="I138" s="226"/>
      <c r="J138" s="226"/>
      <c r="K138" s="226"/>
      <c r="L138" s="226"/>
      <c r="M138" s="226"/>
      <c r="N138" s="226"/>
      <c r="O138" s="226"/>
      <c r="P138" s="226"/>
      <c r="Q138" s="226"/>
      <c r="R138" s="179"/>
      <c r="S138" s="226"/>
      <c r="T138" s="226"/>
      <c r="U138" s="226"/>
      <c r="V138" s="226"/>
      <c r="W138" s="226"/>
      <c r="X138" s="226"/>
      <c r="Y138" s="226"/>
      <c r="Z138" s="226"/>
      <c r="AA138" s="226"/>
      <c r="AB138" s="459"/>
      <c r="AC138" s="459"/>
      <c r="AD138" s="226"/>
      <c r="AE138" s="227"/>
      <c r="AF138" s="227"/>
      <c r="AG138" s="227"/>
      <c r="AH138" s="227"/>
      <c r="AI138" s="227"/>
      <c r="AJ138" s="227"/>
      <c r="AK138" s="227"/>
      <c r="AL138" s="227"/>
      <c r="AM138" s="227"/>
      <c r="AN138" s="227"/>
      <c r="AO138" s="227"/>
      <c r="AP138" s="227"/>
      <c r="AQ138" s="227"/>
      <c r="AR138" s="227"/>
      <c r="AS138" s="227"/>
      <c r="AT138" s="227"/>
      <c r="AU138" s="227"/>
      <c r="AV138" s="227"/>
      <c r="AW138" s="227"/>
      <c r="AX138" s="227"/>
      <c r="AY138" s="227"/>
      <c r="AZ138" s="227"/>
      <c r="BA138" s="227"/>
      <c r="BB138" s="227"/>
      <c r="BC138" s="227"/>
      <c r="BD138" s="227"/>
      <c r="BE138" s="227"/>
      <c r="BF138" s="227"/>
      <c r="BG138" s="227"/>
      <c r="BH138" s="59"/>
      <c r="BI138" s="59"/>
      <c r="BJ138" s="59"/>
      <c r="BK138" s="59"/>
      <c r="BL138" s="59"/>
    </row>
    <row r="139" spans="2:83" s="175" customFormat="1" ht="18.75" customHeight="1">
      <c r="B139" s="227"/>
      <c r="C139" s="226"/>
      <c r="D139" s="226"/>
      <c r="E139" s="226"/>
      <c r="F139" s="226"/>
      <c r="G139" s="226"/>
      <c r="H139" s="226"/>
      <c r="I139" s="226"/>
      <c r="J139" s="226"/>
      <c r="K139" s="226"/>
      <c r="L139" s="226"/>
      <c r="M139" s="226"/>
      <c r="N139" s="226"/>
      <c r="O139" s="226"/>
      <c r="P139" s="226"/>
      <c r="Q139" s="226"/>
      <c r="R139" s="179"/>
      <c r="S139" s="226"/>
      <c r="T139" s="226"/>
      <c r="U139" s="226"/>
      <c r="V139" s="226"/>
      <c r="W139" s="226"/>
      <c r="X139" s="226"/>
      <c r="Y139" s="226"/>
      <c r="Z139" s="226"/>
      <c r="AA139" s="226"/>
      <c r="AB139" s="226"/>
      <c r="AC139" s="226"/>
      <c r="AD139" s="226"/>
      <c r="AE139" s="227"/>
      <c r="AF139" s="227"/>
      <c r="AG139" s="227"/>
      <c r="AH139" s="227"/>
      <c r="AI139" s="227"/>
      <c r="AJ139" s="227"/>
      <c r="AK139" s="227"/>
      <c r="AL139" s="227"/>
      <c r="AM139" s="227"/>
      <c r="AN139" s="227"/>
      <c r="AO139" s="227"/>
      <c r="AP139" s="227"/>
      <c r="AQ139" s="227"/>
      <c r="AR139" s="227"/>
      <c r="AS139" s="227"/>
      <c r="AT139" s="227"/>
      <c r="AU139" s="227"/>
      <c r="AV139" s="227"/>
      <c r="AW139" s="227"/>
      <c r="AX139" s="227"/>
      <c r="AY139" s="227"/>
      <c r="AZ139" s="227"/>
      <c r="BA139" s="227"/>
      <c r="BB139" s="227"/>
      <c r="BC139" s="227"/>
      <c r="BD139" s="227"/>
      <c r="BE139" s="227"/>
      <c r="BF139" s="227"/>
      <c r="BG139" s="227"/>
      <c r="BH139" s="59"/>
      <c r="BI139" s="59"/>
      <c r="BJ139" s="59"/>
      <c r="BK139" s="59"/>
      <c r="BL139" s="59"/>
    </row>
    <row r="140" spans="2:83" s="175" customFormat="1" ht="18.75" customHeight="1">
      <c r="B140" s="227"/>
      <c r="C140" s="226"/>
      <c r="D140" s="226"/>
      <c r="E140" s="226"/>
      <c r="F140" s="226"/>
      <c r="G140" s="226"/>
      <c r="H140" s="226"/>
      <c r="I140" s="226"/>
      <c r="J140" s="226"/>
      <c r="K140" s="226"/>
      <c r="L140" s="226"/>
      <c r="M140" s="226"/>
      <c r="N140" s="226"/>
      <c r="O140" s="226"/>
      <c r="P140" s="226"/>
      <c r="Q140" s="226"/>
      <c r="R140" s="179"/>
      <c r="S140" s="226"/>
      <c r="T140" s="226"/>
      <c r="U140" s="226"/>
      <c r="V140" s="226"/>
      <c r="W140" s="226"/>
      <c r="X140" s="226"/>
      <c r="Y140" s="226"/>
      <c r="Z140" s="226"/>
      <c r="AA140" s="226"/>
      <c r="AB140" s="226"/>
      <c r="AC140" s="226"/>
      <c r="AD140" s="226"/>
      <c r="AE140" s="227"/>
      <c r="AF140" s="227"/>
      <c r="AG140" s="227"/>
      <c r="AH140" s="227"/>
      <c r="AI140" s="227"/>
      <c r="AJ140" s="227"/>
      <c r="AK140" s="227"/>
      <c r="AL140" s="227"/>
      <c r="AM140" s="227"/>
      <c r="AN140" s="227"/>
      <c r="AO140" s="227"/>
      <c r="AP140" s="227"/>
      <c r="AQ140" s="227"/>
      <c r="AR140" s="227"/>
      <c r="AS140" s="227"/>
      <c r="AT140" s="227"/>
      <c r="AU140" s="227"/>
      <c r="AV140" s="227"/>
      <c r="AW140" s="227"/>
      <c r="AX140" s="227"/>
      <c r="AY140" s="227"/>
      <c r="AZ140" s="227"/>
      <c r="BA140" s="227"/>
      <c r="BB140" s="227"/>
      <c r="BC140" s="227"/>
      <c r="BD140" s="227"/>
      <c r="BE140" s="227"/>
      <c r="BF140" s="227"/>
      <c r="BG140" s="227"/>
      <c r="BH140" s="226"/>
      <c r="BI140" s="226"/>
      <c r="BJ140" s="226"/>
      <c r="BK140" s="226"/>
    </row>
    <row r="141" spans="2:83" s="175" customFormat="1" ht="18.75" customHeight="1">
      <c r="B141" s="58" t="str">
        <f>"4. "&amp;N5&amp;"와 "&amp;T5&amp;"의 온도 차에 의한 표준불확도,"</f>
        <v>4. 길이 변위계와 게이지 블록의 온도 차에 의한 표준불확도,</v>
      </c>
      <c r="D141" s="226"/>
      <c r="E141" s="226"/>
      <c r="F141" s="226"/>
      <c r="G141" s="226"/>
      <c r="H141" s="226"/>
      <c r="I141" s="226"/>
      <c r="J141" s="226"/>
      <c r="K141" s="226"/>
      <c r="L141" s="226"/>
      <c r="M141" s="226"/>
      <c r="N141" s="226"/>
      <c r="O141" s="226"/>
      <c r="P141" s="226"/>
      <c r="Q141" s="226"/>
      <c r="R141" s="226"/>
      <c r="S141" s="226"/>
      <c r="T141" s="226"/>
      <c r="U141" s="226"/>
      <c r="V141" s="226"/>
      <c r="W141" s="226"/>
      <c r="X141" s="58" t="s">
        <v>375</v>
      </c>
      <c r="Y141" s="226"/>
      <c r="Z141" s="226"/>
      <c r="AA141" s="226"/>
      <c r="AB141" s="226"/>
      <c r="AC141" s="226"/>
      <c r="AD141" s="226"/>
      <c r="AE141" s="226"/>
      <c r="AF141" s="226"/>
      <c r="AG141" s="226"/>
      <c r="AH141" s="227"/>
      <c r="AI141" s="227"/>
      <c r="AJ141" s="227"/>
      <c r="AK141" s="227"/>
      <c r="AL141" s="227"/>
      <c r="AM141" s="227"/>
      <c r="AN141" s="227"/>
      <c r="AO141" s="226"/>
      <c r="AP141" s="226"/>
      <c r="AQ141" s="226"/>
      <c r="AR141" s="226"/>
      <c r="AS141" s="226"/>
      <c r="AT141" s="226"/>
      <c r="AU141" s="226"/>
      <c r="AV141" s="226"/>
      <c r="AW141" s="226"/>
      <c r="AX141" s="226"/>
      <c r="AY141" s="226"/>
      <c r="AZ141" s="226"/>
      <c r="BA141" s="226"/>
      <c r="BB141" s="226"/>
      <c r="BC141" s="226"/>
      <c r="BD141" s="226"/>
      <c r="BE141" s="226"/>
      <c r="BF141" s="226"/>
      <c r="BG141" s="226"/>
      <c r="BH141" s="59"/>
      <c r="BI141" s="59"/>
      <c r="BJ141" s="59"/>
      <c r="BK141" s="59"/>
      <c r="BL141" s="59"/>
      <c r="BM141" s="59"/>
      <c r="BN141" s="59"/>
    </row>
    <row r="142" spans="2:83" s="175" customFormat="1" ht="18.75" customHeight="1">
      <c r="B142" s="58"/>
      <c r="C142" s="249" t="str">
        <f>"※ 열평형 상태에서 "&amp;N5&amp;"와 "&amp;T5&amp;"의 온도차가 ±"&amp;N145&amp;" ℃ 이내에서 일치한다고"</f>
        <v>※ 열평형 상태에서 길이 변위계와 게이지 블록의 온도차가 ±0.5 ℃ 이내에서 일치한다고</v>
      </c>
      <c r="D142" s="249"/>
      <c r="E142" s="249"/>
      <c r="F142" s="249"/>
      <c r="G142" s="249"/>
      <c r="H142" s="249"/>
      <c r="I142" s="249"/>
      <c r="J142" s="249"/>
      <c r="K142" s="249"/>
      <c r="L142" s="249"/>
      <c r="M142" s="249"/>
      <c r="N142" s="249"/>
      <c r="O142" s="249"/>
      <c r="P142" s="249"/>
      <c r="Q142" s="249"/>
      <c r="R142" s="249"/>
      <c r="S142" s="249"/>
      <c r="T142" s="249"/>
      <c r="U142" s="249"/>
      <c r="V142" s="249"/>
      <c r="W142" s="249"/>
      <c r="X142" s="249"/>
      <c r="Y142" s="249"/>
      <c r="Z142" s="249"/>
      <c r="AA142" s="249"/>
      <c r="AB142" s="249"/>
      <c r="AC142" s="249"/>
      <c r="AD142" s="249"/>
      <c r="AE142" s="249"/>
      <c r="AF142" s="249"/>
      <c r="AG142" s="249"/>
      <c r="AH142" s="249"/>
      <c r="AI142" s="249"/>
      <c r="AJ142" s="249"/>
      <c r="AK142" s="249"/>
      <c r="AL142" s="249"/>
      <c r="AM142" s="250"/>
      <c r="AN142" s="250"/>
      <c r="AO142" s="249"/>
      <c r="AP142" s="249"/>
      <c r="AQ142" s="249"/>
      <c r="AR142" s="249"/>
      <c r="AS142" s="249"/>
      <c r="AT142" s="249"/>
      <c r="AU142" s="249"/>
      <c r="AV142" s="249"/>
      <c r="AW142" s="249"/>
      <c r="AX142" s="249"/>
      <c r="AY142" s="249"/>
      <c r="AZ142" s="249"/>
      <c r="BA142" s="249"/>
      <c r="BB142" s="249"/>
      <c r="BC142" s="249"/>
      <c r="BD142" s="249"/>
      <c r="BE142" s="249"/>
      <c r="BF142" s="249"/>
      <c r="BG142" s="249"/>
      <c r="BH142" s="59"/>
      <c r="BI142" s="59"/>
      <c r="BJ142" s="59"/>
      <c r="BK142" s="59"/>
      <c r="BL142" s="59"/>
      <c r="BM142" s="59"/>
      <c r="BN142" s="59"/>
    </row>
    <row r="143" spans="2:83" s="175" customFormat="1" ht="18.75" customHeight="1">
      <c r="B143" s="58"/>
      <c r="C143" s="249"/>
      <c r="D143" s="249" t="s">
        <v>425</v>
      </c>
      <c r="E143" s="249"/>
      <c r="F143" s="249"/>
      <c r="G143" s="249"/>
      <c r="H143" s="249"/>
      <c r="I143" s="249"/>
      <c r="J143" s="249"/>
      <c r="K143" s="249"/>
      <c r="L143" s="249"/>
      <c r="M143" s="249"/>
      <c r="N143" s="249"/>
      <c r="O143" s="249"/>
      <c r="P143" s="249"/>
      <c r="Q143" s="249"/>
      <c r="R143" s="249"/>
      <c r="S143" s="249"/>
      <c r="T143" s="249"/>
      <c r="U143" s="249"/>
      <c r="V143" s="249"/>
      <c r="W143" s="249"/>
      <c r="X143" s="249"/>
      <c r="Y143" s="249"/>
      <c r="Z143" s="249"/>
      <c r="AA143" s="249"/>
      <c r="AB143" s="249"/>
      <c r="AC143" s="249"/>
      <c r="AD143" s="249"/>
      <c r="AE143" s="249"/>
      <c r="AF143" s="249"/>
      <c r="AG143" s="249"/>
      <c r="AH143" s="249"/>
      <c r="AI143" s="249"/>
      <c r="AJ143" s="249"/>
      <c r="AK143" s="249"/>
      <c r="AL143" s="249"/>
      <c r="AM143" s="250"/>
      <c r="AN143" s="250"/>
      <c r="AO143" s="249"/>
      <c r="AP143" s="249"/>
      <c r="AQ143" s="249"/>
      <c r="AR143" s="249"/>
      <c r="AS143" s="249"/>
      <c r="AT143" s="249"/>
      <c r="AU143" s="249"/>
      <c r="AV143" s="249"/>
      <c r="AW143" s="249"/>
      <c r="AX143" s="249"/>
      <c r="AY143" s="249"/>
      <c r="AZ143" s="249"/>
      <c r="BA143" s="249"/>
      <c r="BB143" s="249"/>
      <c r="BC143" s="249"/>
      <c r="BD143" s="249"/>
      <c r="BE143" s="249"/>
      <c r="BF143" s="249"/>
      <c r="BG143" s="249"/>
      <c r="BH143" s="59"/>
      <c r="BI143" s="59"/>
      <c r="BJ143" s="59"/>
      <c r="BK143" s="59"/>
      <c r="BL143" s="59"/>
      <c r="BM143" s="59"/>
      <c r="BN143" s="59"/>
    </row>
    <row r="144" spans="2:83" s="175" customFormat="1" ht="18.75" customHeight="1">
      <c r="B144" s="227"/>
      <c r="C144" s="228" t="s">
        <v>98</v>
      </c>
      <c r="D144" s="227"/>
      <c r="E144" s="227"/>
      <c r="F144" s="227"/>
      <c r="G144" s="227"/>
      <c r="H144" s="482" t="str">
        <f>H81</f>
        <v/>
      </c>
      <c r="I144" s="482"/>
      <c r="J144" s="482"/>
      <c r="K144" s="482"/>
      <c r="L144" s="482"/>
      <c r="M144" s="482"/>
      <c r="N144" s="482"/>
      <c r="O144" s="482"/>
      <c r="P144" s="229"/>
      <c r="Q144" s="226"/>
      <c r="R144" s="226"/>
      <c r="S144" s="226"/>
      <c r="T144" s="226"/>
      <c r="U144" s="226"/>
      <c r="V144" s="226"/>
      <c r="W144" s="227"/>
      <c r="X144" s="227"/>
      <c r="Y144" s="227"/>
      <c r="Z144" s="226"/>
      <c r="AA144" s="226"/>
      <c r="AB144" s="226"/>
      <c r="AC144" s="226"/>
      <c r="AD144" s="226"/>
      <c r="AE144" s="226"/>
      <c r="AF144" s="226"/>
      <c r="AG144" s="226"/>
      <c r="AH144" s="227"/>
      <c r="AI144" s="227"/>
      <c r="AJ144" s="227"/>
      <c r="AK144" s="227"/>
      <c r="AL144" s="227"/>
      <c r="AM144" s="227"/>
      <c r="AN144" s="227"/>
      <c r="AO144" s="226"/>
      <c r="AP144" s="226"/>
      <c r="AQ144" s="226"/>
      <c r="AR144" s="226"/>
      <c r="AS144" s="226"/>
      <c r="AT144" s="226"/>
      <c r="AU144" s="226"/>
      <c r="AV144" s="226"/>
      <c r="AW144" s="226"/>
      <c r="AX144" s="226"/>
      <c r="AY144" s="226"/>
      <c r="AZ144" s="226"/>
      <c r="BA144" s="226"/>
      <c r="BB144" s="226"/>
      <c r="BC144" s="226"/>
      <c r="BD144" s="226"/>
      <c r="BE144" s="226"/>
      <c r="BF144" s="226"/>
      <c r="BG144" s="226"/>
      <c r="BH144" s="59"/>
      <c r="BI144" s="59"/>
      <c r="BJ144" s="59"/>
      <c r="BK144" s="59"/>
      <c r="BL144" s="59"/>
      <c r="BM144" s="59"/>
    </row>
    <row r="145" spans="2:68" s="175" customFormat="1" ht="18.75" customHeight="1">
      <c r="B145" s="227"/>
      <c r="C145" s="462" t="s">
        <v>283</v>
      </c>
      <c r="D145" s="462"/>
      <c r="E145" s="462"/>
      <c r="F145" s="462"/>
      <c r="G145" s="462"/>
      <c r="H145" s="462"/>
      <c r="I145" s="462"/>
      <c r="J145" s="485" t="s">
        <v>440</v>
      </c>
      <c r="K145" s="485"/>
      <c r="L145" s="485"/>
      <c r="M145" s="451" t="s">
        <v>265</v>
      </c>
      <c r="N145" s="463">
        <f>Calcu!G57</f>
        <v>0.5</v>
      </c>
      <c r="O145" s="463"/>
      <c r="P145" s="253" t="s">
        <v>426</v>
      </c>
      <c r="Q145" s="254"/>
      <c r="R145" s="451" t="s">
        <v>265</v>
      </c>
      <c r="S145" s="464">
        <f>N145/SQRT(3)</f>
        <v>0.28867513459481292</v>
      </c>
      <c r="T145" s="464"/>
      <c r="U145" s="464"/>
      <c r="V145" s="465" t="s">
        <v>427</v>
      </c>
      <c r="W145" s="465"/>
      <c r="X145" s="184"/>
      <c r="Y145" s="226"/>
      <c r="AX145" s="226"/>
      <c r="AY145" s="226"/>
      <c r="AZ145" s="226"/>
      <c r="BA145" s="226"/>
      <c r="BB145" s="226"/>
      <c r="BC145" s="226"/>
      <c r="BD145" s="226"/>
      <c r="BE145" s="226"/>
      <c r="BF145" s="226"/>
      <c r="BG145" s="226"/>
      <c r="BH145" s="226"/>
      <c r="BI145" s="226"/>
      <c r="BJ145" s="59"/>
      <c r="BK145" s="59"/>
      <c r="BL145" s="59"/>
      <c r="BM145" s="59"/>
      <c r="BN145" s="59"/>
      <c r="BO145" s="59"/>
      <c r="BP145" s="59"/>
    </row>
    <row r="146" spans="2:68" s="175" customFormat="1" ht="18.75" customHeight="1">
      <c r="B146" s="227"/>
      <c r="C146" s="462"/>
      <c r="D146" s="462"/>
      <c r="E146" s="462"/>
      <c r="F146" s="462"/>
      <c r="G146" s="462"/>
      <c r="H146" s="462"/>
      <c r="I146" s="462"/>
      <c r="J146" s="485"/>
      <c r="K146" s="485"/>
      <c r="L146" s="485"/>
      <c r="M146" s="451"/>
      <c r="N146" s="233"/>
      <c r="O146" s="233"/>
      <c r="P146" s="233"/>
      <c r="Q146" s="250"/>
      <c r="R146" s="451"/>
      <c r="S146" s="464"/>
      <c r="T146" s="464"/>
      <c r="U146" s="464"/>
      <c r="V146" s="465"/>
      <c r="W146" s="465"/>
      <c r="X146" s="184"/>
      <c r="Y146" s="226"/>
      <c r="AX146" s="226"/>
      <c r="AY146" s="226"/>
      <c r="AZ146" s="226"/>
      <c r="BA146" s="226"/>
      <c r="BB146" s="226"/>
      <c r="BC146" s="226"/>
      <c r="BD146" s="226"/>
      <c r="BE146" s="226"/>
      <c r="BF146" s="226"/>
      <c r="BG146" s="226"/>
      <c r="BH146" s="226"/>
      <c r="BI146" s="226"/>
      <c r="BJ146" s="59"/>
      <c r="BK146" s="59"/>
      <c r="BL146" s="59"/>
      <c r="BM146" s="59"/>
      <c r="BN146" s="59"/>
      <c r="BO146" s="59"/>
      <c r="BP146" s="59"/>
    </row>
    <row r="147" spans="2:68" s="175" customFormat="1" ht="18.75" customHeight="1">
      <c r="B147" s="227"/>
      <c r="C147" s="226" t="s">
        <v>286</v>
      </c>
      <c r="D147" s="226"/>
      <c r="E147" s="226"/>
      <c r="F147" s="226"/>
      <c r="G147" s="226"/>
      <c r="H147" s="226"/>
      <c r="I147" s="459" t="str">
        <f>V81</f>
        <v>직사각형</v>
      </c>
      <c r="J147" s="459"/>
      <c r="K147" s="459"/>
      <c r="L147" s="459"/>
      <c r="M147" s="459"/>
      <c r="N147" s="459"/>
      <c r="O147" s="459"/>
      <c r="P147" s="459"/>
      <c r="Q147" s="226"/>
      <c r="R147" s="226"/>
      <c r="S147" s="226"/>
      <c r="T147" s="226"/>
      <c r="U147" s="226"/>
      <c r="V147" s="226"/>
      <c r="W147" s="226"/>
      <c r="X147" s="226"/>
      <c r="Y147" s="226"/>
      <c r="Z147" s="227"/>
      <c r="AA147" s="227"/>
      <c r="AB147" s="227"/>
      <c r="AC147" s="227"/>
      <c r="AD147" s="227"/>
      <c r="AE147" s="227"/>
      <c r="AF147" s="227"/>
      <c r="AG147" s="227"/>
      <c r="AH147" s="227"/>
      <c r="AI147" s="227"/>
      <c r="AJ147" s="227"/>
      <c r="AK147" s="227"/>
      <c r="AL147" s="227"/>
      <c r="AM147" s="227"/>
      <c r="AN147" s="227"/>
      <c r="AO147" s="227"/>
      <c r="AP147" s="226"/>
      <c r="AQ147" s="226"/>
      <c r="AR147" s="226"/>
      <c r="AS147" s="226"/>
      <c r="AT147" s="226"/>
      <c r="AU147" s="226"/>
      <c r="AV147" s="226"/>
      <c r="AW147" s="226"/>
      <c r="AX147" s="226"/>
      <c r="AY147" s="226"/>
      <c r="AZ147" s="226"/>
      <c r="BA147" s="226"/>
      <c r="BB147" s="226"/>
      <c r="BC147" s="226"/>
      <c r="BD147" s="226"/>
      <c r="BE147" s="226"/>
      <c r="BF147" s="226"/>
      <c r="BG147" s="226"/>
      <c r="BH147" s="59"/>
      <c r="BI147" s="59"/>
      <c r="BJ147" s="59"/>
      <c r="BK147" s="59"/>
      <c r="BL147" s="59"/>
    </row>
    <row r="148" spans="2:68" s="175" customFormat="1" ht="18.75" customHeight="1">
      <c r="B148" s="227"/>
      <c r="C148" s="462" t="s">
        <v>99</v>
      </c>
      <c r="D148" s="462"/>
      <c r="E148" s="462"/>
      <c r="F148" s="462"/>
      <c r="G148" s="462"/>
      <c r="H148" s="462"/>
      <c r="I148" s="226"/>
      <c r="J148" s="226"/>
      <c r="K148" s="226"/>
      <c r="L148" s="226"/>
      <c r="M148" s="226"/>
      <c r="N148" s="226"/>
      <c r="O148" s="227"/>
      <c r="R148" s="462" t="e">
        <f ca="1">-H80*10^6</f>
        <v>#N/A</v>
      </c>
      <c r="S148" s="462"/>
      <c r="T148" s="462"/>
      <c r="U148" s="462" t="s">
        <v>271</v>
      </c>
      <c r="V148" s="462"/>
      <c r="W148" s="462"/>
      <c r="X148" s="462"/>
      <c r="Y148" s="451" t="s">
        <v>86</v>
      </c>
      <c r="Z148" s="481">
        <f>Calcu!N57</f>
        <v>0</v>
      </c>
      <c r="AA148" s="481"/>
      <c r="AB148" s="481"/>
      <c r="AC148" s="462" t="s">
        <v>144</v>
      </c>
      <c r="AD148" s="462"/>
      <c r="AE148" s="451" t="s">
        <v>265</v>
      </c>
      <c r="AF148" s="454" t="e">
        <f ca="1">R148*10^-6*Z148</f>
        <v>#N/A</v>
      </c>
      <c r="AG148" s="454"/>
      <c r="AH148" s="454"/>
      <c r="AI148" s="462" t="s">
        <v>198</v>
      </c>
      <c r="AJ148" s="462"/>
      <c r="AK148" s="462"/>
      <c r="AL148" s="462"/>
      <c r="AM148" s="462"/>
      <c r="AN148" s="462"/>
      <c r="AO148" s="462"/>
      <c r="AP148" s="226"/>
      <c r="AQ148" s="226"/>
      <c r="AR148" s="226"/>
      <c r="AS148" s="226"/>
      <c r="AT148" s="226"/>
      <c r="AU148" s="226"/>
      <c r="AV148" s="226"/>
      <c r="AW148" s="226"/>
      <c r="AX148" s="226"/>
      <c r="AY148" s="226"/>
      <c r="AZ148" s="226"/>
      <c r="BA148" s="226"/>
      <c r="BB148" s="226"/>
      <c r="BC148" s="227"/>
      <c r="BD148" s="227"/>
      <c r="BE148" s="227"/>
      <c r="BF148" s="227"/>
      <c r="BG148" s="227"/>
      <c r="BH148" s="227"/>
    </row>
    <row r="149" spans="2:68" s="175" customFormat="1" ht="18.75" customHeight="1">
      <c r="B149" s="227"/>
      <c r="C149" s="462"/>
      <c r="D149" s="462"/>
      <c r="E149" s="462"/>
      <c r="F149" s="462"/>
      <c r="G149" s="462"/>
      <c r="H149" s="462"/>
      <c r="I149" s="226"/>
      <c r="J149" s="226"/>
      <c r="K149" s="226"/>
      <c r="L149" s="226"/>
      <c r="M149" s="226"/>
      <c r="N149" s="226"/>
      <c r="O149" s="227"/>
      <c r="R149" s="462"/>
      <c r="S149" s="462"/>
      <c r="T149" s="462"/>
      <c r="U149" s="462"/>
      <c r="V149" s="462"/>
      <c r="W149" s="462"/>
      <c r="X149" s="462"/>
      <c r="Y149" s="451"/>
      <c r="Z149" s="481"/>
      <c r="AA149" s="481"/>
      <c r="AB149" s="481"/>
      <c r="AC149" s="462"/>
      <c r="AD149" s="462"/>
      <c r="AE149" s="451"/>
      <c r="AF149" s="454"/>
      <c r="AG149" s="454"/>
      <c r="AH149" s="454"/>
      <c r="AI149" s="462"/>
      <c r="AJ149" s="462"/>
      <c r="AK149" s="462"/>
      <c r="AL149" s="462"/>
      <c r="AM149" s="462"/>
      <c r="AN149" s="462"/>
      <c r="AO149" s="462"/>
      <c r="AP149" s="226"/>
      <c r="AQ149" s="226"/>
      <c r="AR149" s="226"/>
      <c r="AS149" s="226"/>
      <c r="AT149" s="226"/>
      <c r="AU149" s="226"/>
      <c r="AV149" s="226"/>
      <c r="AW149" s="226"/>
      <c r="AX149" s="226"/>
      <c r="AY149" s="226"/>
      <c r="AZ149" s="226"/>
      <c r="BA149" s="226"/>
      <c r="BB149" s="226"/>
      <c r="BC149" s="227"/>
      <c r="BD149" s="227"/>
      <c r="BE149" s="227"/>
      <c r="BF149" s="227"/>
      <c r="BG149" s="227"/>
      <c r="BH149" s="227"/>
    </row>
    <row r="150" spans="2:68" s="175" customFormat="1" ht="18.75" customHeight="1">
      <c r="B150" s="227"/>
      <c r="C150" s="226" t="s">
        <v>287</v>
      </c>
      <c r="D150" s="226"/>
      <c r="E150" s="226"/>
      <c r="F150" s="226"/>
      <c r="G150" s="226"/>
      <c r="H150" s="226"/>
      <c r="I150" s="226"/>
      <c r="J150" s="227"/>
      <c r="K150" s="57" t="s">
        <v>281</v>
      </c>
      <c r="L150" s="454" t="e">
        <f ca="1">AF148</f>
        <v>#N/A</v>
      </c>
      <c r="M150" s="454"/>
      <c r="N150" s="454"/>
      <c r="O150" s="179" t="s">
        <v>198</v>
      </c>
      <c r="P150" s="227"/>
      <c r="Q150" s="227"/>
      <c r="R150" s="227" t="s">
        <v>86</v>
      </c>
      <c r="S150" s="488">
        <f>S145</f>
        <v>0.28867513459481292</v>
      </c>
      <c r="T150" s="488"/>
      <c r="U150" s="488"/>
      <c r="V150" s="488"/>
      <c r="W150" s="57" t="s">
        <v>281</v>
      </c>
      <c r="X150" s="227" t="s">
        <v>265</v>
      </c>
      <c r="Y150" s="457" t="e">
        <f ca="1">ABS(L150*S150)</f>
        <v>#N/A</v>
      </c>
      <c r="Z150" s="457"/>
      <c r="AA150" s="457"/>
      <c r="AB150" s="228" t="s">
        <v>144</v>
      </c>
      <c r="AC150" s="228"/>
      <c r="AD150" s="227"/>
      <c r="AE150" s="227"/>
      <c r="AF150" s="230"/>
      <c r="AG150" s="227"/>
      <c r="AH150" s="227"/>
      <c r="AI150" s="227"/>
      <c r="AJ150" s="227"/>
      <c r="AK150" s="227"/>
      <c r="AL150" s="227"/>
      <c r="AM150" s="227"/>
      <c r="AN150" s="227"/>
      <c r="AO150" s="227"/>
      <c r="AP150" s="181"/>
      <c r="AQ150" s="181"/>
      <c r="AR150" s="181"/>
      <c r="AS150" s="226"/>
      <c r="AT150" s="226"/>
      <c r="AU150" s="226"/>
      <c r="AV150" s="182"/>
      <c r="AW150" s="182"/>
      <c r="AX150" s="182"/>
      <c r="AY150" s="182"/>
      <c r="AZ150" s="182"/>
      <c r="BA150" s="182"/>
      <c r="BB150" s="227"/>
      <c r="BC150" s="227"/>
      <c r="BD150" s="227"/>
      <c r="BE150" s="227"/>
      <c r="BF150" s="227"/>
      <c r="BG150" s="227"/>
    </row>
    <row r="151" spans="2:68" s="175" customFormat="1" ht="18.75" customHeight="1">
      <c r="B151" s="227"/>
      <c r="C151" s="462" t="s">
        <v>100</v>
      </c>
      <c r="D151" s="462"/>
      <c r="E151" s="462"/>
      <c r="F151" s="462"/>
      <c r="G151" s="462"/>
      <c r="H151" s="226"/>
      <c r="J151" s="226"/>
      <c r="K151" s="226"/>
      <c r="L151" s="226"/>
      <c r="M151" s="226"/>
      <c r="N151" s="226"/>
      <c r="O151" s="226"/>
      <c r="P151" s="226"/>
      <c r="Q151" s="226"/>
      <c r="R151" s="179"/>
      <c r="S151" s="226"/>
      <c r="T151" s="226"/>
      <c r="U151" s="226"/>
      <c r="W151" s="57" t="s">
        <v>355</v>
      </c>
      <c r="X151" s="226"/>
      <c r="Y151" s="226"/>
      <c r="Z151" s="226"/>
      <c r="AA151" s="226"/>
      <c r="AB151" s="226"/>
      <c r="AC151" s="226"/>
      <c r="AD151" s="226"/>
      <c r="AE151" s="227"/>
      <c r="AF151" s="227"/>
      <c r="AG151" s="227"/>
      <c r="AH151" s="227"/>
      <c r="AI151" s="227"/>
      <c r="AJ151" s="227"/>
      <c r="AK151" s="227"/>
      <c r="AL151" s="227"/>
      <c r="AM151" s="227"/>
      <c r="AN151" s="227"/>
      <c r="AO151" s="227"/>
      <c r="AP151" s="227"/>
      <c r="AQ151" s="227"/>
      <c r="AR151" s="227"/>
      <c r="AS151" s="227"/>
      <c r="AT151" s="227"/>
      <c r="AU151" s="226"/>
      <c r="AV151" s="227"/>
      <c r="AW151" s="227"/>
      <c r="AX151" s="227"/>
      <c r="AY151" s="227"/>
      <c r="AZ151" s="227"/>
      <c r="BA151" s="227"/>
      <c r="BB151" s="227"/>
      <c r="BC151" s="227"/>
      <c r="BD151" s="227"/>
      <c r="BE151" s="227"/>
      <c r="BF151" s="227"/>
      <c r="BG151" s="227"/>
    </row>
    <row r="152" spans="2:68" s="175" customFormat="1" ht="18.75" customHeight="1">
      <c r="B152" s="227"/>
      <c r="C152" s="462"/>
      <c r="D152" s="462"/>
      <c r="E152" s="462"/>
      <c r="F152" s="462"/>
      <c r="G152" s="462"/>
      <c r="H152" s="226"/>
      <c r="I152" s="226"/>
      <c r="J152" s="226"/>
      <c r="K152" s="226"/>
      <c r="L152" s="226"/>
      <c r="M152" s="226"/>
      <c r="N152" s="226"/>
      <c r="O152" s="226"/>
      <c r="P152" s="226"/>
      <c r="Q152" s="226"/>
      <c r="R152" s="179"/>
      <c r="S152" s="226"/>
      <c r="T152" s="226"/>
      <c r="U152" s="226"/>
      <c r="V152" s="226"/>
      <c r="W152" s="226"/>
      <c r="X152" s="226"/>
      <c r="Y152" s="226"/>
      <c r="Z152" s="226"/>
      <c r="AA152" s="226"/>
      <c r="AB152" s="226"/>
      <c r="AC152" s="227"/>
      <c r="AD152" s="227"/>
      <c r="AE152" s="227"/>
      <c r="AF152" s="227"/>
      <c r="AG152" s="227"/>
      <c r="AH152" s="227"/>
      <c r="AI152" s="227"/>
      <c r="AJ152" s="227"/>
      <c r="AK152" s="227"/>
      <c r="AL152" s="227"/>
      <c r="AM152" s="227"/>
      <c r="AN152" s="227"/>
      <c r="AO152" s="227"/>
      <c r="AP152" s="227"/>
      <c r="AQ152" s="227"/>
      <c r="AR152" s="227"/>
      <c r="AS152" s="227"/>
      <c r="AT152" s="227"/>
      <c r="AU152" s="227"/>
      <c r="AV152" s="227"/>
      <c r="AW152" s="227"/>
      <c r="AX152" s="227"/>
      <c r="AY152" s="227"/>
      <c r="AZ152" s="227"/>
      <c r="BA152" s="227"/>
      <c r="BB152" s="227"/>
      <c r="BC152" s="227"/>
      <c r="BD152" s="227"/>
      <c r="BE152" s="227"/>
      <c r="BF152" s="227"/>
      <c r="BG152" s="227"/>
    </row>
    <row r="153" spans="2:68" s="175" customFormat="1" ht="18.75" customHeight="1">
      <c r="B153" s="227"/>
      <c r="C153" s="226"/>
      <c r="D153" s="226"/>
      <c r="E153" s="226"/>
      <c r="F153" s="226"/>
      <c r="G153" s="227"/>
      <c r="H153" s="226"/>
      <c r="I153" s="226"/>
      <c r="J153" s="226"/>
      <c r="K153" s="226"/>
      <c r="L153" s="226"/>
      <c r="M153" s="226"/>
      <c r="N153" s="226"/>
      <c r="O153" s="226"/>
      <c r="P153" s="226"/>
      <c r="Q153" s="226"/>
      <c r="R153" s="226"/>
      <c r="S153" s="226"/>
      <c r="T153" s="226"/>
      <c r="U153" s="226"/>
      <c r="V153" s="226"/>
      <c r="W153" s="226"/>
      <c r="X153" s="226"/>
      <c r="Y153" s="226"/>
      <c r="Z153" s="226"/>
      <c r="AA153" s="227"/>
      <c r="AB153" s="227"/>
      <c r="AC153" s="227"/>
      <c r="AD153" s="227"/>
      <c r="AE153" s="227"/>
      <c r="AF153" s="227"/>
      <c r="AG153" s="227"/>
      <c r="AH153" s="227"/>
      <c r="AI153" s="227"/>
      <c r="AJ153" s="227"/>
      <c r="AK153" s="227"/>
      <c r="AL153" s="227"/>
      <c r="AM153" s="227"/>
      <c r="AN153" s="227"/>
      <c r="AO153" s="227"/>
      <c r="AP153" s="227"/>
      <c r="AQ153" s="227"/>
      <c r="AR153" s="227"/>
      <c r="AS153" s="227"/>
      <c r="AT153" s="227"/>
      <c r="AU153" s="227"/>
      <c r="AV153" s="227"/>
      <c r="AW153" s="227"/>
      <c r="AX153" s="227"/>
      <c r="AY153" s="227"/>
      <c r="AZ153" s="227"/>
      <c r="BA153" s="227"/>
      <c r="BB153" s="227"/>
      <c r="BC153" s="227"/>
      <c r="BD153" s="227"/>
      <c r="BE153" s="227"/>
      <c r="BF153" s="227"/>
      <c r="BG153" s="227"/>
    </row>
    <row r="154" spans="2:68" s="175" customFormat="1" ht="18.75" customHeight="1">
      <c r="B154" s="58" t="str">
        <f>"5. "&amp;N5&amp;"와 "&amp;T5&amp;"의 열팽창계수 차에 의한 표준불확도,"</f>
        <v>5. 길이 변위계와 게이지 블록의 열팽창계수 차에 의한 표준불확도,</v>
      </c>
      <c r="D154" s="226"/>
      <c r="E154" s="226"/>
      <c r="F154" s="226"/>
      <c r="G154" s="226"/>
      <c r="H154" s="226"/>
      <c r="I154" s="226"/>
      <c r="J154" s="226"/>
      <c r="K154" s="226"/>
      <c r="L154" s="226"/>
      <c r="M154" s="226"/>
      <c r="N154" s="226"/>
      <c r="O154" s="226"/>
      <c r="P154" s="226"/>
      <c r="Q154" s="226"/>
      <c r="R154" s="226"/>
      <c r="S154" s="226"/>
      <c r="T154" s="226"/>
      <c r="U154" s="226"/>
      <c r="V154" s="226"/>
      <c r="W154" s="226"/>
      <c r="X154" s="226"/>
      <c r="Y154" s="226"/>
      <c r="Z154" s="239" t="s">
        <v>376</v>
      </c>
      <c r="AB154" s="226"/>
      <c r="AC154" s="226"/>
      <c r="AD154" s="226"/>
      <c r="AE154" s="226"/>
      <c r="AF154" s="226"/>
      <c r="AG154" s="226"/>
      <c r="AH154" s="226"/>
      <c r="AI154" s="226"/>
      <c r="AJ154" s="226"/>
      <c r="AK154" s="226"/>
      <c r="AL154" s="226"/>
      <c r="AM154" s="226"/>
      <c r="AN154" s="226"/>
      <c r="AO154" s="226"/>
      <c r="AP154" s="226"/>
      <c r="AQ154" s="226"/>
      <c r="AR154" s="226"/>
      <c r="AS154" s="226"/>
      <c r="AT154" s="226"/>
      <c r="AU154" s="226"/>
      <c r="AV154" s="226"/>
      <c r="AW154" s="226"/>
      <c r="AX154" s="226"/>
      <c r="AY154" s="226"/>
      <c r="AZ154" s="226"/>
      <c r="BA154" s="226"/>
      <c r="BB154" s="227"/>
      <c r="BC154" s="227"/>
      <c r="BD154" s="227"/>
      <c r="BE154" s="227"/>
      <c r="BF154" s="227"/>
      <c r="BG154" s="227"/>
    </row>
    <row r="155" spans="2:68" s="175" customFormat="1" ht="18.75" customHeight="1">
      <c r="B155" s="58"/>
      <c r="C155" s="226" t="str">
        <f>"※ "&amp;N5&amp;"와 "&amp;T5&amp;"의 열팽창계수 차이 :"</f>
        <v>※ 길이 변위계와 게이지 블록의 열팽창계수 차이 :</v>
      </c>
      <c r="D155" s="249"/>
      <c r="E155" s="249"/>
      <c r="F155" s="249"/>
      <c r="G155" s="249"/>
      <c r="H155" s="249"/>
      <c r="I155" s="249"/>
      <c r="J155" s="249"/>
      <c r="K155" s="249"/>
      <c r="L155" s="249"/>
      <c r="M155" s="249"/>
      <c r="N155" s="249"/>
      <c r="O155" s="249"/>
      <c r="P155" s="249"/>
      <c r="Q155" s="249"/>
      <c r="R155" s="249"/>
      <c r="S155" s="249"/>
      <c r="T155" s="249"/>
      <c r="U155" s="249"/>
      <c r="V155" s="249"/>
      <c r="W155" s="226" t="s">
        <v>377</v>
      </c>
      <c r="X155" s="249"/>
      <c r="Y155" s="249"/>
      <c r="Z155" s="239"/>
      <c r="AB155" s="249"/>
      <c r="AC155" s="249"/>
      <c r="AD155" s="249"/>
      <c r="AE155" s="249"/>
      <c r="AF155" s="249"/>
      <c r="AG155" s="249"/>
      <c r="AH155" s="249"/>
      <c r="AI155" s="249"/>
      <c r="AJ155" s="249"/>
      <c r="AK155" s="249"/>
      <c r="AL155" s="249"/>
      <c r="AM155" s="249"/>
      <c r="AN155" s="249"/>
      <c r="AO155" s="249"/>
      <c r="AP155" s="249"/>
      <c r="AQ155" s="249"/>
      <c r="AR155" s="249"/>
      <c r="AS155" s="249"/>
      <c r="AT155" s="249"/>
      <c r="AU155" s="249"/>
      <c r="AV155" s="249"/>
      <c r="AW155" s="249"/>
      <c r="AX155" s="249"/>
      <c r="AY155" s="249"/>
      <c r="AZ155" s="249"/>
      <c r="BA155" s="249"/>
      <c r="BB155" s="250"/>
      <c r="BC155" s="250"/>
      <c r="BD155" s="250"/>
      <c r="BE155" s="250"/>
      <c r="BF155" s="250"/>
      <c r="BG155" s="250"/>
    </row>
    <row r="156" spans="2:68" s="175" customFormat="1" ht="18.75" customHeight="1">
      <c r="B156" s="227"/>
      <c r="C156" s="228" t="s">
        <v>289</v>
      </c>
      <c r="D156" s="227"/>
      <c r="E156" s="227"/>
      <c r="F156" s="227"/>
      <c r="G156" s="227"/>
      <c r="H156" s="483" t="e">
        <f ca="1">H82*10^6</f>
        <v>#N/A</v>
      </c>
      <c r="I156" s="483"/>
      <c r="J156" s="483"/>
      <c r="K156" s="229" t="s">
        <v>271</v>
      </c>
      <c r="L156" s="229"/>
      <c r="M156" s="229"/>
      <c r="N156" s="229"/>
      <c r="O156" s="229"/>
      <c r="P156" s="229"/>
      <c r="Q156" s="226"/>
      <c r="R156" s="226"/>
      <c r="S156" s="226"/>
      <c r="T156" s="226"/>
      <c r="U156" s="226"/>
      <c r="V156" s="226"/>
      <c r="W156" s="226"/>
      <c r="X156" s="226"/>
      <c r="Y156" s="226"/>
      <c r="Z156" s="226"/>
      <c r="AA156" s="226"/>
      <c r="AB156" s="226"/>
      <c r="AC156" s="226"/>
      <c r="AD156" s="226"/>
      <c r="AE156" s="226"/>
      <c r="AF156" s="226"/>
      <c r="AG156" s="226"/>
      <c r="AH156" s="226"/>
      <c r="AI156" s="226"/>
      <c r="AJ156" s="226"/>
      <c r="AK156" s="226"/>
      <c r="AL156" s="226"/>
      <c r="AM156" s="226"/>
      <c r="AN156" s="226"/>
      <c r="AO156" s="226"/>
      <c r="AP156" s="226"/>
      <c r="AQ156" s="226"/>
      <c r="AR156" s="226"/>
      <c r="AS156" s="226"/>
      <c r="AT156" s="227"/>
      <c r="AU156" s="227"/>
      <c r="AV156" s="227"/>
      <c r="AW156" s="227"/>
      <c r="AX156" s="227"/>
      <c r="AY156" s="227"/>
      <c r="AZ156" s="227"/>
      <c r="BA156" s="227"/>
      <c r="BB156" s="227"/>
      <c r="BC156" s="227"/>
      <c r="BD156" s="227"/>
      <c r="BE156" s="227"/>
      <c r="BF156" s="227"/>
      <c r="BG156" s="227"/>
    </row>
    <row r="157" spans="2:68" s="175" customFormat="1" ht="18.75" customHeight="1">
      <c r="B157" s="227"/>
      <c r="C157" s="226" t="s">
        <v>290</v>
      </c>
      <c r="D157" s="226"/>
      <c r="E157" s="226"/>
      <c r="F157" s="226"/>
      <c r="G157" s="226"/>
      <c r="H157" s="226"/>
      <c r="I157" s="227"/>
      <c r="J157" s="226" t="s">
        <v>284</v>
      </c>
      <c r="K157" s="226"/>
      <c r="L157" s="226"/>
      <c r="M157" s="226"/>
      <c r="N157" s="226"/>
      <c r="O157" s="226"/>
      <c r="P157" s="226"/>
      <c r="Q157" s="226"/>
      <c r="R157" s="226"/>
      <c r="S157" s="226"/>
      <c r="T157" s="226"/>
      <c r="U157" s="227"/>
      <c r="V157" s="227"/>
      <c r="W157" s="60"/>
      <c r="X157" s="226"/>
      <c r="Y157" s="226"/>
      <c r="Z157" s="226"/>
      <c r="AA157" s="226"/>
      <c r="AB157" s="226"/>
      <c r="AC157" s="226"/>
      <c r="AD157" s="226"/>
      <c r="AE157" s="226"/>
      <c r="AF157" s="226"/>
      <c r="AG157" s="226"/>
      <c r="AH157" s="226"/>
      <c r="AI157" s="226"/>
      <c r="AJ157" s="226"/>
      <c r="AK157" s="226"/>
      <c r="AL157" s="227"/>
      <c r="AM157" s="227"/>
      <c r="AN157" s="227"/>
      <c r="AO157" s="226"/>
      <c r="AP157" s="226"/>
      <c r="AQ157" s="226"/>
      <c r="AR157" s="226"/>
      <c r="AS157" s="226"/>
      <c r="AT157" s="226"/>
      <c r="AU157" s="226"/>
      <c r="AV157" s="226"/>
      <c r="AW157" s="226"/>
      <c r="AX157" s="226"/>
      <c r="AY157" s="226"/>
      <c r="AZ157" s="226"/>
      <c r="BA157" s="226"/>
      <c r="BB157" s="226"/>
      <c r="BC157" s="226"/>
      <c r="BD157" s="226"/>
      <c r="BE157" s="226"/>
      <c r="BF157" s="226"/>
      <c r="BG157" s="226"/>
      <c r="BH157" s="59"/>
      <c r="BI157" s="59"/>
      <c r="BJ157" s="59"/>
      <c r="BK157" s="59"/>
      <c r="BL157" s="59"/>
      <c r="BM157" s="59"/>
    </row>
    <row r="158" spans="2:68" s="175" customFormat="1" ht="18.75" customHeight="1">
      <c r="B158" s="227"/>
      <c r="C158" s="226"/>
      <c r="D158" s="226"/>
      <c r="E158" s="226"/>
      <c r="F158" s="226"/>
      <c r="G158" s="226"/>
      <c r="H158" s="226"/>
      <c r="I158" s="227"/>
      <c r="J158" s="226" t="s">
        <v>285</v>
      </c>
      <c r="K158" s="226"/>
      <c r="L158" s="226"/>
      <c r="M158" s="226"/>
      <c r="N158" s="226"/>
      <c r="O158" s="226"/>
      <c r="P158" s="226"/>
      <c r="Q158" s="226"/>
      <c r="R158" s="226"/>
      <c r="S158" s="226"/>
      <c r="T158" s="227"/>
      <c r="U158" s="226"/>
      <c r="V158" s="60"/>
      <c r="W158" s="226"/>
      <c r="X158" s="226"/>
      <c r="Y158" s="226"/>
      <c r="Z158" s="226"/>
      <c r="AA158" s="226"/>
      <c r="AB158" s="226"/>
      <c r="AC158" s="226"/>
      <c r="AD158" s="227"/>
      <c r="AE158" s="226"/>
      <c r="AF158" s="226"/>
      <c r="AG158" s="226"/>
      <c r="AH158" s="226"/>
      <c r="AI158" s="226"/>
      <c r="AJ158" s="226"/>
      <c r="AK158" s="227"/>
      <c r="AL158" s="227"/>
      <c r="AM158" s="227"/>
      <c r="AN158" s="227"/>
      <c r="AO158" s="226"/>
      <c r="AP158" s="226"/>
      <c r="AQ158" s="226"/>
      <c r="AR158" s="226"/>
      <c r="AS158" s="226"/>
      <c r="AT158" s="226"/>
      <c r="AU158" s="226"/>
      <c r="AV158" s="226"/>
      <c r="AW158" s="226"/>
      <c r="AX158" s="226"/>
      <c r="AY158" s="226"/>
      <c r="AZ158" s="226"/>
      <c r="BA158" s="226"/>
      <c r="BB158" s="226"/>
      <c r="BC158" s="226"/>
      <c r="BD158" s="226"/>
      <c r="BE158" s="226"/>
      <c r="BF158" s="226"/>
      <c r="BG158" s="226"/>
      <c r="BH158" s="59"/>
      <c r="BI158" s="59"/>
      <c r="BJ158" s="59"/>
      <c r="BK158" s="59"/>
      <c r="BL158" s="59"/>
      <c r="BM158" s="59"/>
      <c r="BN158" s="59"/>
    </row>
    <row r="159" spans="2:68" s="175" customFormat="1" ht="18.75" customHeight="1">
      <c r="B159" s="227"/>
      <c r="C159" s="226"/>
      <c r="D159" s="226"/>
      <c r="E159" s="226"/>
      <c r="F159" s="226"/>
      <c r="G159" s="226"/>
      <c r="H159" s="226"/>
      <c r="I159" s="227"/>
      <c r="K159" s="228" t="s">
        <v>277</v>
      </c>
      <c r="L159" s="228"/>
      <c r="M159" s="228"/>
      <c r="N159" s="228"/>
      <c r="O159" s="228"/>
      <c r="P159" s="228"/>
      <c r="Q159" s="228"/>
      <c r="R159" s="228"/>
      <c r="S159" s="226"/>
      <c r="T159" s="226"/>
      <c r="U159" s="226"/>
      <c r="V159" s="226"/>
      <c r="W159" s="226"/>
      <c r="X159" s="226"/>
      <c r="Y159" s="226"/>
      <c r="Z159" s="226"/>
      <c r="AA159" s="226"/>
      <c r="AB159" s="226"/>
      <c r="AC159" s="226"/>
      <c r="AD159" s="226"/>
      <c r="AE159" s="226"/>
      <c r="AF159" s="178"/>
      <c r="AG159" s="226"/>
      <c r="AH159" s="226"/>
      <c r="AI159" s="226"/>
      <c r="AJ159" s="226"/>
      <c r="AK159" s="227"/>
      <c r="AL159" s="227"/>
      <c r="AM159" s="227"/>
      <c r="AN159" s="227"/>
      <c r="AO159" s="226"/>
      <c r="AP159" s="226"/>
      <c r="AQ159" s="226"/>
      <c r="AR159" s="226"/>
      <c r="AS159" s="226"/>
      <c r="AT159" s="226"/>
      <c r="AU159" s="226"/>
      <c r="AV159" s="226"/>
      <c r="AW159" s="226"/>
      <c r="AX159" s="226"/>
      <c r="AY159" s="226"/>
      <c r="AZ159" s="226"/>
      <c r="BA159" s="226"/>
      <c r="BB159" s="226"/>
      <c r="BC159" s="226"/>
      <c r="BD159" s="226"/>
      <c r="BE159" s="226"/>
      <c r="BF159" s="226"/>
      <c r="BG159" s="226"/>
      <c r="BH159" s="59"/>
      <c r="BI159" s="59"/>
      <c r="BJ159" s="59"/>
      <c r="BK159" s="59"/>
      <c r="BL159" s="59"/>
      <c r="BM159" s="59"/>
      <c r="BN159" s="59"/>
    </row>
    <row r="160" spans="2:68" s="175" customFormat="1" ht="18.75" customHeight="1">
      <c r="B160" s="227"/>
      <c r="C160" s="226"/>
      <c r="D160" s="226"/>
      <c r="E160" s="226"/>
      <c r="F160" s="226"/>
      <c r="G160" s="226"/>
      <c r="H160" s="226"/>
      <c r="I160" s="227"/>
      <c r="J160" s="227"/>
      <c r="K160" s="115"/>
      <c r="L160" s="115"/>
      <c r="M160" s="227"/>
      <c r="N160" s="227"/>
      <c r="O160" s="227"/>
      <c r="P160" s="227"/>
      <c r="Q160" s="227"/>
      <c r="R160" s="227"/>
      <c r="S160" s="226"/>
      <c r="T160" s="226"/>
      <c r="U160" s="226"/>
      <c r="V160" s="226"/>
      <c r="W160" s="226"/>
      <c r="X160" s="226"/>
      <c r="Y160" s="227"/>
      <c r="Z160" s="226"/>
      <c r="AA160" s="178"/>
      <c r="AB160" s="178"/>
      <c r="AC160" s="178"/>
      <c r="AD160" s="178"/>
      <c r="AE160" s="178"/>
      <c r="AF160" s="227"/>
      <c r="AG160" s="178"/>
      <c r="AH160" s="178"/>
      <c r="AI160" s="178"/>
      <c r="AJ160" s="178"/>
      <c r="AK160" s="227"/>
      <c r="AL160" s="179"/>
      <c r="AM160" s="179"/>
      <c r="AN160" s="179"/>
      <c r="AO160" s="179"/>
      <c r="AP160" s="226"/>
      <c r="AQ160" s="226"/>
      <c r="AR160" s="226"/>
      <c r="AS160" s="226"/>
      <c r="AT160" s="226"/>
      <c r="AU160" s="226"/>
      <c r="AV160" s="226"/>
      <c r="AW160" s="226"/>
      <c r="AX160" s="226"/>
      <c r="AY160" s="226"/>
      <c r="AZ160" s="226"/>
      <c r="BA160" s="226"/>
      <c r="BB160" s="226"/>
      <c r="BC160" s="226"/>
      <c r="BD160" s="226"/>
      <c r="BE160" s="226"/>
      <c r="BF160" s="226"/>
      <c r="BG160" s="226"/>
      <c r="BH160" s="59"/>
      <c r="BI160" s="59"/>
      <c r="BJ160" s="59"/>
      <c r="BK160" s="59"/>
      <c r="BL160" s="59"/>
    </row>
    <row r="161" spans="2:71" s="175" customFormat="1" ht="18.75" customHeight="1">
      <c r="B161" s="227"/>
      <c r="C161" s="226" t="s">
        <v>291</v>
      </c>
      <c r="D161" s="226"/>
      <c r="E161" s="226"/>
      <c r="F161" s="226"/>
      <c r="G161" s="226"/>
      <c r="H161" s="226"/>
      <c r="I161" s="459" t="str">
        <f>V82</f>
        <v>삼각형</v>
      </c>
      <c r="J161" s="459"/>
      <c r="K161" s="459"/>
      <c r="L161" s="459"/>
      <c r="M161" s="459"/>
      <c r="N161" s="459"/>
      <c r="O161" s="459"/>
      <c r="P161" s="459"/>
      <c r="Q161" s="226"/>
      <c r="R161" s="226"/>
      <c r="S161" s="226"/>
      <c r="T161" s="226"/>
      <c r="U161" s="226"/>
      <c r="V161" s="226"/>
      <c r="W161" s="226"/>
      <c r="X161" s="226"/>
      <c r="Y161" s="226"/>
      <c r="Z161" s="226"/>
      <c r="AA161" s="227"/>
      <c r="AB161" s="227"/>
      <c r="AC161" s="227"/>
      <c r="AD161" s="227"/>
      <c r="AE161" s="227"/>
      <c r="AF161" s="116"/>
      <c r="AG161" s="227"/>
      <c r="AH161" s="227"/>
      <c r="AI161" s="226"/>
      <c r="AJ161" s="226"/>
      <c r="AK161" s="226"/>
      <c r="AL161" s="226"/>
      <c r="AM161" s="226"/>
      <c r="AN161" s="226"/>
      <c r="AO161" s="226"/>
      <c r="AP161" s="226"/>
      <c r="AQ161" s="226"/>
      <c r="AR161" s="226"/>
      <c r="AS161" s="226"/>
      <c r="AT161" s="226"/>
      <c r="AU161" s="226"/>
      <c r="AV161" s="226"/>
      <c r="AW161" s="226"/>
      <c r="AX161" s="226"/>
      <c r="AY161" s="226"/>
      <c r="AZ161" s="226"/>
      <c r="BA161" s="226"/>
      <c r="BB161" s="226"/>
      <c r="BC161" s="226"/>
      <c r="BD161" s="226"/>
      <c r="BE161" s="226"/>
      <c r="BF161" s="226"/>
      <c r="BG161" s="226"/>
      <c r="BH161" s="59"/>
      <c r="BI161" s="59"/>
      <c r="BJ161" s="59"/>
      <c r="BK161" s="59"/>
      <c r="BL161" s="59"/>
      <c r="BM161" s="59"/>
      <c r="BN161" s="59"/>
    </row>
    <row r="162" spans="2:71" s="175" customFormat="1" ht="18.75" customHeight="1">
      <c r="B162" s="227"/>
      <c r="C162" s="462" t="s">
        <v>292</v>
      </c>
      <c r="D162" s="462"/>
      <c r="E162" s="462"/>
      <c r="F162" s="462"/>
      <c r="G162" s="462"/>
      <c r="H162" s="462"/>
      <c r="I162" s="226"/>
      <c r="J162" s="227"/>
      <c r="K162" s="226"/>
      <c r="L162" s="226"/>
      <c r="M162" s="226"/>
      <c r="N162" s="226"/>
      <c r="O162" s="226"/>
      <c r="P162" s="226"/>
      <c r="S162" s="455">
        <f>-H83</f>
        <v>-0.1</v>
      </c>
      <c r="T162" s="455"/>
      <c r="U162" s="462" t="s">
        <v>279</v>
      </c>
      <c r="V162" s="462"/>
      <c r="W162" s="481">
        <f>Calcu!N58</f>
        <v>0</v>
      </c>
      <c r="X162" s="481"/>
      <c r="Y162" s="481"/>
      <c r="Z162" s="462" t="s">
        <v>144</v>
      </c>
      <c r="AA162" s="462"/>
      <c r="AB162" s="451" t="s">
        <v>265</v>
      </c>
      <c r="AC162" s="454">
        <f>S162*W162</f>
        <v>0</v>
      </c>
      <c r="AD162" s="454"/>
      <c r="AE162" s="454"/>
      <c r="AF162" s="454"/>
      <c r="AG162" s="462" t="s">
        <v>147</v>
      </c>
      <c r="AH162" s="462"/>
      <c r="AI162" s="462"/>
      <c r="AJ162" s="462"/>
      <c r="AK162" s="462"/>
      <c r="AL162" s="462"/>
      <c r="AM162" s="462"/>
      <c r="AN162" s="227"/>
      <c r="AO162" s="227"/>
      <c r="AP162" s="227"/>
      <c r="AQ162" s="227"/>
      <c r="AR162" s="227"/>
      <c r="AS162" s="227"/>
      <c r="AT162" s="227"/>
      <c r="AU162" s="227"/>
      <c r="AV162" s="227"/>
      <c r="AW162" s="227"/>
      <c r="AX162" s="227"/>
      <c r="AY162" s="227"/>
      <c r="AZ162" s="227"/>
      <c r="BA162" s="226"/>
      <c r="BB162" s="226"/>
      <c r="BC162" s="226"/>
    </row>
    <row r="163" spans="2:71" s="175" customFormat="1" ht="18.75" customHeight="1">
      <c r="B163" s="227"/>
      <c r="C163" s="462"/>
      <c r="D163" s="462"/>
      <c r="E163" s="462"/>
      <c r="F163" s="462"/>
      <c r="G163" s="462"/>
      <c r="H163" s="462"/>
      <c r="I163" s="226"/>
      <c r="J163" s="226"/>
      <c r="K163" s="226"/>
      <c r="L163" s="226"/>
      <c r="M163" s="226"/>
      <c r="N163" s="226"/>
      <c r="O163" s="226"/>
      <c r="P163" s="227"/>
      <c r="S163" s="455"/>
      <c r="T163" s="455"/>
      <c r="U163" s="462"/>
      <c r="V163" s="462"/>
      <c r="W163" s="481"/>
      <c r="X163" s="481"/>
      <c r="Y163" s="481"/>
      <c r="Z163" s="462"/>
      <c r="AA163" s="462"/>
      <c r="AB163" s="451"/>
      <c r="AC163" s="454"/>
      <c r="AD163" s="454"/>
      <c r="AE163" s="454"/>
      <c r="AF163" s="454"/>
      <c r="AG163" s="462"/>
      <c r="AH163" s="462"/>
      <c r="AI163" s="462"/>
      <c r="AJ163" s="462"/>
      <c r="AK163" s="462"/>
      <c r="AL163" s="462"/>
      <c r="AM163" s="462"/>
      <c r="AN163" s="227"/>
      <c r="AO163" s="227"/>
      <c r="AP163" s="227"/>
      <c r="AQ163" s="227"/>
      <c r="AR163" s="227"/>
      <c r="AS163" s="227"/>
      <c r="AT163" s="227"/>
      <c r="AU163" s="227"/>
      <c r="AV163" s="227"/>
      <c r="AW163" s="227"/>
      <c r="AX163" s="227"/>
      <c r="AY163" s="227"/>
      <c r="AZ163" s="227"/>
      <c r="BA163" s="226"/>
      <c r="BB163" s="226"/>
      <c r="BC163" s="226"/>
    </row>
    <row r="164" spans="2:71" s="175" customFormat="1" ht="18.75" customHeight="1">
      <c r="B164" s="227"/>
      <c r="C164" s="226" t="s">
        <v>293</v>
      </c>
      <c r="D164" s="226"/>
      <c r="E164" s="226"/>
      <c r="F164" s="226"/>
      <c r="G164" s="226"/>
      <c r="H164" s="226"/>
      <c r="I164" s="226"/>
      <c r="J164" s="227"/>
      <c r="K164" s="57" t="s">
        <v>281</v>
      </c>
      <c r="L164" s="454">
        <f>AC162</f>
        <v>0</v>
      </c>
      <c r="M164" s="454"/>
      <c r="N164" s="454"/>
      <c r="O164" s="454"/>
      <c r="P164" s="179" t="s">
        <v>288</v>
      </c>
      <c r="Q164" s="227"/>
      <c r="R164" s="227"/>
      <c r="S164" s="227"/>
      <c r="T164" s="227"/>
      <c r="U164" s="227"/>
      <c r="V164" s="227"/>
      <c r="W164" s="227"/>
      <c r="X164" s="227"/>
      <c r="Y164" s="57" t="s">
        <v>281</v>
      </c>
      <c r="Z164" s="227" t="s">
        <v>265</v>
      </c>
      <c r="AA164" s="457">
        <f>ABS(L164*O82)</f>
        <v>0</v>
      </c>
      <c r="AB164" s="457"/>
      <c r="AC164" s="457"/>
      <c r="AD164" s="228" t="s">
        <v>144</v>
      </c>
      <c r="AE164" s="228"/>
      <c r="AF164" s="227"/>
      <c r="AG164" s="227"/>
      <c r="AH164" s="227"/>
      <c r="AI164" s="227"/>
      <c r="AJ164" s="227"/>
      <c r="AK164" s="227"/>
      <c r="AL164" s="227"/>
      <c r="AM164" s="227"/>
      <c r="AN164" s="227"/>
      <c r="AO164" s="227"/>
      <c r="AP164" s="227"/>
      <c r="AQ164" s="227"/>
      <c r="AR164" s="227"/>
      <c r="AS164" s="179"/>
      <c r="AT164" s="226"/>
      <c r="AU164" s="226"/>
      <c r="AV164" s="226"/>
      <c r="AW164" s="180"/>
      <c r="AX164" s="179"/>
      <c r="AY164" s="226"/>
      <c r="AZ164" s="226"/>
      <c r="BA164" s="226"/>
      <c r="BB164" s="226"/>
      <c r="BC164" s="226"/>
      <c r="BD164" s="226"/>
      <c r="BE164" s="227"/>
      <c r="BF164" s="226"/>
      <c r="BG164" s="226"/>
      <c r="BH164" s="59"/>
      <c r="BI164" s="59"/>
      <c r="BJ164" s="59"/>
    </row>
    <row r="165" spans="2:71" s="175" customFormat="1" ht="18.75" customHeight="1">
      <c r="B165" s="227"/>
      <c r="C165" s="462" t="s">
        <v>294</v>
      </c>
      <c r="D165" s="462"/>
      <c r="E165" s="462"/>
      <c r="F165" s="462"/>
      <c r="G165" s="462"/>
      <c r="H165" s="226"/>
      <c r="J165" s="226"/>
      <c r="K165" s="226"/>
      <c r="L165" s="226"/>
      <c r="M165" s="226"/>
      <c r="N165" s="226"/>
      <c r="O165" s="226"/>
      <c r="P165" s="226"/>
      <c r="Q165" s="226"/>
      <c r="R165" s="179"/>
      <c r="S165" s="226"/>
      <c r="T165" s="226"/>
      <c r="U165" s="226"/>
      <c r="W165" s="226"/>
      <c r="X165" s="226"/>
      <c r="Y165" s="226"/>
      <c r="Z165" s="226"/>
      <c r="AA165" s="57" t="s">
        <v>346</v>
      </c>
      <c r="AB165" s="226"/>
      <c r="AC165" s="226"/>
      <c r="AD165" s="226"/>
      <c r="AE165" s="227"/>
      <c r="AF165" s="227"/>
      <c r="AH165" s="227"/>
      <c r="AI165" s="227"/>
      <c r="AJ165" s="227"/>
      <c r="AK165" s="227"/>
      <c r="AL165" s="227"/>
      <c r="AM165" s="227"/>
      <c r="AN165" s="227"/>
      <c r="AO165" s="227"/>
      <c r="AP165" s="227"/>
      <c r="AQ165" s="227"/>
      <c r="AR165" s="227"/>
      <c r="AS165" s="227"/>
      <c r="AT165" s="227"/>
      <c r="AU165" s="227"/>
      <c r="AV165" s="227"/>
      <c r="AW165" s="227"/>
      <c r="AX165" s="227"/>
      <c r="AY165" s="227"/>
      <c r="AZ165" s="227"/>
      <c r="BA165" s="227"/>
      <c r="BB165" s="227"/>
      <c r="BC165" s="227"/>
      <c r="BD165" s="227"/>
      <c r="BE165" s="227"/>
      <c r="BF165" s="227"/>
      <c r="BG165" s="227"/>
      <c r="BH165" s="59"/>
      <c r="BI165" s="59"/>
      <c r="BJ165" s="59"/>
      <c r="BK165" s="59"/>
      <c r="BL165" s="59"/>
    </row>
    <row r="166" spans="2:71" s="175" customFormat="1" ht="18.75" customHeight="1">
      <c r="B166" s="227"/>
      <c r="C166" s="462"/>
      <c r="D166" s="462"/>
      <c r="E166" s="462"/>
      <c r="F166" s="462"/>
      <c r="G166" s="462"/>
      <c r="H166" s="226"/>
      <c r="I166" s="226"/>
      <c r="J166" s="226"/>
      <c r="K166" s="226"/>
      <c r="L166" s="226"/>
      <c r="M166" s="226"/>
      <c r="N166" s="226"/>
      <c r="O166" s="226"/>
      <c r="P166" s="226"/>
      <c r="Q166" s="226"/>
      <c r="R166" s="179"/>
      <c r="S166" s="226"/>
      <c r="T166" s="226"/>
      <c r="U166" s="226"/>
      <c r="V166" s="226"/>
      <c r="W166" s="226"/>
      <c r="X166" s="226"/>
      <c r="Y166" s="226"/>
      <c r="Z166" s="226"/>
      <c r="AA166" s="226"/>
      <c r="AB166" s="226"/>
      <c r="AC166" s="226"/>
      <c r="AD166" s="226"/>
      <c r="AE166" s="227"/>
      <c r="AF166" s="227"/>
      <c r="AG166" s="227"/>
      <c r="AH166" s="227"/>
      <c r="AI166" s="227"/>
      <c r="AJ166" s="227"/>
      <c r="AK166" s="227"/>
      <c r="AL166" s="227"/>
      <c r="AM166" s="227"/>
      <c r="AN166" s="227"/>
      <c r="AO166" s="227"/>
      <c r="AP166" s="227"/>
      <c r="AQ166" s="227"/>
      <c r="AR166" s="227"/>
      <c r="AS166" s="227"/>
      <c r="AT166" s="227"/>
      <c r="AU166" s="227"/>
      <c r="AV166" s="227"/>
      <c r="AW166" s="227"/>
      <c r="AX166" s="227"/>
      <c r="AY166" s="227"/>
      <c r="AZ166" s="227"/>
      <c r="BA166" s="227"/>
      <c r="BB166" s="227"/>
      <c r="BC166" s="227"/>
      <c r="BD166" s="227"/>
      <c r="BE166" s="227"/>
      <c r="BF166" s="227"/>
      <c r="BG166" s="227"/>
      <c r="BH166" s="59"/>
      <c r="BI166" s="59"/>
      <c r="BJ166" s="59"/>
      <c r="BK166" s="59"/>
      <c r="BL166" s="59"/>
    </row>
    <row r="167" spans="2:71" s="175" customFormat="1" ht="18.75" customHeight="1">
      <c r="B167" s="227"/>
      <c r="C167" s="226"/>
      <c r="D167" s="226"/>
      <c r="E167" s="226"/>
      <c r="F167" s="226"/>
      <c r="G167" s="226"/>
      <c r="H167" s="226"/>
      <c r="I167" s="226"/>
      <c r="J167" s="226"/>
      <c r="K167" s="226"/>
      <c r="L167" s="226"/>
      <c r="M167" s="226"/>
      <c r="N167" s="226"/>
      <c r="O167" s="226"/>
      <c r="P167" s="226"/>
      <c r="Q167" s="226"/>
      <c r="R167" s="179"/>
      <c r="S167" s="226"/>
      <c r="T167" s="226"/>
      <c r="U167" s="226"/>
      <c r="V167" s="226"/>
      <c r="W167" s="226"/>
      <c r="X167" s="226"/>
      <c r="Y167" s="226"/>
      <c r="Z167" s="459">
        <v>100</v>
      </c>
      <c r="AA167" s="459"/>
      <c r="AD167" s="226"/>
      <c r="AE167" s="227"/>
      <c r="AF167" s="227"/>
      <c r="AG167" s="227"/>
      <c r="AH167" s="227"/>
      <c r="AI167" s="227"/>
      <c r="AJ167" s="227"/>
      <c r="AK167" s="227"/>
      <c r="AL167" s="227"/>
      <c r="AM167" s="227"/>
      <c r="AN167" s="227"/>
      <c r="AO167" s="227"/>
      <c r="AP167" s="227"/>
      <c r="AQ167" s="227"/>
      <c r="AR167" s="227"/>
      <c r="AS167" s="227"/>
      <c r="AT167" s="227"/>
      <c r="AU167" s="227"/>
      <c r="AV167" s="227"/>
      <c r="AW167" s="227"/>
      <c r="AX167" s="227"/>
      <c r="AY167" s="227"/>
      <c r="AZ167" s="227"/>
      <c r="BA167" s="227"/>
      <c r="BB167" s="227"/>
      <c r="BC167" s="227"/>
      <c r="BD167" s="227"/>
      <c r="BE167" s="227"/>
      <c r="BF167" s="227"/>
      <c r="BG167" s="227"/>
      <c r="BH167" s="59"/>
      <c r="BI167" s="59"/>
      <c r="BJ167" s="59"/>
      <c r="BK167" s="59"/>
      <c r="BL167" s="59"/>
    </row>
    <row r="168" spans="2:71" s="175" customFormat="1" ht="18.75" customHeight="1">
      <c r="B168" s="227"/>
      <c r="C168" s="226"/>
      <c r="D168" s="226"/>
      <c r="E168" s="226"/>
      <c r="F168" s="226"/>
      <c r="G168" s="226"/>
      <c r="H168" s="226"/>
      <c r="I168" s="226"/>
      <c r="J168" s="226"/>
      <c r="K168" s="226"/>
      <c r="L168" s="226"/>
      <c r="M168" s="226"/>
      <c r="N168" s="226"/>
      <c r="O168" s="226"/>
      <c r="P168" s="226"/>
      <c r="Q168" s="226"/>
      <c r="R168" s="179"/>
      <c r="S168" s="226"/>
      <c r="T168" s="226"/>
      <c r="U168" s="226"/>
      <c r="V168" s="226"/>
      <c r="W168" s="226"/>
      <c r="X168" s="226"/>
      <c r="Y168" s="226"/>
      <c r="Z168" s="459"/>
      <c r="AA168" s="459"/>
      <c r="AD168" s="226"/>
      <c r="AE168" s="227"/>
      <c r="AF168" s="227"/>
      <c r="AG168" s="227"/>
      <c r="AH168" s="227"/>
      <c r="AI168" s="227"/>
      <c r="AJ168" s="227"/>
      <c r="AK168" s="227"/>
      <c r="AL168" s="227"/>
      <c r="AM168" s="227"/>
      <c r="AN168" s="227"/>
      <c r="AO168" s="227"/>
      <c r="AP168" s="227"/>
      <c r="AQ168" s="227"/>
      <c r="AR168" s="227"/>
      <c r="AS168" s="227"/>
      <c r="AT168" s="227"/>
      <c r="AU168" s="227"/>
      <c r="AV168" s="227"/>
      <c r="AW168" s="227"/>
      <c r="AX168" s="227"/>
      <c r="AY168" s="227"/>
      <c r="AZ168" s="227"/>
      <c r="BA168" s="227"/>
      <c r="BB168" s="227"/>
      <c r="BC168" s="227"/>
      <c r="BD168" s="227"/>
      <c r="BE168" s="227"/>
      <c r="BF168" s="227"/>
      <c r="BG168" s="227"/>
      <c r="BH168" s="59"/>
      <c r="BI168" s="59"/>
      <c r="BJ168" s="59"/>
      <c r="BK168" s="59"/>
      <c r="BL168" s="59"/>
    </row>
    <row r="169" spans="2:71" s="175" customFormat="1" ht="18.75" customHeight="1">
      <c r="B169" s="227"/>
      <c r="C169" s="226"/>
      <c r="D169" s="226"/>
      <c r="E169" s="226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  <c r="Q169" s="226"/>
      <c r="R169" s="179"/>
      <c r="S169" s="226"/>
      <c r="T169" s="226"/>
      <c r="U169" s="226"/>
      <c r="V169" s="226"/>
      <c r="W169" s="226"/>
      <c r="X169" s="226"/>
      <c r="Y169" s="226"/>
      <c r="Z169" s="226"/>
      <c r="AA169" s="226"/>
      <c r="AB169" s="226"/>
      <c r="AC169" s="226"/>
      <c r="AD169" s="226"/>
      <c r="AE169" s="227"/>
      <c r="AF169" s="227"/>
      <c r="AG169" s="227"/>
      <c r="AH169" s="227"/>
      <c r="AI169" s="227"/>
      <c r="AJ169" s="227"/>
      <c r="AK169" s="227"/>
      <c r="AL169" s="227"/>
      <c r="AM169" s="227"/>
      <c r="AN169" s="227"/>
      <c r="AO169" s="227"/>
      <c r="AP169" s="227"/>
      <c r="AQ169" s="227"/>
      <c r="AR169" s="227"/>
      <c r="AS169" s="227"/>
      <c r="AT169" s="227"/>
      <c r="AU169" s="227"/>
      <c r="AV169" s="227"/>
      <c r="AW169" s="227"/>
      <c r="AX169" s="227"/>
      <c r="AY169" s="227"/>
      <c r="AZ169" s="227"/>
      <c r="BA169" s="227"/>
      <c r="BB169" s="227"/>
      <c r="BC169" s="227"/>
      <c r="BD169" s="227"/>
      <c r="BE169" s="227"/>
      <c r="BF169" s="227"/>
      <c r="BG169" s="227"/>
      <c r="BH169" s="59"/>
      <c r="BI169" s="59"/>
      <c r="BJ169" s="59"/>
      <c r="BK169" s="59"/>
      <c r="BL169" s="59"/>
    </row>
    <row r="170" spans="2:71" s="175" customFormat="1" ht="18.75" customHeight="1">
      <c r="B170" s="227"/>
      <c r="C170" s="226"/>
      <c r="D170" s="226"/>
      <c r="E170" s="226"/>
      <c r="F170" s="226"/>
      <c r="G170" s="226"/>
      <c r="H170" s="226"/>
      <c r="I170" s="226"/>
      <c r="J170" s="226"/>
      <c r="K170" s="226"/>
      <c r="L170" s="226"/>
      <c r="M170" s="226"/>
      <c r="N170" s="226"/>
      <c r="O170" s="226"/>
      <c r="P170" s="226"/>
      <c r="Q170" s="226"/>
      <c r="R170" s="179"/>
      <c r="S170" s="226"/>
      <c r="T170" s="226"/>
      <c r="U170" s="226"/>
      <c r="V170" s="226"/>
      <c r="W170" s="226"/>
      <c r="X170" s="226"/>
      <c r="Y170" s="226"/>
      <c r="Z170" s="226"/>
      <c r="AA170" s="226"/>
      <c r="AB170" s="226"/>
      <c r="AC170" s="226"/>
      <c r="AD170" s="226"/>
      <c r="AE170" s="227"/>
      <c r="AF170" s="227"/>
      <c r="AG170" s="227"/>
      <c r="AH170" s="227"/>
      <c r="AI170" s="227"/>
      <c r="AJ170" s="227"/>
      <c r="AK170" s="227"/>
      <c r="AL170" s="227"/>
      <c r="AM170" s="227"/>
      <c r="AN170" s="227"/>
      <c r="AO170" s="227"/>
      <c r="AP170" s="227"/>
      <c r="AQ170" s="227"/>
      <c r="AR170" s="227"/>
      <c r="AS170" s="227"/>
      <c r="AT170" s="227"/>
      <c r="AU170" s="227"/>
      <c r="AV170" s="227"/>
      <c r="AW170" s="227"/>
      <c r="AX170" s="227"/>
      <c r="AY170" s="227"/>
      <c r="AZ170" s="227"/>
      <c r="BA170" s="227"/>
      <c r="BB170" s="227"/>
      <c r="BC170" s="227"/>
      <c r="BD170" s="227"/>
      <c r="BE170" s="227"/>
      <c r="BF170" s="227"/>
      <c r="BG170" s="227"/>
      <c r="BH170" s="226"/>
      <c r="BI170" s="226"/>
      <c r="BJ170" s="226"/>
      <c r="BK170" s="226"/>
    </row>
    <row r="171" spans="2:71" s="175" customFormat="1" ht="18.75" customHeight="1">
      <c r="B171" s="58" t="str">
        <f>"6. "&amp;N5&amp;"와 "&amp;T5&amp;"의 평균온도와 기준 온도와의 차이에 의한 표준불확도,"</f>
        <v>6. 길이 변위계와 게이지 블록의 평균온도와 기준 온도와의 차이에 의한 표준불확도,</v>
      </c>
      <c r="D171" s="226"/>
      <c r="E171" s="226"/>
      <c r="F171" s="226"/>
      <c r="G171" s="226"/>
      <c r="H171" s="226"/>
      <c r="I171" s="226"/>
      <c r="J171" s="226"/>
      <c r="K171" s="226"/>
      <c r="L171" s="226"/>
      <c r="M171" s="226"/>
      <c r="N171" s="226"/>
      <c r="O171" s="226"/>
      <c r="P171" s="226"/>
      <c r="Q171" s="226"/>
      <c r="R171" s="226"/>
      <c r="S171" s="226"/>
      <c r="T171" s="226"/>
      <c r="U171" s="226"/>
      <c r="V171" s="226"/>
      <c r="W171" s="226"/>
      <c r="X171" s="226"/>
      <c r="Y171" s="226"/>
      <c r="Z171" s="226"/>
      <c r="AA171" s="226"/>
      <c r="AB171" s="226"/>
      <c r="AC171" s="226"/>
      <c r="AD171" s="226"/>
      <c r="AE171" s="226"/>
      <c r="AG171" s="239" t="s">
        <v>378</v>
      </c>
      <c r="AH171" s="226"/>
      <c r="AI171" s="226"/>
      <c r="AJ171" s="226"/>
      <c r="AK171" s="226"/>
      <c r="AL171" s="226"/>
      <c r="AM171" s="226"/>
      <c r="AN171" s="226"/>
      <c r="AO171" s="226"/>
      <c r="AP171" s="226"/>
      <c r="AQ171" s="226"/>
      <c r="AR171" s="226"/>
      <c r="AS171" s="226"/>
      <c r="AT171" s="226"/>
      <c r="AU171" s="226"/>
      <c r="AV171" s="226"/>
      <c r="AW171" s="226"/>
      <c r="AX171" s="226"/>
      <c r="AY171" s="226"/>
      <c r="AZ171" s="226"/>
      <c r="BA171" s="226"/>
      <c r="BB171" s="226"/>
      <c r="BC171" s="226"/>
      <c r="BD171" s="226"/>
      <c r="BE171" s="226"/>
      <c r="BF171" s="226"/>
      <c r="BG171" s="226"/>
      <c r="BH171" s="59"/>
      <c r="BI171" s="59"/>
      <c r="BJ171" s="59"/>
      <c r="BK171" s="59"/>
      <c r="BL171" s="59"/>
      <c r="BM171" s="59"/>
      <c r="BN171" s="59"/>
    </row>
    <row r="172" spans="2:71" s="175" customFormat="1" ht="18.75" customHeight="1">
      <c r="B172" s="58"/>
      <c r="C172" s="249" t="str">
        <f>"※ 측정실 공기중의 온도를 측정하였고, 측정에 사용된 온도계의 불확도가 "&amp;N175&amp;" ℃를 넘지 않으므로,"</f>
        <v>※ 측정실 공기중의 온도를 측정하였고, 측정에 사용된 온도계의 불확도가 1 ℃를 넘지 않으므로,</v>
      </c>
      <c r="D172" s="249"/>
      <c r="E172" s="249"/>
      <c r="F172" s="249"/>
      <c r="G172" s="249"/>
      <c r="H172" s="249"/>
      <c r="I172" s="249"/>
      <c r="J172" s="249"/>
      <c r="K172" s="249"/>
      <c r="L172" s="249"/>
      <c r="M172" s="249"/>
      <c r="N172" s="249"/>
      <c r="O172" s="249"/>
      <c r="P172" s="249"/>
      <c r="Q172" s="249"/>
      <c r="R172" s="249"/>
      <c r="S172" s="249"/>
      <c r="T172" s="249"/>
      <c r="U172" s="249"/>
      <c r="V172" s="249"/>
      <c r="W172" s="249"/>
      <c r="X172" s="249"/>
      <c r="Y172" s="249"/>
      <c r="Z172" s="249"/>
      <c r="AA172" s="249"/>
      <c r="AB172" s="249"/>
      <c r="AC172" s="249"/>
      <c r="AD172" s="249"/>
      <c r="AE172" s="249"/>
      <c r="AF172" s="249"/>
      <c r="AG172" s="249"/>
      <c r="AH172" s="249"/>
      <c r="AI172" s="249"/>
      <c r="AJ172" s="249"/>
      <c r="AK172" s="249"/>
      <c r="AL172" s="249"/>
      <c r="AM172" s="249"/>
      <c r="AN172" s="249"/>
      <c r="AO172" s="249"/>
      <c r="AP172" s="249"/>
      <c r="AQ172" s="249"/>
      <c r="AR172" s="249"/>
      <c r="AS172" s="249"/>
      <c r="AT172" s="249"/>
      <c r="AU172" s="249"/>
      <c r="AV172" s="249"/>
      <c r="AW172" s="249"/>
      <c r="AX172" s="249"/>
      <c r="AY172" s="249"/>
      <c r="AZ172" s="249"/>
      <c r="BA172" s="249"/>
      <c r="BB172" s="249"/>
      <c r="BC172" s="249"/>
      <c r="BD172" s="249"/>
      <c r="BE172" s="249"/>
      <c r="BF172" s="249"/>
      <c r="BG172" s="249"/>
      <c r="BH172" s="59"/>
      <c r="BI172" s="59"/>
      <c r="BJ172" s="59"/>
      <c r="BK172" s="59"/>
      <c r="BL172" s="59"/>
      <c r="BM172" s="59"/>
      <c r="BN172" s="59"/>
    </row>
    <row r="173" spans="2:71" s="175" customFormat="1" ht="18.75" customHeight="1">
      <c r="B173" s="58"/>
      <c r="C173" s="249"/>
      <c r="D173" s="249" t="s">
        <v>428</v>
      </c>
      <c r="E173" s="249"/>
      <c r="F173" s="249"/>
      <c r="G173" s="249"/>
      <c r="H173" s="249"/>
      <c r="I173" s="249"/>
      <c r="J173" s="249"/>
      <c r="K173" s="249"/>
      <c r="L173" s="249"/>
      <c r="M173" s="249"/>
      <c r="N173" s="249"/>
      <c r="O173" s="249"/>
      <c r="P173" s="249"/>
      <c r="Q173" s="249"/>
      <c r="R173" s="249"/>
      <c r="S173" s="249"/>
      <c r="T173" s="249"/>
      <c r="U173" s="249"/>
      <c r="V173" s="249"/>
      <c r="W173" s="249"/>
      <c r="X173" s="249"/>
      <c r="Y173" s="249"/>
      <c r="Z173" s="249"/>
      <c r="AA173" s="249"/>
      <c r="AB173" s="249"/>
      <c r="AC173" s="249"/>
      <c r="AD173" s="249"/>
      <c r="AE173" s="249"/>
      <c r="AF173" s="249"/>
      <c r="AG173" s="249"/>
      <c r="AH173" s="249"/>
      <c r="AI173" s="249"/>
      <c r="AJ173" s="249"/>
      <c r="AK173" s="249"/>
      <c r="AL173" s="249"/>
      <c r="AM173" s="249"/>
      <c r="AN173" s="249"/>
      <c r="AO173" s="249"/>
      <c r="AP173" s="249"/>
      <c r="AQ173" s="249"/>
      <c r="AR173" s="249"/>
      <c r="AS173" s="249"/>
      <c r="AT173" s="249"/>
      <c r="AU173" s="249"/>
      <c r="AV173" s="249"/>
      <c r="AW173" s="249"/>
      <c r="AX173" s="249"/>
      <c r="AY173" s="249"/>
      <c r="AZ173" s="249"/>
      <c r="BA173" s="249"/>
      <c r="BB173" s="249"/>
      <c r="BC173" s="249"/>
      <c r="BD173" s="249"/>
      <c r="BE173" s="249"/>
      <c r="BF173" s="249"/>
      <c r="BG173" s="249"/>
      <c r="BH173" s="59"/>
      <c r="BI173" s="59"/>
      <c r="BJ173" s="59"/>
      <c r="BK173" s="59"/>
      <c r="BL173" s="59"/>
      <c r="BM173" s="59"/>
      <c r="BN173" s="59"/>
    </row>
    <row r="174" spans="2:71" s="175" customFormat="1" ht="18.75" customHeight="1">
      <c r="B174" s="227"/>
      <c r="C174" s="228" t="s">
        <v>295</v>
      </c>
      <c r="D174" s="227"/>
      <c r="E174" s="227"/>
      <c r="F174" s="227"/>
      <c r="G174" s="227"/>
      <c r="H174" s="482">
        <f>H83</f>
        <v>0.1</v>
      </c>
      <c r="I174" s="482"/>
      <c r="J174" s="482"/>
      <c r="K174" s="482"/>
      <c r="L174" s="482"/>
      <c r="M174" s="482"/>
      <c r="N174" s="482"/>
      <c r="O174" s="482"/>
      <c r="P174" s="229"/>
      <c r="Q174" s="226"/>
      <c r="R174" s="226"/>
      <c r="S174" s="226"/>
      <c r="T174" s="226"/>
      <c r="U174" s="226"/>
      <c r="V174" s="226"/>
      <c r="W174" s="226"/>
      <c r="X174" s="226"/>
      <c r="Y174" s="226"/>
      <c r="Z174" s="226"/>
      <c r="AA174" s="226"/>
      <c r="AB174" s="226"/>
      <c r="AC174" s="226"/>
      <c r="AD174" s="226"/>
      <c r="AE174" s="226"/>
      <c r="AF174" s="226"/>
      <c r="AG174" s="226"/>
      <c r="AH174" s="226"/>
      <c r="AI174" s="226"/>
      <c r="AJ174" s="226"/>
      <c r="AK174" s="226"/>
      <c r="AL174" s="226"/>
      <c r="AM174" s="226"/>
      <c r="AN174" s="226"/>
      <c r="AO174" s="226"/>
      <c r="AP174" s="226"/>
      <c r="AQ174" s="226"/>
      <c r="AR174" s="226"/>
      <c r="AS174" s="226"/>
      <c r="AT174" s="226"/>
      <c r="AU174" s="226"/>
      <c r="AV174" s="226"/>
      <c r="AW174" s="226"/>
      <c r="AX174" s="226"/>
      <c r="AY174" s="226"/>
      <c r="AZ174" s="226"/>
      <c r="BA174" s="226"/>
      <c r="BB174" s="226"/>
      <c r="BC174" s="226"/>
      <c r="BD174" s="226"/>
      <c r="BE174" s="226"/>
      <c r="BF174" s="226"/>
      <c r="BG174" s="226"/>
      <c r="BH174" s="59"/>
      <c r="BI174" s="59"/>
      <c r="BJ174" s="59"/>
      <c r="BK174" s="59"/>
      <c r="BL174" s="59"/>
      <c r="BM174" s="59"/>
    </row>
    <row r="175" spans="2:71" s="175" customFormat="1" ht="18.75" customHeight="1">
      <c r="B175" s="227"/>
      <c r="C175" s="462" t="s">
        <v>296</v>
      </c>
      <c r="D175" s="462"/>
      <c r="E175" s="462"/>
      <c r="F175" s="462"/>
      <c r="G175" s="462"/>
      <c r="H175" s="462"/>
      <c r="I175" s="462"/>
      <c r="J175" s="485" t="s">
        <v>441</v>
      </c>
      <c r="K175" s="485"/>
      <c r="L175" s="485"/>
      <c r="M175" s="451" t="s">
        <v>265</v>
      </c>
      <c r="N175" s="463">
        <f>Calcu!G59</f>
        <v>1</v>
      </c>
      <c r="O175" s="463"/>
      <c r="P175" s="253" t="s">
        <v>426</v>
      </c>
      <c r="Q175" s="255"/>
      <c r="R175" s="451" t="s">
        <v>265</v>
      </c>
      <c r="S175" s="464">
        <f>N175/SQRT(3)</f>
        <v>0.57735026918962584</v>
      </c>
      <c r="T175" s="464"/>
      <c r="U175" s="464"/>
      <c r="V175" s="455" t="s">
        <v>429</v>
      </c>
      <c r="W175" s="455"/>
      <c r="X175" s="251"/>
      <c r="Y175" s="183"/>
      <c r="Z175" s="184"/>
      <c r="AA175" s="184"/>
      <c r="AZ175" s="226"/>
      <c r="BA175" s="226"/>
      <c r="BB175" s="226"/>
      <c r="BC175" s="226"/>
      <c r="BD175" s="226"/>
      <c r="BE175" s="226"/>
      <c r="BF175" s="226"/>
      <c r="BG175" s="226"/>
      <c r="BH175" s="226"/>
      <c r="BI175" s="226"/>
      <c r="BJ175" s="59"/>
      <c r="BK175" s="59"/>
      <c r="BL175" s="59"/>
      <c r="BM175" s="59"/>
      <c r="BN175" s="59"/>
      <c r="BO175" s="59"/>
      <c r="BP175" s="59"/>
      <c r="BQ175" s="59"/>
      <c r="BR175" s="59"/>
      <c r="BS175" s="59"/>
    </row>
    <row r="176" spans="2:71" s="175" customFormat="1" ht="18.75" customHeight="1">
      <c r="B176" s="227"/>
      <c r="C176" s="462"/>
      <c r="D176" s="462"/>
      <c r="E176" s="462"/>
      <c r="F176" s="462"/>
      <c r="G176" s="462"/>
      <c r="H176" s="462"/>
      <c r="I176" s="462"/>
      <c r="J176" s="485"/>
      <c r="K176" s="485"/>
      <c r="L176" s="485"/>
      <c r="M176" s="451"/>
      <c r="N176" s="233"/>
      <c r="O176" s="233"/>
      <c r="P176" s="233"/>
      <c r="Q176" s="250"/>
      <c r="R176" s="451"/>
      <c r="S176" s="464"/>
      <c r="T176" s="464"/>
      <c r="U176" s="464"/>
      <c r="V176" s="455"/>
      <c r="W176" s="455"/>
      <c r="X176" s="251"/>
      <c r="Y176" s="183"/>
      <c r="Z176" s="184"/>
      <c r="AA176" s="184"/>
      <c r="AZ176" s="226"/>
      <c r="BA176" s="226"/>
      <c r="BB176" s="226"/>
      <c r="BC176" s="226"/>
      <c r="BD176" s="226"/>
      <c r="BE176" s="226"/>
      <c r="BF176" s="226"/>
      <c r="BG176" s="226"/>
      <c r="BH176" s="226"/>
      <c r="BI176" s="226"/>
      <c r="BJ176" s="59"/>
      <c r="BK176" s="59"/>
      <c r="BL176" s="59"/>
      <c r="BM176" s="59"/>
      <c r="BN176" s="59"/>
      <c r="BO176" s="59"/>
      <c r="BP176" s="59"/>
      <c r="BQ176" s="59"/>
      <c r="BR176" s="59"/>
      <c r="BS176" s="59"/>
    </row>
    <row r="177" spans="2:74" s="175" customFormat="1" ht="18.75" customHeight="1">
      <c r="B177" s="227"/>
      <c r="C177" s="226" t="s">
        <v>297</v>
      </c>
      <c r="D177" s="226"/>
      <c r="E177" s="226"/>
      <c r="F177" s="226"/>
      <c r="G177" s="226"/>
      <c r="H177" s="226"/>
      <c r="I177" s="459" t="str">
        <f>V83</f>
        <v>직사각형</v>
      </c>
      <c r="J177" s="459"/>
      <c r="K177" s="459"/>
      <c r="L177" s="459"/>
      <c r="M177" s="459"/>
      <c r="N177" s="459"/>
      <c r="O177" s="459"/>
      <c r="P177" s="459"/>
      <c r="Q177" s="226"/>
      <c r="R177" s="226"/>
      <c r="S177" s="226"/>
      <c r="T177" s="226"/>
      <c r="U177" s="226"/>
      <c r="V177" s="226"/>
      <c r="W177" s="226"/>
      <c r="X177" s="226"/>
      <c r="Y177" s="226"/>
      <c r="Z177" s="227"/>
      <c r="AA177" s="227"/>
      <c r="AB177" s="227"/>
      <c r="AC177" s="227"/>
      <c r="AD177" s="227"/>
      <c r="AE177" s="227"/>
      <c r="AF177" s="227"/>
      <c r="AG177" s="227"/>
      <c r="AH177" s="226"/>
      <c r="AI177" s="226"/>
      <c r="AJ177" s="226"/>
      <c r="AK177" s="226"/>
      <c r="AL177" s="226"/>
      <c r="AM177" s="226"/>
      <c r="AN177" s="226"/>
      <c r="AO177" s="226"/>
      <c r="AP177" s="226"/>
      <c r="AQ177" s="226"/>
      <c r="AR177" s="226"/>
      <c r="AS177" s="226"/>
      <c r="AT177" s="226"/>
      <c r="AU177" s="226"/>
      <c r="AV177" s="226"/>
      <c r="AW177" s="226"/>
      <c r="AX177" s="226"/>
      <c r="AY177" s="226"/>
      <c r="AZ177" s="226"/>
      <c r="BA177" s="226"/>
      <c r="BB177" s="226"/>
      <c r="BC177" s="226"/>
      <c r="BD177" s="226"/>
      <c r="BE177" s="226"/>
      <c r="BF177" s="227"/>
      <c r="BG177" s="226"/>
      <c r="BH177" s="59"/>
      <c r="BI177" s="59"/>
      <c r="BJ177" s="59"/>
      <c r="BK177" s="59"/>
      <c r="BL177" s="59"/>
      <c r="BM177" s="59"/>
      <c r="BN177" s="59"/>
      <c r="BO177" s="59"/>
      <c r="BP177" s="59"/>
      <c r="BQ177" s="59"/>
      <c r="BR177" s="59"/>
      <c r="BS177" s="59"/>
      <c r="BT177" s="59"/>
      <c r="BU177" s="59"/>
      <c r="BV177" s="59"/>
    </row>
    <row r="178" spans="2:74" s="175" customFormat="1" ht="18.75" customHeight="1">
      <c r="B178" s="227"/>
      <c r="C178" s="462" t="s">
        <v>298</v>
      </c>
      <c r="D178" s="462"/>
      <c r="E178" s="462"/>
      <c r="F178" s="462"/>
      <c r="G178" s="462"/>
      <c r="H178" s="462"/>
      <c r="I178" s="226"/>
      <c r="J178" s="226"/>
      <c r="K178" s="226"/>
      <c r="L178" s="226"/>
      <c r="M178" s="226"/>
      <c r="N178" s="226"/>
      <c r="O178" s="227"/>
      <c r="S178" s="483" t="e">
        <f ca="1">-H82*10^6</f>
        <v>#N/A</v>
      </c>
      <c r="T178" s="483"/>
      <c r="U178" s="483"/>
      <c r="V178" s="462" t="s">
        <v>271</v>
      </c>
      <c r="W178" s="462"/>
      <c r="X178" s="462"/>
      <c r="Y178" s="462"/>
      <c r="Z178" s="451" t="s">
        <v>86</v>
      </c>
      <c r="AA178" s="481">
        <f>Calcu!N59</f>
        <v>0</v>
      </c>
      <c r="AB178" s="481"/>
      <c r="AC178" s="481"/>
      <c r="AD178" s="462" t="s">
        <v>144</v>
      </c>
      <c r="AE178" s="462"/>
      <c r="AF178" s="451" t="s">
        <v>265</v>
      </c>
      <c r="AG178" s="454" t="e">
        <f ca="1">S178*10^-6*AA178</f>
        <v>#N/A</v>
      </c>
      <c r="AH178" s="454"/>
      <c r="AI178" s="454"/>
      <c r="AJ178" s="462" t="s">
        <v>198</v>
      </c>
      <c r="AK178" s="462"/>
      <c r="AL178" s="462"/>
      <c r="AM178" s="462"/>
      <c r="AN178" s="462"/>
      <c r="AO178" s="462"/>
      <c r="AP178" s="462"/>
      <c r="AQ178" s="226"/>
      <c r="AR178" s="226"/>
      <c r="AS178" s="226"/>
      <c r="AT178" s="226"/>
      <c r="AU178" s="226"/>
      <c r="AV178" s="226"/>
      <c r="AW178" s="226"/>
      <c r="AX178" s="226"/>
      <c r="AY178" s="226"/>
      <c r="AZ178" s="226"/>
      <c r="BA178" s="226"/>
      <c r="BB178" s="226"/>
      <c r="BC178" s="226"/>
      <c r="BD178" s="226"/>
      <c r="BE178" s="226"/>
      <c r="BF178" s="226"/>
      <c r="BG178" s="226"/>
      <c r="BH178" s="59"/>
      <c r="BI178" s="59"/>
      <c r="BJ178" s="59"/>
      <c r="BK178" s="59"/>
      <c r="BL178" s="59"/>
      <c r="BM178" s="59"/>
    </row>
    <row r="179" spans="2:74" s="175" customFormat="1" ht="18.75" customHeight="1">
      <c r="B179" s="227"/>
      <c r="C179" s="462"/>
      <c r="D179" s="462"/>
      <c r="E179" s="462"/>
      <c r="F179" s="462"/>
      <c r="G179" s="462"/>
      <c r="H179" s="462"/>
      <c r="I179" s="226"/>
      <c r="J179" s="226"/>
      <c r="K179" s="226"/>
      <c r="L179" s="226"/>
      <c r="M179" s="226"/>
      <c r="N179" s="226"/>
      <c r="O179" s="226"/>
      <c r="S179" s="483"/>
      <c r="T179" s="483"/>
      <c r="U179" s="483"/>
      <c r="V179" s="462"/>
      <c r="W179" s="462"/>
      <c r="X179" s="462"/>
      <c r="Y179" s="462"/>
      <c r="Z179" s="451"/>
      <c r="AA179" s="481"/>
      <c r="AB179" s="481"/>
      <c r="AC179" s="481"/>
      <c r="AD179" s="462"/>
      <c r="AE179" s="462"/>
      <c r="AF179" s="451"/>
      <c r="AG179" s="454"/>
      <c r="AH179" s="454"/>
      <c r="AI179" s="454"/>
      <c r="AJ179" s="462"/>
      <c r="AK179" s="462"/>
      <c r="AL179" s="462"/>
      <c r="AM179" s="462"/>
      <c r="AN179" s="462"/>
      <c r="AO179" s="462"/>
      <c r="AP179" s="462"/>
      <c r="AQ179" s="226"/>
      <c r="AR179" s="226"/>
      <c r="AS179" s="226"/>
      <c r="AT179" s="226"/>
      <c r="AU179" s="226"/>
      <c r="AV179" s="226"/>
      <c r="AW179" s="226"/>
      <c r="AX179" s="226"/>
      <c r="AY179" s="226"/>
      <c r="AZ179" s="226"/>
      <c r="BA179" s="226"/>
      <c r="BB179" s="226"/>
      <c r="BC179" s="226"/>
      <c r="BD179" s="226"/>
      <c r="BE179" s="226"/>
      <c r="BF179" s="226"/>
      <c r="BG179" s="226"/>
      <c r="BH179" s="59"/>
      <c r="BI179" s="59"/>
      <c r="BJ179" s="59"/>
      <c r="BK179" s="59"/>
      <c r="BL179" s="59"/>
      <c r="BM179" s="59"/>
    </row>
    <row r="180" spans="2:74" s="175" customFormat="1" ht="18.75" customHeight="1">
      <c r="B180" s="227"/>
      <c r="C180" s="226" t="s">
        <v>299</v>
      </c>
      <c r="D180" s="226"/>
      <c r="E180" s="226"/>
      <c r="F180" s="226"/>
      <c r="G180" s="226"/>
      <c r="H180" s="226"/>
      <c r="I180" s="226"/>
      <c r="J180" s="227"/>
      <c r="K180" s="57" t="s">
        <v>281</v>
      </c>
      <c r="L180" s="454" t="e">
        <f ca="1">AG178</f>
        <v>#N/A</v>
      </c>
      <c r="M180" s="454"/>
      <c r="N180" s="454"/>
      <c r="O180" s="179" t="s">
        <v>198</v>
      </c>
      <c r="P180" s="227"/>
      <c r="Q180" s="227"/>
      <c r="R180" s="227" t="s">
        <v>86</v>
      </c>
      <c r="S180" s="488">
        <f>S175</f>
        <v>0.57735026918962584</v>
      </c>
      <c r="T180" s="488"/>
      <c r="U180" s="488"/>
      <c r="V180" s="488"/>
      <c r="W180" s="57" t="s">
        <v>281</v>
      </c>
      <c r="X180" s="227" t="s">
        <v>265</v>
      </c>
      <c r="Y180" s="457" t="e">
        <f ca="1">ABS(L180*S180)</f>
        <v>#N/A</v>
      </c>
      <c r="Z180" s="457"/>
      <c r="AA180" s="457"/>
      <c r="AB180" s="228" t="s">
        <v>144</v>
      </c>
      <c r="AC180" s="228"/>
      <c r="AD180" s="227"/>
      <c r="AE180" s="227"/>
      <c r="AF180" s="230"/>
      <c r="AG180" s="227"/>
      <c r="AH180" s="227"/>
      <c r="AI180" s="226"/>
      <c r="AJ180" s="227"/>
      <c r="AK180" s="226"/>
      <c r="AL180" s="227"/>
      <c r="AM180" s="227"/>
      <c r="AN180" s="227"/>
      <c r="AO180" s="226"/>
      <c r="AP180" s="226"/>
      <c r="AQ180" s="226"/>
      <c r="AR180" s="226"/>
      <c r="AS180" s="226"/>
      <c r="AT180" s="226"/>
      <c r="AU180" s="226"/>
      <c r="AV180" s="226"/>
      <c r="AW180" s="226"/>
      <c r="AX180" s="226"/>
      <c r="AY180" s="226"/>
      <c r="AZ180" s="226"/>
      <c r="BA180" s="226"/>
      <c r="BB180" s="226"/>
      <c r="BC180" s="226"/>
      <c r="BD180" s="226"/>
      <c r="BE180" s="226"/>
      <c r="BF180" s="226"/>
      <c r="BG180" s="226"/>
      <c r="BH180" s="59"/>
      <c r="BI180" s="59"/>
      <c r="BJ180" s="59"/>
      <c r="BK180" s="59"/>
    </row>
    <row r="181" spans="2:74" s="175" customFormat="1" ht="18.75" customHeight="1">
      <c r="B181" s="227"/>
      <c r="C181" s="462" t="s">
        <v>300</v>
      </c>
      <c r="D181" s="462"/>
      <c r="E181" s="462"/>
      <c r="F181" s="462"/>
      <c r="G181" s="462"/>
      <c r="H181" s="226"/>
      <c r="J181" s="226"/>
      <c r="K181" s="226"/>
      <c r="L181" s="226"/>
      <c r="M181" s="226"/>
      <c r="N181" s="226"/>
      <c r="O181" s="226"/>
      <c r="P181" s="226"/>
      <c r="Q181" s="226"/>
      <c r="R181" s="179"/>
      <c r="S181" s="226"/>
      <c r="T181" s="226"/>
      <c r="U181" s="226"/>
      <c r="W181" s="57" t="s">
        <v>355</v>
      </c>
      <c r="X181" s="226"/>
      <c r="Y181" s="226"/>
      <c r="Z181" s="226"/>
      <c r="AA181" s="226"/>
      <c r="AB181" s="226"/>
      <c r="AC181" s="226"/>
      <c r="AD181" s="226"/>
      <c r="AE181" s="227"/>
      <c r="AF181" s="227"/>
      <c r="AG181" s="227"/>
      <c r="AH181" s="227"/>
      <c r="AI181" s="227"/>
      <c r="AJ181" s="227"/>
      <c r="AK181" s="227"/>
      <c r="AL181" s="227"/>
      <c r="AM181" s="227"/>
      <c r="AN181" s="227"/>
      <c r="AO181" s="227"/>
      <c r="AP181" s="227"/>
      <c r="AQ181" s="227"/>
      <c r="AR181" s="227"/>
      <c r="AS181" s="227"/>
      <c r="AT181" s="227"/>
      <c r="AU181" s="227"/>
      <c r="AV181" s="227"/>
      <c r="AW181" s="227"/>
      <c r="AX181" s="227"/>
      <c r="AY181" s="227"/>
      <c r="AZ181" s="227"/>
      <c r="BA181" s="227"/>
      <c r="BB181" s="227"/>
      <c r="BC181" s="227"/>
      <c r="BD181" s="227"/>
      <c r="BE181" s="227"/>
      <c r="BF181" s="227"/>
      <c r="BG181" s="227"/>
      <c r="BH181" s="59"/>
      <c r="BI181" s="59"/>
      <c r="BJ181" s="59"/>
      <c r="BK181" s="59"/>
      <c r="BP181" s="59"/>
      <c r="BS181" s="59"/>
      <c r="BT181" s="59"/>
      <c r="BU181" s="59"/>
    </row>
    <row r="182" spans="2:74" s="175" customFormat="1" ht="18.75" customHeight="1">
      <c r="B182" s="227"/>
      <c r="C182" s="462"/>
      <c r="D182" s="462"/>
      <c r="E182" s="462"/>
      <c r="F182" s="462"/>
      <c r="G182" s="462"/>
      <c r="H182" s="226"/>
      <c r="I182" s="226"/>
      <c r="J182" s="226"/>
      <c r="K182" s="226"/>
      <c r="L182" s="226"/>
      <c r="M182" s="226"/>
      <c r="N182" s="226"/>
      <c r="O182" s="226"/>
      <c r="P182" s="226"/>
      <c r="Q182" s="226"/>
      <c r="R182" s="179"/>
      <c r="S182" s="226"/>
      <c r="T182" s="226"/>
      <c r="U182" s="226"/>
      <c r="V182" s="226"/>
      <c r="W182" s="226"/>
      <c r="X182" s="226"/>
      <c r="Y182" s="226"/>
      <c r="Z182" s="226"/>
      <c r="AA182" s="226"/>
      <c r="AB182" s="226"/>
      <c r="AC182" s="227"/>
      <c r="AD182" s="227"/>
      <c r="AE182" s="227"/>
      <c r="AF182" s="227"/>
      <c r="AG182" s="227"/>
      <c r="AH182" s="227"/>
      <c r="AI182" s="227"/>
      <c r="AJ182" s="227"/>
      <c r="AK182" s="227"/>
      <c r="AL182" s="227"/>
      <c r="AM182" s="227"/>
      <c r="AN182" s="227"/>
      <c r="AO182" s="227"/>
      <c r="AP182" s="227"/>
      <c r="AQ182" s="227"/>
      <c r="AR182" s="227"/>
      <c r="AS182" s="227"/>
      <c r="AT182" s="227"/>
      <c r="AU182" s="227"/>
      <c r="AV182" s="227"/>
      <c r="AW182" s="227"/>
      <c r="AX182" s="227"/>
      <c r="AY182" s="227"/>
      <c r="AZ182" s="227"/>
      <c r="BA182" s="227"/>
      <c r="BB182" s="227"/>
      <c r="BC182" s="227"/>
      <c r="BD182" s="227"/>
      <c r="BE182" s="227"/>
      <c r="BF182" s="227"/>
      <c r="BG182" s="227"/>
      <c r="BH182" s="59"/>
      <c r="BI182" s="59"/>
      <c r="BJ182" s="59"/>
      <c r="BK182" s="59"/>
      <c r="BP182" s="59"/>
      <c r="BS182" s="59"/>
      <c r="BT182" s="59"/>
      <c r="BU182" s="59"/>
    </row>
    <row r="183" spans="2:74" s="175" customFormat="1" ht="18.75" customHeight="1">
      <c r="B183" s="227"/>
      <c r="C183" s="226"/>
      <c r="D183" s="226"/>
      <c r="E183" s="226"/>
      <c r="F183" s="226"/>
      <c r="G183" s="227"/>
      <c r="H183" s="226"/>
      <c r="I183" s="226"/>
      <c r="J183" s="226"/>
      <c r="K183" s="226"/>
      <c r="L183" s="226"/>
      <c r="M183" s="226"/>
      <c r="N183" s="226"/>
      <c r="O183" s="226"/>
      <c r="P183" s="226"/>
      <c r="Q183" s="226"/>
      <c r="R183" s="226"/>
      <c r="S183" s="226"/>
      <c r="T183" s="226"/>
      <c r="U183" s="226"/>
      <c r="V183" s="226"/>
      <c r="W183" s="226"/>
      <c r="X183" s="227"/>
      <c r="Y183" s="227"/>
      <c r="Z183" s="227"/>
      <c r="AA183" s="227"/>
      <c r="AB183" s="227"/>
      <c r="AC183" s="227"/>
      <c r="AD183" s="227"/>
      <c r="AE183" s="227"/>
      <c r="AF183" s="227"/>
      <c r="AG183" s="227"/>
      <c r="AH183" s="227"/>
      <c r="AI183" s="227"/>
      <c r="AJ183" s="227"/>
      <c r="AK183" s="227"/>
      <c r="AL183" s="227"/>
      <c r="AM183" s="227"/>
      <c r="AN183" s="227"/>
      <c r="AO183" s="227"/>
      <c r="AP183" s="227"/>
      <c r="AQ183" s="227"/>
      <c r="AR183" s="227"/>
      <c r="AS183" s="227"/>
      <c r="AT183" s="227"/>
      <c r="AU183" s="227"/>
      <c r="AV183" s="227"/>
      <c r="AW183" s="227"/>
      <c r="AX183" s="227"/>
      <c r="AY183" s="227"/>
      <c r="AZ183" s="227"/>
      <c r="BA183" s="227"/>
      <c r="BB183" s="227"/>
      <c r="BC183" s="227"/>
      <c r="BD183" s="227"/>
      <c r="BE183" s="227"/>
      <c r="BF183" s="227"/>
      <c r="BG183" s="227"/>
    </row>
    <row r="184" spans="2:74" s="175" customFormat="1" ht="18.75" customHeight="1">
      <c r="B184" s="58" t="str">
        <f>"7. "&amp;N5&amp;"의 분해능에 의한 표준불확도,"</f>
        <v>7. 길이 변위계의 분해능에 의한 표준불확도,</v>
      </c>
      <c r="D184" s="226"/>
      <c r="E184" s="226"/>
      <c r="F184" s="226"/>
      <c r="G184" s="227"/>
      <c r="H184" s="226"/>
      <c r="I184" s="226"/>
      <c r="J184" s="226"/>
      <c r="K184" s="226"/>
      <c r="L184" s="226"/>
      <c r="M184" s="226"/>
      <c r="N184" s="226"/>
      <c r="O184" s="226"/>
      <c r="P184" s="226"/>
      <c r="R184" s="226"/>
      <c r="T184" s="239" t="s">
        <v>512</v>
      </c>
      <c r="U184" s="226"/>
      <c r="V184" s="226"/>
      <c r="W184" s="226"/>
      <c r="X184" s="226"/>
      <c r="Y184" s="226"/>
      <c r="Z184" s="226"/>
      <c r="AA184" s="226"/>
      <c r="AB184" s="226"/>
      <c r="AC184" s="226"/>
      <c r="AD184" s="226"/>
      <c r="AE184" s="227"/>
      <c r="AF184" s="226"/>
      <c r="AG184" s="227"/>
      <c r="AH184" s="227"/>
      <c r="AI184" s="227"/>
      <c r="AJ184" s="227"/>
      <c r="AK184" s="227"/>
      <c r="AL184" s="227"/>
      <c r="AM184" s="227"/>
      <c r="AN184" s="227"/>
      <c r="AO184" s="227"/>
      <c r="AP184" s="227"/>
      <c r="AQ184" s="227"/>
      <c r="AR184" s="227"/>
      <c r="AS184" s="227"/>
      <c r="AT184" s="227"/>
      <c r="AU184" s="227"/>
      <c r="AV184" s="227"/>
      <c r="AW184" s="227"/>
      <c r="AX184" s="227"/>
      <c r="AY184" s="227"/>
      <c r="AZ184" s="227"/>
      <c r="BA184" s="227"/>
      <c r="BB184" s="227"/>
      <c r="BC184" s="227"/>
      <c r="BD184" s="227"/>
      <c r="BE184" s="227"/>
      <c r="BF184" s="227"/>
      <c r="BG184" s="227"/>
    </row>
    <row r="185" spans="2:74" s="175" customFormat="1" ht="18.75" customHeight="1">
      <c r="B185" s="58"/>
      <c r="C185" s="226" t="str">
        <f>"※ "&amp;N5&amp;" 분해능의 반범위에 직사각형 확률분포를 적용하여 계산한다."</f>
        <v>※ 길이 변위계 분해능의 반범위에 직사각형 확률분포를 적용하여 계산한다.</v>
      </c>
      <c r="D185" s="249"/>
      <c r="E185" s="249"/>
      <c r="F185" s="249"/>
      <c r="G185" s="250"/>
      <c r="H185" s="249"/>
      <c r="I185" s="249"/>
      <c r="J185" s="249"/>
      <c r="K185" s="249"/>
      <c r="L185" s="249"/>
      <c r="M185" s="249"/>
      <c r="N185" s="249"/>
      <c r="O185" s="249"/>
      <c r="P185" s="249"/>
      <c r="Q185" s="239"/>
      <c r="R185" s="249"/>
      <c r="T185" s="249"/>
      <c r="U185" s="249"/>
      <c r="V185" s="249"/>
      <c r="W185" s="249"/>
      <c r="X185" s="249"/>
      <c r="Y185" s="249"/>
      <c r="Z185" s="249"/>
      <c r="AA185" s="249"/>
      <c r="AB185" s="249"/>
      <c r="AC185" s="249"/>
      <c r="AD185" s="249"/>
      <c r="AE185" s="250"/>
      <c r="AF185" s="249"/>
      <c r="AG185" s="250"/>
      <c r="AH185" s="250"/>
      <c r="AI185" s="250"/>
      <c r="AJ185" s="250"/>
      <c r="AK185" s="250"/>
      <c r="AL185" s="250"/>
      <c r="AM185" s="250"/>
      <c r="AN185" s="250"/>
      <c r="AO185" s="250"/>
      <c r="AP185" s="250"/>
      <c r="AQ185" s="250"/>
      <c r="AR185" s="250"/>
      <c r="AS185" s="250"/>
      <c r="AT185" s="250"/>
      <c r="AU185" s="250"/>
      <c r="AV185" s="250"/>
      <c r="AW185" s="250"/>
      <c r="AX185" s="250"/>
      <c r="AY185" s="250"/>
      <c r="AZ185" s="250"/>
      <c r="BA185" s="250"/>
      <c r="BB185" s="250"/>
      <c r="BC185" s="250"/>
      <c r="BD185" s="250"/>
      <c r="BE185" s="250"/>
      <c r="BF185" s="250"/>
      <c r="BG185" s="250"/>
    </row>
    <row r="186" spans="2:74" s="175" customFormat="1" ht="18.75" customHeight="1">
      <c r="B186" s="227"/>
      <c r="C186" s="228" t="s">
        <v>301</v>
      </c>
      <c r="D186" s="227"/>
      <c r="E186" s="227"/>
      <c r="F186" s="227"/>
      <c r="G186" s="227"/>
      <c r="H186" s="473">
        <v>0</v>
      </c>
      <c r="I186" s="473"/>
      <c r="J186" s="473"/>
      <c r="K186" s="473"/>
      <c r="L186" s="473"/>
      <c r="M186" s="473"/>
      <c r="N186" s="473"/>
      <c r="O186" s="473"/>
      <c r="P186" s="229"/>
      <c r="Q186" s="226"/>
      <c r="R186" s="226"/>
      <c r="S186" s="226"/>
      <c r="AC186" s="226"/>
      <c r="AD186" s="226"/>
      <c r="AE186" s="226"/>
      <c r="AF186" s="226"/>
      <c r="AG186" s="226"/>
      <c r="AH186" s="226"/>
      <c r="AI186" s="227"/>
      <c r="AJ186" s="227"/>
      <c r="AK186" s="227"/>
      <c r="AL186" s="227"/>
      <c r="AM186" s="227"/>
      <c r="AN186" s="227"/>
      <c r="AO186" s="227"/>
      <c r="AP186" s="227"/>
      <c r="AQ186" s="227"/>
      <c r="AR186" s="227"/>
      <c r="AS186" s="226"/>
      <c r="AT186" s="226"/>
      <c r="AU186" s="226"/>
      <c r="AV186" s="226"/>
      <c r="AW186" s="226"/>
      <c r="AX186" s="226"/>
      <c r="AY186" s="227"/>
      <c r="AZ186" s="227"/>
      <c r="BA186" s="227"/>
      <c r="BB186" s="227"/>
      <c r="BC186" s="227"/>
      <c r="BD186" s="227"/>
      <c r="BE186" s="227"/>
      <c r="BF186" s="227"/>
      <c r="BG186" s="227"/>
    </row>
    <row r="187" spans="2:74" s="175" customFormat="1" ht="18.75" customHeight="1">
      <c r="B187" s="227"/>
      <c r="C187" s="226" t="s">
        <v>302</v>
      </c>
      <c r="D187" s="226"/>
      <c r="E187" s="226"/>
      <c r="F187" s="226"/>
      <c r="G187" s="226"/>
      <c r="H187" s="226"/>
      <c r="I187" s="227"/>
      <c r="J187" s="249" t="s">
        <v>430</v>
      </c>
      <c r="K187" s="226"/>
      <c r="L187" s="226"/>
      <c r="M187" s="226"/>
      <c r="N187" s="226"/>
      <c r="O187" s="226"/>
      <c r="P187" s="455">
        <f>T188/1000</f>
        <v>0</v>
      </c>
      <c r="Q187" s="455"/>
      <c r="R187" s="455"/>
      <c r="S187" s="256" t="s">
        <v>431</v>
      </c>
      <c r="T187" s="256"/>
      <c r="AD187" s="226"/>
      <c r="AE187" s="226"/>
      <c r="AF187" s="227"/>
      <c r="AG187" s="227"/>
      <c r="AH187" s="227"/>
      <c r="AI187" s="227"/>
      <c r="AJ187" s="227"/>
      <c r="AK187" s="227"/>
      <c r="AL187" s="227"/>
      <c r="AM187" s="227"/>
      <c r="AN187" s="226"/>
      <c r="AO187" s="226"/>
      <c r="AP187" s="226"/>
      <c r="AQ187" s="226"/>
      <c r="AR187" s="226"/>
      <c r="AS187" s="226"/>
      <c r="AT187" s="226"/>
      <c r="AU187" s="226"/>
      <c r="AV187" s="226"/>
      <c r="AW187" s="226"/>
      <c r="AX187" s="226"/>
      <c r="AY187" s="227"/>
      <c r="AZ187" s="227"/>
      <c r="BA187" s="227"/>
      <c r="BB187" s="227"/>
      <c r="BC187" s="227"/>
      <c r="BD187" s="227"/>
      <c r="BE187" s="227"/>
      <c r="BF187" s="227"/>
      <c r="BG187" s="227"/>
    </row>
    <row r="188" spans="2:74" s="175" customFormat="1" ht="18.75" customHeight="1">
      <c r="B188" s="227"/>
      <c r="C188" s="226"/>
      <c r="D188" s="226"/>
      <c r="E188" s="226"/>
      <c r="F188" s="226"/>
      <c r="G188" s="226"/>
      <c r="H188" s="226"/>
      <c r="I188" s="249"/>
      <c r="K188" s="487" t="s">
        <v>513</v>
      </c>
      <c r="L188" s="487"/>
      <c r="M188" s="487"/>
      <c r="N188" s="451" t="s">
        <v>433</v>
      </c>
      <c r="O188" s="474" t="s">
        <v>324</v>
      </c>
      <c r="P188" s="475"/>
      <c r="Q188" s="475"/>
      <c r="R188" s="475"/>
      <c r="S188" s="451" t="s">
        <v>265</v>
      </c>
      <c r="T188" s="463">
        <f>Calcu!G60</f>
        <v>0</v>
      </c>
      <c r="U188" s="463"/>
      <c r="V188" s="257" t="s">
        <v>432</v>
      </c>
      <c r="W188" s="257"/>
      <c r="X188" s="476" t="s">
        <v>265</v>
      </c>
      <c r="Y188" s="457">
        <f>T188/2/SQRT(3)</f>
        <v>0</v>
      </c>
      <c r="Z188" s="457"/>
      <c r="AA188" s="457"/>
      <c r="AB188" s="486" t="str">
        <f>V188</f>
        <v>μm</v>
      </c>
      <c r="AC188" s="486"/>
      <c r="AD188" s="226"/>
      <c r="AE188" s="227"/>
      <c r="AF188" s="227"/>
      <c r="AG188" s="227"/>
      <c r="AH188" s="227"/>
      <c r="AI188" s="227"/>
      <c r="AJ188" s="227"/>
      <c r="AK188" s="227"/>
      <c r="AL188" s="227"/>
      <c r="AM188" s="227"/>
      <c r="AN188" s="227"/>
      <c r="AO188" s="227"/>
      <c r="AP188" s="227"/>
      <c r="AQ188" s="227"/>
      <c r="AR188" s="226"/>
      <c r="AS188" s="226"/>
      <c r="AT188" s="226"/>
      <c r="AU188" s="226"/>
      <c r="AV188" s="226"/>
      <c r="AW188" s="226"/>
      <c r="AX188" s="226"/>
      <c r="AY188" s="226"/>
      <c r="AZ188" s="227"/>
      <c r="BA188" s="227"/>
      <c r="BB188" s="227"/>
      <c r="BC188" s="227"/>
      <c r="BD188" s="227"/>
      <c r="BE188" s="227"/>
      <c r="BF188" s="227"/>
      <c r="BG188" s="227"/>
      <c r="BH188" s="227"/>
    </row>
    <row r="189" spans="2:74" s="175" customFormat="1" ht="18.75" customHeight="1">
      <c r="B189" s="227"/>
      <c r="C189" s="226"/>
      <c r="D189" s="226"/>
      <c r="E189" s="226"/>
      <c r="F189" s="226"/>
      <c r="G189" s="226"/>
      <c r="H189" s="226"/>
      <c r="I189" s="249"/>
      <c r="J189" s="258"/>
      <c r="K189" s="487"/>
      <c r="L189" s="487"/>
      <c r="M189" s="487"/>
      <c r="N189" s="451"/>
      <c r="O189" s="458"/>
      <c r="P189" s="458"/>
      <c r="Q189" s="458"/>
      <c r="R189" s="458"/>
      <c r="S189" s="451"/>
      <c r="T189" s="458"/>
      <c r="U189" s="458"/>
      <c r="V189" s="458"/>
      <c r="W189" s="458"/>
      <c r="X189" s="476"/>
      <c r="Y189" s="457"/>
      <c r="Z189" s="457"/>
      <c r="AA189" s="457"/>
      <c r="AB189" s="486"/>
      <c r="AC189" s="486"/>
      <c r="AD189" s="226"/>
      <c r="AE189" s="227"/>
      <c r="AF189" s="227"/>
      <c r="AG189" s="227"/>
      <c r="AH189" s="227"/>
      <c r="AI189" s="227"/>
      <c r="AJ189" s="227"/>
      <c r="AK189" s="227"/>
      <c r="AL189" s="227"/>
      <c r="AM189" s="227"/>
      <c r="AN189" s="227"/>
      <c r="AO189" s="227"/>
      <c r="AP189" s="227"/>
      <c r="AQ189" s="227"/>
      <c r="AR189" s="226"/>
      <c r="AS189" s="226"/>
      <c r="AT189" s="226"/>
      <c r="AU189" s="226"/>
      <c r="AV189" s="226"/>
      <c r="AW189" s="226"/>
      <c r="AX189" s="226"/>
      <c r="AY189" s="226"/>
      <c r="AZ189" s="227"/>
      <c r="BA189" s="227"/>
      <c r="BB189" s="227"/>
      <c r="BC189" s="227"/>
      <c r="BD189" s="227"/>
      <c r="BE189" s="227"/>
      <c r="BF189" s="227"/>
      <c r="BG189" s="227"/>
      <c r="BH189" s="227"/>
    </row>
    <row r="190" spans="2:74" s="175" customFormat="1" ht="18.75" customHeight="1">
      <c r="B190" s="227"/>
      <c r="C190" s="226" t="s">
        <v>303</v>
      </c>
      <c r="D190" s="226"/>
      <c r="E190" s="226"/>
      <c r="F190" s="226"/>
      <c r="G190" s="226"/>
      <c r="H190" s="226"/>
      <c r="I190" s="459" t="str">
        <f>V84</f>
        <v>직사각형</v>
      </c>
      <c r="J190" s="459"/>
      <c r="K190" s="459"/>
      <c r="L190" s="459"/>
      <c r="M190" s="459"/>
      <c r="N190" s="459"/>
      <c r="O190" s="459"/>
      <c r="P190" s="459"/>
      <c r="Q190" s="226"/>
      <c r="R190" s="226"/>
      <c r="S190" s="226"/>
      <c r="T190" s="226"/>
      <c r="U190" s="226"/>
      <c r="V190" s="226"/>
      <c r="W190" s="226"/>
      <c r="X190" s="226"/>
      <c r="Y190" s="226"/>
      <c r="Z190" s="227"/>
      <c r="AA190" s="227"/>
      <c r="AB190" s="227"/>
      <c r="AC190" s="227"/>
      <c r="AD190" s="227"/>
      <c r="AE190" s="227"/>
      <c r="AF190" s="227"/>
      <c r="AG190" s="227"/>
      <c r="AH190" s="226"/>
      <c r="AI190" s="226"/>
      <c r="AJ190" s="226"/>
      <c r="AK190" s="226"/>
      <c r="AL190" s="226"/>
      <c r="AM190" s="226"/>
      <c r="AN190" s="226"/>
      <c r="AO190" s="226"/>
      <c r="AP190" s="226"/>
      <c r="AQ190" s="226"/>
      <c r="AR190" s="226"/>
      <c r="AS190" s="226"/>
      <c r="AT190" s="226"/>
      <c r="AU190" s="226"/>
      <c r="AV190" s="226"/>
      <c r="AW190" s="226"/>
      <c r="AX190" s="226"/>
      <c r="AY190" s="227"/>
      <c r="AZ190" s="227"/>
      <c r="BA190" s="227"/>
      <c r="BB190" s="227"/>
      <c r="BC190" s="227"/>
      <c r="BD190" s="227"/>
      <c r="BE190" s="227"/>
      <c r="BF190" s="227"/>
      <c r="BG190" s="227"/>
    </row>
    <row r="191" spans="2:74" s="175" customFormat="1" ht="18.75" customHeight="1">
      <c r="B191" s="227"/>
      <c r="C191" s="462" t="s">
        <v>304</v>
      </c>
      <c r="D191" s="462"/>
      <c r="E191" s="462"/>
      <c r="F191" s="462"/>
      <c r="G191" s="462"/>
      <c r="H191" s="462"/>
      <c r="I191" s="226"/>
      <c r="J191" s="226"/>
      <c r="K191" s="226"/>
      <c r="L191" s="226"/>
      <c r="M191" s="226"/>
      <c r="N191" s="451">
        <f>AA84</f>
        <v>1</v>
      </c>
      <c r="O191" s="451"/>
      <c r="P191" s="249"/>
      <c r="Q191" s="185"/>
      <c r="R191" s="185"/>
      <c r="S191" s="226"/>
      <c r="T191" s="226"/>
      <c r="U191" s="226"/>
      <c r="V191" s="226"/>
      <c r="W191" s="226"/>
      <c r="X191" s="226"/>
      <c r="Y191" s="226"/>
      <c r="Z191" s="186"/>
      <c r="AA191" s="186"/>
      <c r="AB191" s="226"/>
      <c r="AC191" s="226"/>
      <c r="AD191" s="226"/>
      <c r="AE191" s="226"/>
      <c r="AF191" s="226"/>
      <c r="AG191" s="226"/>
      <c r="AH191" s="226"/>
      <c r="AI191" s="226"/>
      <c r="AJ191" s="226"/>
      <c r="AK191" s="226"/>
      <c r="AL191" s="227"/>
      <c r="AM191" s="227"/>
      <c r="AN191" s="227"/>
      <c r="AO191" s="226"/>
      <c r="AP191" s="226"/>
      <c r="AQ191" s="226"/>
      <c r="AR191" s="226"/>
      <c r="AS191" s="226"/>
      <c r="AT191" s="226"/>
      <c r="AU191" s="226"/>
      <c r="AV191" s="226"/>
      <c r="AW191" s="226"/>
      <c r="AX191" s="226"/>
      <c r="AY191" s="227"/>
      <c r="AZ191" s="227"/>
      <c r="BA191" s="227"/>
      <c r="BB191" s="227"/>
      <c r="BC191" s="227"/>
      <c r="BD191" s="227"/>
      <c r="BE191" s="227"/>
      <c r="BF191" s="227"/>
      <c r="BG191" s="227"/>
    </row>
    <row r="192" spans="2:74" s="175" customFormat="1" ht="18.75" customHeight="1">
      <c r="B192" s="227"/>
      <c r="C192" s="462"/>
      <c r="D192" s="462"/>
      <c r="E192" s="462"/>
      <c r="F192" s="462"/>
      <c r="G192" s="462"/>
      <c r="H192" s="462"/>
      <c r="I192" s="226"/>
      <c r="J192" s="226"/>
      <c r="K192" s="226"/>
      <c r="L192" s="226"/>
      <c r="M192" s="226"/>
      <c r="N192" s="451"/>
      <c r="O192" s="451"/>
      <c r="P192" s="249"/>
      <c r="Q192" s="185"/>
      <c r="R192" s="185"/>
      <c r="S192" s="226"/>
      <c r="T192" s="226"/>
      <c r="U192" s="226"/>
      <c r="V192" s="226"/>
      <c r="W192" s="226"/>
      <c r="X192" s="226"/>
      <c r="Y192" s="226"/>
      <c r="Z192" s="186"/>
      <c r="AA192" s="186"/>
      <c r="AB192" s="226"/>
      <c r="AC192" s="226"/>
      <c r="AD192" s="226"/>
      <c r="AE192" s="226"/>
      <c r="AF192" s="226"/>
      <c r="AG192" s="226"/>
      <c r="AH192" s="226"/>
      <c r="AI192" s="226"/>
      <c r="AJ192" s="226"/>
      <c r="AK192" s="226"/>
      <c r="AL192" s="227"/>
      <c r="AM192" s="227"/>
      <c r="AN192" s="227"/>
      <c r="AO192" s="226"/>
      <c r="AP192" s="226"/>
      <c r="AQ192" s="226"/>
      <c r="AR192" s="226"/>
      <c r="AS192" s="226"/>
      <c r="AT192" s="226"/>
      <c r="AU192" s="226"/>
      <c r="AV192" s="226"/>
      <c r="AW192" s="226"/>
      <c r="AX192" s="226"/>
      <c r="AY192" s="227"/>
      <c r="AZ192" s="227"/>
      <c r="BA192" s="227"/>
      <c r="BB192" s="227"/>
      <c r="BC192" s="227"/>
      <c r="BD192" s="227"/>
      <c r="BE192" s="227"/>
      <c r="BF192" s="227"/>
      <c r="BG192" s="227"/>
    </row>
    <row r="193" spans="2:60" s="175" customFormat="1" ht="18.75" customHeight="1">
      <c r="B193" s="227"/>
      <c r="C193" s="226" t="s">
        <v>305</v>
      </c>
      <c r="D193" s="226"/>
      <c r="E193" s="226"/>
      <c r="F193" s="226"/>
      <c r="G193" s="226"/>
      <c r="H193" s="226"/>
      <c r="I193" s="226"/>
      <c r="J193" s="227"/>
      <c r="K193" s="227" t="s">
        <v>281</v>
      </c>
      <c r="L193" s="451">
        <f>N191</f>
        <v>1</v>
      </c>
      <c r="M193" s="451"/>
      <c r="N193" s="250" t="s">
        <v>86</v>
      </c>
      <c r="O193" s="454">
        <f>Y188</f>
        <v>0</v>
      </c>
      <c r="P193" s="454"/>
      <c r="Q193" s="454"/>
      <c r="R193" s="179" t="str">
        <f>AB188</f>
        <v>μm</v>
      </c>
      <c r="S193" s="252"/>
      <c r="T193" s="227" t="s">
        <v>281</v>
      </c>
      <c r="U193" s="227" t="s">
        <v>265</v>
      </c>
      <c r="V193" s="457">
        <f>L193*O193</f>
        <v>0</v>
      </c>
      <c r="W193" s="457"/>
      <c r="X193" s="457"/>
      <c r="Y193" s="179" t="str">
        <f>AB188</f>
        <v>μm</v>
      </c>
      <c r="Z193" s="251"/>
      <c r="AA193" s="187"/>
      <c r="AB193" s="187"/>
      <c r="AC193" s="179"/>
      <c r="AD193" s="227"/>
      <c r="AE193" s="226"/>
      <c r="AF193" s="227"/>
      <c r="AG193" s="227"/>
      <c r="AH193" s="227"/>
      <c r="AI193" s="227"/>
      <c r="AJ193" s="227"/>
      <c r="AK193" s="226"/>
      <c r="AL193" s="227"/>
      <c r="AM193" s="227"/>
      <c r="AN193" s="227"/>
      <c r="AO193" s="226"/>
      <c r="AP193" s="226"/>
      <c r="AQ193" s="226"/>
      <c r="AR193" s="226"/>
      <c r="AS193" s="226"/>
      <c r="AT193" s="226"/>
      <c r="AU193" s="226"/>
      <c r="AV193" s="226"/>
      <c r="AW193" s="226"/>
      <c r="AX193" s="226"/>
      <c r="AY193" s="227"/>
      <c r="AZ193" s="227"/>
      <c r="BA193" s="227"/>
      <c r="BB193" s="227"/>
      <c r="BC193" s="227"/>
      <c r="BD193" s="227"/>
      <c r="BE193" s="227"/>
      <c r="BF193" s="227"/>
      <c r="BG193" s="227"/>
    </row>
    <row r="194" spans="2:60" s="175" customFormat="1" ht="18.75" customHeight="1">
      <c r="B194" s="227"/>
      <c r="C194" s="462" t="s">
        <v>306</v>
      </c>
      <c r="D194" s="462"/>
      <c r="E194" s="462"/>
      <c r="F194" s="462"/>
      <c r="G194" s="462"/>
      <c r="H194" s="226"/>
      <c r="J194" s="226"/>
      <c r="K194" s="226"/>
      <c r="L194" s="226"/>
      <c r="M194" s="226"/>
      <c r="N194" s="226"/>
      <c r="O194" s="226"/>
      <c r="P194" s="226"/>
      <c r="Q194" s="226"/>
      <c r="R194" s="179"/>
      <c r="S194" s="226"/>
      <c r="T194" s="226"/>
      <c r="U194" s="226"/>
      <c r="W194" s="226"/>
      <c r="X194" s="57" t="s">
        <v>94</v>
      </c>
      <c r="Y194" s="226"/>
      <c r="Z194" s="226"/>
      <c r="AA194" s="226"/>
      <c r="AB194" s="226"/>
      <c r="AC194" s="226"/>
      <c r="AD194" s="226"/>
      <c r="AE194" s="227"/>
      <c r="AF194" s="227"/>
      <c r="AG194" s="227"/>
      <c r="AH194" s="227"/>
      <c r="AI194" s="227"/>
      <c r="AJ194" s="227"/>
      <c r="AK194" s="227"/>
      <c r="AL194" s="227"/>
      <c r="AM194" s="227"/>
      <c r="AN194" s="227"/>
      <c r="AO194" s="227"/>
      <c r="AP194" s="227"/>
      <c r="AQ194" s="227"/>
      <c r="AR194" s="227"/>
      <c r="AS194" s="227"/>
      <c r="AT194" s="227"/>
      <c r="AU194" s="227"/>
      <c r="AV194" s="227"/>
      <c r="AW194" s="227"/>
      <c r="AX194" s="227"/>
      <c r="AY194" s="227"/>
      <c r="AZ194" s="227"/>
      <c r="BA194" s="227"/>
      <c r="BB194" s="227"/>
      <c r="BC194" s="227"/>
      <c r="BD194" s="227"/>
      <c r="BE194" s="227"/>
      <c r="BF194" s="227"/>
      <c r="BG194" s="227"/>
    </row>
    <row r="195" spans="2:60" s="175" customFormat="1" ht="18.75" customHeight="1">
      <c r="B195" s="227"/>
      <c r="C195" s="462"/>
      <c r="D195" s="462"/>
      <c r="E195" s="462"/>
      <c r="F195" s="462"/>
      <c r="G195" s="462"/>
      <c r="H195" s="226"/>
      <c r="I195" s="226"/>
      <c r="J195" s="226"/>
      <c r="K195" s="226"/>
      <c r="L195" s="226"/>
      <c r="M195" s="226"/>
      <c r="N195" s="226"/>
      <c r="O195" s="226"/>
      <c r="P195" s="226"/>
      <c r="Q195" s="226"/>
      <c r="R195" s="179"/>
      <c r="S195" s="226"/>
      <c r="T195" s="226"/>
      <c r="U195" s="226"/>
      <c r="V195" s="226"/>
      <c r="W195" s="226"/>
      <c r="X195" s="226"/>
      <c r="Y195" s="226"/>
      <c r="Z195" s="226"/>
      <c r="AA195" s="226"/>
      <c r="AB195" s="226"/>
      <c r="AC195" s="226"/>
      <c r="AD195" s="226"/>
      <c r="AE195" s="227"/>
      <c r="AF195" s="227"/>
      <c r="AG195" s="227"/>
      <c r="AH195" s="227"/>
      <c r="AI195" s="227"/>
      <c r="AJ195" s="227"/>
      <c r="AK195" s="227"/>
      <c r="AL195" s="227"/>
      <c r="AM195" s="227"/>
      <c r="AN195" s="227"/>
      <c r="AO195" s="227"/>
      <c r="AP195" s="227"/>
      <c r="AQ195" s="227"/>
      <c r="AR195" s="227"/>
      <c r="AS195" s="227"/>
      <c r="AT195" s="227"/>
      <c r="AU195" s="227"/>
      <c r="AV195" s="227"/>
      <c r="AW195" s="227"/>
      <c r="AX195" s="227"/>
      <c r="AY195" s="227"/>
      <c r="AZ195" s="227"/>
      <c r="BA195" s="227"/>
      <c r="BB195" s="227"/>
      <c r="BC195" s="227"/>
      <c r="BD195" s="227"/>
      <c r="BE195" s="227"/>
      <c r="BF195" s="227"/>
      <c r="BG195" s="227"/>
    </row>
    <row r="196" spans="2:60" s="175" customFormat="1" ht="18.75" customHeight="1">
      <c r="B196" s="227"/>
      <c r="C196" s="58"/>
      <c r="D196" s="226"/>
      <c r="E196" s="226"/>
      <c r="F196" s="226"/>
      <c r="G196" s="227"/>
      <c r="H196" s="226"/>
      <c r="I196" s="226"/>
      <c r="J196" s="226"/>
      <c r="K196" s="226"/>
      <c r="L196" s="226"/>
      <c r="M196" s="226"/>
      <c r="N196" s="226"/>
      <c r="O196" s="226"/>
      <c r="P196" s="226"/>
      <c r="Q196" s="226"/>
      <c r="R196" s="226"/>
      <c r="S196" s="226"/>
      <c r="T196" s="226"/>
      <c r="U196" s="226"/>
      <c r="V196" s="226"/>
      <c r="W196" s="226"/>
      <c r="X196" s="226"/>
      <c r="Y196" s="226"/>
      <c r="Z196" s="226"/>
      <c r="AA196" s="226"/>
      <c r="AB196" s="226"/>
      <c r="AC196" s="226"/>
      <c r="AD196" s="226"/>
      <c r="AE196" s="227"/>
      <c r="AF196" s="226"/>
      <c r="AG196" s="227"/>
      <c r="AH196" s="227"/>
      <c r="AI196" s="227"/>
      <c r="AJ196" s="227"/>
      <c r="AK196" s="227"/>
      <c r="AL196" s="227"/>
      <c r="AM196" s="227"/>
      <c r="AN196" s="227"/>
      <c r="AO196" s="227"/>
      <c r="AP196" s="227"/>
      <c r="AQ196" s="227"/>
      <c r="AR196" s="227"/>
      <c r="AS196" s="227"/>
      <c r="AT196" s="227"/>
      <c r="AU196" s="227"/>
      <c r="AV196" s="227"/>
      <c r="AW196" s="227"/>
      <c r="AX196" s="227"/>
      <c r="AY196" s="227"/>
      <c r="AZ196" s="227"/>
      <c r="BA196" s="227"/>
      <c r="BB196" s="227"/>
      <c r="BC196" s="227"/>
      <c r="BD196" s="227"/>
      <c r="BE196" s="227"/>
      <c r="BF196" s="227"/>
      <c r="BG196" s="227"/>
    </row>
    <row r="197" spans="2:60" s="175" customFormat="1" ht="18.75" customHeight="1">
      <c r="B197" s="58" t="str">
        <f>"8. "&amp;N5&amp;" 설치시 여현오차에 의한 표준불확도,"</f>
        <v>8. 길이 변위계 설치시 여현오차에 의한 표준불확도,</v>
      </c>
      <c r="C197" s="226"/>
      <c r="E197" s="226"/>
      <c r="F197" s="226"/>
      <c r="G197" s="227"/>
      <c r="H197" s="226"/>
      <c r="I197" s="226"/>
      <c r="J197" s="226"/>
      <c r="K197" s="226"/>
      <c r="L197" s="226"/>
      <c r="M197" s="226"/>
      <c r="N197" s="226"/>
      <c r="O197" s="226"/>
      <c r="P197" s="226"/>
      <c r="Q197" s="226"/>
      <c r="R197" s="226"/>
      <c r="S197" s="226"/>
      <c r="T197" s="226"/>
      <c r="V197" s="226"/>
      <c r="W197" s="240" t="s">
        <v>382</v>
      </c>
      <c r="X197" s="226"/>
      <c r="Y197" s="226"/>
      <c r="AA197" s="226"/>
      <c r="AB197" s="226"/>
      <c r="AC197" s="226"/>
      <c r="AD197" s="226"/>
      <c r="AE197" s="227"/>
      <c r="AF197" s="226"/>
      <c r="AG197" s="227"/>
      <c r="AH197" s="227"/>
      <c r="AI197" s="227"/>
      <c r="AJ197" s="227"/>
      <c r="AK197" s="227"/>
      <c r="AL197" s="227"/>
      <c r="AM197" s="227"/>
      <c r="AN197" s="227"/>
      <c r="AO197" s="227"/>
      <c r="AP197" s="227"/>
      <c r="AQ197" s="227"/>
      <c r="AR197" s="227"/>
      <c r="AS197" s="227"/>
      <c r="AT197" s="227"/>
      <c r="AU197" s="227"/>
      <c r="AV197" s="227"/>
      <c r="AW197" s="227"/>
      <c r="AX197" s="227"/>
      <c r="AY197" s="227"/>
      <c r="AZ197" s="227"/>
      <c r="BA197" s="227"/>
      <c r="BB197" s="227"/>
      <c r="BC197" s="227"/>
      <c r="BD197" s="227"/>
      <c r="BE197" s="227"/>
      <c r="BF197" s="227"/>
      <c r="BG197" s="227"/>
    </row>
    <row r="198" spans="2:60" s="175" customFormat="1" ht="18.75" customHeight="1">
      <c r="B198" s="58"/>
      <c r="C198" s="249" t="str">
        <f>"※ "&amp;N5&amp;" 교정시 "&amp;N5&amp;" 축과 기준기의 축이 나란하도록 설치하여야 하나 정확히 일치되지 않으면"</f>
        <v>※ 길이 변위계 교정시 길이 변위계 축과 기준기의 축이 나란하도록 설치하여야 하나 정확히 일치되지 않으면</v>
      </c>
      <c r="D198" s="249"/>
      <c r="E198" s="249"/>
      <c r="F198" s="249"/>
      <c r="G198" s="249"/>
      <c r="H198" s="249"/>
      <c r="I198" s="249"/>
      <c r="J198" s="249"/>
      <c r="K198" s="249"/>
      <c r="L198" s="249"/>
      <c r="M198" s="249"/>
      <c r="N198" s="249"/>
      <c r="O198" s="249"/>
      <c r="P198" s="249"/>
      <c r="Q198" s="249"/>
      <c r="R198" s="249"/>
      <c r="S198" s="249"/>
      <c r="T198" s="249"/>
      <c r="U198" s="249"/>
      <c r="V198" s="249"/>
      <c r="W198" s="249"/>
      <c r="X198" s="249"/>
      <c r="Y198" s="249"/>
      <c r="Z198" s="249"/>
      <c r="AA198" s="249"/>
      <c r="AB198" s="249"/>
      <c r="AC198" s="249"/>
      <c r="AD198" s="249"/>
      <c r="AE198" s="249"/>
      <c r="AF198" s="249"/>
      <c r="AG198" s="249"/>
      <c r="AH198" s="249"/>
      <c r="AI198" s="249"/>
      <c r="AJ198" s="249"/>
      <c r="AK198" s="249"/>
      <c r="AL198" s="249"/>
      <c r="AM198" s="249"/>
      <c r="AN198" s="249"/>
      <c r="AO198" s="249"/>
      <c r="AP198" s="249"/>
      <c r="AQ198" s="249"/>
      <c r="AR198" s="249"/>
      <c r="AS198" s="249"/>
      <c r="AT198" s="249"/>
      <c r="AU198" s="243"/>
      <c r="AV198" s="243"/>
      <c r="AW198" s="243"/>
      <c r="AX198" s="243"/>
      <c r="AY198" s="243"/>
      <c r="AZ198" s="243"/>
      <c r="BA198" s="243"/>
      <c r="BB198" s="243"/>
      <c r="BC198" s="243"/>
      <c r="BD198" s="243"/>
      <c r="BE198" s="243"/>
      <c r="BF198" s="243"/>
      <c r="BG198" s="243"/>
    </row>
    <row r="199" spans="2:60" s="175" customFormat="1" ht="18.75" customHeight="1">
      <c r="B199" s="58"/>
      <c r="C199" s="249"/>
      <c r="D199" s="249" t="s">
        <v>434</v>
      </c>
      <c r="E199" s="249"/>
      <c r="F199" s="249"/>
      <c r="G199" s="249"/>
      <c r="H199" s="249"/>
      <c r="I199" s="249"/>
      <c r="J199" s="249"/>
      <c r="K199" s="249"/>
      <c r="L199" s="249"/>
      <c r="M199" s="249"/>
      <c r="N199" s="249"/>
      <c r="O199" s="249"/>
      <c r="P199" s="249"/>
      <c r="Q199" s="249"/>
      <c r="R199" s="249"/>
      <c r="S199" s="249"/>
      <c r="T199" s="249"/>
      <c r="U199" s="249"/>
      <c r="V199" s="249"/>
      <c r="W199" s="249"/>
      <c r="X199" s="249"/>
      <c r="Y199" s="249"/>
      <c r="Z199" s="249"/>
      <c r="AA199" s="249"/>
      <c r="AB199" s="249"/>
      <c r="AC199" s="249"/>
      <c r="AD199" s="249"/>
      <c r="AE199" s="249"/>
      <c r="AF199" s="249"/>
      <c r="AG199" s="249"/>
      <c r="AH199" s="249"/>
      <c r="AI199" s="249"/>
      <c r="AJ199" s="249"/>
      <c r="AK199" s="249"/>
      <c r="AL199" s="249"/>
      <c r="AM199" s="249"/>
      <c r="AN199" s="249"/>
      <c r="AO199" s="249"/>
      <c r="AP199" s="249"/>
      <c r="AQ199" s="249"/>
      <c r="AR199" s="249"/>
      <c r="AS199" s="249"/>
      <c r="AT199" s="249"/>
      <c r="AU199" s="243"/>
      <c r="AV199" s="243"/>
      <c r="AW199" s="243"/>
      <c r="AX199" s="243"/>
      <c r="AY199" s="243"/>
      <c r="AZ199" s="243"/>
      <c r="BA199" s="243"/>
      <c r="BB199" s="243"/>
      <c r="BC199" s="243"/>
      <c r="BD199" s="243"/>
      <c r="BE199" s="243"/>
      <c r="BF199" s="243"/>
      <c r="BG199" s="243"/>
    </row>
    <row r="200" spans="2:60" s="175" customFormat="1" ht="18.75" customHeight="1">
      <c r="B200" s="227"/>
      <c r="C200" s="228" t="s">
        <v>307</v>
      </c>
      <c r="D200" s="227"/>
      <c r="E200" s="227"/>
      <c r="F200" s="227"/>
      <c r="G200" s="227"/>
      <c r="H200" s="473">
        <v>0</v>
      </c>
      <c r="I200" s="473"/>
      <c r="J200" s="473"/>
      <c r="K200" s="473"/>
      <c r="L200" s="473"/>
      <c r="M200" s="473"/>
      <c r="N200" s="473"/>
      <c r="O200" s="473"/>
      <c r="P200" s="229"/>
      <c r="Q200" s="226"/>
      <c r="R200" s="226"/>
      <c r="S200" s="226"/>
      <c r="T200" s="226"/>
      <c r="U200" s="226"/>
      <c r="V200" s="226"/>
      <c r="W200" s="226"/>
      <c r="X200" s="226"/>
      <c r="Y200" s="226"/>
      <c r="Z200" s="226"/>
      <c r="AA200" s="226"/>
      <c r="AB200" s="226"/>
      <c r="AC200" s="226"/>
      <c r="AD200" s="226"/>
      <c r="AE200" s="226"/>
      <c r="AF200" s="226"/>
      <c r="AG200" s="226"/>
      <c r="AH200" s="226"/>
      <c r="AI200" s="226"/>
      <c r="AJ200" s="226"/>
      <c r="AK200" s="226"/>
      <c r="AL200" s="226"/>
      <c r="AM200" s="226"/>
      <c r="AN200" s="226"/>
      <c r="AO200" s="226"/>
      <c r="AP200" s="226"/>
      <c r="AQ200" s="226"/>
      <c r="AR200" s="226"/>
      <c r="AS200" s="226"/>
      <c r="AT200" s="226"/>
      <c r="AU200" s="226"/>
      <c r="AV200" s="226"/>
      <c r="AW200" s="226"/>
      <c r="AX200" s="226"/>
      <c r="AY200" s="227"/>
      <c r="AZ200" s="227"/>
      <c r="BA200" s="227"/>
      <c r="BB200" s="227"/>
      <c r="BC200" s="227"/>
      <c r="BD200" s="227"/>
      <c r="BE200" s="227"/>
      <c r="BF200" s="227"/>
      <c r="BG200" s="227"/>
    </row>
    <row r="201" spans="2:60" s="175" customFormat="1" ht="18.75" customHeight="1">
      <c r="B201" s="227"/>
      <c r="C201" s="226" t="s">
        <v>308</v>
      </c>
      <c r="D201" s="226"/>
      <c r="E201" s="226"/>
      <c r="F201" s="226"/>
      <c r="G201" s="226"/>
      <c r="H201" s="226"/>
      <c r="I201" s="227"/>
      <c r="J201" s="228" t="s">
        <v>328</v>
      </c>
      <c r="K201" s="188"/>
      <c r="L201" s="188"/>
      <c r="M201" s="188"/>
      <c r="N201" s="188"/>
      <c r="O201" s="454">
        <f>O202/1000</f>
        <v>0</v>
      </c>
      <c r="P201" s="454"/>
      <c r="Q201" s="454"/>
      <c r="R201" s="252" t="s">
        <v>431</v>
      </c>
      <c r="S201" s="252"/>
      <c r="T201" s="252"/>
      <c r="BB201" s="227"/>
      <c r="BC201" s="227"/>
      <c r="BD201" s="227"/>
      <c r="BE201" s="227"/>
      <c r="BF201" s="227"/>
      <c r="BG201" s="227"/>
    </row>
    <row r="202" spans="2:60" s="175" customFormat="1" ht="18.75" customHeight="1">
      <c r="B202" s="227"/>
      <c r="C202" s="226"/>
      <c r="D202" s="226"/>
      <c r="E202" s="226"/>
      <c r="F202" s="226"/>
      <c r="G202" s="226"/>
      <c r="H202" s="226"/>
      <c r="I202" s="260"/>
      <c r="K202" s="460" t="s">
        <v>435</v>
      </c>
      <c r="L202" s="460"/>
      <c r="M202" s="460"/>
      <c r="N202" s="451" t="s">
        <v>436</v>
      </c>
      <c r="O202" s="456">
        <f>Calcu!G61</f>
        <v>0</v>
      </c>
      <c r="P202" s="456"/>
      <c r="Q202" s="253" t="s">
        <v>437</v>
      </c>
      <c r="R202" s="253"/>
      <c r="S202" s="476" t="s">
        <v>265</v>
      </c>
      <c r="T202" s="457">
        <f>O202/SQRT(3)</f>
        <v>0</v>
      </c>
      <c r="U202" s="457"/>
      <c r="V202" s="457"/>
      <c r="W202" s="455" t="str">
        <f>Q202</f>
        <v>μm</v>
      </c>
      <c r="X202" s="455"/>
      <c r="Y202" s="184"/>
      <c r="Z202" s="184"/>
      <c r="AA202" s="184"/>
      <c r="AB202" s="226"/>
      <c r="AC202" s="226"/>
      <c r="AD202" s="226"/>
      <c r="AE202" s="226"/>
      <c r="AF202" s="226"/>
      <c r="AG202" s="226"/>
      <c r="AH202" s="226"/>
      <c r="AI202" s="226"/>
      <c r="AJ202" s="226"/>
      <c r="AK202" s="226"/>
      <c r="AL202" s="226"/>
      <c r="AM202" s="226"/>
      <c r="AN202" s="227"/>
      <c r="AO202" s="227"/>
      <c r="AP202" s="227"/>
      <c r="AQ202" s="227"/>
      <c r="AR202" s="226"/>
      <c r="AS202" s="226"/>
      <c r="AT202" s="226"/>
      <c r="AU202" s="226"/>
      <c r="AV202" s="226"/>
      <c r="AW202" s="226"/>
      <c r="AX202" s="226"/>
      <c r="AY202" s="226"/>
      <c r="AZ202" s="227"/>
      <c r="BA202" s="227"/>
      <c r="BB202" s="227"/>
      <c r="BC202" s="227"/>
      <c r="BD202" s="227"/>
      <c r="BE202" s="227"/>
      <c r="BF202" s="227"/>
      <c r="BG202" s="227"/>
      <c r="BH202" s="227"/>
    </row>
    <row r="203" spans="2:60" s="175" customFormat="1" ht="18.75" customHeight="1">
      <c r="B203" s="227"/>
      <c r="C203" s="226"/>
      <c r="D203" s="226"/>
      <c r="E203" s="226"/>
      <c r="F203" s="226"/>
      <c r="G203" s="226"/>
      <c r="H203" s="226"/>
      <c r="I203" s="260"/>
      <c r="J203" s="258"/>
      <c r="K203" s="460"/>
      <c r="L203" s="460"/>
      <c r="M203" s="460"/>
      <c r="N203" s="451"/>
      <c r="O203" s="458"/>
      <c r="P203" s="458"/>
      <c r="Q203" s="458"/>
      <c r="R203" s="458"/>
      <c r="S203" s="476"/>
      <c r="T203" s="457"/>
      <c r="U203" s="457"/>
      <c r="V203" s="457"/>
      <c r="W203" s="455"/>
      <c r="X203" s="455"/>
      <c r="Y203" s="184"/>
      <c r="Z203" s="184"/>
      <c r="AA203" s="184"/>
      <c r="AB203" s="226"/>
      <c r="AC203" s="226"/>
      <c r="AD203" s="226"/>
      <c r="AE203" s="226"/>
      <c r="AF203" s="226"/>
      <c r="AG203" s="226"/>
      <c r="AH203" s="226"/>
      <c r="AI203" s="226"/>
      <c r="AJ203" s="226"/>
      <c r="AK203" s="226"/>
      <c r="AL203" s="226"/>
      <c r="AM203" s="226"/>
      <c r="AN203" s="227"/>
      <c r="AO203" s="227"/>
      <c r="AP203" s="227"/>
      <c r="AQ203" s="227"/>
      <c r="AR203" s="226"/>
      <c r="AS203" s="226"/>
      <c r="AT203" s="226"/>
      <c r="AU203" s="226"/>
      <c r="AV203" s="226"/>
      <c r="AW203" s="226"/>
      <c r="AX203" s="226"/>
      <c r="AY203" s="226"/>
      <c r="AZ203" s="227"/>
      <c r="BA203" s="227"/>
      <c r="BB203" s="227"/>
      <c r="BC203" s="227"/>
      <c r="BD203" s="227"/>
      <c r="BE203" s="227"/>
      <c r="BF203" s="227"/>
      <c r="BG203" s="227"/>
      <c r="BH203" s="227"/>
    </row>
    <row r="204" spans="2:60" s="175" customFormat="1" ht="18.75" customHeight="1">
      <c r="B204" s="227"/>
      <c r="C204" s="226" t="s">
        <v>309</v>
      </c>
      <c r="D204" s="226"/>
      <c r="E204" s="226"/>
      <c r="F204" s="226"/>
      <c r="G204" s="226"/>
      <c r="H204" s="226"/>
      <c r="I204" s="459" t="str">
        <f>V85</f>
        <v>직사각형</v>
      </c>
      <c r="J204" s="459"/>
      <c r="K204" s="459"/>
      <c r="L204" s="459"/>
      <c r="M204" s="459"/>
      <c r="N204" s="459"/>
      <c r="O204" s="459"/>
      <c r="P204" s="459"/>
      <c r="Q204" s="226"/>
      <c r="R204" s="226"/>
      <c r="S204" s="226"/>
      <c r="T204" s="226"/>
      <c r="U204" s="226"/>
      <c r="V204" s="226"/>
      <c r="W204" s="226"/>
      <c r="X204" s="226"/>
      <c r="Y204" s="226"/>
      <c r="Z204" s="227"/>
      <c r="AA204" s="227"/>
      <c r="AB204" s="227"/>
      <c r="AC204" s="227"/>
      <c r="AD204" s="227"/>
      <c r="AE204" s="227"/>
      <c r="AF204" s="227"/>
      <c r="AG204" s="227"/>
      <c r="AH204" s="226"/>
      <c r="AI204" s="226"/>
      <c r="AJ204" s="226"/>
      <c r="AK204" s="226"/>
      <c r="AL204" s="227"/>
      <c r="AM204" s="227"/>
      <c r="AN204" s="227"/>
      <c r="AO204" s="227"/>
      <c r="AP204" s="227"/>
      <c r="AQ204" s="227"/>
      <c r="AR204" s="227"/>
      <c r="AS204" s="226"/>
      <c r="AT204" s="226"/>
      <c r="AU204" s="226"/>
      <c r="AV204" s="226"/>
      <c r="AW204" s="226"/>
      <c r="AX204" s="226"/>
      <c r="AY204" s="227"/>
      <c r="AZ204" s="227"/>
      <c r="BA204" s="227"/>
      <c r="BB204" s="227"/>
      <c r="BC204" s="227"/>
      <c r="BD204" s="227"/>
      <c r="BE204" s="227"/>
      <c r="BF204" s="227"/>
      <c r="BG204" s="227"/>
    </row>
    <row r="205" spans="2:60" s="175" customFormat="1" ht="18.75" customHeight="1">
      <c r="B205" s="227"/>
      <c r="C205" s="462" t="s">
        <v>310</v>
      </c>
      <c r="D205" s="462"/>
      <c r="E205" s="462"/>
      <c r="F205" s="462"/>
      <c r="G205" s="462"/>
      <c r="H205" s="462"/>
      <c r="I205" s="226"/>
      <c r="J205" s="226"/>
      <c r="K205" s="226"/>
      <c r="L205" s="226"/>
      <c r="M205" s="226"/>
      <c r="N205" s="451">
        <f>AA85</f>
        <v>1</v>
      </c>
      <c r="O205" s="451"/>
      <c r="P205" s="185"/>
      <c r="Q205" s="185"/>
      <c r="R205" s="185"/>
      <c r="S205" s="226"/>
      <c r="T205" s="226"/>
      <c r="U205" s="226"/>
      <c r="V205" s="226"/>
      <c r="W205" s="226"/>
      <c r="X205" s="226"/>
      <c r="Y205" s="226"/>
      <c r="Z205" s="186"/>
      <c r="AA205" s="186"/>
      <c r="AB205" s="226"/>
      <c r="AC205" s="226"/>
      <c r="AD205" s="226"/>
      <c r="AE205" s="226"/>
      <c r="AF205" s="226"/>
      <c r="AG205" s="226"/>
      <c r="AH205" s="226"/>
      <c r="AI205" s="226"/>
      <c r="AJ205" s="226"/>
      <c r="AK205" s="226"/>
      <c r="AL205" s="227"/>
      <c r="AM205" s="227"/>
      <c r="AN205" s="227"/>
      <c r="AO205" s="226"/>
      <c r="AP205" s="226"/>
      <c r="AQ205" s="226"/>
      <c r="AR205" s="226"/>
      <c r="AS205" s="226"/>
      <c r="AT205" s="226"/>
      <c r="AU205" s="226"/>
      <c r="AV205" s="226"/>
      <c r="AW205" s="226"/>
      <c r="AX205" s="226"/>
      <c r="AY205" s="227"/>
      <c r="AZ205" s="227"/>
      <c r="BA205" s="227"/>
      <c r="BB205" s="227"/>
      <c r="BC205" s="227"/>
      <c r="BD205" s="227"/>
      <c r="BE205" s="227"/>
      <c r="BF205" s="227"/>
      <c r="BG205" s="227"/>
    </row>
    <row r="206" spans="2:60" s="175" customFormat="1" ht="18.75" customHeight="1">
      <c r="B206" s="227"/>
      <c r="C206" s="462"/>
      <c r="D206" s="462"/>
      <c r="E206" s="462"/>
      <c r="F206" s="462"/>
      <c r="G206" s="462"/>
      <c r="H206" s="462"/>
      <c r="I206" s="226"/>
      <c r="J206" s="226"/>
      <c r="K206" s="226"/>
      <c r="L206" s="226"/>
      <c r="M206" s="226"/>
      <c r="N206" s="451"/>
      <c r="O206" s="451"/>
      <c r="P206" s="185"/>
      <c r="Q206" s="185"/>
      <c r="R206" s="185"/>
      <c r="S206" s="226"/>
      <c r="T206" s="226"/>
      <c r="U206" s="226"/>
      <c r="V206" s="226"/>
      <c r="W206" s="226"/>
      <c r="X206" s="226"/>
      <c r="Y206" s="226"/>
      <c r="Z206" s="186"/>
      <c r="AA206" s="186"/>
      <c r="AB206" s="226"/>
      <c r="AC206" s="226"/>
      <c r="AD206" s="226"/>
      <c r="AE206" s="226"/>
      <c r="AF206" s="226"/>
      <c r="AG206" s="226"/>
      <c r="AH206" s="226"/>
      <c r="AI206" s="226"/>
      <c r="AJ206" s="226"/>
      <c r="AK206" s="226"/>
      <c r="AL206" s="227"/>
      <c r="AM206" s="227"/>
      <c r="AN206" s="227"/>
      <c r="AO206" s="226"/>
      <c r="AP206" s="226"/>
      <c r="AQ206" s="226"/>
      <c r="AR206" s="226"/>
      <c r="AS206" s="226"/>
      <c r="AT206" s="226"/>
      <c r="AU206" s="226"/>
      <c r="AV206" s="226"/>
      <c r="AW206" s="226"/>
      <c r="AX206" s="226"/>
      <c r="AY206" s="227"/>
      <c r="AZ206" s="227"/>
      <c r="BA206" s="227"/>
      <c r="BB206" s="227"/>
      <c r="BC206" s="227"/>
      <c r="BD206" s="227"/>
      <c r="BE206" s="227"/>
      <c r="BF206" s="227"/>
      <c r="BG206" s="227"/>
    </row>
    <row r="207" spans="2:60" s="175" customFormat="1" ht="18.75" customHeight="1">
      <c r="B207" s="227"/>
      <c r="C207" s="226" t="s">
        <v>311</v>
      </c>
      <c r="D207" s="226"/>
      <c r="E207" s="226"/>
      <c r="F207" s="226"/>
      <c r="G207" s="226"/>
      <c r="H207" s="226"/>
      <c r="I207" s="226"/>
      <c r="J207" s="227"/>
      <c r="K207" s="227" t="s">
        <v>281</v>
      </c>
      <c r="L207" s="451">
        <f>N205</f>
        <v>1</v>
      </c>
      <c r="M207" s="451"/>
      <c r="N207" s="250" t="s">
        <v>86</v>
      </c>
      <c r="O207" s="454">
        <f>T202</f>
        <v>0</v>
      </c>
      <c r="P207" s="454"/>
      <c r="Q207" s="454"/>
      <c r="R207" s="251" t="str">
        <f>W202</f>
        <v>μm</v>
      </c>
      <c r="S207" s="252"/>
      <c r="T207" s="227" t="s">
        <v>281</v>
      </c>
      <c r="U207" s="227" t="s">
        <v>265</v>
      </c>
      <c r="V207" s="455">
        <f>L207*O207</f>
        <v>0</v>
      </c>
      <c r="W207" s="455"/>
      <c r="X207" s="455"/>
      <c r="Y207" s="251" t="str">
        <f>W202</f>
        <v>μm</v>
      </c>
      <c r="Z207" s="251"/>
      <c r="AA207" s="187"/>
      <c r="AB207" s="187"/>
      <c r="AC207" s="179"/>
      <c r="AD207" s="227"/>
      <c r="AE207" s="226"/>
      <c r="AF207" s="227"/>
      <c r="AG207" s="227"/>
      <c r="AH207" s="227"/>
      <c r="AI207" s="227"/>
      <c r="AJ207" s="227"/>
      <c r="AK207" s="226"/>
      <c r="AL207" s="227"/>
      <c r="AM207" s="227"/>
      <c r="AN207" s="227"/>
      <c r="AO207" s="226"/>
      <c r="AP207" s="226"/>
      <c r="AQ207" s="226"/>
      <c r="AR207" s="226"/>
      <c r="AS207" s="226"/>
      <c r="AT207" s="226"/>
      <c r="AU207" s="226"/>
      <c r="AV207" s="226"/>
      <c r="AW207" s="226"/>
      <c r="AX207" s="226"/>
      <c r="AY207" s="227"/>
      <c r="AZ207" s="227"/>
      <c r="BA207" s="227"/>
      <c r="BB207" s="227"/>
      <c r="BC207" s="227"/>
      <c r="BD207" s="227"/>
      <c r="BE207" s="227"/>
      <c r="BF207" s="227"/>
      <c r="BG207" s="227"/>
    </row>
    <row r="208" spans="2:60" s="175" customFormat="1" ht="18.75" customHeight="1">
      <c r="B208" s="227"/>
      <c r="C208" s="462" t="s">
        <v>312</v>
      </c>
      <c r="D208" s="462"/>
      <c r="E208" s="462"/>
      <c r="F208" s="462"/>
      <c r="G208" s="462"/>
      <c r="H208" s="226"/>
      <c r="J208" s="226"/>
      <c r="K208" s="226"/>
      <c r="L208" s="226"/>
      <c r="M208" s="226"/>
      <c r="N208" s="226"/>
      <c r="O208" s="226"/>
      <c r="P208" s="226"/>
      <c r="Q208" s="226"/>
      <c r="R208" s="179"/>
      <c r="S208" s="226"/>
      <c r="T208" s="226"/>
      <c r="U208" s="226"/>
      <c r="W208" s="226"/>
      <c r="X208" s="57" t="s">
        <v>94</v>
      </c>
      <c r="Y208" s="226"/>
      <c r="Z208" s="226"/>
      <c r="AA208" s="226"/>
      <c r="AB208" s="226"/>
      <c r="AC208" s="226"/>
      <c r="AD208" s="226"/>
      <c r="AE208" s="227"/>
      <c r="AF208" s="227"/>
      <c r="AG208" s="227"/>
      <c r="AH208" s="227"/>
      <c r="AI208" s="227"/>
      <c r="AJ208" s="227"/>
      <c r="AK208" s="227"/>
      <c r="AL208" s="227"/>
      <c r="AM208" s="227"/>
      <c r="AN208" s="227"/>
      <c r="AO208" s="227"/>
      <c r="AP208" s="227"/>
      <c r="AQ208" s="227"/>
      <c r="AR208" s="227"/>
      <c r="AS208" s="227"/>
      <c r="AT208" s="227"/>
      <c r="AU208" s="227"/>
      <c r="AV208" s="227"/>
      <c r="AW208" s="227"/>
      <c r="AX208" s="227"/>
      <c r="AY208" s="227"/>
      <c r="AZ208" s="227"/>
      <c r="BA208" s="227"/>
      <c r="BB208" s="227"/>
      <c r="BC208" s="227"/>
      <c r="BD208" s="227"/>
      <c r="BE208" s="227"/>
      <c r="BF208" s="227"/>
      <c r="BG208" s="227"/>
    </row>
    <row r="209" spans="1:80" s="175" customFormat="1" ht="18.75" customHeight="1">
      <c r="B209" s="227"/>
      <c r="C209" s="462"/>
      <c r="D209" s="462"/>
      <c r="E209" s="462"/>
      <c r="F209" s="462"/>
      <c r="G209" s="462"/>
      <c r="H209" s="226"/>
      <c r="I209" s="226"/>
      <c r="J209" s="226"/>
      <c r="K209" s="226"/>
      <c r="L209" s="226"/>
      <c r="M209" s="226"/>
      <c r="N209" s="226"/>
      <c r="O209" s="226"/>
      <c r="P209" s="226"/>
      <c r="Q209" s="226"/>
      <c r="R209" s="179"/>
      <c r="S209" s="226"/>
      <c r="T209" s="226"/>
      <c r="U209" s="226"/>
      <c r="V209" s="226"/>
      <c r="W209" s="226"/>
      <c r="X209" s="226"/>
      <c r="Y209" s="226"/>
      <c r="Z209" s="226"/>
      <c r="AA209" s="226"/>
      <c r="AB209" s="226"/>
      <c r="AC209" s="226"/>
      <c r="AD209" s="226"/>
      <c r="AE209" s="227"/>
      <c r="AF209" s="226"/>
      <c r="AG209" s="227"/>
      <c r="AH209" s="227"/>
      <c r="AI209" s="227"/>
      <c r="AJ209" s="227"/>
      <c r="AK209" s="227"/>
      <c r="AL209" s="227"/>
      <c r="AM209" s="227"/>
      <c r="AN209" s="227"/>
      <c r="AO209" s="227"/>
      <c r="AP209" s="227"/>
      <c r="AQ209" s="227"/>
      <c r="AR209" s="227"/>
      <c r="AS209" s="227"/>
      <c r="AT209" s="227"/>
      <c r="AU209" s="227"/>
      <c r="AV209" s="227"/>
      <c r="AW209" s="227"/>
      <c r="AX209" s="227"/>
      <c r="AY209" s="227"/>
      <c r="AZ209" s="227"/>
      <c r="BA209" s="227"/>
      <c r="BB209" s="227"/>
      <c r="BC209" s="227"/>
      <c r="BD209" s="227"/>
      <c r="BE209" s="227"/>
      <c r="BF209" s="227"/>
      <c r="BG209" s="227"/>
    </row>
    <row r="210" spans="1:80" s="175" customFormat="1" ht="18.75" customHeight="1">
      <c r="B210" s="227"/>
      <c r="C210" s="226"/>
      <c r="D210" s="226"/>
      <c r="E210" s="226"/>
      <c r="F210" s="226"/>
      <c r="G210" s="227"/>
      <c r="H210" s="226"/>
      <c r="I210" s="226"/>
      <c r="J210" s="226"/>
      <c r="K210" s="226"/>
      <c r="L210" s="226"/>
      <c r="M210" s="226"/>
      <c r="N210" s="226"/>
      <c r="O210" s="226"/>
      <c r="P210" s="226"/>
      <c r="Q210" s="226"/>
      <c r="R210" s="226"/>
      <c r="S210" s="226"/>
      <c r="T210" s="226"/>
      <c r="U210" s="226"/>
      <c r="V210" s="226"/>
      <c r="W210" s="226"/>
      <c r="X210" s="226"/>
      <c r="Y210" s="226"/>
      <c r="Z210" s="226"/>
      <c r="AA210" s="226"/>
      <c r="AB210" s="226"/>
      <c r="AC210" s="226"/>
      <c r="AD210" s="226"/>
      <c r="AE210" s="227"/>
      <c r="AF210" s="226"/>
      <c r="AG210" s="227"/>
      <c r="AH210" s="227"/>
      <c r="AI210" s="227"/>
      <c r="AJ210" s="227"/>
      <c r="AK210" s="227"/>
      <c r="AL210" s="227"/>
      <c r="AM210" s="227"/>
      <c r="AN210" s="227"/>
      <c r="AO210" s="227"/>
      <c r="AP210" s="227"/>
      <c r="AQ210" s="227"/>
      <c r="AR210" s="227"/>
      <c r="AS210" s="227"/>
      <c r="AT210" s="227"/>
      <c r="AU210" s="227"/>
      <c r="AV210" s="227"/>
      <c r="AW210" s="227"/>
      <c r="AX210" s="227"/>
      <c r="AY210" s="227"/>
      <c r="AZ210" s="227"/>
      <c r="BA210" s="227"/>
      <c r="BB210" s="227"/>
      <c r="BC210" s="227"/>
      <c r="BD210" s="227"/>
      <c r="BE210" s="227"/>
      <c r="BF210" s="227"/>
      <c r="BG210" s="227"/>
    </row>
    <row r="211" spans="1:80" s="175" customFormat="1" ht="18.75" customHeight="1">
      <c r="A211" s="58" t="s">
        <v>313</v>
      </c>
      <c r="B211" s="227"/>
      <c r="C211" s="227"/>
      <c r="D211" s="227"/>
      <c r="E211" s="227"/>
      <c r="F211" s="227"/>
      <c r="G211" s="227"/>
      <c r="H211" s="227"/>
      <c r="I211" s="227"/>
      <c r="J211" s="227"/>
      <c r="K211" s="227"/>
      <c r="L211" s="227"/>
      <c r="M211" s="227"/>
      <c r="N211" s="227"/>
      <c r="O211" s="227"/>
      <c r="P211" s="227"/>
      <c r="Q211" s="227"/>
      <c r="R211" s="227"/>
      <c r="S211" s="227"/>
      <c r="T211" s="227"/>
      <c r="U211" s="227"/>
      <c r="V211" s="227"/>
      <c r="W211" s="227"/>
      <c r="X211" s="227"/>
      <c r="Y211" s="227"/>
      <c r="Z211" s="227"/>
      <c r="AA211" s="227"/>
      <c r="AB211" s="227"/>
      <c r="AC211" s="227"/>
      <c r="AD211" s="227"/>
      <c r="AE211" s="227"/>
      <c r="AF211" s="227"/>
      <c r="AG211" s="227"/>
      <c r="AH211" s="227"/>
      <c r="AI211" s="227"/>
      <c r="AJ211" s="227"/>
      <c r="AK211" s="227"/>
      <c r="AL211" s="227"/>
      <c r="AM211" s="227"/>
      <c r="AN211" s="227"/>
      <c r="AO211" s="227"/>
      <c r="AP211" s="227"/>
      <c r="AQ211" s="227"/>
      <c r="AR211" s="227"/>
      <c r="AS211" s="227"/>
      <c r="AT211" s="227"/>
      <c r="AU211" s="227"/>
      <c r="AV211" s="227"/>
      <c r="AW211" s="227"/>
      <c r="AX211" s="227"/>
      <c r="AY211" s="227"/>
      <c r="AZ211" s="227"/>
      <c r="BA211" s="227"/>
      <c r="BB211" s="227"/>
      <c r="BC211" s="227"/>
      <c r="BD211" s="227"/>
      <c r="BE211" s="227"/>
      <c r="BF211" s="227"/>
    </row>
    <row r="212" spans="1:80" s="175" customFormat="1" ht="18.75" customHeight="1">
      <c r="A212" s="227"/>
      <c r="B212" s="227"/>
      <c r="C212" s="227"/>
      <c r="D212" s="227"/>
      <c r="E212" s="227"/>
      <c r="F212" s="227"/>
      <c r="G212" s="227"/>
      <c r="H212" s="227"/>
      <c r="I212" s="227"/>
      <c r="J212" s="227"/>
      <c r="K212" s="227"/>
      <c r="L212" s="227"/>
      <c r="M212" s="227"/>
      <c r="N212" s="227"/>
      <c r="O212" s="227"/>
      <c r="P212" s="227"/>
      <c r="Q212" s="227"/>
      <c r="R212" s="227"/>
      <c r="S212" s="227"/>
      <c r="T212" s="227"/>
      <c r="U212" s="227"/>
      <c r="V212" s="227"/>
      <c r="W212" s="227"/>
      <c r="X212" s="227"/>
      <c r="Y212" s="227"/>
      <c r="Z212" s="227"/>
      <c r="AA212" s="227"/>
      <c r="AB212" s="227"/>
      <c r="AC212" s="227"/>
      <c r="AD212" s="227"/>
      <c r="AE212" s="226"/>
      <c r="AF212" s="227"/>
      <c r="AG212" s="227"/>
      <c r="AH212" s="227"/>
      <c r="AI212" s="227"/>
      <c r="AJ212" s="227"/>
      <c r="AK212" s="227"/>
      <c r="AL212" s="227"/>
      <c r="AM212" s="227"/>
      <c r="AN212" s="227"/>
      <c r="AO212" s="227"/>
      <c r="AP212" s="227"/>
      <c r="AQ212" s="227"/>
      <c r="AR212" s="227"/>
      <c r="AS212" s="227"/>
      <c r="AT212" s="227"/>
      <c r="AU212" s="227"/>
      <c r="AV212" s="227"/>
      <c r="AW212" s="227"/>
      <c r="AX212" s="227"/>
      <c r="AY212" s="227"/>
      <c r="AZ212" s="227"/>
      <c r="BA212" s="227"/>
      <c r="BB212" s="227"/>
      <c r="BC212" s="227"/>
      <c r="BD212" s="227"/>
      <c r="BE212" s="227"/>
      <c r="BF212" s="227"/>
    </row>
    <row r="213" spans="1:80" s="59" customFormat="1" ht="18.75" customHeight="1">
      <c r="A213" s="226"/>
      <c r="B213" s="264"/>
      <c r="C213" s="264"/>
      <c r="D213" s="226"/>
      <c r="E213" s="227" t="s">
        <v>265</v>
      </c>
      <c r="F213" s="461" t="e">
        <f ca="1">Calcu!Q54</f>
        <v>#N/A</v>
      </c>
      <c r="G213" s="461"/>
      <c r="H213" s="461"/>
      <c r="I213" s="226" t="s">
        <v>144</v>
      </c>
      <c r="J213" s="226"/>
      <c r="K213" s="451" t="s">
        <v>101</v>
      </c>
      <c r="L213" s="451"/>
      <c r="M213" s="461">
        <f>Calcu!Q55</f>
        <v>0</v>
      </c>
      <c r="N213" s="461"/>
      <c r="O213" s="461"/>
      <c r="P213" s="226" t="s">
        <v>144</v>
      </c>
      <c r="Q213" s="226"/>
      <c r="R213" s="451" t="s">
        <v>101</v>
      </c>
      <c r="S213" s="451"/>
      <c r="T213" s="461">
        <f>Calcu!Q56</f>
        <v>0</v>
      </c>
      <c r="U213" s="461"/>
      <c r="V213" s="461"/>
      <c r="W213" s="226" t="s">
        <v>144</v>
      </c>
      <c r="X213" s="226"/>
      <c r="Y213" s="451" t="s">
        <v>101</v>
      </c>
      <c r="Z213" s="451"/>
      <c r="AA213" s="461">
        <f>Calcu!Q58</f>
        <v>0</v>
      </c>
      <c r="AB213" s="461"/>
      <c r="AC213" s="461"/>
      <c r="AD213" s="226" t="s">
        <v>144</v>
      </c>
      <c r="AE213" s="226"/>
      <c r="AF213" s="451" t="s">
        <v>101</v>
      </c>
      <c r="AG213" s="451"/>
      <c r="AH213" s="461" t="e">
        <f ca="1">Calcu!Q57</f>
        <v>#N/A</v>
      </c>
      <c r="AI213" s="461"/>
      <c r="AJ213" s="461"/>
      <c r="AK213" s="226" t="s">
        <v>144</v>
      </c>
      <c r="AL213" s="226"/>
      <c r="AM213" s="451" t="s">
        <v>101</v>
      </c>
      <c r="AN213" s="451"/>
      <c r="AO213" s="461" t="e">
        <f ca="1">Calcu!Q59</f>
        <v>#N/A</v>
      </c>
      <c r="AP213" s="461"/>
      <c r="AQ213" s="461"/>
      <c r="AR213" s="226" t="s">
        <v>144</v>
      </c>
      <c r="AS213" s="226"/>
      <c r="BA213" s="226"/>
      <c r="BB213" s="226"/>
      <c r="BC213" s="226"/>
      <c r="BD213" s="226"/>
      <c r="BE213" s="226"/>
      <c r="BF213" s="226"/>
      <c r="BG213" s="226"/>
      <c r="BH213" s="226"/>
    </row>
    <row r="214" spans="1:80" s="59" customFormat="1" ht="18.75" customHeight="1">
      <c r="A214" s="226"/>
      <c r="B214" s="264"/>
      <c r="C214" s="264"/>
      <c r="D214" s="226"/>
      <c r="E214" s="226"/>
      <c r="F214" s="451" t="s">
        <v>101</v>
      </c>
      <c r="G214" s="451"/>
      <c r="H214" s="461">
        <f>Calcu!Q60</f>
        <v>0</v>
      </c>
      <c r="I214" s="461"/>
      <c r="J214" s="461"/>
      <c r="K214" s="226" t="s">
        <v>144</v>
      </c>
      <c r="L214" s="226"/>
      <c r="M214" s="451" t="s">
        <v>101</v>
      </c>
      <c r="N214" s="451"/>
      <c r="O214" s="461">
        <f>Calcu!Q61</f>
        <v>0</v>
      </c>
      <c r="P214" s="461"/>
      <c r="Q214" s="461"/>
      <c r="R214" s="226" t="s">
        <v>144</v>
      </c>
      <c r="S214" s="226"/>
      <c r="T214" s="226"/>
      <c r="AB214" s="226"/>
      <c r="AC214" s="226"/>
      <c r="AD214" s="63"/>
      <c r="AE214" s="63"/>
      <c r="AF214" s="63"/>
      <c r="AG214" s="226"/>
      <c r="AH214" s="226"/>
      <c r="AI214" s="226"/>
      <c r="AJ214" s="226"/>
      <c r="AK214" s="226"/>
      <c r="AL214" s="226"/>
      <c r="AM214" s="226"/>
      <c r="AN214" s="226"/>
      <c r="AO214" s="226"/>
      <c r="AP214" s="226"/>
      <c r="AQ214" s="226"/>
      <c r="AR214" s="226"/>
      <c r="AS214" s="226"/>
      <c r="AT214" s="226"/>
      <c r="AU214" s="226"/>
      <c r="AV214" s="226"/>
      <c r="AW214" s="226"/>
      <c r="AX214" s="226"/>
      <c r="AY214" s="226"/>
      <c r="AZ214" s="226"/>
      <c r="BA214" s="226"/>
      <c r="BB214" s="226"/>
      <c r="BC214" s="226"/>
      <c r="BD214" s="226"/>
      <c r="BE214" s="226"/>
      <c r="BF214" s="226"/>
      <c r="BG214" s="226"/>
      <c r="BH214" s="226"/>
    </row>
    <row r="215" spans="1:80" s="59" customFormat="1" ht="18.75" customHeight="1">
      <c r="A215" s="226"/>
      <c r="B215" s="264"/>
      <c r="C215" s="264"/>
      <c r="D215" s="226"/>
      <c r="E215" s="227" t="s">
        <v>265</v>
      </c>
      <c r="F215" s="461" t="e">
        <f ca="1">Calcu!Q62</f>
        <v>#N/A</v>
      </c>
      <c r="G215" s="461"/>
      <c r="H215" s="461"/>
      <c r="I215" s="226" t="s">
        <v>144</v>
      </c>
      <c r="J215" s="226"/>
      <c r="K215" s="226"/>
      <c r="L215" s="226"/>
      <c r="M215" s="189"/>
      <c r="N215" s="189"/>
      <c r="O215" s="189"/>
      <c r="P215" s="189"/>
      <c r="Q215" s="226"/>
      <c r="R215" s="226"/>
      <c r="S215" s="226"/>
      <c r="T215" s="226"/>
      <c r="U215" s="226"/>
      <c r="V215" s="226"/>
      <c r="W215" s="226"/>
      <c r="X215" s="226"/>
      <c r="Y215" s="226"/>
      <c r="Z215" s="226"/>
      <c r="AA215" s="226"/>
      <c r="AB215" s="226"/>
      <c r="AC215" s="226"/>
      <c r="AD215" s="226"/>
      <c r="AE215" s="226"/>
      <c r="AF215" s="226"/>
      <c r="AG215" s="227"/>
      <c r="AH215" s="226"/>
      <c r="AI215" s="226"/>
      <c r="AJ215" s="226"/>
      <c r="AK215" s="226"/>
      <c r="AL215" s="226"/>
      <c r="AM215" s="226"/>
      <c r="AN215" s="226"/>
      <c r="AO215" s="226"/>
      <c r="AP215" s="226"/>
      <c r="AQ215" s="226"/>
      <c r="AR215" s="226"/>
      <c r="AS215" s="226"/>
      <c r="AT215" s="226"/>
      <c r="AU215" s="226"/>
      <c r="AV215" s="226"/>
      <c r="AW215" s="226"/>
      <c r="AX215" s="226"/>
      <c r="AY215" s="226"/>
      <c r="AZ215" s="226"/>
      <c r="BA215" s="226"/>
      <c r="BB215" s="226"/>
      <c r="BC215" s="226"/>
      <c r="BD215" s="226"/>
      <c r="BE215" s="226"/>
      <c r="BF215" s="226"/>
      <c r="BG215" s="226"/>
      <c r="BH215" s="226"/>
    </row>
    <row r="216" spans="1:80" s="59" customFormat="1" ht="18.75" customHeight="1">
      <c r="A216" s="226"/>
      <c r="B216" s="226"/>
      <c r="C216" s="226"/>
      <c r="D216" s="174"/>
      <c r="E216" s="174"/>
      <c r="F216" s="174"/>
      <c r="G216" s="226"/>
      <c r="H216" s="226"/>
      <c r="I216" s="227"/>
      <c r="J216" s="227"/>
      <c r="K216" s="190"/>
      <c r="L216" s="190"/>
      <c r="M216" s="190"/>
      <c r="N216" s="190"/>
      <c r="O216" s="226"/>
      <c r="P216" s="226"/>
      <c r="Q216" s="226"/>
      <c r="R216" s="226"/>
      <c r="S216" s="226"/>
      <c r="T216" s="226"/>
      <c r="U216" s="226"/>
      <c r="V216" s="226"/>
      <c r="W216" s="226"/>
      <c r="X216" s="226"/>
      <c r="Y216" s="226"/>
      <c r="Z216" s="226"/>
      <c r="AA216" s="226"/>
      <c r="AB216" s="226"/>
      <c r="AC216" s="226"/>
      <c r="AD216" s="226"/>
      <c r="AE216" s="226"/>
      <c r="AF216" s="226"/>
      <c r="AG216" s="226"/>
      <c r="AH216" s="226"/>
      <c r="AI216" s="226"/>
      <c r="AJ216" s="226"/>
      <c r="AK216" s="226"/>
      <c r="AL216" s="226"/>
      <c r="AM216" s="226"/>
      <c r="AN216" s="226"/>
      <c r="AO216" s="226"/>
      <c r="AP216" s="226"/>
      <c r="AQ216" s="226"/>
      <c r="AR216" s="226"/>
      <c r="AS216" s="226"/>
      <c r="AT216" s="226"/>
      <c r="AU216" s="226"/>
      <c r="AV216" s="226"/>
      <c r="AW216" s="226"/>
      <c r="AX216" s="226"/>
      <c r="AY216" s="226"/>
      <c r="AZ216" s="226"/>
      <c r="BA216" s="226"/>
      <c r="BB216" s="226"/>
      <c r="BC216" s="226"/>
      <c r="BD216" s="226"/>
      <c r="BE216" s="226"/>
      <c r="BF216" s="226"/>
    </row>
    <row r="217" spans="1:80" s="175" customFormat="1" ht="18.75" customHeight="1">
      <c r="A217" s="227"/>
      <c r="B217" s="227"/>
      <c r="C217" s="227"/>
      <c r="D217" s="180" t="s">
        <v>442</v>
      </c>
      <c r="E217" s="263" t="s">
        <v>265</v>
      </c>
      <c r="F217" s="461" t="e">
        <f ca="1">F215</f>
        <v>#N/A</v>
      </c>
      <c r="G217" s="461"/>
      <c r="H217" s="461"/>
      <c r="I217" s="226" t="s">
        <v>144</v>
      </c>
      <c r="J217" s="226"/>
      <c r="K217" s="189"/>
      <c r="L217" s="189"/>
      <c r="M217" s="189"/>
      <c r="N217" s="227"/>
      <c r="O217" s="227"/>
      <c r="P217" s="226"/>
      <c r="Q217" s="227"/>
      <c r="R217" s="227"/>
      <c r="S217" s="227"/>
      <c r="T217" s="227"/>
      <c r="U217" s="227"/>
      <c r="V217" s="227"/>
      <c r="W217" s="227"/>
      <c r="X217" s="227"/>
      <c r="Y217" s="227"/>
      <c r="Z217" s="227"/>
      <c r="AA217" s="227"/>
      <c r="AB217" s="227"/>
      <c r="AC217" s="227"/>
      <c r="AD217" s="227"/>
      <c r="AE217" s="226"/>
      <c r="AF217" s="227"/>
      <c r="AG217" s="227"/>
      <c r="AH217" s="227"/>
      <c r="AI217" s="227"/>
      <c r="AJ217" s="227"/>
      <c r="AK217" s="227"/>
      <c r="AL217" s="227"/>
      <c r="AM217" s="227"/>
      <c r="AN217" s="227"/>
      <c r="AO217" s="227"/>
      <c r="AP217" s="227"/>
      <c r="AQ217" s="227"/>
      <c r="AR217" s="227"/>
      <c r="AS217" s="227"/>
      <c r="AT217" s="227"/>
      <c r="AU217" s="227"/>
      <c r="AV217" s="227"/>
      <c r="AW217" s="227"/>
      <c r="AX217" s="227"/>
      <c r="AY217" s="227"/>
      <c r="AZ217" s="227"/>
      <c r="BA217" s="227"/>
      <c r="BB217" s="227"/>
      <c r="BC217" s="227"/>
      <c r="BD217" s="227"/>
      <c r="BE217" s="227"/>
      <c r="BF217" s="227"/>
    </row>
    <row r="218" spans="1:80" s="226" customFormat="1" ht="18.75" customHeight="1"/>
    <row r="219" spans="1:80" ht="18.75" customHeight="1">
      <c r="A219" s="58" t="s">
        <v>314</v>
      </c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</row>
    <row r="220" spans="1:80" ht="18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484" t="e">
        <f ca="1">F217</f>
        <v>#N/A</v>
      </c>
      <c r="M220" s="484"/>
      <c r="N220" s="484"/>
      <c r="O220" s="484"/>
      <c r="P220" s="484"/>
      <c r="Q220" s="484"/>
      <c r="R220" s="484"/>
      <c r="S220" s="484"/>
      <c r="T220" s="484"/>
      <c r="U220" s="484"/>
      <c r="V220" s="484"/>
      <c r="W220" s="484"/>
      <c r="X220" s="484"/>
      <c r="Y220" s="484"/>
      <c r="Z220" s="484"/>
      <c r="AA220" s="484"/>
      <c r="AB220" s="484"/>
      <c r="AC220" s="484"/>
      <c r="AD220" s="484"/>
      <c r="AE220" s="484"/>
      <c r="AF220" s="484"/>
      <c r="AG220" s="484"/>
      <c r="AH220" s="484"/>
      <c r="AI220" s="484"/>
      <c r="AJ220" s="484"/>
      <c r="AK220" s="484"/>
      <c r="AL220" s="484"/>
      <c r="AM220" s="484"/>
      <c r="AN220" s="484"/>
      <c r="AO220" s="484"/>
      <c r="AP220" s="484"/>
      <c r="AQ220" s="484"/>
      <c r="AR220" s="484"/>
      <c r="AS220" s="484"/>
      <c r="AT220" s="484"/>
      <c r="AU220" s="484"/>
      <c r="AV220" s="484"/>
      <c r="AW220" s="484"/>
      <c r="AX220" s="484"/>
      <c r="AY220" s="451" t="s">
        <v>265</v>
      </c>
      <c r="AZ220" s="489" t="e">
        <f ca="1">TRIM(Calcu!S62)</f>
        <v>#N/A</v>
      </c>
      <c r="BA220" s="489"/>
      <c r="BB220" s="214"/>
      <c r="BC220" s="57"/>
      <c r="BD220" s="57"/>
      <c r="BE220" s="57"/>
      <c r="BF220" s="57"/>
      <c r="BG220" s="226"/>
      <c r="BH220" s="226"/>
      <c r="BK220" s="191"/>
      <c r="BL220" s="191"/>
      <c r="BM220" s="191"/>
      <c r="BN220" s="191"/>
      <c r="BO220" s="191"/>
      <c r="BP220" s="59"/>
      <c r="BQ220" s="59"/>
      <c r="BR220" s="59"/>
      <c r="BS220" s="59"/>
      <c r="BT220" s="59"/>
      <c r="BU220" s="59"/>
      <c r="BV220" s="59"/>
      <c r="BW220" s="59"/>
      <c r="BX220" s="59"/>
      <c r="BY220" s="59"/>
      <c r="BZ220" s="59"/>
      <c r="CA220" s="59"/>
      <c r="CB220" s="59"/>
    </row>
    <row r="221" spans="1:80" ht="18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492" t="e">
        <f ca="1">Calcu!Q54</f>
        <v>#N/A</v>
      </c>
      <c r="M221" s="492"/>
      <c r="N221" s="492"/>
      <c r="O221" s="492"/>
      <c r="P221" s="451" t="s">
        <v>101</v>
      </c>
      <c r="Q221" s="492">
        <f>Calcu!Q55</f>
        <v>0</v>
      </c>
      <c r="R221" s="492"/>
      <c r="S221" s="492"/>
      <c r="T221" s="492"/>
      <c r="U221" s="451" t="s">
        <v>101</v>
      </c>
      <c r="V221" s="484">
        <f>Calcu!Q56</f>
        <v>0</v>
      </c>
      <c r="W221" s="484"/>
      <c r="X221" s="484"/>
      <c r="Y221" s="484"/>
      <c r="Z221" s="451" t="s">
        <v>101</v>
      </c>
      <c r="AA221" s="492">
        <f>Calcu!Q58</f>
        <v>0</v>
      </c>
      <c r="AB221" s="492"/>
      <c r="AC221" s="492"/>
      <c r="AD221" s="492"/>
      <c r="AE221" s="451" t="s">
        <v>101</v>
      </c>
      <c r="AF221" s="484" t="e">
        <f ca="1">Calcu!Q57</f>
        <v>#N/A</v>
      </c>
      <c r="AG221" s="484"/>
      <c r="AH221" s="484"/>
      <c r="AI221" s="484"/>
      <c r="AJ221" s="451" t="s">
        <v>101</v>
      </c>
      <c r="AK221" s="484" t="e">
        <f ca="1">Calcu!Q59</f>
        <v>#N/A</v>
      </c>
      <c r="AL221" s="484"/>
      <c r="AM221" s="484"/>
      <c r="AN221" s="484"/>
      <c r="AO221" s="451" t="s">
        <v>101</v>
      </c>
      <c r="AP221" s="484">
        <f>Calcu!Q60</f>
        <v>0</v>
      </c>
      <c r="AQ221" s="484"/>
      <c r="AR221" s="484"/>
      <c r="AS221" s="484"/>
      <c r="AT221" s="451" t="s">
        <v>101</v>
      </c>
      <c r="AU221" s="484">
        <f>Calcu!Q61</f>
        <v>0</v>
      </c>
      <c r="AV221" s="484"/>
      <c r="AW221" s="484"/>
      <c r="AX221" s="484"/>
      <c r="AY221" s="451"/>
      <c r="AZ221" s="489"/>
      <c r="BA221" s="489"/>
      <c r="BB221" s="214"/>
      <c r="BC221" s="57"/>
      <c r="BD221" s="57"/>
      <c r="BE221" s="57"/>
      <c r="BF221" s="57"/>
      <c r="BG221" s="57"/>
      <c r="BH221" s="57"/>
      <c r="BK221" s="191"/>
      <c r="BL221" s="191"/>
      <c r="BM221" s="191"/>
      <c r="BN221" s="191"/>
      <c r="BO221" s="191"/>
    </row>
    <row r="222" spans="1:80" ht="18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451" t="str">
        <f>Calcu!S54</f>
        <v>∞</v>
      </c>
      <c r="M222" s="451"/>
      <c r="N222" s="451"/>
      <c r="O222" s="451"/>
      <c r="P222" s="451"/>
      <c r="Q222" s="451" t="str">
        <f>Calcu!S55</f>
        <v>∞</v>
      </c>
      <c r="R222" s="451"/>
      <c r="S222" s="451"/>
      <c r="T222" s="451"/>
      <c r="U222" s="451"/>
      <c r="V222" s="451">
        <f>Calcu!S56</f>
        <v>100</v>
      </c>
      <c r="W222" s="451"/>
      <c r="X222" s="451"/>
      <c r="Y222" s="451"/>
      <c r="Z222" s="451"/>
      <c r="AA222" s="451">
        <f>Calcu!S58</f>
        <v>100</v>
      </c>
      <c r="AB222" s="451"/>
      <c r="AC222" s="451"/>
      <c r="AD222" s="451"/>
      <c r="AE222" s="451"/>
      <c r="AF222" s="426">
        <f>Calcu!S57</f>
        <v>12</v>
      </c>
      <c r="AG222" s="426"/>
      <c r="AH222" s="426"/>
      <c r="AI222" s="426"/>
      <c r="AJ222" s="451"/>
      <c r="AK222" s="451">
        <f>Calcu!S59</f>
        <v>12</v>
      </c>
      <c r="AL222" s="451"/>
      <c r="AM222" s="451"/>
      <c r="AN222" s="451"/>
      <c r="AO222" s="451"/>
      <c r="AP222" s="451" t="str">
        <f>Calcu!S60</f>
        <v>∞</v>
      </c>
      <c r="AQ222" s="451"/>
      <c r="AR222" s="451"/>
      <c r="AS222" s="451"/>
      <c r="AT222" s="451"/>
      <c r="AU222" s="451" t="str">
        <f>Calcu!S61</f>
        <v>∞</v>
      </c>
      <c r="AV222" s="451"/>
      <c r="AW222" s="451"/>
      <c r="AX222" s="451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</row>
    <row r="223" spans="1:80" ht="18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</row>
    <row r="224" spans="1:80" ht="18.75" customHeight="1">
      <c r="A224" s="58" t="s">
        <v>335</v>
      </c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</row>
    <row r="225" spans="1:56" ht="18.75" customHeight="1">
      <c r="A225" s="58"/>
      <c r="B225" s="57" t="s">
        <v>315</v>
      </c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</row>
    <row r="226" spans="1:56" ht="18.75" customHeight="1">
      <c r="A226" s="58"/>
      <c r="B226" s="57"/>
      <c r="C226" s="57" t="s">
        <v>316</v>
      </c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</row>
    <row r="227" spans="1:56" ht="18.75" customHeight="1">
      <c r="A227" s="58"/>
      <c r="B227" s="57"/>
      <c r="C227" s="56" t="s">
        <v>317</v>
      </c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</row>
    <row r="228" spans="1:56" ht="18.75" customHeight="1">
      <c r="A228" s="58"/>
      <c r="B228" s="57"/>
      <c r="C228" s="226" t="s">
        <v>318</v>
      </c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</row>
    <row r="229" spans="1:56" ht="18.75" customHeight="1">
      <c r="A229" s="58"/>
      <c r="B229" s="57"/>
      <c r="D229" s="57"/>
      <c r="E229" s="180"/>
      <c r="F229" s="57"/>
      <c r="G229" s="235"/>
      <c r="H229" s="227"/>
      <c r="I229" s="227"/>
      <c r="J229" s="227"/>
      <c r="R229" s="180"/>
      <c r="S229" s="192"/>
      <c r="T229" s="192"/>
      <c r="U229" s="192"/>
      <c r="V229" s="192"/>
      <c r="W229" s="192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</row>
    <row r="230" spans="1:56" ht="18.75" customHeight="1">
      <c r="A230" s="58"/>
      <c r="B230" s="57" t="s">
        <v>315</v>
      </c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</row>
    <row r="231" spans="1:56" ht="18.75" customHeight="1">
      <c r="A231" s="58"/>
      <c r="B231" s="57"/>
      <c r="C231" s="57" t="s">
        <v>320</v>
      </c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</row>
    <row r="232" spans="1:56" ht="18.75" customHeight="1">
      <c r="B232" s="57"/>
      <c r="C232" s="57" t="s">
        <v>333</v>
      </c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</row>
    <row r="233" spans="1:56" ht="18.75" customHeight="1">
      <c r="A233" s="57"/>
      <c r="B233" s="57"/>
      <c r="C233" s="56" t="s">
        <v>343</v>
      </c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</row>
    <row r="234" spans="1:56" ht="18.75" customHeight="1">
      <c r="A234" s="57"/>
      <c r="B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</row>
    <row r="235" spans="1:56" ht="18.75" customHeight="1">
      <c r="A235" s="57"/>
      <c r="B235" s="57"/>
      <c r="C235" s="57"/>
      <c r="D235" s="57"/>
      <c r="E235" s="60"/>
      <c r="F235" s="57"/>
      <c r="G235" s="57"/>
      <c r="H235" s="235" t="s">
        <v>321</v>
      </c>
      <c r="I235" s="451" t="e">
        <f ca="1">Calcu!E77</f>
        <v>#N/A</v>
      </c>
      <c r="J235" s="451"/>
      <c r="K235" s="451"/>
      <c r="L235" s="236" t="s">
        <v>319</v>
      </c>
      <c r="M235" s="452" t="e">
        <f ca="1">F217</f>
        <v>#N/A</v>
      </c>
      <c r="N235" s="452"/>
      <c r="O235" s="452"/>
      <c r="P235" s="452"/>
      <c r="Q235" s="57" t="s">
        <v>322</v>
      </c>
      <c r="R235" s="453" t="e">
        <f ca="1">I235*M235</f>
        <v>#N/A</v>
      </c>
      <c r="S235" s="453"/>
      <c r="T235" s="453"/>
      <c r="U235" s="453"/>
      <c r="V235" s="227"/>
      <c r="W235" s="228"/>
      <c r="AL235" s="57"/>
      <c r="AM235" s="57"/>
      <c r="AN235" s="57"/>
      <c r="AO235" s="57"/>
      <c r="AP235" s="57"/>
      <c r="AQ235" s="57"/>
      <c r="AR235" s="57"/>
      <c r="AS235" s="57"/>
      <c r="AT235" s="57"/>
    </row>
    <row r="241" spans="1:44" s="70" customFormat="1" ht="31.5">
      <c r="A241" s="69" t="s">
        <v>460</v>
      </c>
    </row>
    <row r="242" spans="1:44" s="70" customFormat="1" ht="18.75" customHeight="1"/>
    <row r="243" spans="1:44" s="70" customFormat="1" ht="18.75" customHeight="1">
      <c r="A243" s="71" t="s">
        <v>243</v>
      </c>
    </row>
    <row r="244" spans="1:44" s="70" customFormat="1" ht="18.75" customHeight="1">
      <c r="B244" s="400" t="s">
        <v>60</v>
      </c>
      <c r="C244" s="400"/>
      <c r="D244" s="400"/>
      <c r="E244" s="400"/>
      <c r="F244" s="400"/>
      <c r="G244" s="400"/>
      <c r="H244" s="401" t="s">
        <v>80</v>
      </c>
      <c r="I244" s="401"/>
      <c r="J244" s="401"/>
      <c r="K244" s="401"/>
      <c r="L244" s="401"/>
      <c r="M244" s="401"/>
      <c r="N244" s="400" t="s">
        <v>30</v>
      </c>
      <c r="O244" s="400"/>
      <c r="P244" s="400"/>
      <c r="Q244" s="400"/>
      <c r="R244" s="400"/>
      <c r="S244" s="400"/>
      <c r="T244" s="400" t="s">
        <v>361</v>
      </c>
      <c r="U244" s="400"/>
      <c r="V244" s="400"/>
      <c r="W244" s="400"/>
      <c r="X244" s="400"/>
      <c r="Y244" s="400"/>
    </row>
    <row r="245" spans="1:44" s="70" customFormat="1" ht="18.75" customHeight="1">
      <c r="B245" s="402">
        <f>Calcu_ADJ!I3</f>
        <v>0</v>
      </c>
      <c r="C245" s="402"/>
      <c r="D245" s="402"/>
      <c r="E245" s="402"/>
      <c r="F245" s="402"/>
      <c r="G245" s="402"/>
      <c r="H245" s="403">
        <f>Calcu_ADJ!J3</f>
        <v>1</v>
      </c>
      <c r="I245" s="403"/>
      <c r="J245" s="403"/>
      <c r="K245" s="403"/>
      <c r="L245" s="403"/>
      <c r="M245" s="403"/>
      <c r="N245" s="402" t="s">
        <v>379</v>
      </c>
      <c r="O245" s="402"/>
      <c r="P245" s="402"/>
      <c r="Q245" s="402"/>
      <c r="R245" s="402"/>
      <c r="S245" s="402"/>
      <c r="T245" s="402" t="str">
        <f>Calcu_ADJ!D3</f>
        <v>게이지 블록</v>
      </c>
      <c r="U245" s="402"/>
      <c r="V245" s="402"/>
      <c r="W245" s="402"/>
      <c r="X245" s="402"/>
      <c r="Y245" s="402"/>
    </row>
    <row r="246" spans="1:44" s="70" customFormat="1" ht="18.75" customHeight="1"/>
    <row r="247" spans="1:44" ht="18.75" customHeight="1">
      <c r="A247" s="58" t="s">
        <v>244</v>
      </c>
      <c r="B247" s="281"/>
      <c r="C247" s="281"/>
      <c r="D247" s="281"/>
      <c r="E247" s="281"/>
      <c r="F247" s="281"/>
      <c r="G247" s="281"/>
      <c r="H247" s="281"/>
      <c r="I247" s="281"/>
      <c r="J247" s="281"/>
      <c r="K247" s="281"/>
      <c r="L247" s="281"/>
      <c r="M247" s="281"/>
      <c r="N247" s="281"/>
      <c r="O247" s="281"/>
      <c r="P247" s="281"/>
      <c r="Q247" s="281"/>
      <c r="R247" s="281"/>
      <c r="S247" s="281"/>
      <c r="T247" s="281"/>
      <c r="U247" s="281"/>
      <c r="V247" s="281"/>
      <c r="W247" s="281"/>
      <c r="X247" s="281"/>
      <c r="Y247" s="281"/>
      <c r="Z247" s="281"/>
      <c r="AA247" s="281"/>
      <c r="AB247" s="281"/>
      <c r="AC247" s="281"/>
      <c r="AD247" s="281"/>
      <c r="AE247" s="281"/>
      <c r="AF247" s="281"/>
      <c r="AG247" s="281"/>
      <c r="AH247" s="281"/>
      <c r="AI247" s="281"/>
      <c r="AJ247" s="281"/>
      <c r="AK247" s="281"/>
      <c r="AL247" s="281"/>
      <c r="AM247" s="281"/>
      <c r="AN247" s="281"/>
      <c r="AO247" s="281"/>
      <c r="AP247" s="281"/>
      <c r="AQ247" s="281"/>
      <c r="AR247" s="281"/>
    </row>
    <row r="248" spans="1:44" ht="18.75" customHeight="1">
      <c r="A248" s="58"/>
      <c r="B248" s="404" t="s">
        <v>115</v>
      </c>
      <c r="C248" s="405"/>
      <c r="D248" s="405"/>
      <c r="E248" s="405"/>
      <c r="F248" s="406"/>
      <c r="G248" s="410" t="str">
        <f>N245&amp;" 지시값"</f>
        <v>길이 변위계 지시값</v>
      </c>
      <c r="H248" s="411"/>
      <c r="I248" s="411"/>
      <c r="J248" s="411"/>
      <c r="K248" s="411"/>
      <c r="L248" s="411"/>
      <c r="M248" s="411"/>
      <c r="N248" s="411"/>
      <c r="O248" s="411"/>
      <c r="P248" s="411"/>
      <c r="Q248" s="411"/>
      <c r="R248" s="411"/>
      <c r="S248" s="411"/>
      <c r="T248" s="411"/>
      <c r="U248" s="411"/>
      <c r="V248" s="411"/>
      <c r="W248" s="411"/>
      <c r="X248" s="411"/>
      <c r="Y248" s="411"/>
      <c r="Z248" s="411"/>
      <c r="AA248" s="411"/>
      <c r="AB248" s="411"/>
      <c r="AC248" s="411"/>
      <c r="AD248" s="411"/>
      <c r="AE248" s="412"/>
      <c r="AF248" s="404" t="s">
        <v>245</v>
      </c>
      <c r="AG248" s="405"/>
      <c r="AH248" s="405"/>
      <c r="AI248" s="405"/>
      <c r="AJ248" s="406"/>
      <c r="AK248" s="404" t="s">
        <v>81</v>
      </c>
      <c r="AL248" s="405"/>
      <c r="AM248" s="405"/>
      <c r="AN248" s="405"/>
      <c r="AO248" s="406"/>
    </row>
    <row r="249" spans="1:44" ht="18.75" customHeight="1">
      <c r="A249" s="58"/>
      <c r="B249" s="407"/>
      <c r="C249" s="408"/>
      <c r="D249" s="408"/>
      <c r="E249" s="408"/>
      <c r="F249" s="409"/>
      <c r="G249" s="410" t="s">
        <v>102</v>
      </c>
      <c r="H249" s="411"/>
      <c r="I249" s="411"/>
      <c r="J249" s="411"/>
      <c r="K249" s="412"/>
      <c r="L249" s="410" t="s">
        <v>153</v>
      </c>
      <c r="M249" s="411"/>
      <c r="N249" s="411"/>
      <c r="O249" s="411"/>
      <c r="P249" s="412"/>
      <c r="Q249" s="410" t="s">
        <v>246</v>
      </c>
      <c r="R249" s="411"/>
      <c r="S249" s="411"/>
      <c r="T249" s="411"/>
      <c r="U249" s="412"/>
      <c r="V249" s="410" t="s">
        <v>247</v>
      </c>
      <c r="W249" s="411"/>
      <c r="X249" s="411"/>
      <c r="Y249" s="411"/>
      <c r="Z249" s="412"/>
      <c r="AA249" s="410" t="s">
        <v>248</v>
      </c>
      <c r="AB249" s="411"/>
      <c r="AC249" s="411"/>
      <c r="AD249" s="411"/>
      <c r="AE249" s="412"/>
      <c r="AF249" s="407"/>
      <c r="AG249" s="408"/>
      <c r="AH249" s="408"/>
      <c r="AI249" s="408"/>
      <c r="AJ249" s="409"/>
      <c r="AK249" s="407"/>
      <c r="AL249" s="408"/>
      <c r="AM249" s="408"/>
      <c r="AN249" s="408"/>
      <c r="AO249" s="409"/>
    </row>
    <row r="250" spans="1:44" ht="18.75" customHeight="1">
      <c r="A250" s="58"/>
      <c r="B250" s="410" t="s">
        <v>186</v>
      </c>
      <c r="C250" s="411"/>
      <c r="D250" s="411"/>
      <c r="E250" s="411"/>
      <c r="F250" s="412"/>
      <c r="G250" s="410" t="str">
        <f>B250</f>
        <v>mm</v>
      </c>
      <c r="H250" s="411"/>
      <c r="I250" s="411"/>
      <c r="J250" s="411"/>
      <c r="K250" s="412"/>
      <c r="L250" s="410" t="str">
        <f>G250</f>
        <v>mm</v>
      </c>
      <c r="M250" s="411"/>
      <c r="N250" s="411"/>
      <c r="O250" s="411"/>
      <c r="P250" s="412"/>
      <c r="Q250" s="410" t="str">
        <f>L250</f>
        <v>mm</v>
      </c>
      <c r="R250" s="411"/>
      <c r="S250" s="411"/>
      <c r="T250" s="411"/>
      <c r="U250" s="412"/>
      <c r="V250" s="410" t="str">
        <f>Q250</f>
        <v>mm</v>
      </c>
      <c r="W250" s="411"/>
      <c r="X250" s="411"/>
      <c r="Y250" s="411"/>
      <c r="Z250" s="412"/>
      <c r="AA250" s="410" t="str">
        <f>V250</f>
        <v>mm</v>
      </c>
      <c r="AB250" s="411"/>
      <c r="AC250" s="411"/>
      <c r="AD250" s="411"/>
      <c r="AE250" s="412"/>
      <c r="AF250" s="410" t="s">
        <v>186</v>
      </c>
      <c r="AG250" s="411"/>
      <c r="AH250" s="411"/>
      <c r="AI250" s="411"/>
      <c r="AJ250" s="412"/>
      <c r="AK250" s="410" t="s">
        <v>186</v>
      </c>
      <c r="AL250" s="411"/>
      <c r="AM250" s="411"/>
      <c r="AN250" s="411"/>
      <c r="AO250" s="412"/>
    </row>
    <row r="251" spans="1:44" ht="18.75" customHeight="1">
      <c r="A251" s="58"/>
      <c r="B251" s="413" t="str">
        <f>Calcu_ADJ!T9</f>
        <v/>
      </c>
      <c r="C251" s="414"/>
      <c r="D251" s="414"/>
      <c r="E251" s="414"/>
      <c r="F251" s="415"/>
      <c r="G251" s="413" t="str">
        <f>IF(Calcu_ADJ!B9=TRUE,Calcu_ADJ!E9*$H$245,"")</f>
        <v/>
      </c>
      <c r="H251" s="414"/>
      <c r="I251" s="414"/>
      <c r="J251" s="414"/>
      <c r="K251" s="415"/>
      <c r="L251" s="413" t="str">
        <f>IF(Calcu_ADJ!B9=TRUE,Calcu_ADJ!F9*H$245,"")</f>
        <v/>
      </c>
      <c r="M251" s="414"/>
      <c r="N251" s="414"/>
      <c r="O251" s="414"/>
      <c r="P251" s="415"/>
      <c r="Q251" s="413" t="str">
        <f>IF(Calcu_ADJ!B9=TRUE,Calcu_ADJ!G9*H$245,"")</f>
        <v/>
      </c>
      <c r="R251" s="414"/>
      <c r="S251" s="414"/>
      <c r="T251" s="414"/>
      <c r="U251" s="415"/>
      <c r="V251" s="413" t="str">
        <f>IF(Calcu_ADJ!B9=TRUE,Calcu_ADJ!H9*H$245,"")</f>
        <v/>
      </c>
      <c r="W251" s="414"/>
      <c r="X251" s="414"/>
      <c r="Y251" s="414"/>
      <c r="Z251" s="415"/>
      <c r="AA251" s="413" t="str">
        <f>IF(Calcu_ADJ!B9=TRUE,Calcu_ADJ!I9*H$245,"")</f>
        <v/>
      </c>
      <c r="AB251" s="414"/>
      <c r="AC251" s="414"/>
      <c r="AD251" s="414"/>
      <c r="AE251" s="415"/>
      <c r="AF251" s="413" t="str">
        <f>Calcu_ADJ!M9</f>
        <v/>
      </c>
      <c r="AG251" s="414"/>
      <c r="AH251" s="414"/>
      <c r="AI251" s="414"/>
      <c r="AJ251" s="415"/>
      <c r="AK251" s="413" t="str">
        <f>Calcu_ADJ!K9</f>
        <v/>
      </c>
      <c r="AL251" s="414"/>
      <c r="AM251" s="414"/>
      <c r="AN251" s="414"/>
      <c r="AO251" s="415"/>
    </row>
    <row r="252" spans="1:44" ht="18.75" customHeight="1">
      <c r="A252" s="58"/>
      <c r="B252" s="413" t="str">
        <f>Calcu_ADJ!T10</f>
        <v/>
      </c>
      <c r="C252" s="414"/>
      <c r="D252" s="414"/>
      <c r="E252" s="414"/>
      <c r="F252" s="415"/>
      <c r="G252" s="413" t="str">
        <f>IF(Calcu_ADJ!B10=TRUE,Calcu_ADJ!E10*$H$245,"")</f>
        <v/>
      </c>
      <c r="H252" s="414"/>
      <c r="I252" s="414"/>
      <c r="J252" s="414"/>
      <c r="K252" s="415"/>
      <c r="L252" s="413" t="str">
        <f>IF(Calcu_ADJ!B10=TRUE,Calcu_ADJ!F10*H$245,"")</f>
        <v/>
      </c>
      <c r="M252" s="414"/>
      <c r="N252" s="414"/>
      <c r="O252" s="414"/>
      <c r="P252" s="415"/>
      <c r="Q252" s="413" t="str">
        <f>IF(Calcu_ADJ!B10=TRUE,Calcu_ADJ!G10*H$245,"")</f>
        <v/>
      </c>
      <c r="R252" s="414"/>
      <c r="S252" s="414"/>
      <c r="T252" s="414"/>
      <c r="U252" s="415"/>
      <c r="V252" s="413" t="str">
        <f>IF(Calcu_ADJ!B10=TRUE,Calcu_ADJ!H10*H$245,"")</f>
        <v/>
      </c>
      <c r="W252" s="414"/>
      <c r="X252" s="414"/>
      <c r="Y252" s="414"/>
      <c r="Z252" s="415"/>
      <c r="AA252" s="413" t="str">
        <f>IF(Calcu_ADJ!B10=TRUE,Calcu_ADJ!I10*H$245,"")</f>
        <v/>
      </c>
      <c r="AB252" s="414"/>
      <c r="AC252" s="414"/>
      <c r="AD252" s="414"/>
      <c r="AE252" s="415"/>
      <c r="AF252" s="413" t="str">
        <f>Calcu_ADJ!M10</f>
        <v/>
      </c>
      <c r="AG252" s="414"/>
      <c r="AH252" s="414"/>
      <c r="AI252" s="414"/>
      <c r="AJ252" s="415"/>
      <c r="AK252" s="413" t="str">
        <f>Calcu_ADJ!K10</f>
        <v/>
      </c>
      <c r="AL252" s="414"/>
      <c r="AM252" s="414"/>
      <c r="AN252" s="414"/>
      <c r="AO252" s="415"/>
    </row>
    <row r="253" spans="1:44" ht="18.75" customHeight="1">
      <c r="A253" s="58"/>
      <c r="B253" s="413" t="str">
        <f>Calcu_ADJ!T11</f>
        <v/>
      </c>
      <c r="C253" s="414"/>
      <c r="D253" s="414"/>
      <c r="E253" s="414"/>
      <c r="F253" s="415"/>
      <c r="G253" s="413" t="str">
        <f>IF(Calcu_ADJ!B11=TRUE,Calcu_ADJ!E11*$H$245,"")</f>
        <v/>
      </c>
      <c r="H253" s="414"/>
      <c r="I253" s="414"/>
      <c r="J253" s="414"/>
      <c r="K253" s="415"/>
      <c r="L253" s="413" t="str">
        <f>IF(Calcu_ADJ!B11=TRUE,Calcu_ADJ!F11*H$245,"")</f>
        <v/>
      </c>
      <c r="M253" s="414"/>
      <c r="N253" s="414"/>
      <c r="O253" s="414"/>
      <c r="P253" s="415"/>
      <c r="Q253" s="413" t="str">
        <f>IF(Calcu_ADJ!B11=TRUE,Calcu_ADJ!G11*H$245,"")</f>
        <v/>
      </c>
      <c r="R253" s="414"/>
      <c r="S253" s="414"/>
      <c r="T253" s="414"/>
      <c r="U253" s="415"/>
      <c r="V253" s="413" t="str">
        <f>IF(Calcu_ADJ!B11=TRUE,Calcu_ADJ!H11*H$245,"")</f>
        <v/>
      </c>
      <c r="W253" s="414"/>
      <c r="X253" s="414"/>
      <c r="Y253" s="414"/>
      <c r="Z253" s="415"/>
      <c r="AA253" s="413" t="str">
        <f>IF(Calcu_ADJ!B11=TRUE,Calcu_ADJ!I11*H$245,"")</f>
        <v/>
      </c>
      <c r="AB253" s="414"/>
      <c r="AC253" s="414"/>
      <c r="AD253" s="414"/>
      <c r="AE253" s="415"/>
      <c r="AF253" s="413" t="str">
        <f>Calcu_ADJ!M11</f>
        <v/>
      </c>
      <c r="AG253" s="414"/>
      <c r="AH253" s="414"/>
      <c r="AI253" s="414"/>
      <c r="AJ253" s="415"/>
      <c r="AK253" s="413" t="str">
        <f>Calcu_ADJ!K11</f>
        <v/>
      </c>
      <c r="AL253" s="414"/>
      <c r="AM253" s="414"/>
      <c r="AN253" s="414"/>
      <c r="AO253" s="415"/>
    </row>
    <row r="254" spans="1:44" ht="18.75" customHeight="1">
      <c r="A254" s="58"/>
      <c r="B254" s="413" t="str">
        <f>Calcu_ADJ!T12</f>
        <v/>
      </c>
      <c r="C254" s="414"/>
      <c r="D254" s="414"/>
      <c r="E254" s="414"/>
      <c r="F254" s="415"/>
      <c r="G254" s="413" t="str">
        <f>IF(Calcu_ADJ!B12=TRUE,Calcu_ADJ!E12*$H$245,"")</f>
        <v/>
      </c>
      <c r="H254" s="414"/>
      <c r="I254" s="414"/>
      <c r="J254" s="414"/>
      <c r="K254" s="415"/>
      <c r="L254" s="413" t="str">
        <f>IF(Calcu_ADJ!B12=TRUE,Calcu_ADJ!F12*H$245,"")</f>
        <v/>
      </c>
      <c r="M254" s="414"/>
      <c r="N254" s="414"/>
      <c r="O254" s="414"/>
      <c r="P254" s="415"/>
      <c r="Q254" s="413" t="str">
        <f>IF(Calcu_ADJ!B12=TRUE,Calcu_ADJ!G12*H$245,"")</f>
        <v/>
      </c>
      <c r="R254" s="414"/>
      <c r="S254" s="414"/>
      <c r="T254" s="414"/>
      <c r="U254" s="415"/>
      <c r="V254" s="413" t="str">
        <f>IF(Calcu_ADJ!B12=TRUE,Calcu_ADJ!H12*H$245,"")</f>
        <v/>
      </c>
      <c r="W254" s="414"/>
      <c r="X254" s="414"/>
      <c r="Y254" s="414"/>
      <c r="Z254" s="415"/>
      <c r="AA254" s="413" t="str">
        <f>IF(Calcu_ADJ!B12=TRUE,Calcu_ADJ!I12*H$245,"")</f>
        <v/>
      </c>
      <c r="AB254" s="414"/>
      <c r="AC254" s="414"/>
      <c r="AD254" s="414"/>
      <c r="AE254" s="415"/>
      <c r="AF254" s="413" t="str">
        <f>Calcu_ADJ!M12</f>
        <v/>
      </c>
      <c r="AG254" s="414"/>
      <c r="AH254" s="414"/>
      <c r="AI254" s="414"/>
      <c r="AJ254" s="415"/>
      <c r="AK254" s="413" t="str">
        <f>Calcu_ADJ!K12</f>
        <v/>
      </c>
      <c r="AL254" s="414"/>
      <c r="AM254" s="414"/>
      <c r="AN254" s="414"/>
      <c r="AO254" s="415"/>
    </row>
    <row r="255" spans="1:44" ht="18.75" customHeight="1">
      <c r="A255" s="58"/>
      <c r="B255" s="413" t="str">
        <f>Calcu_ADJ!T13</f>
        <v/>
      </c>
      <c r="C255" s="414"/>
      <c r="D255" s="414"/>
      <c r="E255" s="414"/>
      <c r="F255" s="415"/>
      <c r="G255" s="413" t="str">
        <f>IF(Calcu_ADJ!B13=TRUE,Calcu_ADJ!E13*$H$245,"")</f>
        <v/>
      </c>
      <c r="H255" s="414"/>
      <c r="I255" s="414"/>
      <c r="J255" s="414"/>
      <c r="K255" s="415"/>
      <c r="L255" s="413" t="str">
        <f>IF(Calcu_ADJ!B13=TRUE,Calcu_ADJ!F13*H$245,"")</f>
        <v/>
      </c>
      <c r="M255" s="414"/>
      <c r="N255" s="414"/>
      <c r="O255" s="414"/>
      <c r="P255" s="415"/>
      <c r="Q255" s="413" t="str">
        <f>IF(Calcu_ADJ!B13=TRUE,Calcu_ADJ!G13*H$245,"")</f>
        <v/>
      </c>
      <c r="R255" s="414"/>
      <c r="S255" s="414"/>
      <c r="T255" s="414"/>
      <c r="U255" s="415"/>
      <c r="V255" s="413" t="str">
        <f>IF(Calcu_ADJ!B13=TRUE,Calcu_ADJ!H13*H$245,"")</f>
        <v/>
      </c>
      <c r="W255" s="414"/>
      <c r="X255" s="414"/>
      <c r="Y255" s="414"/>
      <c r="Z255" s="415"/>
      <c r="AA255" s="413" t="str">
        <f>IF(Calcu_ADJ!B13=TRUE,Calcu_ADJ!I13*H$245,"")</f>
        <v/>
      </c>
      <c r="AB255" s="414"/>
      <c r="AC255" s="414"/>
      <c r="AD255" s="414"/>
      <c r="AE255" s="415"/>
      <c r="AF255" s="413" t="str">
        <f>Calcu_ADJ!M13</f>
        <v/>
      </c>
      <c r="AG255" s="414"/>
      <c r="AH255" s="414"/>
      <c r="AI255" s="414"/>
      <c r="AJ255" s="415"/>
      <c r="AK255" s="413" t="str">
        <f>Calcu_ADJ!K13</f>
        <v/>
      </c>
      <c r="AL255" s="414"/>
      <c r="AM255" s="414"/>
      <c r="AN255" s="414"/>
      <c r="AO255" s="415"/>
    </row>
    <row r="256" spans="1:44" ht="18.75" customHeight="1">
      <c r="A256" s="58"/>
      <c r="B256" s="413" t="str">
        <f>Calcu_ADJ!T14</f>
        <v/>
      </c>
      <c r="C256" s="414"/>
      <c r="D256" s="414"/>
      <c r="E256" s="414"/>
      <c r="F256" s="415"/>
      <c r="G256" s="413" t="str">
        <f>IF(Calcu_ADJ!B14=TRUE,Calcu_ADJ!E14*$H$245,"")</f>
        <v/>
      </c>
      <c r="H256" s="414"/>
      <c r="I256" s="414"/>
      <c r="J256" s="414"/>
      <c r="K256" s="415"/>
      <c r="L256" s="413" t="str">
        <f>IF(Calcu_ADJ!B14=TRUE,Calcu_ADJ!F14*H$245,"")</f>
        <v/>
      </c>
      <c r="M256" s="414"/>
      <c r="N256" s="414"/>
      <c r="O256" s="414"/>
      <c r="P256" s="415"/>
      <c r="Q256" s="413" t="str">
        <f>IF(Calcu_ADJ!B14=TRUE,Calcu_ADJ!G14*H$245,"")</f>
        <v/>
      </c>
      <c r="R256" s="414"/>
      <c r="S256" s="414"/>
      <c r="T256" s="414"/>
      <c r="U256" s="415"/>
      <c r="V256" s="413" t="str">
        <f>IF(Calcu_ADJ!B14=TRUE,Calcu_ADJ!H14*H$245,"")</f>
        <v/>
      </c>
      <c r="W256" s="414"/>
      <c r="X256" s="414"/>
      <c r="Y256" s="414"/>
      <c r="Z256" s="415"/>
      <c r="AA256" s="413" t="str">
        <f>IF(Calcu_ADJ!B14=TRUE,Calcu_ADJ!I14*H$245,"")</f>
        <v/>
      </c>
      <c r="AB256" s="414"/>
      <c r="AC256" s="414"/>
      <c r="AD256" s="414"/>
      <c r="AE256" s="415"/>
      <c r="AF256" s="413" t="str">
        <f>Calcu_ADJ!M14</f>
        <v/>
      </c>
      <c r="AG256" s="414"/>
      <c r="AH256" s="414"/>
      <c r="AI256" s="414"/>
      <c r="AJ256" s="415"/>
      <c r="AK256" s="413" t="str">
        <f>Calcu_ADJ!K14</f>
        <v/>
      </c>
      <c r="AL256" s="414"/>
      <c r="AM256" s="414"/>
      <c r="AN256" s="414"/>
      <c r="AO256" s="415"/>
    </row>
    <row r="257" spans="1:41" ht="18.75" customHeight="1">
      <c r="A257" s="58"/>
      <c r="B257" s="413" t="str">
        <f>Calcu_ADJ!T15</f>
        <v/>
      </c>
      <c r="C257" s="414"/>
      <c r="D257" s="414"/>
      <c r="E257" s="414"/>
      <c r="F257" s="415"/>
      <c r="G257" s="413" t="str">
        <f>IF(Calcu_ADJ!B15=TRUE,Calcu_ADJ!E15*$H$245,"")</f>
        <v/>
      </c>
      <c r="H257" s="414"/>
      <c r="I257" s="414"/>
      <c r="J257" s="414"/>
      <c r="K257" s="415"/>
      <c r="L257" s="413" t="str">
        <f>IF(Calcu_ADJ!B15=TRUE,Calcu_ADJ!F15*H$245,"")</f>
        <v/>
      </c>
      <c r="M257" s="414"/>
      <c r="N257" s="414"/>
      <c r="O257" s="414"/>
      <c r="P257" s="415"/>
      <c r="Q257" s="413" t="str">
        <f>IF(Calcu_ADJ!B15=TRUE,Calcu_ADJ!G15*H$245,"")</f>
        <v/>
      </c>
      <c r="R257" s="414"/>
      <c r="S257" s="414"/>
      <c r="T257" s="414"/>
      <c r="U257" s="415"/>
      <c r="V257" s="413" t="str">
        <f>IF(Calcu_ADJ!B15=TRUE,Calcu_ADJ!H15*H$245,"")</f>
        <v/>
      </c>
      <c r="W257" s="414"/>
      <c r="X257" s="414"/>
      <c r="Y257" s="414"/>
      <c r="Z257" s="415"/>
      <c r="AA257" s="413" t="str">
        <f>IF(Calcu_ADJ!B15=TRUE,Calcu_ADJ!I15*H$245,"")</f>
        <v/>
      </c>
      <c r="AB257" s="414"/>
      <c r="AC257" s="414"/>
      <c r="AD257" s="414"/>
      <c r="AE257" s="415"/>
      <c r="AF257" s="413" t="str">
        <f>Calcu_ADJ!M15</f>
        <v/>
      </c>
      <c r="AG257" s="414"/>
      <c r="AH257" s="414"/>
      <c r="AI257" s="414"/>
      <c r="AJ257" s="415"/>
      <c r="AK257" s="413" t="str">
        <f>Calcu_ADJ!K15</f>
        <v/>
      </c>
      <c r="AL257" s="414"/>
      <c r="AM257" s="414"/>
      <c r="AN257" s="414"/>
      <c r="AO257" s="415"/>
    </row>
    <row r="258" spans="1:41" ht="18.75" customHeight="1">
      <c r="A258" s="58"/>
      <c r="B258" s="413" t="str">
        <f>Calcu_ADJ!T16</f>
        <v/>
      </c>
      <c r="C258" s="414"/>
      <c r="D258" s="414"/>
      <c r="E258" s="414"/>
      <c r="F258" s="415"/>
      <c r="G258" s="413" t="str">
        <f>IF(Calcu_ADJ!B16=TRUE,Calcu_ADJ!E16*$H$245,"")</f>
        <v/>
      </c>
      <c r="H258" s="414"/>
      <c r="I258" s="414"/>
      <c r="J258" s="414"/>
      <c r="K258" s="415"/>
      <c r="L258" s="413" t="str">
        <f>IF(Calcu_ADJ!B16=TRUE,Calcu_ADJ!F16*H$245,"")</f>
        <v/>
      </c>
      <c r="M258" s="414"/>
      <c r="N258" s="414"/>
      <c r="O258" s="414"/>
      <c r="P258" s="415"/>
      <c r="Q258" s="413" t="str">
        <f>IF(Calcu_ADJ!B16=TRUE,Calcu_ADJ!G16*H$245,"")</f>
        <v/>
      </c>
      <c r="R258" s="414"/>
      <c r="S258" s="414"/>
      <c r="T258" s="414"/>
      <c r="U258" s="415"/>
      <c r="V258" s="413" t="str">
        <f>IF(Calcu_ADJ!B16=TRUE,Calcu_ADJ!H16*H$245,"")</f>
        <v/>
      </c>
      <c r="W258" s="414"/>
      <c r="X258" s="414"/>
      <c r="Y258" s="414"/>
      <c r="Z258" s="415"/>
      <c r="AA258" s="413" t="str">
        <f>IF(Calcu_ADJ!B16=TRUE,Calcu_ADJ!I16*H$245,"")</f>
        <v/>
      </c>
      <c r="AB258" s="414"/>
      <c r="AC258" s="414"/>
      <c r="AD258" s="414"/>
      <c r="AE258" s="415"/>
      <c r="AF258" s="413" t="str">
        <f>Calcu_ADJ!M16</f>
        <v/>
      </c>
      <c r="AG258" s="414"/>
      <c r="AH258" s="414"/>
      <c r="AI258" s="414"/>
      <c r="AJ258" s="415"/>
      <c r="AK258" s="413" t="str">
        <f>Calcu_ADJ!K16</f>
        <v/>
      </c>
      <c r="AL258" s="414"/>
      <c r="AM258" s="414"/>
      <c r="AN258" s="414"/>
      <c r="AO258" s="415"/>
    </row>
    <row r="259" spans="1:41" ht="18.75" customHeight="1">
      <c r="A259" s="58"/>
      <c r="B259" s="413" t="str">
        <f>Calcu_ADJ!T17</f>
        <v/>
      </c>
      <c r="C259" s="414"/>
      <c r="D259" s="414"/>
      <c r="E259" s="414"/>
      <c r="F259" s="415"/>
      <c r="G259" s="413" t="str">
        <f>IF(Calcu_ADJ!B17=TRUE,Calcu_ADJ!E17*$H$245,"")</f>
        <v/>
      </c>
      <c r="H259" s="414"/>
      <c r="I259" s="414"/>
      <c r="J259" s="414"/>
      <c r="K259" s="415"/>
      <c r="L259" s="413" t="str">
        <f>IF(Calcu_ADJ!B17=TRUE,Calcu_ADJ!F17*H$245,"")</f>
        <v/>
      </c>
      <c r="M259" s="414"/>
      <c r="N259" s="414"/>
      <c r="O259" s="414"/>
      <c r="P259" s="415"/>
      <c r="Q259" s="413" t="str">
        <f>IF(Calcu_ADJ!B17=TRUE,Calcu_ADJ!G17*H$245,"")</f>
        <v/>
      </c>
      <c r="R259" s="414"/>
      <c r="S259" s="414"/>
      <c r="T259" s="414"/>
      <c r="U259" s="415"/>
      <c r="V259" s="413" t="str">
        <f>IF(Calcu_ADJ!B17=TRUE,Calcu_ADJ!H17*H$245,"")</f>
        <v/>
      </c>
      <c r="W259" s="414"/>
      <c r="X259" s="414"/>
      <c r="Y259" s="414"/>
      <c r="Z259" s="415"/>
      <c r="AA259" s="413" t="str">
        <f>IF(Calcu_ADJ!B17=TRUE,Calcu_ADJ!I17*H$245,"")</f>
        <v/>
      </c>
      <c r="AB259" s="414"/>
      <c r="AC259" s="414"/>
      <c r="AD259" s="414"/>
      <c r="AE259" s="415"/>
      <c r="AF259" s="413" t="str">
        <f>Calcu_ADJ!M17</f>
        <v/>
      </c>
      <c r="AG259" s="414"/>
      <c r="AH259" s="414"/>
      <c r="AI259" s="414"/>
      <c r="AJ259" s="415"/>
      <c r="AK259" s="413" t="str">
        <f>Calcu_ADJ!K17</f>
        <v/>
      </c>
      <c r="AL259" s="414"/>
      <c r="AM259" s="414"/>
      <c r="AN259" s="414"/>
      <c r="AO259" s="415"/>
    </row>
    <row r="260" spans="1:41" ht="18.75" customHeight="1">
      <c r="A260" s="58"/>
      <c r="B260" s="413" t="str">
        <f>Calcu_ADJ!T18</f>
        <v/>
      </c>
      <c r="C260" s="414"/>
      <c r="D260" s="414"/>
      <c r="E260" s="414"/>
      <c r="F260" s="415"/>
      <c r="G260" s="413" t="str">
        <f>IF(Calcu_ADJ!B18=TRUE,Calcu_ADJ!E18*$H$245,"")</f>
        <v/>
      </c>
      <c r="H260" s="414"/>
      <c r="I260" s="414"/>
      <c r="J260" s="414"/>
      <c r="K260" s="415"/>
      <c r="L260" s="413" t="str">
        <f>IF(Calcu_ADJ!B18=TRUE,Calcu_ADJ!F18*H$245,"")</f>
        <v/>
      </c>
      <c r="M260" s="414"/>
      <c r="N260" s="414"/>
      <c r="O260" s="414"/>
      <c r="P260" s="415"/>
      <c r="Q260" s="413" t="str">
        <f>IF(Calcu_ADJ!B18=TRUE,Calcu_ADJ!G18*H$245,"")</f>
        <v/>
      </c>
      <c r="R260" s="414"/>
      <c r="S260" s="414"/>
      <c r="T260" s="414"/>
      <c r="U260" s="415"/>
      <c r="V260" s="413" t="str">
        <f>IF(Calcu_ADJ!B18=TRUE,Calcu_ADJ!H18*H$245,"")</f>
        <v/>
      </c>
      <c r="W260" s="414"/>
      <c r="X260" s="414"/>
      <c r="Y260" s="414"/>
      <c r="Z260" s="415"/>
      <c r="AA260" s="413" t="str">
        <f>IF(Calcu_ADJ!B18=TRUE,Calcu_ADJ!I18*H$245,"")</f>
        <v/>
      </c>
      <c r="AB260" s="414"/>
      <c r="AC260" s="414"/>
      <c r="AD260" s="414"/>
      <c r="AE260" s="415"/>
      <c r="AF260" s="413" t="str">
        <f>Calcu_ADJ!M18</f>
        <v/>
      </c>
      <c r="AG260" s="414"/>
      <c r="AH260" s="414"/>
      <c r="AI260" s="414"/>
      <c r="AJ260" s="415"/>
      <c r="AK260" s="413" t="str">
        <f>Calcu_ADJ!K18</f>
        <v/>
      </c>
      <c r="AL260" s="414"/>
      <c r="AM260" s="414"/>
      <c r="AN260" s="414"/>
      <c r="AO260" s="415"/>
    </row>
    <row r="261" spans="1:41" ht="18.75" customHeight="1">
      <c r="A261" s="58"/>
      <c r="B261" s="413" t="str">
        <f>Calcu_ADJ!T19</f>
        <v/>
      </c>
      <c r="C261" s="414"/>
      <c r="D261" s="414"/>
      <c r="E261" s="414"/>
      <c r="F261" s="415"/>
      <c r="G261" s="413" t="str">
        <f>IF(Calcu_ADJ!B19=TRUE,Calcu_ADJ!E19*$H$245,"")</f>
        <v/>
      </c>
      <c r="H261" s="414"/>
      <c r="I261" s="414"/>
      <c r="J261" s="414"/>
      <c r="K261" s="415"/>
      <c r="L261" s="413" t="str">
        <f>IF(Calcu_ADJ!B19=TRUE,Calcu_ADJ!F19*H$245,"")</f>
        <v/>
      </c>
      <c r="M261" s="414"/>
      <c r="N261" s="414"/>
      <c r="O261" s="414"/>
      <c r="P261" s="415"/>
      <c r="Q261" s="413" t="str">
        <f>IF(Calcu_ADJ!B19=TRUE,Calcu_ADJ!G19*H$245,"")</f>
        <v/>
      </c>
      <c r="R261" s="414"/>
      <c r="S261" s="414"/>
      <c r="T261" s="414"/>
      <c r="U261" s="415"/>
      <c r="V261" s="413" t="str">
        <f>IF(Calcu_ADJ!B19=TRUE,Calcu_ADJ!H19*H$245,"")</f>
        <v/>
      </c>
      <c r="W261" s="414"/>
      <c r="X261" s="414"/>
      <c r="Y261" s="414"/>
      <c r="Z261" s="415"/>
      <c r="AA261" s="413" t="str">
        <f>IF(Calcu_ADJ!B19=TRUE,Calcu_ADJ!I19*H$245,"")</f>
        <v/>
      </c>
      <c r="AB261" s="414"/>
      <c r="AC261" s="414"/>
      <c r="AD261" s="414"/>
      <c r="AE261" s="415"/>
      <c r="AF261" s="413" t="str">
        <f>Calcu_ADJ!M19</f>
        <v/>
      </c>
      <c r="AG261" s="414"/>
      <c r="AH261" s="414"/>
      <c r="AI261" s="414"/>
      <c r="AJ261" s="415"/>
      <c r="AK261" s="413" t="str">
        <f>Calcu_ADJ!K19</f>
        <v/>
      </c>
      <c r="AL261" s="414"/>
      <c r="AM261" s="414"/>
      <c r="AN261" s="414"/>
      <c r="AO261" s="415"/>
    </row>
    <row r="262" spans="1:41" ht="18.75" customHeight="1">
      <c r="A262" s="58"/>
      <c r="B262" s="413" t="str">
        <f>Calcu_ADJ!T20</f>
        <v/>
      </c>
      <c r="C262" s="414"/>
      <c r="D262" s="414"/>
      <c r="E262" s="414"/>
      <c r="F262" s="415"/>
      <c r="G262" s="413" t="str">
        <f>IF(Calcu_ADJ!B20=TRUE,Calcu_ADJ!E20*$H$245,"")</f>
        <v/>
      </c>
      <c r="H262" s="414"/>
      <c r="I262" s="414"/>
      <c r="J262" s="414"/>
      <c r="K262" s="415"/>
      <c r="L262" s="413" t="str">
        <f>IF(Calcu_ADJ!B20=TRUE,Calcu_ADJ!F20*H$245,"")</f>
        <v/>
      </c>
      <c r="M262" s="414"/>
      <c r="N262" s="414"/>
      <c r="O262" s="414"/>
      <c r="P262" s="415"/>
      <c r="Q262" s="413" t="str">
        <f>IF(Calcu_ADJ!B20=TRUE,Calcu_ADJ!G20*H$245,"")</f>
        <v/>
      </c>
      <c r="R262" s="414"/>
      <c r="S262" s="414"/>
      <c r="T262" s="414"/>
      <c r="U262" s="415"/>
      <c r="V262" s="413" t="str">
        <f>IF(Calcu_ADJ!B20=TRUE,Calcu_ADJ!H20*H$245,"")</f>
        <v/>
      </c>
      <c r="W262" s="414"/>
      <c r="X262" s="414"/>
      <c r="Y262" s="414"/>
      <c r="Z262" s="415"/>
      <c r="AA262" s="413" t="str">
        <f>IF(Calcu_ADJ!B20=TRUE,Calcu_ADJ!I20*H$245,"")</f>
        <v/>
      </c>
      <c r="AB262" s="414"/>
      <c r="AC262" s="414"/>
      <c r="AD262" s="414"/>
      <c r="AE262" s="415"/>
      <c r="AF262" s="413" t="str">
        <f>Calcu_ADJ!M20</f>
        <v/>
      </c>
      <c r="AG262" s="414"/>
      <c r="AH262" s="414"/>
      <c r="AI262" s="414"/>
      <c r="AJ262" s="415"/>
      <c r="AK262" s="413" t="str">
        <f>Calcu_ADJ!K20</f>
        <v/>
      </c>
      <c r="AL262" s="414"/>
      <c r="AM262" s="414"/>
      <c r="AN262" s="414"/>
      <c r="AO262" s="415"/>
    </row>
    <row r="263" spans="1:41" ht="18.75" customHeight="1">
      <c r="A263" s="58"/>
      <c r="B263" s="413" t="str">
        <f>Calcu_ADJ!T21</f>
        <v/>
      </c>
      <c r="C263" s="414"/>
      <c r="D263" s="414"/>
      <c r="E263" s="414"/>
      <c r="F263" s="415"/>
      <c r="G263" s="413" t="str">
        <f>IF(Calcu_ADJ!B21=TRUE,Calcu_ADJ!E21*$H$245,"")</f>
        <v/>
      </c>
      <c r="H263" s="414"/>
      <c r="I263" s="414"/>
      <c r="J263" s="414"/>
      <c r="K263" s="415"/>
      <c r="L263" s="413" t="str">
        <f>IF(Calcu_ADJ!B21=TRUE,Calcu_ADJ!F21*H$245,"")</f>
        <v/>
      </c>
      <c r="M263" s="414"/>
      <c r="N263" s="414"/>
      <c r="O263" s="414"/>
      <c r="P263" s="415"/>
      <c r="Q263" s="413" t="str">
        <f>IF(Calcu_ADJ!B21=TRUE,Calcu_ADJ!G21*H$245,"")</f>
        <v/>
      </c>
      <c r="R263" s="414"/>
      <c r="S263" s="414"/>
      <c r="T263" s="414"/>
      <c r="U263" s="415"/>
      <c r="V263" s="413" t="str">
        <f>IF(Calcu_ADJ!B21=TRUE,Calcu_ADJ!H21*H$245,"")</f>
        <v/>
      </c>
      <c r="W263" s="414"/>
      <c r="X263" s="414"/>
      <c r="Y263" s="414"/>
      <c r="Z263" s="415"/>
      <c r="AA263" s="413" t="str">
        <f>IF(Calcu_ADJ!B21=TRUE,Calcu_ADJ!I21*H$245,"")</f>
        <v/>
      </c>
      <c r="AB263" s="414"/>
      <c r="AC263" s="414"/>
      <c r="AD263" s="414"/>
      <c r="AE263" s="415"/>
      <c r="AF263" s="413" t="str">
        <f>Calcu_ADJ!M21</f>
        <v/>
      </c>
      <c r="AG263" s="414"/>
      <c r="AH263" s="414"/>
      <c r="AI263" s="414"/>
      <c r="AJ263" s="415"/>
      <c r="AK263" s="413" t="str">
        <f>Calcu_ADJ!K21</f>
        <v/>
      </c>
      <c r="AL263" s="414"/>
      <c r="AM263" s="414"/>
      <c r="AN263" s="414"/>
      <c r="AO263" s="415"/>
    </row>
    <row r="264" spans="1:41" ht="18.75" customHeight="1">
      <c r="A264" s="58"/>
      <c r="B264" s="413" t="str">
        <f>Calcu_ADJ!T22</f>
        <v/>
      </c>
      <c r="C264" s="414"/>
      <c r="D264" s="414"/>
      <c r="E264" s="414"/>
      <c r="F264" s="415"/>
      <c r="G264" s="413" t="str">
        <f>IF(Calcu_ADJ!B22=TRUE,Calcu_ADJ!E22*$H$245,"")</f>
        <v/>
      </c>
      <c r="H264" s="414"/>
      <c r="I264" s="414"/>
      <c r="J264" s="414"/>
      <c r="K264" s="415"/>
      <c r="L264" s="413" t="str">
        <f>IF(Calcu_ADJ!B22=TRUE,Calcu_ADJ!F22*H$245,"")</f>
        <v/>
      </c>
      <c r="M264" s="414"/>
      <c r="N264" s="414"/>
      <c r="O264" s="414"/>
      <c r="P264" s="415"/>
      <c r="Q264" s="413" t="str">
        <f>IF(Calcu_ADJ!B22=TRUE,Calcu_ADJ!G22*H$245,"")</f>
        <v/>
      </c>
      <c r="R264" s="414"/>
      <c r="S264" s="414"/>
      <c r="T264" s="414"/>
      <c r="U264" s="415"/>
      <c r="V264" s="413" t="str">
        <f>IF(Calcu_ADJ!B22=TRUE,Calcu_ADJ!H22*H$245,"")</f>
        <v/>
      </c>
      <c r="W264" s="414"/>
      <c r="X264" s="414"/>
      <c r="Y264" s="414"/>
      <c r="Z264" s="415"/>
      <c r="AA264" s="413" t="str">
        <f>IF(Calcu_ADJ!B22=TRUE,Calcu_ADJ!I22*H$245,"")</f>
        <v/>
      </c>
      <c r="AB264" s="414"/>
      <c r="AC264" s="414"/>
      <c r="AD264" s="414"/>
      <c r="AE264" s="415"/>
      <c r="AF264" s="413" t="str">
        <f>Calcu_ADJ!M22</f>
        <v/>
      </c>
      <c r="AG264" s="414"/>
      <c r="AH264" s="414"/>
      <c r="AI264" s="414"/>
      <c r="AJ264" s="415"/>
      <c r="AK264" s="413" t="str">
        <f>Calcu_ADJ!K22</f>
        <v/>
      </c>
      <c r="AL264" s="414"/>
      <c r="AM264" s="414"/>
      <c r="AN264" s="414"/>
      <c r="AO264" s="415"/>
    </row>
    <row r="265" spans="1:41" ht="18.75" customHeight="1">
      <c r="A265" s="58"/>
      <c r="B265" s="413" t="str">
        <f>Calcu_ADJ!T23</f>
        <v/>
      </c>
      <c r="C265" s="414"/>
      <c r="D265" s="414"/>
      <c r="E265" s="414"/>
      <c r="F265" s="415"/>
      <c r="G265" s="413" t="str">
        <f>IF(Calcu_ADJ!B23=TRUE,Calcu_ADJ!E23*$H$245,"")</f>
        <v/>
      </c>
      <c r="H265" s="414"/>
      <c r="I265" s="414"/>
      <c r="J265" s="414"/>
      <c r="K265" s="415"/>
      <c r="L265" s="413" t="str">
        <f>IF(Calcu_ADJ!B23=TRUE,Calcu_ADJ!F23*H$245,"")</f>
        <v/>
      </c>
      <c r="M265" s="414"/>
      <c r="N265" s="414"/>
      <c r="O265" s="414"/>
      <c r="P265" s="415"/>
      <c r="Q265" s="413" t="str">
        <f>IF(Calcu_ADJ!B23=TRUE,Calcu_ADJ!G23*H$245,"")</f>
        <v/>
      </c>
      <c r="R265" s="414"/>
      <c r="S265" s="414"/>
      <c r="T265" s="414"/>
      <c r="U265" s="415"/>
      <c r="V265" s="413" t="str">
        <f>IF(Calcu_ADJ!B23=TRUE,Calcu_ADJ!H23*H$245,"")</f>
        <v/>
      </c>
      <c r="W265" s="414"/>
      <c r="X265" s="414"/>
      <c r="Y265" s="414"/>
      <c r="Z265" s="415"/>
      <c r="AA265" s="413" t="str">
        <f>IF(Calcu_ADJ!B23=TRUE,Calcu_ADJ!I23*H$245,"")</f>
        <v/>
      </c>
      <c r="AB265" s="414"/>
      <c r="AC265" s="414"/>
      <c r="AD265" s="414"/>
      <c r="AE265" s="415"/>
      <c r="AF265" s="413" t="str">
        <f>Calcu_ADJ!M23</f>
        <v/>
      </c>
      <c r="AG265" s="414"/>
      <c r="AH265" s="414"/>
      <c r="AI265" s="414"/>
      <c r="AJ265" s="415"/>
      <c r="AK265" s="413" t="str">
        <f>Calcu_ADJ!K23</f>
        <v/>
      </c>
      <c r="AL265" s="414"/>
      <c r="AM265" s="414"/>
      <c r="AN265" s="414"/>
      <c r="AO265" s="415"/>
    </row>
    <row r="266" spans="1:41" ht="18.75" customHeight="1">
      <c r="A266" s="58"/>
      <c r="B266" s="413" t="str">
        <f>Calcu_ADJ!T24</f>
        <v/>
      </c>
      <c r="C266" s="414"/>
      <c r="D266" s="414"/>
      <c r="E266" s="414"/>
      <c r="F266" s="415"/>
      <c r="G266" s="413" t="str">
        <f>IF(Calcu_ADJ!B24=TRUE,Calcu_ADJ!E24*$H$245,"")</f>
        <v/>
      </c>
      <c r="H266" s="414"/>
      <c r="I266" s="414"/>
      <c r="J266" s="414"/>
      <c r="K266" s="415"/>
      <c r="L266" s="413" t="str">
        <f>IF(Calcu_ADJ!B24=TRUE,Calcu_ADJ!F24*H$245,"")</f>
        <v/>
      </c>
      <c r="M266" s="414"/>
      <c r="N266" s="414"/>
      <c r="O266" s="414"/>
      <c r="P266" s="415"/>
      <c r="Q266" s="413" t="str">
        <f>IF(Calcu_ADJ!B24=TRUE,Calcu_ADJ!G24*H$245,"")</f>
        <v/>
      </c>
      <c r="R266" s="414"/>
      <c r="S266" s="414"/>
      <c r="T266" s="414"/>
      <c r="U266" s="415"/>
      <c r="V266" s="413" t="str">
        <f>IF(Calcu_ADJ!B24=TRUE,Calcu_ADJ!H24*H$245,"")</f>
        <v/>
      </c>
      <c r="W266" s="414"/>
      <c r="X266" s="414"/>
      <c r="Y266" s="414"/>
      <c r="Z266" s="415"/>
      <c r="AA266" s="413" t="str">
        <f>IF(Calcu_ADJ!B24=TRUE,Calcu_ADJ!I24*H$245,"")</f>
        <v/>
      </c>
      <c r="AB266" s="414"/>
      <c r="AC266" s="414"/>
      <c r="AD266" s="414"/>
      <c r="AE266" s="415"/>
      <c r="AF266" s="413" t="str">
        <f>Calcu_ADJ!M24</f>
        <v/>
      </c>
      <c r="AG266" s="414"/>
      <c r="AH266" s="414"/>
      <c r="AI266" s="414"/>
      <c r="AJ266" s="415"/>
      <c r="AK266" s="413" t="str">
        <f>Calcu_ADJ!K24</f>
        <v/>
      </c>
      <c r="AL266" s="414"/>
      <c r="AM266" s="414"/>
      <c r="AN266" s="414"/>
      <c r="AO266" s="415"/>
    </row>
    <row r="267" spans="1:41" ht="18.75" customHeight="1">
      <c r="A267" s="58"/>
      <c r="B267" s="413" t="str">
        <f>Calcu_ADJ!T25</f>
        <v/>
      </c>
      <c r="C267" s="414"/>
      <c r="D267" s="414"/>
      <c r="E267" s="414"/>
      <c r="F267" s="415"/>
      <c r="G267" s="413" t="str">
        <f>IF(Calcu_ADJ!B25=TRUE,Calcu_ADJ!E25*$H$245,"")</f>
        <v/>
      </c>
      <c r="H267" s="414"/>
      <c r="I267" s="414"/>
      <c r="J267" s="414"/>
      <c r="K267" s="415"/>
      <c r="L267" s="413" t="str">
        <f>IF(Calcu_ADJ!B25=TRUE,Calcu_ADJ!F25*H$245,"")</f>
        <v/>
      </c>
      <c r="M267" s="414"/>
      <c r="N267" s="414"/>
      <c r="O267" s="414"/>
      <c r="P267" s="415"/>
      <c r="Q267" s="413" t="str">
        <f>IF(Calcu_ADJ!B25=TRUE,Calcu_ADJ!G25*H$245,"")</f>
        <v/>
      </c>
      <c r="R267" s="414"/>
      <c r="S267" s="414"/>
      <c r="T267" s="414"/>
      <c r="U267" s="415"/>
      <c r="V267" s="413" t="str">
        <f>IF(Calcu_ADJ!B25=TRUE,Calcu_ADJ!H25*H$245,"")</f>
        <v/>
      </c>
      <c r="W267" s="414"/>
      <c r="X267" s="414"/>
      <c r="Y267" s="414"/>
      <c r="Z267" s="415"/>
      <c r="AA267" s="413" t="str">
        <f>IF(Calcu_ADJ!B25=TRUE,Calcu_ADJ!I25*H$245,"")</f>
        <v/>
      </c>
      <c r="AB267" s="414"/>
      <c r="AC267" s="414"/>
      <c r="AD267" s="414"/>
      <c r="AE267" s="415"/>
      <c r="AF267" s="413" t="str">
        <f>Calcu_ADJ!M25</f>
        <v/>
      </c>
      <c r="AG267" s="414"/>
      <c r="AH267" s="414"/>
      <c r="AI267" s="414"/>
      <c r="AJ267" s="415"/>
      <c r="AK267" s="413" t="str">
        <f>Calcu_ADJ!K25</f>
        <v/>
      </c>
      <c r="AL267" s="414"/>
      <c r="AM267" s="414"/>
      <c r="AN267" s="414"/>
      <c r="AO267" s="415"/>
    </row>
    <row r="268" spans="1:41" ht="18.75" customHeight="1">
      <c r="A268" s="58"/>
      <c r="B268" s="413" t="str">
        <f>Calcu_ADJ!T26</f>
        <v/>
      </c>
      <c r="C268" s="414"/>
      <c r="D268" s="414"/>
      <c r="E268" s="414"/>
      <c r="F268" s="415"/>
      <c r="G268" s="413" t="str">
        <f>IF(Calcu_ADJ!B26=TRUE,Calcu_ADJ!E26*$H$245,"")</f>
        <v/>
      </c>
      <c r="H268" s="414"/>
      <c r="I268" s="414"/>
      <c r="J268" s="414"/>
      <c r="K268" s="415"/>
      <c r="L268" s="413" t="str">
        <f>IF(Calcu_ADJ!B26=TRUE,Calcu_ADJ!F26*H$245,"")</f>
        <v/>
      </c>
      <c r="M268" s="414"/>
      <c r="N268" s="414"/>
      <c r="O268" s="414"/>
      <c r="P268" s="415"/>
      <c r="Q268" s="413" t="str">
        <f>IF(Calcu_ADJ!B26=TRUE,Calcu_ADJ!G26*H$245,"")</f>
        <v/>
      </c>
      <c r="R268" s="414"/>
      <c r="S268" s="414"/>
      <c r="T268" s="414"/>
      <c r="U268" s="415"/>
      <c r="V268" s="413" t="str">
        <f>IF(Calcu_ADJ!B26=TRUE,Calcu_ADJ!H26*H$245,"")</f>
        <v/>
      </c>
      <c r="W268" s="414"/>
      <c r="X268" s="414"/>
      <c r="Y268" s="414"/>
      <c r="Z268" s="415"/>
      <c r="AA268" s="413" t="str">
        <f>IF(Calcu_ADJ!B26=TRUE,Calcu_ADJ!I26*H$245,"")</f>
        <v/>
      </c>
      <c r="AB268" s="414"/>
      <c r="AC268" s="414"/>
      <c r="AD268" s="414"/>
      <c r="AE268" s="415"/>
      <c r="AF268" s="413" t="str">
        <f>Calcu_ADJ!M26</f>
        <v/>
      </c>
      <c r="AG268" s="414"/>
      <c r="AH268" s="414"/>
      <c r="AI268" s="414"/>
      <c r="AJ268" s="415"/>
      <c r="AK268" s="413" t="str">
        <f>Calcu_ADJ!K26</f>
        <v/>
      </c>
      <c r="AL268" s="414"/>
      <c r="AM268" s="414"/>
      <c r="AN268" s="414"/>
      <c r="AO268" s="415"/>
    </row>
    <row r="269" spans="1:41" ht="18.75" customHeight="1">
      <c r="A269" s="58"/>
      <c r="B269" s="413" t="str">
        <f>Calcu_ADJ!T27</f>
        <v/>
      </c>
      <c r="C269" s="414"/>
      <c r="D269" s="414"/>
      <c r="E269" s="414"/>
      <c r="F269" s="415"/>
      <c r="G269" s="413" t="str">
        <f>IF(Calcu_ADJ!B27=TRUE,Calcu_ADJ!E27*$H$245,"")</f>
        <v/>
      </c>
      <c r="H269" s="414"/>
      <c r="I269" s="414"/>
      <c r="J269" s="414"/>
      <c r="K269" s="415"/>
      <c r="L269" s="413" t="str">
        <f>IF(Calcu_ADJ!B27=TRUE,Calcu_ADJ!F27*H$245,"")</f>
        <v/>
      </c>
      <c r="M269" s="414"/>
      <c r="N269" s="414"/>
      <c r="O269" s="414"/>
      <c r="P269" s="415"/>
      <c r="Q269" s="413" t="str">
        <f>IF(Calcu_ADJ!B27=TRUE,Calcu_ADJ!G27*H$245,"")</f>
        <v/>
      </c>
      <c r="R269" s="414"/>
      <c r="S269" s="414"/>
      <c r="T269" s="414"/>
      <c r="U269" s="415"/>
      <c r="V269" s="413" t="str">
        <f>IF(Calcu_ADJ!B27=TRUE,Calcu_ADJ!H27*H$245,"")</f>
        <v/>
      </c>
      <c r="W269" s="414"/>
      <c r="X269" s="414"/>
      <c r="Y269" s="414"/>
      <c r="Z269" s="415"/>
      <c r="AA269" s="413" t="str">
        <f>IF(Calcu_ADJ!B27=TRUE,Calcu_ADJ!I27*H$245,"")</f>
        <v/>
      </c>
      <c r="AB269" s="414"/>
      <c r="AC269" s="414"/>
      <c r="AD269" s="414"/>
      <c r="AE269" s="415"/>
      <c r="AF269" s="413" t="str">
        <f>Calcu_ADJ!M27</f>
        <v/>
      </c>
      <c r="AG269" s="414"/>
      <c r="AH269" s="414"/>
      <c r="AI269" s="414"/>
      <c r="AJ269" s="415"/>
      <c r="AK269" s="413" t="str">
        <f>Calcu_ADJ!K27</f>
        <v/>
      </c>
      <c r="AL269" s="414"/>
      <c r="AM269" s="414"/>
      <c r="AN269" s="414"/>
      <c r="AO269" s="415"/>
    </row>
    <row r="270" spans="1:41" ht="18.75" customHeight="1">
      <c r="A270" s="58"/>
      <c r="B270" s="413" t="str">
        <f>Calcu_ADJ!T28</f>
        <v/>
      </c>
      <c r="C270" s="414"/>
      <c r="D270" s="414"/>
      <c r="E270" s="414"/>
      <c r="F270" s="415"/>
      <c r="G270" s="413" t="str">
        <f>IF(Calcu_ADJ!B28=TRUE,Calcu_ADJ!E28*$H$245,"")</f>
        <v/>
      </c>
      <c r="H270" s="414"/>
      <c r="I270" s="414"/>
      <c r="J270" s="414"/>
      <c r="K270" s="415"/>
      <c r="L270" s="413" t="str">
        <f>IF(Calcu_ADJ!B28=TRUE,Calcu_ADJ!F28*H$245,"")</f>
        <v/>
      </c>
      <c r="M270" s="414"/>
      <c r="N270" s="414"/>
      <c r="O270" s="414"/>
      <c r="P270" s="415"/>
      <c r="Q270" s="413" t="str">
        <f>IF(Calcu_ADJ!B28=TRUE,Calcu_ADJ!G28*H$245,"")</f>
        <v/>
      </c>
      <c r="R270" s="414"/>
      <c r="S270" s="414"/>
      <c r="T270" s="414"/>
      <c r="U270" s="415"/>
      <c r="V270" s="413" t="str">
        <f>IF(Calcu_ADJ!B28=TRUE,Calcu_ADJ!H28*H$245,"")</f>
        <v/>
      </c>
      <c r="W270" s="414"/>
      <c r="X270" s="414"/>
      <c r="Y270" s="414"/>
      <c r="Z270" s="415"/>
      <c r="AA270" s="413" t="str">
        <f>IF(Calcu_ADJ!B28=TRUE,Calcu_ADJ!I28*H$245,"")</f>
        <v/>
      </c>
      <c r="AB270" s="414"/>
      <c r="AC270" s="414"/>
      <c r="AD270" s="414"/>
      <c r="AE270" s="415"/>
      <c r="AF270" s="413" t="str">
        <f>Calcu_ADJ!M28</f>
        <v/>
      </c>
      <c r="AG270" s="414"/>
      <c r="AH270" s="414"/>
      <c r="AI270" s="414"/>
      <c r="AJ270" s="415"/>
      <c r="AK270" s="413" t="str">
        <f>Calcu_ADJ!K28</f>
        <v/>
      </c>
      <c r="AL270" s="414"/>
      <c r="AM270" s="414"/>
      <c r="AN270" s="414"/>
      <c r="AO270" s="415"/>
    </row>
    <row r="271" spans="1:41" ht="18.75" customHeight="1">
      <c r="A271" s="58"/>
      <c r="B271" s="413" t="str">
        <f>Calcu_ADJ!T29</f>
        <v/>
      </c>
      <c r="C271" s="414"/>
      <c r="D271" s="414"/>
      <c r="E271" s="414"/>
      <c r="F271" s="415"/>
      <c r="G271" s="413" t="str">
        <f>IF(Calcu_ADJ!B29=TRUE,Calcu_ADJ!E29*$H$245,"")</f>
        <v/>
      </c>
      <c r="H271" s="414"/>
      <c r="I271" s="414"/>
      <c r="J271" s="414"/>
      <c r="K271" s="415"/>
      <c r="L271" s="413" t="str">
        <f>IF(Calcu_ADJ!B29=TRUE,Calcu_ADJ!F29*H$245,"")</f>
        <v/>
      </c>
      <c r="M271" s="414"/>
      <c r="N271" s="414"/>
      <c r="O271" s="414"/>
      <c r="P271" s="415"/>
      <c r="Q271" s="413" t="str">
        <f>IF(Calcu_ADJ!B29=TRUE,Calcu_ADJ!G29*H$245,"")</f>
        <v/>
      </c>
      <c r="R271" s="414"/>
      <c r="S271" s="414"/>
      <c r="T271" s="414"/>
      <c r="U271" s="415"/>
      <c r="V271" s="413" t="str">
        <f>IF(Calcu_ADJ!B29=TRUE,Calcu_ADJ!H29*H$245,"")</f>
        <v/>
      </c>
      <c r="W271" s="414"/>
      <c r="X271" s="414"/>
      <c r="Y271" s="414"/>
      <c r="Z271" s="415"/>
      <c r="AA271" s="413" t="str">
        <f>IF(Calcu_ADJ!B29=TRUE,Calcu_ADJ!I29*H$245,"")</f>
        <v/>
      </c>
      <c r="AB271" s="414"/>
      <c r="AC271" s="414"/>
      <c r="AD271" s="414"/>
      <c r="AE271" s="415"/>
      <c r="AF271" s="413" t="str">
        <f>Calcu_ADJ!M29</f>
        <v/>
      </c>
      <c r="AG271" s="414"/>
      <c r="AH271" s="414"/>
      <c r="AI271" s="414"/>
      <c r="AJ271" s="415"/>
      <c r="AK271" s="413" t="str">
        <f>Calcu_ADJ!K29</f>
        <v/>
      </c>
      <c r="AL271" s="414"/>
      <c r="AM271" s="414"/>
      <c r="AN271" s="414"/>
      <c r="AO271" s="415"/>
    </row>
    <row r="272" spans="1:41" ht="18.75" customHeight="1">
      <c r="A272" s="58"/>
      <c r="B272" s="413" t="str">
        <f>Calcu_ADJ!T30</f>
        <v/>
      </c>
      <c r="C272" s="414"/>
      <c r="D272" s="414"/>
      <c r="E272" s="414"/>
      <c r="F272" s="415"/>
      <c r="G272" s="413" t="str">
        <f>IF(Calcu_ADJ!B30=TRUE,Calcu_ADJ!E30*$H$245,"")</f>
        <v/>
      </c>
      <c r="H272" s="414"/>
      <c r="I272" s="414"/>
      <c r="J272" s="414"/>
      <c r="K272" s="415"/>
      <c r="L272" s="413" t="str">
        <f>IF(Calcu_ADJ!B30=TRUE,Calcu_ADJ!F30*H$245,"")</f>
        <v/>
      </c>
      <c r="M272" s="414"/>
      <c r="N272" s="414"/>
      <c r="O272" s="414"/>
      <c r="P272" s="415"/>
      <c r="Q272" s="413" t="str">
        <f>IF(Calcu_ADJ!B30=TRUE,Calcu_ADJ!G30*H$245,"")</f>
        <v/>
      </c>
      <c r="R272" s="414"/>
      <c r="S272" s="414"/>
      <c r="T272" s="414"/>
      <c r="U272" s="415"/>
      <c r="V272" s="413" t="str">
        <f>IF(Calcu_ADJ!B30=TRUE,Calcu_ADJ!H30*H$245,"")</f>
        <v/>
      </c>
      <c r="W272" s="414"/>
      <c r="X272" s="414"/>
      <c r="Y272" s="414"/>
      <c r="Z272" s="415"/>
      <c r="AA272" s="413" t="str">
        <f>IF(Calcu_ADJ!B30=TRUE,Calcu_ADJ!I30*H$245,"")</f>
        <v/>
      </c>
      <c r="AB272" s="414"/>
      <c r="AC272" s="414"/>
      <c r="AD272" s="414"/>
      <c r="AE272" s="415"/>
      <c r="AF272" s="413" t="str">
        <f>Calcu_ADJ!M30</f>
        <v/>
      </c>
      <c r="AG272" s="414"/>
      <c r="AH272" s="414"/>
      <c r="AI272" s="414"/>
      <c r="AJ272" s="415"/>
      <c r="AK272" s="413" t="str">
        <f>Calcu_ADJ!K30</f>
        <v/>
      </c>
      <c r="AL272" s="414"/>
      <c r="AM272" s="414"/>
      <c r="AN272" s="414"/>
      <c r="AO272" s="415"/>
    </row>
    <row r="273" spans="1:41" ht="18.75" customHeight="1">
      <c r="A273" s="58"/>
      <c r="B273" s="413" t="str">
        <f>Calcu_ADJ!T31</f>
        <v/>
      </c>
      <c r="C273" s="414"/>
      <c r="D273" s="414"/>
      <c r="E273" s="414"/>
      <c r="F273" s="415"/>
      <c r="G273" s="413" t="str">
        <f>IF(Calcu_ADJ!B31=TRUE,Calcu_ADJ!E31*$H$245,"")</f>
        <v/>
      </c>
      <c r="H273" s="414"/>
      <c r="I273" s="414"/>
      <c r="J273" s="414"/>
      <c r="K273" s="415"/>
      <c r="L273" s="413" t="str">
        <f>IF(Calcu_ADJ!B31=TRUE,Calcu_ADJ!F31*H$245,"")</f>
        <v/>
      </c>
      <c r="M273" s="414"/>
      <c r="N273" s="414"/>
      <c r="O273" s="414"/>
      <c r="P273" s="415"/>
      <c r="Q273" s="413" t="str">
        <f>IF(Calcu_ADJ!B31=TRUE,Calcu_ADJ!G31*H$245,"")</f>
        <v/>
      </c>
      <c r="R273" s="414"/>
      <c r="S273" s="414"/>
      <c r="T273" s="414"/>
      <c r="U273" s="415"/>
      <c r="V273" s="413" t="str">
        <f>IF(Calcu_ADJ!B31=TRUE,Calcu_ADJ!H31*H$245,"")</f>
        <v/>
      </c>
      <c r="W273" s="414"/>
      <c r="X273" s="414"/>
      <c r="Y273" s="414"/>
      <c r="Z273" s="415"/>
      <c r="AA273" s="413" t="str">
        <f>IF(Calcu_ADJ!B31=TRUE,Calcu_ADJ!I31*H$245,"")</f>
        <v/>
      </c>
      <c r="AB273" s="414"/>
      <c r="AC273" s="414"/>
      <c r="AD273" s="414"/>
      <c r="AE273" s="415"/>
      <c r="AF273" s="413" t="str">
        <f>Calcu_ADJ!M31</f>
        <v/>
      </c>
      <c r="AG273" s="414"/>
      <c r="AH273" s="414"/>
      <c r="AI273" s="414"/>
      <c r="AJ273" s="415"/>
      <c r="AK273" s="413" t="str">
        <f>Calcu_ADJ!K31</f>
        <v/>
      </c>
      <c r="AL273" s="414"/>
      <c r="AM273" s="414"/>
      <c r="AN273" s="414"/>
      <c r="AO273" s="415"/>
    </row>
    <row r="274" spans="1:41" ht="18.75" customHeight="1">
      <c r="A274" s="58"/>
      <c r="B274" s="413" t="str">
        <f>Calcu_ADJ!T32</f>
        <v/>
      </c>
      <c r="C274" s="414"/>
      <c r="D274" s="414"/>
      <c r="E274" s="414"/>
      <c r="F274" s="415"/>
      <c r="G274" s="413" t="str">
        <f>IF(Calcu_ADJ!B32=TRUE,Calcu_ADJ!E32*$H$245,"")</f>
        <v/>
      </c>
      <c r="H274" s="414"/>
      <c r="I274" s="414"/>
      <c r="J274" s="414"/>
      <c r="K274" s="415"/>
      <c r="L274" s="413" t="str">
        <f>IF(Calcu_ADJ!B32=TRUE,Calcu_ADJ!F32*H$245,"")</f>
        <v/>
      </c>
      <c r="M274" s="414"/>
      <c r="N274" s="414"/>
      <c r="O274" s="414"/>
      <c r="P274" s="415"/>
      <c r="Q274" s="413" t="str">
        <f>IF(Calcu_ADJ!B32=TRUE,Calcu_ADJ!G32*H$245,"")</f>
        <v/>
      </c>
      <c r="R274" s="414"/>
      <c r="S274" s="414"/>
      <c r="T274" s="414"/>
      <c r="U274" s="415"/>
      <c r="V274" s="413" t="str">
        <f>IF(Calcu_ADJ!B32=TRUE,Calcu_ADJ!H32*H$245,"")</f>
        <v/>
      </c>
      <c r="W274" s="414"/>
      <c r="X274" s="414"/>
      <c r="Y274" s="414"/>
      <c r="Z274" s="415"/>
      <c r="AA274" s="413" t="str">
        <f>IF(Calcu_ADJ!B32=TRUE,Calcu_ADJ!I32*H$245,"")</f>
        <v/>
      </c>
      <c r="AB274" s="414"/>
      <c r="AC274" s="414"/>
      <c r="AD274" s="414"/>
      <c r="AE274" s="415"/>
      <c r="AF274" s="413" t="str">
        <f>Calcu_ADJ!M32</f>
        <v/>
      </c>
      <c r="AG274" s="414"/>
      <c r="AH274" s="414"/>
      <c r="AI274" s="414"/>
      <c r="AJ274" s="415"/>
      <c r="AK274" s="413" t="str">
        <f>Calcu_ADJ!K32</f>
        <v/>
      </c>
      <c r="AL274" s="414"/>
      <c r="AM274" s="414"/>
      <c r="AN274" s="414"/>
      <c r="AO274" s="415"/>
    </row>
    <row r="275" spans="1:41" ht="18.75" customHeight="1">
      <c r="A275" s="58"/>
      <c r="B275" s="413" t="str">
        <f>Calcu_ADJ!T33</f>
        <v/>
      </c>
      <c r="C275" s="414"/>
      <c r="D275" s="414"/>
      <c r="E275" s="414"/>
      <c r="F275" s="415"/>
      <c r="G275" s="413" t="str">
        <f>IF(Calcu_ADJ!B33=TRUE,Calcu_ADJ!E33*$H$245,"")</f>
        <v/>
      </c>
      <c r="H275" s="414"/>
      <c r="I275" s="414"/>
      <c r="J275" s="414"/>
      <c r="K275" s="415"/>
      <c r="L275" s="413" t="str">
        <f>IF(Calcu_ADJ!B33=TRUE,Calcu_ADJ!F33*H$245,"")</f>
        <v/>
      </c>
      <c r="M275" s="414"/>
      <c r="N275" s="414"/>
      <c r="O275" s="414"/>
      <c r="P275" s="415"/>
      <c r="Q275" s="413" t="str">
        <f>IF(Calcu_ADJ!B33=TRUE,Calcu_ADJ!G33*H$245,"")</f>
        <v/>
      </c>
      <c r="R275" s="414"/>
      <c r="S275" s="414"/>
      <c r="T275" s="414"/>
      <c r="U275" s="415"/>
      <c r="V275" s="413" t="str">
        <f>IF(Calcu_ADJ!B33=TRUE,Calcu_ADJ!H33*H$245,"")</f>
        <v/>
      </c>
      <c r="W275" s="414"/>
      <c r="X275" s="414"/>
      <c r="Y275" s="414"/>
      <c r="Z275" s="415"/>
      <c r="AA275" s="413" t="str">
        <f>IF(Calcu_ADJ!B33=TRUE,Calcu_ADJ!I33*H$245,"")</f>
        <v/>
      </c>
      <c r="AB275" s="414"/>
      <c r="AC275" s="414"/>
      <c r="AD275" s="414"/>
      <c r="AE275" s="415"/>
      <c r="AF275" s="413" t="str">
        <f>Calcu_ADJ!M33</f>
        <v/>
      </c>
      <c r="AG275" s="414"/>
      <c r="AH275" s="414"/>
      <c r="AI275" s="414"/>
      <c r="AJ275" s="415"/>
      <c r="AK275" s="413" t="str">
        <f>Calcu_ADJ!K33</f>
        <v/>
      </c>
      <c r="AL275" s="414"/>
      <c r="AM275" s="414"/>
      <c r="AN275" s="414"/>
      <c r="AO275" s="415"/>
    </row>
    <row r="276" spans="1:41" ht="18.75" customHeight="1">
      <c r="A276" s="58"/>
      <c r="B276" s="413" t="str">
        <f>Calcu_ADJ!T34</f>
        <v/>
      </c>
      <c r="C276" s="414"/>
      <c r="D276" s="414"/>
      <c r="E276" s="414"/>
      <c r="F276" s="415"/>
      <c r="G276" s="413" t="str">
        <f>IF(Calcu_ADJ!B34=TRUE,Calcu_ADJ!E34*$H$245,"")</f>
        <v/>
      </c>
      <c r="H276" s="414"/>
      <c r="I276" s="414"/>
      <c r="J276" s="414"/>
      <c r="K276" s="415"/>
      <c r="L276" s="413" t="str">
        <f>IF(Calcu_ADJ!B34=TRUE,Calcu_ADJ!F34*H$245,"")</f>
        <v/>
      </c>
      <c r="M276" s="414"/>
      <c r="N276" s="414"/>
      <c r="O276" s="414"/>
      <c r="P276" s="415"/>
      <c r="Q276" s="413" t="str">
        <f>IF(Calcu_ADJ!B34=TRUE,Calcu_ADJ!G34*H$245,"")</f>
        <v/>
      </c>
      <c r="R276" s="414"/>
      <c r="S276" s="414"/>
      <c r="T276" s="414"/>
      <c r="U276" s="415"/>
      <c r="V276" s="413" t="str">
        <f>IF(Calcu_ADJ!B34=TRUE,Calcu_ADJ!H34*H$245,"")</f>
        <v/>
      </c>
      <c r="W276" s="414"/>
      <c r="X276" s="414"/>
      <c r="Y276" s="414"/>
      <c r="Z276" s="415"/>
      <c r="AA276" s="413" t="str">
        <f>IF(Calcu_ADJ!B34=TRUE,Calcu_ADJ!I34*H$245,"")</f>
        <v/>
      </c>
      <c r="AB276" s="414"/>
      <c r="AC276" s="414"/>
      <c r="AD276" s="414"/>
      <c r="AE276" s="415"/>
      <c r="AF276" s="413" t="str">
        <f>Calcu_ADJ!M34</f>
        <v/>
      </c>
      <c r="AG276" s="414"/>
      <c r="AH276" s="414"/>
      <c r="AI276" s="414"/>
      <c r="AJ276" s="415"/>
      <c r="AK276" s="413" t="str">
        <f>Calcu_ADJ!K34</f>
        <v/>
      </c>
      <c r="AL276" s="414"/>
      <c r="AM276" s="414"/>
      <c r="AN276" s="414"/>
      <c r="AO276" s="415"/>
    </row>
    <row r="277" spans="1:41" ht="18.75" customHeight="1">
      <c r="A277" s="58"/>
      <c r="B277" s="413" t="str">
        <f>Calcu_ADJ!T35</f>
        <v/>
      </c>
      <c r="C277" s="414"/>
      <c r="D277" s="414"/>
      <c r="E277" s="414"/>
      <c r="F277" s="415"/>
      <c r="G277" s="413" t="str">
        <f>IF(Calcu_ADJ!B35=TRUE,Calcu_ADJ!E35*$H$245,"")</f>
        <v/>
      </c>
      <c r="H277" s="414"/>
      <c r="I277" s="414"/>
      <c r="J277" s="414"/>
      <c r="K277" s="415"/>
      <c r="L277" s="413" t="str">
        <f>IF(Calcu_ADJ!B35=TRUE,Calcu_ADJ!F35*H$245,"")</f>
        <v/>
      </c>
      <c r="M277" s="414"/>
      <c r="N277" s="414"/>
      <c r="O277" s="414"/>
      <c r="P277" s="415"/>
      <c r="Q277" s="413" t="str">
        <f>IF(Calcu_ADJ!B35=TRUE,Calcu_ADJ!G35*H$245,"")</f>
        <v/>
      </c>
      <c r="R277" s="414"/>
      <c r="S277" s="414"/>
      <c r="T277" s="414"/>
      <c r="U277" s="415"/>
      <c r="V277" s="413" t="str">
        <f>IF(Calcu_ADJ!B35=TRUE,Calcu_ADJ!H35*H$245,"")</f>
        <v/>
      </c>
      <c r="W277" s="414"/>
      <c r="X277" s="414"/>
      <c r="Y277" s="414"/>
      <c r="Z277" s="415"/>
      <c r="AA277" s="413" t="str">
        <f>IF(Calcu_ADJ!B35=TRUE,Calcu_ADJ!I35*H$245,"")</f>
        <v/>
      </c>
      <c r="AB277" s="414"/>
      <c r="AC277" s="414"/>
      <c r="AD277" s="414"/>
      <c r="AE277" s="415"/>
      <c r="AF277" s="413" t="str">
        <f>Calcu_ADJ!M35</f>
        <v/>
      </c>
      <c r="AG277" s="414"/>
      <c r="AH277" s="414"/>
      <c r="AI277" s="414"/>
      <c r="AJ277" s="415"/>
      <c r="AK277" s="413" t="str">
        <f>Calcu_ADJ!K35</f>
        <v/>
      </c>
      <c r="AL277" s="414"/>
      <c r="AM277" s="414"/>
      <c r="AN277" s="414"/>
      <c r="AO277" s="415"/>
    </row>
    <row r="278" spans="1:41" ht="18.75" customHeight="1">
      <c r="A278" s="58"/>
      <c r="B278" s="413" t="str">
        <f>Calcu_ADJ!T36</f>
        <v/>
      </c>
      <c r="C278" s="414"/>
      <c r="D278" s="414"/>
      <c r="E278" s="414"/>
      <c r="F278" s="415"/>
      <c r="G278" s="413" t="str">
        <f>IF(Calcu_ADJ!B36=TRUE,Calcu_ADJ!E36*$H$245,"")</f>
        <v/>
      </c>
      <c r="H278" s="414"/>
      <c r="I278" s="414"/>
      <c r="J278" s="414"/>
      <c r="K278" s="415"/>
      <c r="L278" s="413" t="str">
        <f>IF(Calcu_ADJ!B36=TRUE,Calcu_ADJ!F36*H$245,"")</f>
        <v/>
      </c>
      <c r="M278" s="414"/>
      <c r="N278" s="414"/>
      <c r="O278" s="414"/>
      <c r="P278" s="415"/>
      <c r="Q278" s="413" t="str">
        <f>IF(Calcu_ADJ!B36=TRUE,Calcu_ADJ!G36*H$245,"")</f>
        <v/>
      </c>
      <c r="R278" s="414"/>
      <c r="S278" s="414"/>
      <c r="T278" s="414"/>
      <c r="U278" s="415"/>
      <c r="V278" s="413" t="str">
        <f>IF(Calcu_ADJ!B36=TRUE,Calcu_ADJ!H36*H$245,"")</f>
        <v/>
      </c>
      <c r="W278" s="414"/>
      <c r="X278" s="414"/>
      <c r="Y278" s="414"/>
      <c r="Z278" s="415"/>
      <c r="AA278" s="413" t="str">
        <f>IF(Calcu_ADJ!B36=TRUE,Calcu_ADJ!I36*H$245,"")</f>
        <v/>
      </c>
      <c r="AB278" s="414"/>
      <c r="AC278" s="414"/>
      <c r="AD278" s="414"/>
      <c r="AE278" s="415"/>
      <c r="AF278" s="413" t="str">
        <f>Calcu_ADJ!M36</f>
        <v/>
      </c>
      <c r="AG278" s="414"/>
      <c r="AH278" s="414"/>
      <c r="AI278" s="414"/>
      <c r="AJ278" s="415"/>
      <c r="AK278" s="413" t="str">
        <f>Calcu_ADJ!K36</f>
        <v/>
      </c>
      <c r="AL278" s="414"/>
      <c r="AM278" s="414"/>
      <c r="AN278" s="414"/>
      <c r="AO278" s="415"/>
    </row>
    <row r="279" spans="1:41" ht="18.75" customHeight="1">
      <c r="A279" s="58"/>
      <c r="B279" s="413" t="str">
        <f>Calcu_ADJ!T37</f>
        <v/>
      </c>
      <c r="C279" s="414"/>
      <c r="D279" s="414"/>
      <c r="E279" s="414"/>
      <c r="F279" s="415"/>
      <c r="G279" s="413" t="str">
        <f>IF(Calcu_ADJ!B37=TRUE,Calcu_ADJ!E37*$H$245,"")</f>
        <v/>
      </c>
      <c r="H279" s="414"/>
      <c r="I279" s="414"/>
      <c r="J279" s="414"/>
      <c r="K279" s="415"/>
      <c r="L279" s="413" t="str">
        <f>IF(Calcu_ADJ!B37=TRUE,Calcu_ADJ!F37*H$245,"")</f>
        <v/>
      </c>
      <c r="M279" s="414"/>
      <c r="N279" s="414"/>
      <c r="O279" s="414"/>
      <c r="P279" s="415"/>
      <c r="Q279" s="413" t="str">
        <f>IF(Calcu_ADJ!B37=TRUE,Calcu_ADJ!G37*H$245,"")</f>
        <v/>
      </c>
      <c r="R279" s="414"/>
      <c r="S279" s="414"/>
      <c r="T279" s="414"/>
      <c r="U279" s="415"/>
      <c r="V279" s="413" t="str">
        <f>IF(Calcu_ADJ!B37=TRUE,Calcu_ADJ!H37*H$245,"")</f>
        <v/>
      </c>
      <c r="W279" s="414"/>
      <c r="X279" s="414"/>
      <c r="Y279" s="414"/>
      <c r="Z279" s="415"/>
      <c r="AA279" s="413" t="str">
        <f>IF(Calcu_ADJ!B37=TRUE,Calcu_ADJ!I37*H$245,"")</f>
        <v/>
      </c>
      <c r="AB279" s="414"/>
      <c r="AC279" s="414"/>
      <c r="AD279" s="414"/>
      <c r="AE279" s="415"/>
      <c r="AF279" s="413" t="str">
        <f>Calcu_ADJ!M37</f>
        <v/>
      </c>
      <c r="AG279" s="414"/>
      <c r="AH279" s="414"/>
      <c r="AI279" s="414"/>
      <c r="AJ279" s="415"/>
      <c r="AK279" s="413" t="str">
        <f>Calcu_ADJ!K37</f>
        <v/>
      </c>
      <c r="AL279" s="414"/>
      <c r="AM279" s="414"/>
      <c r="AN279" s="414"/>
      <c r="AO279" s="415"/>
    </row>
    <row r="280" spans="1:41" ht="18.75" customHeight="1">
      <c r="A280" s="58"/>
      <c r="B280" s="413" t="str">
        <f>Calcu_ADJ!T38</f>
        <v/>
      </c>
      <c r="C280" s="414"/>
      <c r="D280" s="414"/>
      <c r="E280" s="414"/>
      <c r="F280" s="415"/>
      <c r="G280" s="413" t="str">
        <f>IF(Calcu_ADJ!B38=TRUE,Calcu_ADJ!E38*$H$245,"")</f>
        <v/>
      </c>
      <c r="H280" s="414"/>
      <c r="I280" s="414"/>
      <c r="J280" s="414"/>
      <c r="K280" s="415"/>
      <c r="L280" s="413" t="str">
        <f>IF(Calcu_ADJ!B38=TRUE,Calcu_ADJ!F38*H$245,"")</f>
        <v/>
      </c>
      <c r="M280" s="414"/>
      <c r="N280" s="414"/>
      <c r="O280" s="414"/>
      <c r="P280" s="415"/>
      <c r="Q280" s="413" t="str">
        <f>IF(Calcu_ADJ!B38=TRUE,Calcu_ADJ!G38*H$245,"")</f>
        <v/>
      </c>
      <c r="R280" s="414"/>
      <c r="S280" s="414"/>
      <c r="T280" s="414"/>
      <c r="U280" s="415"/>
      <c r="V280" s="413" t="str">
        <f>IF(Calcu_ADJ!B38=TRUE,Calcu_ADJ!H38*H$245,"")</f>
        <v/>
      </c>
      <c r="W280" s="414"/>
      <c r="X280" s="414"/>
      <c r="Y280" s="414"/>
      <c r="Z280" s="415"/>
      <c r="AA280" s="413" t="str">
        <f>IF(Calcu_ADJ!B38=TRUE,Calcu_ADJ!I38*H$245,"")</f>
        <v/>
      </c>
      <c r="AB280" s="414"/>
      <c r="AC280" s="414"/>
      <c r="AD280" s="414"/>
      <c r="AE280" s="415"/>
      <c r="AF280" s="413" t="str">
        <f>Calcu_ADJ!M38</f>
        <v/>
      </c>
      <c r="AG280" s="414"/>
      <c r="AH280" s="414"/>
      <c r="AI280" s="414"/>
      <c r="AJ280" s="415"/>
      <c r="AK280" s="413" t="str">
        <f>Calcu_ADJ!K38</f>
        <v/>
      </c>
      <c r="AL280" s="414"/>
      <c r="AM280" s="414"/>
      <c r="AN280" s="414"/>
      <c r="AO280" s="415"/>
    </row>
    <row r="281" spans="1:41" ht="18.75" customHeight="1">
      <c r="A281" s="58"/>
      <c r="B281" s="413" t="str">
        <f>Calcu_ADJ!T39</f>
        <v/>
      </c>
      <c r="C281" s="414"/>
      <c r="D281" s="414"/>
      <c r="E281" s="414"/>
      <c r="F281" s="415"/>
      <c r="G281" s="413" t="str">
        <f>IF(Calcu_ADJ!B39=TRUE,Calcu_ADJ!E39*$H$245,"")</f>
        <v/>
      </c>
      <c r="H281" s="414"/>
      <c r="I281" s="414"/>
      <c r="J281" s="414"/>
      <c r="K281" s="415"/>
      <c r="L281" s="413" t="str">
        <f>IF(Calcu_ADJ!B39=TRUE,Calcu_ADJ!F39*H$245,"")</f>
        <v/>
      </c>
      <c r="M281" s="414"/>
      <c r="N281" s="414"/>
      <c r="O281" s="414"/>
      <c r="P281" s="415"/>
      <c r="Q281" s="413" t="str">
        <f>IF(Calcu_ADJ!B39=TRUE,Calcu_ADJ!G39*H$245,"")</f>
        <v/>
      </c>
      <c r="R281" s="414"/>
      <c r="S281" s="414"/>
      <c r="T281" s="414"/>
      <c r="U281" s="415"/>
      <c r="V281" s="413" t="str">
        <f>IF(Calcu_ADJ!B39=TRUE,Calcu_ADJ!H39*H$245,"")</f>
        <v/>
      </c>
      <c r="W281" s="414"/>
      <c r="X281" s="414"/>
      <c r="Y281" s="414"/>
      <c r="Z281" s="415"/>
      <c r="AA281" s="413" t="str">
        <f>IF(Calcu_ADJ!B39=TRUE,Calcu_ADJ!I39*H$245,"")</f>
        <v/>
      </c>
      <c r="AB281" s="414"/>
      <c r="AC281" s="414"/>
      <c r="AD281" s="414"/>
      <c r="AE281" s="415"/>
      <c r="AF281" s="413" t="str">
        <f>Calcu_ADJ!M39</f>
        <v/>
      </c>
      <c r="AG281" s="414"/>
      <c r="AH281" s="414"/>
      <c r="AI281" s="414"/>
      <c r="AJ281" s="415"/>
      <c r="AK281" s="413" t="str">
        <f>Calcu_ADJ!K39</f>
        <v/>
      </c>
      <c r="AL281" s="414"/>
      <c r="AM281" s="414"/>
      <c r="AN281" s="414"/>
      <c r="AO281" s="415"/>
    </row>
    <row r="282" spans="1:41" ht="18.75" customHeight="1">
      <c r="A282" s="58"/>
      <c r="B282" s="413" t="str">
        <f>Calcu_ADJ!T40</f>
        <v/>
      </c>
      <c r="C282" s="414"/>
      <c r="D282" s="414"/>
      <c r="E282" s="414"/>
      <c r="F282" s="415"/>
      <c r="G282" s="413" t="str">
        <f>IF(Calcu_ADJ!B40=TRUE,Calcu_ADJ!E40*$H$245,"")</f>
        <v/>
      </c>
      <c r="H282" s="414"/>
      <c r="I282" s="414"/>
      <c r="J282" s="414"/>
      <c r="K282" s="415"/>
      <c r="L282" s="413" t="str">
        <f>IF(Calcu_ADJ!B40=TRUE,Calcu_ADJ!F40*H$245,"")</f>
        <v/>
      </c>
      <c r="M282" s="414"/>
      <c r="N282" s="414"/>
      <c r="O282" s="414"/>
      <c r="P282" s="415"/>
      <c r="Q282" s="413" t="str">
        <f>IF(Calcu_ADJ!B40=TRUE,Calcu_ADJ!G40*H$245,"")</f>
        <v/>
      </c>
      <c r="R282" s="414"/>
      <c r="S282" s="414"/>
      <c r="T282" s="414"/>
      <c r="U282" s="415"/>
      <c r="V282" s="413" t="str">
        <f>IF(Calcu_ADJ!B40=TRUE,Calcu_ADJ!H40*H$245,"")</f>
        <v/>
      </c>
      <c r="W282" s="414"/>
      <c r="X282" s="414"/>
      <c r="Y282" s="414"/>
      <c r="Z282" s="415"/>
      <c r="AA282" s="413" t="str">
        <f>IF(Calcu_ADJ!B40=TRUE,Calcu_ADJ!I40*H$245,"")</f>
        <v/>
      </c>
      <c r="AB282" s="414"/>
      <c r="AC282" s="414"/>
      <c r="AD282" s="414"/>
      <c r="AE282" s="415"/>
      <c r="AF282" s="413" t="str">
        <f>Calcu_ADJ!M40</f>
        <v/>
      </c>
      <c r="AG282" s="414"/>
      <c r="AH282" s="414"/>
      <c r="AI282" s="414"/>
      <c r="AJ282" s="415"/>
      <c r="AK282" s="413" t="str">
        <f>Calcu_ADJ!K40</f>
        <v/>
      </c>
      <c r="AL282" s="414"/>
      <c r="AM282" s="414"/>
      <c r="AN282" s="414"/>
      <c r="AO282" s="415"/>
    </row>
    <row r="283" spans="1:41" ht="18.75" customHeight="1">
      <c r="A283" s="58"/>
      <c r="B283" s="413" t="str">
        <f>Calcu_ADJ!T41</f>
        <v/>
      </c>
      <c r="C283" s="414"/>
      <c r="D283" s="414"/>
      <c r="E283" s="414"/>
      <c r="F283" s="415"/>
      <c r="G283" s="413" t="str">
        <f>IF(Calcu_ADJ!B41=TRUE,Calcu_ADJ!E41*$H$245,"")</f>
        <v/>
      </c>
      <c r="H283" s="414"/>
      <c r="I283" s="414"/>
      <c r="J283" s="414"/>
      <c r="K283" s="415"/>
      <c r="L283" s="413" t="str">
        <f>IF(Calcu_ADJ!B41=TRUE,Calcu_ADJ!F41*H$245,"")</f>
        <v/>
      </c>
      <c r="M283" s="414"/>
      <c r="N283" s="414"/>
      <c r="O283" s="414"/>
      <c r="P283" s="415"/>
      <c r="Q283" s="413" t="str">
        <f>IF(Calcu_ADJ!B41=TRUE,Calcu_ADJ!G41*H$245,"")</f>
        <v/>
      </c>
      <c r="R283" s="414"/>
      <c r="S283" s="414"/>
      <c r="T283" s="414"/>
      <c r="U283" s="415"/>
      <c r="V283" s="413" t="str">
        <f>IF(Calcu_ADJ!B41=TRUE,Calcu_ADJ!H41*H$245,"")</f>
        <v/>
      </c>
      <c r="W283" s="414"/>
      <c r="X283" s="414"/>
      <c r="Y283" s="414"/>
      <c r="Z283" s="415"/>
      <c r="AA283" s="413" t="str">
        <f>IF(Calcu_ADJ!B41=TRUE,Calcu_ADJ!I41*H$245,"")</f>
        <v/>
      </c>
      <c r="AB283" s="414"/>
      <c r="AC283" s="414"/>
      <c r="AD283" s="414"/>
      <c r="AE283" s="415"/>
      <c r="AF283" s="413" t="str">
        <f>Calcu_ADJ!M41</f>
        <v/>
      </c>
      <c r="AG283" s="414"/>
      <c r="AH283" s="414"/>
      <c r="AI283" s="414"/>
      <c r="AJ283" s="415"/>
      <c r="AK283" s="413" t="str">
        <f>Calcu_ADJ!K41</f>
        <v/>
      </c>
      <c r="AL283" s="414"/>
      <c r="AM283" s="414"/>
      <c r="AN283" s="414"/>
      <c r="AO283" s="415"/>
    </row>
    <row r="284" spans="1:41" ht="18.75" customHeight="1">
      <c r="A284" s="58"/>
      <c r="B284" s="413" t="str">
        <f>Calcu_ADJ!T42</f>
        <v/>
      </c>
      <c r="C284" s="414"/>
      <c r="D284" s="414"/>
      <c r="E284" s="414"/>
      <c r="F284" s="415"/>
      <c r="G284" s="413" t="str">
        <f>IF(Calcu_ADJ!B42=TRUE,Calcu_ADJ!E42*$H$245,"")</f>
        <v/>
      </c>
      <c r="H284" s="414"/>
      <c r="I284" s="414"/>
      <c r="J284" s="414"/>
      <c r="K284" s="415"/>
      <c r="L284" s="413" t="str">
        <f>IF(Calcu_ADJ!B42=TRUE,Calcu_ADJ!F42*H$245,"")</f>
        <v/>
      </c>
      <c r="M284" s="414"/>
      <c r="N284" s="414"/>
      <c r="O284" s="414"/>
      <c r="P284" s="415"/>
      <c r="Q284" s="413" t="str">
        <f>IF(Calcu_ADJ!B42=TRUE,Calcu_ADJ!G42*H$245,"")</f>
        <v/>
      </c>
      <c r="R284" s="414"/>
      <c r="S284" s="414"/>
      <c r="T284" s="414"/>
      <c r="U284" s="415"/>
      <c r="V284" s="413" t="str">
        <f>IF(Calcu_ADJ!B42=TRUE,Calcu_ADJ!H42*H$245,"")</f>
        <v/>
      </c>
      <c r="W284" s="414"/>
      <c r="X284" s="414"/>
      <c r="Y284" s="414"/>
      <c r="Z284" s="415"/>
      <c r="AA284" s="413" t="str">
        <f>IF(Calcu_ADJ!B42=TRUE,Calcu_ADJ!I42*H$245,"")</f>
        <v/>
      </c>
      <c r="AB284" s="414"/>
      <c r="AC284" s="414"/>
      <c r="AD284" s="414"/>
      <c r="AE284" s="415"/>
      <c r="AF284" s="413" t="str">
        <f>Calcu_ADJ!M42</f>
        <v/>
      </c>
      <c r="AG284" s="414"/>
      <c r="AH284" s="414"/>
      <c r="AI284" s="414"/>
      <c r="AJ284" s="415"/>
      <c r="AK284" s="413" t="str">
        <f>Calcu_ADJ!K42</f>
        <v/>
      </c>
      <c r="AL284" s="414"/>
      <c r="AM284" s="414"/>
      <c r="AN284" s="414"/>
      <c r="AO284" s="415"/>
    </row>
    <row r="285" spans="1:41" ht="18.75" customHeight="1">
      <c r="A285" s="58"/>
      <c r="B285" s="413" t="str">
        <f>Calcu_ADJ!T43</f>
        <v/>
      </c>
      <c r="C285" s="414"/>
      <c r="D285" s="414"/>
      <c r="E285" s="414"/>
      <c r="F285" s="415"/>
      <c r="G285" s="413" t="str">
        <f>IF(Calcu_ADJ!B43=TRUE,Calcu_ADJ!E43*$H$245,"")</f>
        <v/>
      </c>
      <c r="H285" s="414"/>
      <c r="I285" s="414"/>
      <c r="J285" s="414"/>
      <c r="K285" s="415"/>
      <c r="L285" s="413" t="str">
        <f>IF(Calcu_ADJ!B43=TRUE,Calcu_ADJ!F43*H$245,"")</f>
        <v/>
      </c>
      <c r="M285" s="414"/>
      <c r="N285" s="414"/>
      <c r="O285" s="414"/>
      <c r="P285" s="415"/>
      <c r="Q285" s="413" t="str">
        <f>IF(Calcu_ADJ!B43=TRUE,Calcu_ADJ!G43*H$245,"")</f>
        <v/>
      </c>
      <c r="R285" s="414"/>
      <c r="S285" s="414"/>
      <c r="T285" s="414"/>
      <c r="U285" s="415"/>
      <c r="V285" s="413" t="str">
        <f>IF(Calcu_ADJ!B43=TRUE,Calcu_ADJ!H43*H$245,"")</f>
        <v/>
      </c>
      <c r="W285" s="414"/>
      <c r="X285" s="414"/>
      <c r="Y285" s="414"/>
      <c r="Z285" s="415"/>
      <c r="AA285" s="413" t="str">
        <f>IF(Calcu_ADJ!B43=TRUE,Calcu_ADJ!I43*H$245,"")</f>
        <v/>
      </c>
      <c r="AB285" s="414"/>
      <c r="AC285" s="414"/>
      <c r="AD285" s="414"/>
      <c r="AE285" s="415"/>
      <c r="AF285" s="413" t="str">
        <f>Calcu_ADJ!M43</f>
        <v/>
      </c>
      <c r="AG285" s="414"/>
      <c r="AH285" s="414"/>
      <c r="AI285" s="414"/>
      <c r="AJ285" s="415"/>
      <c r="AK285" s="413" t="str">
        <f>Calcu_ADJ!K43</f>
        <v/>
      </c>
      <c r="AL285" s="414"/>
      <c r="AM285" s="414"/>
      <c r="AN285" s="414"/>
      <c r="AO285" s="415"/>
    </row>
    <row r="286" spans="1:41" ht="18.75" customHeight="1">
      <c r="A286" s="58"/>
      <c r="B286" s="413" t="str">
        <f>Calcu_ADJ!T44</f>
        <v/>
      </c>
      <c r="C286" s="414"/>
      <c r="D286" s="414"/>
      <c r="E286" s="414"/>
      <c r="F286" s="415"/>
      <c r="G286" s="413" t="str">
        <f>IF(Calcu_ADJ!B44=TRUE,Calcu_ADJ!E44*$H$245,"")</f>
        <v/>
      </c>
      <c r="H286" s="414"/>
      <c r="I286" s="414"/>
      <c r="J286" s="414"/>
      <c r="K286" s="415"/>
      <c r="L286" s="413" t="str">
        <f>IF(Calcu_ADJ!B44=TRUE,Calcu_ADJ!F44*H$245,"")</f>
        <v/>
      </c>
      <c r="M286" s="414"/>
      <c r="N286" s="414"/>
      <c r="O286" s="414"/>
      <c r="P286" s="415"/>
      <c r="Q286" s="413" t="str">
        <f>IF(Calcu_ADJ!B44=TRUE,Calcu_ADJ!G44*H$245,"")</f>
        <v/>
      </c>
      <c r="R286" s="414"/>
      <c r="S286" s="414"/>
      <c r="T286" s="414"/>
      <c r="U286" s="415"/>
      <c r="V286" s="413" t="str">
        <f>IF(Calcu_ADJ!B44=TRUE,Calcu_ADJ!H44*H$245,"")</f>
        <v/>
      </c>
      <c r="W286" s="414"/>
      <c r="X286" s="414"/>
      <c r="Y286" s="414"/>
      <c r="Z286" s="415"/>
      <c r="AA286" s="413" t="str">
        <f>IF(Calcu_ADJ!B44=TRUE,Calcu_ADJ!I44*H$245,"")</f>
        <v/>
      </c>
      <c r="AB286" s="414"/>
      <c r="AC286" s="414"/>
      <c r="AD286" s="414"/>
      <c r="AE286" s="415"/>
      <c r="AF286" s="413" t="str">
        <f>Calcu_ADJ!M44</f>
        <v/>
      </c>
      <c r="AG286" s="414"/>
      <c r="AH286" s="414"/>
      <c r="AI286" s="414"/>
      <c r="AJ286" s="415"/>
      <c r="AK286" s="413" t="str">
        <f>Calcu_ADJ!K44</f>
        <v/>
      </c>
      <c r="AL286" s="414"/>
      <c r="AM286" s="414"/>
      <c r="AN286" s="414"/>
      <c r="AO286" s="415"/>
    </row>
    <row r="287" spans="1:41" ht="18.75" customHeight="1">
      <c r="A287" s="58"/>
      <c r="B287" s="413" t="str">
        <f>Calcu_ADJ!T45</f>
        <v/>
      </c>
      <c r="C287" s="414"/>
      <c r="D287" s="414"/>
      <c r="E287" s="414"/>
      <c r="F287" s="415"/>
      <c r="G287" s="413" t="str">
        <f>IF(Calcu_ADJ!B45=TRUE,Calcu_ADJ!E45*$H$245,"")</f>
        <v/>
      </c>
      <c r="H287" s="414"/>
      <c r="I287" s="414"/>
      <c r="J287" s="414"/>
      <c r="K287" s="415"/>
      <c r="L287" s="413" t="str">
        <f>IF(Calcu_ADJ!B45=TRUE,Calcu_ADJ!F45*H$245,"")</f>
        <v/>
      </c>
      <c r="M287" s="414"/>
      <c r="N287" s="414"/>
      <c r="O287" s="414"/>
      <c r="P287" s="415"/>
      <c r="Q287" s="413" t="str">
        <f>IF(Calcu_ADJ!B45=TRUE,Calcu_ADJ!G45*H$245,"")</f>
        <v/>
      </c>
      <c r="R287" s="414"/>
      <c r="S287" s="414"/>
      <c r="T287" s="414"/>
      <c r="U287" s="415"/>
      <c r="V287" s="413" t="str">
        <f>IF(Calcu_ADJ!B45=TRUE,Calcu_ADJ!H45*H$245,"")</f>
        <v/>
      </c>
      <c r="W287" s="414"/>
      <c r="X287" s="414"/>
      <c r="Y287" s="414"/>
      <c r="Z287" s="415"/>
      <c r="AA287" s="413" t="str">
        <f>IF(Calcu_ADJ!B45=TRUE,Calcu_ADJ!I45*H$245,"")</f>
        <v/>
      </c>
      <c r="AB287" s="414"/>
      <c r="AC287" s="414"/>
      <c r="AD287" s="414"/>
      <c r="AE287" s="415"/>
      <c r="AF287" s="413" t="str">
        <f>Calcu_ADJ!M45</f>
        <v/>
      </c>
      <c r="AG287" s="414"/>
      <c r="AH287" s="414"/>
      <c r="AI287" s="414"/>
      <c r="AJ287" s="415"/>
      <c r="AK287" s="413" t="str">
        <f>Calcu_ADJ!K45</f>
        <v/>
      </c>
      <c r="AL287" s="414"/>
      <c r="AM287" s="414"/>
      <c r="AN287" s="414"/>
      <c r="AO287" s="415"/>
    </row>
    <row r="288" spans="1:41" ht="18.75" customHeight="1">
      <c r="A288" s="58"/>
      <c r="B288" s="413" t="str">
        <f>Calcu_ADJ!T46</f>
        <v/>
      </c>
      <c r="C288" s="414"/>
      <c r="D288" s="414"/>
      <c r="E288" s="414"/>
      <c r="F288" s="415"/>
      <c r="G288" s="413" t="str">
        <f>IF(Calcu_ADJ!B46=TRUE,Calcu_ADJ!E46*$H$245,"")</f>
        <v/>
      </c>
      <c r="H288" s="414"/>
      <c r="I288" s="414"/>
      <c r="J288" s="414"/>
      <c r="K288" s="415"/>
      <c r="L288" s="413" t="str">
        <f>IF(Calcu_ADJ!B46=TRUE,Calcu_ADJ!F46*H$245,"")</f>
        <v/>
      </c>
      <c r="M288" s="414"/>
      <c r="N288" s="414"/>
      <c r="O288" s="414"/>
      <c r="P288" s="415"/>
      <c r="Q288" s="413" t="str">
        <f>IF(Calcu_ADJ!B46=TRUE,Calcu_ADJ!G46*H$245,"")</f>
        <v/>
      </c>
      <c r="R288" s="414"/>
      <c r="S288" s="414"/>
      <c r="T288" s="414"/>
      <c r="U288" s="415"/>
      <c r="V288" s="413" t="str">
        <f>IF(Calcu_ADJ!B46=TRUE,Calcu_ADJ!H46*H$245,"")</f>
        <v/>
      </c>
      <c r="W288" s="414"/>
      <c r="X288" s="414"/>
      <c r="Y288" s="414"/>
      <c r="Z288" s="415"/>
      <c r="AA288" s="413" t="str">
        <f>IF(Calcu_ADJ!B46=TRUE,Calcu_ADJ!I46*H$245,"")</f>
        <v/>
      </c>
      <c r="AB288" s="414"/>
      <c r="AC288" s="414"/>
      <c r="AD288" s="414"/>
      <c r="AE288" s="415"/>
      <c r="AF288" s="413" t="str">
        <f>Calcu_ADJ!M46</f>
        <v/>
      </c>
      <c r="AG288" s="414"/>
      <c r="AH288" s="414"/>
      <c r="AI288" s="414"/>
      <c r="AJ288" s="415"/>
      <c r="AK288" s="413" t="str">
        <f>Calcu_ADJ!K46</f>
        <v/>
      </c>
      <c r="AL288" s="414"/>
      <c r="AM288" s="414"/>
      <c r="AN288" s="414"/>
      <c r="AO288" s="415"/>
    </row>
    <row r="289" spans="1:46" ht="18.75" customHeight="1">
      <c r="A289" s="58"/>
      <c r="B289" s="413" t="str">
        <f>Calcu_ADJ!T47</f>
        <v/>
      </c>
      <c r="C289" s="414"/>
      <c r="D289" s="414"/>
      <c r="E289" s="414"/>
      <c r="F289" s="415"/>
      <c r="G289" s="413" t="str">
        <f>IF(Calcu_ADJ!B47=TRUE,Calcu_ADJ!E47*$H$245,"")</f>
        <v/>
      </c>
      <c r="H289" s="414"/>
      <c r="I289" s="414"/>
      <c r="J289" s="414"/>
      <c r="K289" s="415"/>
      <c r="L289" s="413" t="str">
        <f>IF(Calcu_ADJ!B47=TRUE,Calcu_ADJ!F47*H$245,"")</f>
        <v/>
      </c>
      <c r="M289" s="414"/>
      <c r="N289" s="414"/>
      <c r="O289" s="414"/>
      <c r="P289" s="415"/>
      <c r="Q289" s="413" t="str">
        <f>IF(Calcu_ADJ!B47=TRUE,Calcu_ADJ!G47*H$245,"")</f>
        <v/>
      </c>
      <c r="R289" s="414"/>
      <c r="S289" s="414"/>
      <c r="T289" s="414"/>
      <c r="U289" s="415"/>
      <c r="V289" s="413" t="str">
        <f>IF(Calcu_ADJ!B47=TRUE,Calcu_ADJ!H47*H$245,"")</f>
        <v/>
      </c>
      <c r="W289" s="414"/>
      <c r="X289" s="414"/>
      <c r="Y289" s="414"/>
      <c r="Z289" s="415"/>
      <c r="AA289" s="413" t="str">
        <f>IF(Calcu_ADJ!B47=TRUE,Calcu_ADJ!I47*H$245,"")</f>
        <v/>
      </c>
      <c r="AB289" s="414"/>
      <c r="AC289" s="414"/>
      <c r="AD289" s="414"/>
      <c r="AE289" s="415"/>
      <c r="AF289" s="413" t="str">
        <f>Calcu_ADJ!M47</f>
        <v/>
      </c>
      <c r="AG289" s="414"/>
      <c r="AH289" s="414"/>
      <c r="AI289" s="414"/>
      <c r="AJ289" s="415"/>
      <c r="AK289" s="413" t="str">
        <f>Calcu_ADJ!K47</f>
        <v/>
      </c>
      <c r="AL289" s="414"/>
      <c r="AM289" s="414"/>
      <c r="AN289" s="414"/>
      <c r="AO289" s="415"/>
    </row>
    <row r="290" spans="1:46" ht="18.75" customHeight="1">
      <c r="A290" s="58"/>
      <c r="B290" s="413" t="str">
        <f>Calcu_ADJ!T48</f>
        <v/>
      </c>
      <c r="C290" s="414"/>
      <c r="D290" s="414"/>
      <c r="E290" s="414"/>
      <c r="F290" s="415"/>
      <c r="G290" s="413" t="str">
        <f>IF(Calcu_ADJ!B48=TRUE,Calcu_ADJ!E48*$H$245,"")</f>
        <v/>
      </c>
      <c r="H290" s="414"/>
      <c r="I290" s="414"/>
      <c r="J290" s="414"/>
      <c r="K290" s="415"/>
      <c r="L290" s="413" t="str">
        <f>IF(Calcu_ADJ!B48=TRUE,Calcu_ADJ!F48*H$245,"")</f>
        <v/>
      </c>
      <c r="M290" s="414"/>
      <c r="N290" s="414"/>
      <c r="O290" s="414"/>
      <c r="P290" s="415"/>
      <c r="Q290" s="413" t="str">
        <f>IF(Calcu_ADJ!B48=TRUE,Calcu_ADJ!G48*H$245,"")</f>
        <v/>
      </c>
      <c r="R290" s="414"/>
      <c r="S290" s="414"/>
      <c r="T290" s="414"/>
      <c r="U290" s="415"/>
      <c r="V290" s="413" t="str">
        <f>IF(Calcu_ADJ!B48=TRUE,Calcu_ADJ!H48*H$245,"")</f>
        <v/>
      </c>
      <c r="W290" s="414"/>
      <c r="X290" s="414"/>
      <c r="Y290" s="414"/>
      <c r="Z290" s="415"/>
      <c r="AA290" s="413" t="str">
        <f>IF(Calcu_ADJ!B48=TRUE,Calcu_ADJ!I48*H$245,"")</f>
        <v/>
      </c>
      <c r="AB290" s="414"/>
      <c r="AC290" s="414"/>
      <c r="AD290" s="414"/>
      <c r="AE290" s="415"/>
      <c r="AF290" s="413" t="str">
        <f>Calcu_ADJ!M48</f>
        <v/>
      </c>
      <c r="AG290" s="414"/>
      <c r="AH290" s="414"/>
      <c r="AI290" s="414"/>
      <c r="AJ290" s="415"/>
      <c r="AK290" s="413" t="str">
        <f>Calcu_ADJ!K48</f>
        <v/>
      </c>
      <c r="AL290" s="414"/>
      <c r="AM290" s="414"/>
      <c r="AN290" s="414"/>
      <c r="AO290" s="415"/>
    </row>
    <row r="291" spans="1:46" ht="18.75" customHeight="1">
      <c r="A291" s="58"/>
      <c r="B291" s="413" t="str">
        <f>Calcu_ADJ!T49</f>
        <v/>
      </c>
      <c r="C291" s="414"/>
      <c r="D291" s="414"/>
      <c r="E291" s="414"/>
      <c r="F291" s="415"/>
      <c r="G291" s="413" t="str">
        <f>IF(Calcu_ADJ!B49=TRUE,Calcu_ADJ!E49*$H$245,"")</f>
        <v/>
      </c>
      <c r="H291" s="414"/>
      <c r="I291" s="414"/>
      <c r="J291" s="414"/>
      <c r="K291" s="415"/>
      <c r="L291" s="413" t="str">
        <f>IF(Calcu_ADJ!B49=TRUE,Calcu_ADJ!F49*H$245,"")</f>
        <v/>
      </c>
      <c r="M291" s="414"/>
      <c r="N291" s="414"/>
      <c r="O291" s="414"/>
      <c r="P291" s="415"/>
      <c r="Q291" s="413" t="str">
        <f>IF(Calcu_ADJ!B49=TRUE,Calcu_ADJ!G49*H$245,"")</f>
        <v/>
      </c>
      <c r="R291" s="414"/>
      <c r="S291" s="414"/>
      <c r="T291" s="414"/>
      <c r="U291" s="415"/>
      <c r="V291" s="413" t="str">
        <f>IF(Calcu_ADJ!B49=TRUE,Calcu_ADJ!H49*H$245,"")</f>
        <v/>
      </c>
      <c r="W291" s="414"/>
      <c r="X291" s="414"/>
      <c r="Y291" s="414"/>
      <c r="Z291" s="415"/>
      <c r="AA291" s="413" t="str">
        <f>IF(Calcu_ADJ!B49=TRUE,Calcu_ADJ!I49*H$245,"")</f>
        <v/>
      </c>
      <c r="AB291" s="414"/>
      <c r="AC291" s="414"/>
      <c r="AD291" s="414"/>
      <c r="AE291" s="415"/>
      <c r="AF291" s="413" t="str">
        <f>Calcu_ADJ!M49</f>
        <v/>
      </c>
      <c r="AG291" s="414"/>
      <c r="AH291" s="414"/>
      <c r="AI291" s="414"/>
      <c r="AJ291" s="415"/>
      <c r="AK291" s="413" t="str">
        <f>Calcu_ADJ!K49</f>
        <v/>
      </c>
      <c r="AL291" s="414"/>
      <c r="AM291" s="414"/>
      <c r="AN291" s="414"/>
      <c r="AO291" s="415"/>
    </row>
    <row r="292" spans="1:46" ht="18.75" customHeight="1">
      <c r="A292" s="58"/>
      <c r="B292" s="281"/>
      <c r="C292" s="281"/>
      <c r="D292" s="281"/>
      <c r="E292" s="281"/>
      <c r="F292" s="281"/>
      <c r="G292" s="281"/>
      <c r="H292" s="281"/>
      <c r="I292" s="281"/>
      <c r="J292" s="281"/>
      <c r="K292" s="281"/>
      <c r="L292" s="281"/>
      <c r="M292" s="281"/>
      <c r="N292" s="281"/>
      <c r="O292" s="281"/>
      <c r="P292" s="281"/>
      <c r="Q292" s="281"/>
      <c r="R292" s="281"/>
      <c r="S292" s="281"/>
      <c r="T292" s="281"/>
      <c r="U292" s="281"/>
      <c r="V292" s="281"/>
      <c r="W292" s="281"/>
      <c r="X292" s="281"/>
      <c r="Y292" s="281"/>
      <c r="Z292" s="281"/>
      <c r="AA292" s="281"/>
      <c r="AB292" s="281"/>
      <c r="AC292" s="281"/>
      <c r="AD292" s="281"/>
      <c r="AE292" s="281"/>
      <c r="AF292" s="281"/>
      <c r="AG292" s="281"/>
      <c r="AH292" s="281"/>
      <c r="AI292" s="281"/>
      <c r="AJ292" s="281"/>
      <c r="AK292" s="281"/>
      <c r="AL292" s="281"/>
      <c r="AM292" s="281"/>
      <c r="AN292" s="281"/>
      <c r="AO292" s="281"/>
      <c r="AP292" s="281"/>
      <c r="AQ292" s="281"/>
      <c r="AR292" s="281"/>
      <c r="AS292" s="281"/>
      <c r="AT292" s="281"/>
    </row>
    <row r="293" spans="1:46" ht="18.75" customHeight="1">
      <c r="A293" s="61" t="s">
        <v>256</v>
      </c>
      <c r="B293" s="284"/>
      <c r="C293" s="284"/>
      <c r="D293" s="284"/>
      <c r="E293" s="284"/>
      <c r="F293" s="284"/>
      <c r="G293" s="284"/>
      <c r="H293" s="284"/>
      <c r="I293" s="284"/>
      <c r="J293" s="284"/>
      <c r="K293" s="284"/>
      <c r="L293" s="284"/>
      <c r="M293" s="284"/>
      <c r="N293" s="284"/>
      <c r="O293" s="284"/>
      <c r="P293" s="284"/>
      <c r="Q293" s="284"/>
      <c r="R293" s="284"/>
      <c r="S293" s="284"/>
      <c r="T293" s="284"/>
      <c r="U293" s="284"/>
      <c r="V293" s="284"/>
      <c r="W293" s="284"/>
      <c r="X293" s="284"/>
      <c r="Y293" s="284"/>
      <c r="Z293" s="284"/>
      <c r="AA293" s="284"/>
      <c r="AB293" s="284"/>
      <c r="AC293" s="284"/>
      <c r="AD293" s="284"/>
      <c r="AE293" s="284"/>
      <c r="AF293" s="284"/>
      <c r="AG293" s="284"/>
      <c r="AH293" s="284"/>
      <c r="AI293" s="284"/>
      <c r="AJ293" s="284"/>
      <c r="AK293" s="284"/>
      <c r="AL293" s="284"/>
      <c r="AM293" s="284"/>
      <c r="AN293" s="284"/>
      <c r="AO293" s="284"/>
      <c r="AP293" s="284"/>
      <c r="AQ293" s="284"/>
      <c r="AR293" s="284"/>
      <c r="AS293" s="284"/>
      <c r="AT293" s="284"/>
    </row>
    <row r="294" spans="1:46" ht="18.75" customHeight="1">
      <c r="A294" s="284"/>
      <c r="B294" s="420"/>
      <c r="C294" s="421"/>
      <c r="D294" s="417"/>
      <c r="E294" s="418"/>
      <c r="F294" s="418"/>
      <c r="G294" s="419"/>
      <c r="H294" s="416">
        <v>1</v>
      </c>
      <c r="I294" s="416"/>
      <c r="J294" s="416"/>
      <c r="K294" s="416"/>
      <c r="L294" s="416"/>
      <c r="M294" s="416"/>
      <c r="N294" s="416"/>
      <c r="O294" s="416">
        <v>2</v>
      </c>
      <c r="P294" s="416"/>
      <c r="Q294" s="416"/>
      <c r="R294" s="416"/>
      <c r="S294" s="416"/>
      <c r="T294" s="416"/>
      <c r="U294" s="416"/>
      <c r="V294" s="416">
        <v>3</v>
      </c>
      <c r="W294" s="416"/>
      <c r="X294" s="416"/>
      <c r="Y294" s="416"/>
      <c r="Z294" s="416"/>
      <c r="AA294" s="417">
        <v>4</v>
      </c>
      <c r="AB294" s="418"/>
      <c r="AC294" s="418"/>
      <c r="AD294" s="418"/>
      <c r="AE294" s="418"/>
      <c r="AF294" s="418"/>
      <c r="AG294" s="419"/>
      <c r="AH294" s="416">
        <v>5</v>
      </c>
      <c r="AI294" s="416"/>
      <c r="AJ294" s="416"/>
      <c r="AK294" s="416"/>
      <c r="AL294" s="416"/>
      <c r="AM294" s="416"/>
      <c r="AN294" s="416"/>
      <c r="AO294" s="416"/>
      <c r="AP294" s="416">
        <v>6</v>
      </c>
      <c r="AQ294" s="416"/>
      <c r="AR294" s="416"/>
      <c r="AS294" s="416"/>
      <c r="AT294" s="284"/>
    </row>
    <row r="295" spans="1:46" ht="18.75" customHeight="1">
      <c r="A295" s="284"/>
      <c r="B295" s="422"/>
      <c r="C295" s="423"/>
      <c r="D295" s="420" t="s">
        <v>172</v>
      </c>
      <c r="E295" s="426"/>
      <c r="F295" s="426"/>
      <c r="G295" s="421"/>
      <c r="H295" s="434" t="s">
        <v>173</v>
      </c>
      <c r="I295" s="434"/>
      <c r="J295" s="434"/>
      <c r="K295" s="434"/>
      <c r="L295" s="434"/>
      <c r="M295" s="434"/>
      <c r="N295" s="434"/>
      <c r="O295" s="434" t="s">
        <v>176</v>
      </c>
      <c r="P295" s="434"/>
      <c r="Q295" s="434"/>
      <c r="R295" s="434"/>
      <c r="S295" s="434"/>
      <c r="T295" s="434"/>
      <c r="U295" s="434"/>
      <c r="V295" s="434" t="s">
        <v>177</v>
      </c>
      <c r="W295" s="434"/>
      <c r="X295" s="434"/>
      <c r="Y295" s="434"/>
      <c r="Z295" s="434"/>
      <c r="AA295" s="420" t="s">
        <v>178</v>
      </c>
      <c r="AB295" s="426"/>
      <c r="AC295" s="426"/>
      <c r="AD295" s="426"/>
      <c r="AE295" s="426"/>
      <c r="AF295" s="426"/>
      <c r="AG295" s="421"/>
      <c r="AH295" s="434" t="s">
        <v>257</v>
      </c>
      <c r="AI295" s="434"/>
      <c r="AJ295" s="434"/>
      <c r="AK295" s="434"/>
      <c r="AL295" s="434"/>
      <c r="AM295" s="434"/>
      <c r="AN295" s="434"/>
      <c r="AO295" s="434"/>
      <c r="AP295" s="434" t="s">
        <v>180</v>
      </c>
      <c r="AQ295" s="434"/>
      <c r="AR295" s="434"/>
      <c r="AS295" s="434"/>
      <c r="AT295" s="284"/>
    </row>
    <row r="296" spans="1:46" ht="18.75" customHeight="1">
      <c r="A296" s="284"/>
      <c r="B296" s="424"/>
      <c r="C296" s="425"/>
      <c r="D296" s="427" t="s">
        <v>258</v>
      </c>
      <c r="E296" s="428"/>
      <c r="F296" s="428"/>
      <c r="G296" s="429"/>
      <c r="H296" s="430" t="s">
        <v>338</v>
      </c>
      <c r="I296" s="430"/>
      <c r="J296" s="430"/>
      <c r="K296" s="430"/>
      <c r="L296" s="430"/>
      <c r="M296" s="430"/>
      <c r="N296" s="430"/>
      <c r="O296" s="430" t="s">
        <v>339</v>
      </c>
      <c r="P296" s="430"/>
      <c r="Q296" s="430"/>
      <c r="R296" s="430"/>
      <c r="S296" s="430"/>
      <c r="T296" s="430"/>
      <c r="U296" s="430"/>
      <c r="V296" s="430"/>
      <c r="W296" s="430"/>
      <c r="X296" s="430"/>
      <c r="Y296" s="430"/>
      <c r="Z296" s="430"/>
      <c r="AA296" s="431" t="s">
        <v>337</v>
      </c>
      <c r="AB296" s="432"/>
      <c r="AC296" s="432"/>
      <c r="AD296" s="432"/>
      <c r="AE296" s="432"/>
      <c r="AF296" s="432"/>
      <c r="AG296" s="433"/>
      <c r="AH296" s="430" t="s">
        <v>340</v>
      </c>
      <c r="AI296" s="430"/>
      <c r="AJ296" s="430"/>
      <c r="AK296" s="430"/>
      <c r="AL296" s="430"/>
      <c r="AM296" s="430"/>
      <c r="AN296" s="430"/>
      <c r="AO296" s="430"/>
      <c r="AP296" s="430"/>
      <c r="AQ296" s="430"/>
      <c r="AR296" s="430"/>
      <c r="AS296" s="430"/>
      <c r="AT296" s="284"/>
    </row>
    <row r="297" spans="1:46" ht="18.75" customHeight="1">
      <c r="A297" s="284"/>
      <c r="B297" s="416" t="s">
        <v>183</v>
      </c>
      <c r="C297" s="416"/>
      <c r="D297" s="435" t="s">
        <v>252</v>
      </c>
      <c r="E297" s="436"/>
      <c r="F297" s="436"/>
      <c r="G297" s="437"/>
      <c r="H297" s="438" t="e">
        <f ca="1">Calcu_ADJ!E54</f>
        <v>#N/A</v>
      </c>
      <c r="I297" s="439"/>
      <c r="J297" s="439"/>
      <c r="K297" s="439"/>
      <c r="L297" s="439"/>
      <c r="M297" s="440" t="str">
        <f>Calcu_ADJ!F54</f>
        <v>mm</v>
      </c>
      <c r="N297" s="441"/>
      <c r="O297" s="442" t="e">
        <f ca="1">Calcu_ADJ!J54</f>
        <v>#N/A</v>
      </c>
      <c r="P297" s="443"/>
      <c r="Q297" s="443"/>
      <c r="R297" s="443"/>
      <c r="S297" s="444" t="str">
        <f>Calcu_ADJ!K54</f>
        <v>μm</v>
      </c>
      <c r="T297" s="440"/>
      <c r="U297" s="441"/>
      <c r="V297" s="416" t="str">
        <f>Calcu_ADJ!L54</f>
        <v>정규</v>
      </c>
      <c r="W297" s="416"/>
      <c r="X297" s="416"/>
      <c r="Y297" s="416"/>
      <c r="Z297" s="416"/>
      <c r="AA297" s="417">
        <f>Calcu_ADJ!O54</f>
        <v>1</v>
      </c>
      <c r="AB297" s="418"/>
      <c r="AC297" s="418"/>
      <c r="AD297" s="418"/>
      <c r="AE297" s="418"/>
      <c r="AF297" s="418"/>
      <c r="AG297" s="419"/>
      <c r="AH297" s="442" t="e">
        <f ca="1">Calcu_ADJ!Q54</f>
        <v>#N/A</v>
      </c>
      <c r="AI297" s="443"/>
      <c r="AJ297" s="443"/>
      <c r="AK297" s="443"/>
      <c r="AL297" s="443"/>
      <c r="AM297" s="444" t="str">
        <f>Calcu_ADJ!R54</f>
        <v>μm</v>
      </c>
      <c r="AN297" s="444"/>
      <c r="AO297" s="445"/>
      <c r="AP297" s="416" t="str">
        <f>Calcu_ADJ!S54</f>
        <v>∞</v>
      </c>
      <c r="AQ297" s="416"/>
      <c r="AR297" s="416"/>
      <c r="AS297" s="416"/>
      <c r="AT297" s="284"/>
    </row>
    <row r="298" spans="1:46" ht="18.75" customHeight="1">
      <c r="A298" s="284"/>
      <c r="B298" s="416" t="s">
        <v>189</v>
      </c>
      <c r="C298" s="416"/>
      <c r="D298" s="435" t="s">
        <v>251</v>
      </c>
      <c r="E298" s="436"/>
      <c r="F298" s="436"/>
      <c r="G298" s="437"/>
      <c r="H298" s="438" t="e">
        <f ca="1">Calcu_ADJ!E55</f>
        <v>#N/A</v>
      </c>
      <c r="I298" s="439"/>
      <c r="J298" s="439"/>
      <c r="K298" s="439"/>
      <c r="L298" s="439"/>
      <c r="M298" s="440" t="str">
        <f>Calcu_ADJ!F55</f>
        <v>mm</v>
      </c>
      <c r="N298" s="441"/>
      <c r="O298" s="442">
        <f>Calcu_ADJ!J55</f>
        <v>0</v>
      </c>
      <c r="P298" s="443"/>
      <c r="Q298" s="443"/>
      <c r="R298" s="443"/>
      <c r="S298" s="444" t="str">
        <f>Calcu_ADJ!K55</f>
        <v>μm</v>
      </c>
      <c r="T298" s="440"/>
      <c r="U298" s="441"/>
      <c r="V298" s="416" t="str">
        <f>Calcu_ADJ!L55</f>
        <v>직사각형</v>
      </c>
      <c r="W298" s="416"/>
      <c r="X298" s="416"/>
      <c r="Y298" s="416"/>
      <c r="Z298" s="416"/>
      <c r="AA298" s="417">
        <f>Calcu_ADJ!O55</f>
        <v>-1</v>
      </c>
      <c r="AB298" s="418"/>
      <c r="AC298" s="418"/>
      <c r="AD298" s="418"/>
      <c r="AE298" s="418"/>
      <c r="AF298" s="418"/>
      <c r="AG298" s="419"/>
      <c r="AH298" s="442">
        <f>Calcu_ADJ!Q55</f>
        <v>0</v>
      </c>
      <c r="AI298" s="443"/>
      <c r="AJ298" s="443"/>
      <c r="AK298" s="443"/>
      <c r="AL298" s="443"/>
      <c r="AM298" s="444" t="str">
        <f>Calcu_ADJ!R55</f>
        <v>μm</v>
      </c>
      <c r="AN298" s="444"/>
      <c r="AO298" s="445"/>
      <c r="AP298" s="416" t="str">
        <f>Calcu_ADJ!S55</f>
        <v>∞</v>
      </c>
      <c r="AQ298" s="416"/>
      <c r="AR298" s="416"/>
      <c r="AS298" s="416"/>
      <c r="AT298" s="284"/>
    </row>
    <row r="299" spans="1:46" ht="18.75" customHeight="1">
      <c r="A299" s="284"/>
      <c r="B299" s="416" t="s">
        <v>82</v>
      </c>
      <c r="C299" s="416"/>
      <c r="D299" s="435"/>
      <c r="E299" s="436"/>
      <c r="F299" s="436"/>
      <c r="G299" s="437"/>
      <c r="H299" s="438" t="e">
        <f ca="1">Calcu_ADJ!E56</f>
        <v>#N/A</v>
      </c>
      <c r="I299" s="439"/>
      <c r="J299" s="439"/>
      <c r="K299" s="439"/>
      <c r="L299" s="439"/>
      <c r="M299" s="440" t="str">
        <f>Calcu_ADJ!F56</f>
        <v>/℃</v>
      </c>
      <c r="N299" s="441"/>
      <c r="O299" s="450">
        <f>Calcu_ADJ!J56</f>
        <v>4.0824829046386305E-7</v>
      </c>
      <c r="P299" s="440"/>
      <c r="Q299" s="440"/>
      <c r="R299" s="440"/>
      <c r="S299" s="444" t="str">
        <f>Calcu_ADJ!K56</f>
        <v>/℃</v>
      </c>
      <c r="T299" s="440"/>
      <c r="U299" s="441"/>
      <c r="V299" s="416" t="str">
        <f>Calcu_ADJ!L56</f>
        <v>삼각형</v>
      </c>
      <c r="W299" s="416"/>
      <c r="X299" s="416"/>
      <c r="Y299" s="416"/>
      <c r="Z299" s="416"/>
      <c r="AA299" s="446">
        <f>Calcu_ADJ!O56</f>
        <v>0</v>
      </c>
      <c r="AB299" s="447"/>
      <c r="AC299" s="447"/>
      <c r="AD299" s="447"/>
      <c r="AE299" s="448" t="str">
        <f>Calcu_ADJ!P56</f>
        <v>℃·μm</v>
      </c>
      <c r="AF299" s="448"/>
      <c r="AG299" s="449"/>
      <c r="AH299" s="442">
        <f>Calcu_ADJ!Q56</f>
        <v>0</v>
      </c>
      <c r="AI299" s="443"/>
      <c r="AJ299" s="443"/>
      <c r="AK299" s="443"/>
      <c r="AL299" s="443"/>
      <c r="AM299" s="444" t="str">
        <f>Calcu_ADJ!R56</f>
        <v>μm</v>
      </c>
      <c r="AN299" s="444"/>
      <c r="AO299" s="445"/>
      <c r="AP299" s="416">
        <f>Calcu_ADJ!S56</f>
        <v>100</v>
      </c>
      <c r="AQ299" s="416"/>
      <c r="AR299" s="416"/>
      <c r="AS299" s="416"/>
      <c r="AT299" s="284"/>
    </row>
    <row r="300" spans="1:46" ht="18.75" customHeight="1">
      <c r="A300" s="284"/>
      <c r="B300" s="416" t="s">
        <v>83</v>
      </c>
      <c r="C300" s="416"/>
      <c r="D300" s="435" t="s">
        <v>155</v>
      </c>
      <c r="E300" s="436"/>
      <c r="F300" s="436"/>
      <c r="G300" s="437"/>
      <c r="H300" s="438" t="str">
        <f>Calcu_ADJ!E57</f>
        <v/>
      </c>
      <c r="I300" s="439"/>
      <c r="J300" s="439"/>
      <c r="K300" s="439"/>
      <c r="L300" s="439"/>
      <c r="M300" s="440" t="str">
        <f>Calcu_ADJ!F57</f>
        <v>℃</v>
      </c>
      <c r="N300" s="441"/>
      <c r="O300" s="442">
        <f>Calcu_ADJ!J57</f>
        <v>0.28867513459481292</v>
      </c>
      <c r="P300" s="443"/>
      <c r="Q300" s="443"/>
      <c r="R300" s="443"/>
      <c r="S300" s="444" t="str">
        <f>Calcu_ADJ!K57</f>
        <v>℃</v>
      </c>
      <c r="T300" s="440"/>
      <c r="U300" s="441"/>
      <c r="V300" s="416" t="str">
        <f>Calcu_ADJ!L57</f>
        <v>직사각형</v>
      </c>
      <c r="W300" s="416"/>
      <c r="X300" s="416"/>
      <c r="Y300" s="416"/>
      <c r="Z300" s="416"/>
      <c r="AA300" s="446" t="e">
        <f ca="1">Calcu_ADJ!O57</f>
        <v>#N/A</v>
      </c>
      <c r="AB300" s="447"/>
      <c r="AC300" s="447"/>
      <c r="AD300" s="447"/>
      <c r="AE300" s="448" t="str">
        <f>Calcu_ADJ!P57</f>
        <v>/℃·μm</v>
      </c>
      <c r="AF300" s="448"/>
      <c r="AG300" s="449"/>
      <c r="AH300" s="442" t="e">
        <f ca="1">Calcu_ADJ!Q57</f>
        <v>#N/A</v>
      </c>
      <c r="AI300" s="443"/>
      <c r="AJ300" s="443"/>
      <c r="AK300" s="443"/>
      <c r="AL300" s="443"/>
      <c r="AM300" s="444" t="str">
        <f>Calcu_ADJ!R57</f>
        <v>μm</v>
      </c>
      <c r="AN300" s="444"/>
      <c r="AO300" s="445"/>
      <c r="AP300" s="416">
        <f>Calcu_ADJ!S57</f>
        <v>12</v>
      </c>
      <c r="AQ300" s="416"/>
      <c r="AR300" s="416"/>
      <c r="AS300" s="416"/>
      <c r="AT300" s="284"/>
    </row>
    <row r="301" spans="1:46" ht="18.75" customHeight="1">
      <c r="A301" s="284"/>
      <c r="B301" s="416" t="s">
        <v>196</v>
      </c>
      <c r="C301" s="416"/>
      <c r="D301" s="435" t="s">
        <v>156</v>
      </c>
      <c r="E301" s="436"/>
      <c r="F301" s="436"/>
      <c r="G301" s="437"/>
      <c r="H301" s="438" t="e">
        <f ca="1">Calcu_ADJ!E58</f>
        <v>#N/A</v>
      </c>
      <c r="I301" s="439"/>
      <c r="J301" s="439"/>
      <c r="K301" s="439"/>
      <c r="L301" s="439"/>
      <c r="M301" s="440" t="str">
        <f>Calcu_ADJ!F58</f>
        <v>/℃</v>
      </c>
      <c r="N301" s="441"/>
      <c r="O301" s="450">
        <f>Calcu_ADJ!J58</f>
        <v>8.1649658092772609E-7</v>
      </c>
      <c r="P301" s="440"/>
      <c r="Q301" s="440"/>
      <c r="R301" s="440"/>
      <c r="S301" s="444" t="str">
        <f>Calcu_ADJ!K58</f>
        <v>/℃</v>
      </c>
      <c r="T301" s="440"/>
      <c r="U301" s="441"/>
      <c r="V301" s="416" t="str">
        <f>Calcu_ADJ!L58</f>
        <v>삼각형</v>
      </c>
      <c r="W301" s="416"/>
      <c r="X301" s="416"/>
      <c r="Y301" s="416"/>
      <c r="Z301" s="416"/>
      <c r="AA301" s="446">
        <f>Calcu_ADJ!O58</f>
        <v>0</v>
      </c>
      <c r="AB301" s="447"/>
      <c r="AC301" s="447"/>
      <c r="AD301" s="447"/>
      <c r="AE301" s="448" t="str">
        <f>Calcu_ADJ!P58</f>
        <v>℃·μm</v>
      </c>
      <c r="AF301" s="448"/>
      <c r="AG301" s="449"/>
      <c r="AH301" s="442">
        <f>Calcu_ADJ!Q58</f>
        <v>0</v>
      </c>
      <c r="AI301" s="443"/>
      <c r="AJ301" s="443"/>
      <c r="AK301" s="443"/>
      <c r="AL301" s="443"/>
      <c r="AM301" s="444" t="str">
        <f>Calcu_ADJ!R58</f>
        <v>μm</v>
      </c>
      <c r="AN301" s="444"/>
      <c r="AO301" s="445"/>
      <c r="AP301" s="416">
        <f>Calcu_ADJ!S58</f>
        <v>100</v>
      </c>
      <c r="AQ301" s="416"/>
      <c r="AR301" s="416"/>
      <c r="AS301" s="416"/>
      <c r="AT301" s="284"/>
    </row>
    <row r="302" spans="1:46" ht="18.75" customHeight="1">
      <c r="A302" s="284"/>
      <c r="B302" s="416" t="s">
        <v>199</v>
      </c>
      <c r="C302" s="416"/>
      <c r="D302" s="435" t="s">
        <v>157</v>
      </c>
      <c r="E302" s="436"/>
      <c r="F302" s="436"/>
      <c r="G302" s="437"/>
      <c r="H302" s="438">
        <f>Calcu_ADJ!E59</f>
        <v>0.1</v>
      </c>
      <c r="I302" s="439"/>
      <c r="J302" s="439"/>
      <c r="K302" s="439"/>
      <c r="L302" s="439"/>
      <c r="M302" s="440" t="str">
        <f>Calcu_ADJ!F59</f>
        <v>℃</v>
      </c>
      <c r="N302" s="441"/>
      <c r="O302" s="442">
        <f>Calcu_ADJ!J59</f>
        <v>0.57735026918962584</v>
      </c>
      <c r="P302" s="443"/>
      <c r="Q302" s="443"/>
      <c r="R302" s="443"/>
      <c r="S302" s="444" t="str">
        <f>Calcu_ADJ!K59</f>
        <v>℃</v>
      </c>
      <c r="T302" s="440"/>
      <c r="U302" s="441"/>
      <c r="V302" s="416" t="str">
        <f>Calcu_ADJ!L59</f>
        <v>직사각형</v>
      </c>
      <c r="W302" s="416"/>
      <c r="X302" s="416"/>
      <c r="Y302" s="416"/>
      <c r="Z302" s="416"/>
      <c r="AA302" s="446" t="e">
        <f ca="1">Calcu_ADJ!O59</f>
        <v>#N/A</v>
      </c>
      <c r="AB302" s="447"/>
      <c r="AC302" s="447"/>
      <c r="AD302" s="447"/>
      <c r="AE302" s="448" t="str">
        <f>Calcu_ADJ!P59</f>
        <v>/℃·μm</v>
      </c>
      <c r="AF302" s="448"/>
      <c r="AG302" s="449"/>
      <c r="AH302" s="442" t="e">
        <f ca="1">Calcu_ADJ!Q59</f>
        <v>#N/A</v>
      </c>
      <c r="AI302" s="443"/>
      <c r="AJ302" s="443"/>
      <c r="AK302" s="443"/>
      <c r="AL302" s="443"/>
      <c r="AM302" s="444" t="str">
        <f>Calcu_ADJ!R59</f>
        <v>μm</v>
      </c>
      <c r="AN302" s="444"/>
      <c r="AO302" s="445"/>
      <c r="AP302" s="416">
        <f>Calcu_ADJ!S59</f>
        <v>12</v>
      </c>
      <c r="AQ302" s="416"/>
      <c r="AR302" s="416"/>
      <c r="AS302" s="416"/>
      <c r="AT302" s="284"/>
    </row>
    <row r="303" spans="1:46" ht="18.75" customHeight="1">
      <c r="A303" s="284"/>
      <c r="B303" s="416" t="s">
        <v>200</v>
      </c>
      <c r="C303" s="416"/>
      <c r="D303" s="435" t="s">
        <v>510</v>
      </c>
      <c r="E303" s="436"/>
      <c r="F303" s="436"/>
      <c r="G303" s="437"/>
      <c r="H303" s="438">
        <f>Calcu_ADJ!E60</f>
        <v>0</v>
      </c>
      <c r="I303" s="439"/>
      <c r="J303" s="439"/>
      <c r="K303" s="439"/>
      <c r="L303" s="439"/>
      <c r="M303" s="440" t="str">
        <f>Calcu_ADJ!F60</f>
        <v>mm</v>
      </c>
      <c r="N303" s="441"/>
      <c r="O303" s="442">
        <f>Calcu_ADJ!J60</f>
        <v>0</v>
      </c>
      <c r="P303" s="443"/>
      <c r="Q303" s="443"/>
      <c r="R303" s="443"/>
      <c r="S303" s="444" t="str">
        <f>Calcu_ADJ!K60</f>
        <v>μm</v>
      </c>
      <c r="T303" s="440"/>
      <c r="U303" s="441"/>
      <c r="V303" s="416" t="str">
        <f>Calcu_ADJ!L60</f>
        <v>직사각형</v>
      </c>
      <c r="W303" s="416"/>
      <c r="X303" s="416"/>
      <c r="Y303" s="416"/>
      <c r="Z303" s="416"/>
      <c r="AA303" s="417">
        <f>Calcu_ADJ!O60</f>
        <v>1</v>
      </c>
      <c r="AB303" s="418"/>
      <c r="AC303" s="418"/>
      <c r="AD303" s="418"/>
      <c r="AE303" s="418"/>
      <c r="AF303" s="418"/>
      <c r="AG303" s="419"/>
      <c r="AH303" s="442">
        <f>Calcu_ADJ!Q60</f>
        <v>0</v>
      </c>
      <c r="AI303" s="443"/>
      <c r="AJ303" s="443"/>
      <c r="AK303" s="443"/>
      <c r="AL303" s="443"/>
      <c r="AM303" s="444" t="str">
        <f>Calcu_ADJ!R60</f>
        <v>μm</v>
      </c>
      <c r="AN303" s="444"/>
      <c r="AO303" s="445"/>
      <c r="AP303" s="416" t="str">
        <f>Calcu_ADJ!S60</f>
        <v>∞</v>
      </c>
      <c r="AQ303" s="416"/>
      <c r="AR303" s="416"/>
      <c r="AS303" s="416"/>
      <c r="AT303" s="284"/>
    </row>
    <row r="304" spans="1:46" ht="18.75" customHeight="1">
      <c r="A304" s="284"/>
      <c r="B304" s="416" t="s">
        <v>203</v>
      </c>
      <c r="C304" s="416"/>
      <c r="D304" s="435" t="s">
        <v>381</v>
      </c>
      <c r="E304" s="436"/>
      <c r="F304" s="436"/>
      <c r="G304" s="437"/>
      <c r="H304" s="438">
        <f>Calcu_ADJ!E61</f>
        <v>0</v>
      </c>
      <c r="I304" s="439"/>
      <c r="J304" s="439"/>
      <c r="K304" s="439"/>
      <c r="L304" s="439"/>
      <c r="M304" s="440" t="str">
        <f>Calcu_ADJ!F61</f>
        <v>mm</v>
      </c>
      <c r="N304" s="441"/>
      <c r="O304" s="442">
        <f>Calcu_ADJ!J61</f>
        <v>0</v>
      </c>
      <c r="P304" s="443"/>
      <c r="Q304" s="443"/>
      <c r="R304" s="443"/>
      <c r="S304" s="444" t="str">
        <f>Calcu_ADJ!K61</f>
        <v>μm</v>
      </c>
      <c r="T304" s="440"/>
      <c r="U304" s="441"/>
      <c r="V304" s="416" t="str">
        <f>Calcu_ADJ!L61</f>
        <v>직사각형</v>
      </c>
      <c r="W304" s="416"/>
      <c r="X304" s="416"/>
      <c r="Y304" s="416"/>
      <c r="Z304" s="416"/>
      <c r="AA304" s="417">
        <f>Calcu_ADJ!O61</f>
        <v>1</v>
      </c>
      <c r="AB304" s="418"/>
      <c r="AC304" s="418"/>
      <c r="AD304" s="418"/>
      <c r="AE304" s="418"/>
      <c r="AF304" s="418"/>
      <c r="AG304" s="419"/>
      <c r="AH304" s="442">
        <f>Calcu_ADJ!Q61</f>
        <v>0</v>
      </c>
      <c r="AI304" s="443"/>
      <c r="AJ304" s="443"/>
      <c r="AK304" s="443"/>
      <c r="AL304" s="443"/>
      <c r="AM304" s="444" t="str">
        <f>Calcu_ADJ!R61</f>
        <v>μm</v>
      </c>
      <c r="AN304" s="444"/>
      <c r="AO304" s="445"/>
      <c r="AP304" s="416" t="str">
        <f>Calcu_ADJ!S61</f>
        <v>∞</v>
      </c>
      <c r="AQ304" s="416"/>
      <c r="AR304" s="416"/>
      <c r="AS304" s="416"/>
      <c r="AT304" s="284"/>
    </row>
    <row r="305" spans="1:56" ht="18.75" customHeight="1">
      <c r="A305" s="284"/>
      <c r="B305" s="416" t="s">
        <v>205</v>
      </c>
      <c r="C305" s="416"/>
      <c r="D305" s="435" t="s">
        <v>325</v>
      </c>
      <c r="E305" s="436"/>
      <c r="F305" s="436"/>
      <c r="G305" s="437"/>
      <c r="H305" s="438" t="e">
        <f ca="1">Calcu_ADJ!E62</f>
        <v>#N/A</v>
      </c>
      <c r="I305" s="439"/>
      <c r="J305" s="439"/>
      <c r="K305" s="439"/>
      <c r="L305" s="439"/>
      <c r="M305" s="440" t="str">
        <f>Calcu_ADJ!F62</f>
        <v>mm</v>
      </c>
      <c r="N305" s="441"/>
      <c r="O305" s="417"/>
      <c r="P305" s="418"/>
      <c r="Q305" s="418"/>
      <c r="R305" s="418"/>
      <c r="S305" s="418"/>
      <c r="T305" s="418"/>
      <c r="U305" s="419"/>
      <c r="V305" s="416"/>
      <c r="W305" s="416"/>
      <c r="X305" s="416"/>
      <c r="Y305" s="416"/>
      <c r="Z305" s="416"/>
      <c r="AA305" s="417"/>
      <c r="AB305" s="418"/>
      <c r="AC305" s="418"/>
      <c r="AD305" s="418"/>
      <c r="AE305" s="418"/>
      <c r="AF305" s="418"/>
      <c r="AG305" s="419"/>
      <c r="AH305" s="442" t="e">
        <f ca="1">Calcu_ADJ!Q62</f>
        <v>#N/A</v>
      </c>
      <c r="AI305" s="443"/>
      <c r="AJ305" s="443"/>
      <c r="AK305" s="443"/>
      <c r="AL305" s="443"/>
      <c r="AM305" s="444" t="str">
        <f>Calcu_ADJ!R62</f>
        <v>μm</v>
      </c>
      <c r="AN305" s="444"/>
      <c r="AO305" s="445"/>
      <c r="AP305" s="416" t="e">
        <f ca="1">Calcu_ADJ!S62</f>
        <v>#N/A</v>
      </c>
      <c r="AQ305" s="416"/>
      <c r="AR305" s="416"/>
      <c r="AS305" s="416"/>
      <c r="AT305" s="284"/>
    </row>
    <row r="306" spans="1:56" ht="18.75" customHeight="1">
      <c r="A306" s="284"/>
      <c r="B306" s="284"/>
      <c r="C306" s="284"/>
      <c r="D306" s="284"/>
      <c r="E306" s="284"/>
      <c r="F306" s="284"/>
      <c r="G306" s="284"/>
      <c r="H306" s="284"/>
      <c r="I306" s="284"/>
      <c r="J306" s="284"/>
      <c r="K306" s="284"/>
      <c r="L306" s="284"/>
      <c r="M306" s="284"/>
      <c r="N306" s="284"/>
      <c r="O306" s="284"/>
      <c r="P306" s="284"/>
      <c r="Q306" s="284"/>
      <c r="R306" s="284"/>
      <c r="S306" s="284"/>
      <c r="T306" s="284"/>
      <c r="U306" s="284"/>
      <c r="V306" s="284"/>
      <c r="W306" s="284"/>
      <c r="X306" s="284"/>
      <c r="Y306" s="284"/>
      <c r="Z306" s="284"/>
      <c r="AA306" s="284"/>
      <c r="AB306" s="284"/>
      <c r="AC306" s="284"/>
      <c r="AD306" s="284"/>
      <c r="AE306" s="284"/>
      <c r="AF306" s="284"/>
      <c r="AG306" s="284"/>
      <c r="AH306" s="284"/>
      <c r="AI306" s="284"/>
      <c r="AJ306" s="284"/>
      <c r="AK306" s="284"/>
      <c r="AL306" s="284"/>
      <c r="AM306" s="284"/>
      <c r="AN306" s="284"/>
      <c r="AO306" s="284"/>
      <c r="AP306" s="284"/>
      <c r="AQ306" s="284"/>
      <c r="AR306" s="284"/>
      <c r="AS306" s="284"/>
      <c r="AT306" s="284"/>
    </row>
    <row r="307" spans="1:56" ht="18.75" customHeight="1">
      <c r="A307" s="58" t="s">
        <v>335</v>
      </c>
      <c r="B307" s="284"/>
      <c r="C307" s="284"/>
      <c r="D307" s="284"/>
      <c r="E307" s="284"/>
      <c r="F307" s="284"/>
      <c r="G307" s="284"/>
      <c r="H307" s="284"/>
      <c r="I307" s="284"/>
      <c r="J307" s="284"/>
      <c r="K307" s="284"/>
      <c r="L307" s="284"/>
      <c r="M307" s="284"/>
      <c r="N307" s="284"/>
      <c r="O307" s="284"/>
      <c r="P307" s="284"/>
      <c r="Q307" s="284"/>
      <c r="R307" s="284"/>
      <c r="S307" s="284"/>
      <c r="T307" s="284"/>
      <c r="U307" s="284"/>
      <c r="V307" s="284"/>
      <c r="W307" s="284"/>
      <c r="X307" s="284"/>
      <c r="Y307" s="284"/>
      <c r="Z307" s="284"/>
      <c r="AA307" s="284"/>
      <c r="AB307" s="284"/>
      <c r="AC307" s="284"/>
      <c r="AD307" s="284"/>
      <c r="AE307" s="284"/>
      <c r="AF307" s="284"/>
      <c r="AG307" s="284"/>
      <c r="AH307" s="284"/>
      <c r="AI307" s="284"/>
      <c r="AJ307" s="284"/>
      <c r="AK307" s="284"/>
      <c r="AL307" s="284"/>
      <c r="AM307" s="284"/>
      <c r="AN307" s="284"/>
      <c r="AO307" s="284"/>
      <c r="AP307" s="284"/>
      <c r="AQ307" s="284"/>
      <c r="AR307" s="284"/>
      <c r="AS307" s="284"/>
      <c r="AT307" s="284"/>
      <c r="AU307" s="284"/>
      <c r="AV307" s="284"/>
      <c r="AW307" s="284"/>
      <c r="AX307" s="284"/>
      <c r="AY307" s="284"/>
      <c r="AZ307" s="284"/>
      <c r="BA307" s="284"/>
      <c r="BB307" s="284"/>
      <c r="BC307" s="284"/>
      <c r="BD307" s="284"/>
    </row>
    <row r="308" spans="1:56" ht="18.75" customHeight="1">
      <c r="A308" s="284"/>
      <c r="B308" s="284"/>
      <c r="C308" s="284"/>
      <c r="D308" s="284"/>
      <c r="E308" s="60"/>
      <c r="F308" s="284"/>
      <c r="G308" s="284"/>
      <c r="H308" s="283" t="s">
        <v>321</v>
      </c>
      <c r="I308" s="451" t="e">
        <f ca="1">Calcu_ADJ!E77</f>
        <v>#N/A</v>
      </c>
      <c r="J308" s="451"/>
      <c r="K308" s="451"/>
      <c r="L308" s="285" t="s">
        <v>319</v>
      </c>
      <c r="M308" s="452" t="e">
        <f ca="1">AH305</f>
        <v>#N/A</v>
      </c>
      <c r="N308" s="452"/>
      <c r="O308" s="452"/>
      <c r="P308" s="452"/>
      <c r="Q308" s="284" t="s">
        <v>322</v>
      </c>
      <c r="R308" s="453" t="e">
        <f ca="1">I308*M308</f>
        <v>#N/A</v>
      </c>
      <c r="S308" s="453"/>
      <c r="T308" s="453"/>
      <c r="U308" s="453"/>
      <c r="V308" s="281"/>
      <c r="W308" s="282"/>
      <c r="AL308" s="284"/>
      <c r="AM308" s="284"/>
      <c r="AN308" s="284"/>
      <c r="AO308" s="284"/>
      <c r="AP308" s="284"/>
      <c r="AQ308" s="284"/>
      <c r="AR308" s="284"/>
      <c r="AS308" s="284"/>
      <c r="AT308" s="284"/>
    </row>
  </sheetData>
  <mergeCells count="1198">
    <mergeCell ref="AZ220:BA221"/>
    <mergeCell ref="AE96:AF96"/>
    <mergeCell ref="AI96:AJ96"/>
    <mergeCell ref="AL96:AN96"/>
    <mergeCell ref="N98:P98"/>
    <mergeCell ref="AB137:AC138"/>
    <mergeCell ref="AC96:AC97"/>
    <mergeCell ref="L180:N180"/>
    <mergeCell ref="S180:V180"/>
    <mergeCell ref="Y180:AA180"/>
    <mergeCell ref="I177:P177"/>
    <mergeCell ref="L207:M207"/>
    <mergeCell ref="AA178:AC179"/>
    <mergeCell ref="AD178:AE179"/>
    <mergeCell ref="AF178:AF179"/>
    <mergeCell ref="AG178:AI179"/>
    <mergeCell ref="AJ178:AP179"/>
    <mergeCell ref="S202:S203"/>
    <mergeCell ref="H123:J123"/>
    <mergeCell ref="J124:W125"/>
    <mergeCell ref="J126:Z127"/>
    <mergeCell ref="AA126:AE126"/>
    <mergeCell ref="AF126:AF127"/>
    <mergeCell ref="AG126:AL127"/>
    <mergeCell ref="AY220:AY221"/>
    <mergeCell ref="L221:O221"/>
    <mergeCell ref="P221:P222"/>
    <mergeCell ref="Q221:T221"/>
    <mergeCell ref="U221:U222"/>
    <mergeCell ref="V221:Y221"/>
    <mergeCell ref="Z221:Z222"/>
    <mergeCell ref="AA221:AD221"/>
    <mergeCell ref="AB162:AB163"/>
    <mergeCell ref="AC162:AF163"/>
    <mergeCell ref="I161:P161"/>
    <mergeCell ref="Z167:AA168"/>
    <mergeCell ref="Z148:AB149"/>
    <mergeCell ref="AC148:AD149"/>
    <mergeCell ref="H144:O144"/>
    <mergeCell ref="R145:R146"/>
    <mergeCell ref="AF148:AH149"/>
    <mergeCell ref="AG162:AM163"/>
    <mergeCell ref="L164:O164"/>
    <mergeCell ref="AA164:AC164"/>
    <mergeCell ref="S162:T163"/>
    <mergeCell ref="AI148:AO149"/>
    <mergeCell ref="L150:N150"/>
    <mergeCell ref="S150:V150"/>
    <mergeCell ref="Y150:AA150"/>
    <mergeCell ref="AE148:AE149"/>
    <mergeCell ref="Y148:Y149"/>
    <mergeCell ref="AF132:AL133"/>
    <mergeCell ref="AG129:AK130"/>
    <mergeCell ref="I131:P131"/>
    <mergeCell ref="B49:F49"/>
    <mergeCell ref="G49:K49"/>
    <mergeCell ref="L49:P49"/>
    <mergeCell ref="Q49:U49"/>
    <mergeCell ref="V49:Z49"/>
    <mergeCell ref="AA49:AE49"/>
    <mergeCell ref="AF49:AJ49"/>
    <mergeCell ref="AK49:AO49"/>
    <mergeCell ref="B50:F50"/>
    <mergeCell ref="G50:K50"/>
    <mergeCell ref="L50:P50"/>
    <mergeCell ref="Q50:U50"/>
    <mergeCell ref="V50:Z50"/>
    <mergeCell ref="AA50:AE50"/>
    <mergeCell ref="AF50:AJ50"/>
    <mergeCell ref="AK50:AO50"/>
    <mergeCell ref="I108:M108"/>
    <mergeCell ref="N108:O108"/>
    <mergeCell ref="Q109:S109"/>
    <mergeCell ref="I115:P115"/>
    <mergeCell ref="C100:H101"/>
    <mergeCell ref="N100:O101"/>
    <mergeCell ref="L102:M102"/>
    <mergeCell ref="V102:X102"/>
    <mergeCell ref="I99:P99"/>
    <mergeCell ref="P96:P97"/>
    <mergeCell ref="N97:O97"/>
    <mergeCell ref="AH84:AL84"/>
    <mergeCell ref="R96:S96"/>
    <mergeCell ref="B46:F46"/>
    <mergeCell ref="G46:K46"/>
    <mergeCell ref="L46:P46"/>
    <mergeCell ref="Q46:U46"/>
    <mergeCell ref="V46:Z46"/>
    <mergeCell ref="AA46:AE46"/>
    <mergeCell ref="AF46:AJ46"/>
    <mergeCell ref="AK46:AO46"/>
    <mergeCell ref="B47:F47"/>
    <mergeCell ref="G47:K47"/>
    <mergeCell ref="L47:P47"/>
    <mergeCell ref="Q47:U47"/>
    <mergeCell ref="V47:Z47"/>
    <mergeCell ref="AA47:AE47"/>
    <mergeCell ref="AF47:AJ47"/>
    <mergeCell ref="AK47:AO47"/>
    <mergeCell ref="B48:F48"/>
    <mergeCell ref="G48:K48"/>
    <mergeCell ref="L48:P48"/>
    <mergeCell ref="Q48:U48"/>
    <mergeCell ref="V48:Z48"/>
    <mergeCell ref="AA48:AE48"/>
    <mergeCell ref="AF48:AJ48"/>
    <mergeCell ref="AK48:AO48"/>
    <mergeCell ref="B43:F43"/>
    <mergeCell ref="G43:K43"/>
    <mergeCell ref="L43:P43"/>
    <mergeCell ref="Q43:U43"/>
    <mergeCell ref="V43:Z43"/>
    <mergeCell ref="AA43:AE43"/>
    <mergeCell ref="AF43:AJ43"/>
    <mergeCell ref="AK43:AO43"/>
    <mergeCell ref="B44:F44"/>
    <mergeCell ref="G44:K44"/>
    <mergeCell ref="L44:P44"/>
    <mergeCell ref="Q44:U44"/>
    <mergeCell ref="V44:Z44"/>
    <mergeCell ref="AA44:AE44"/>
    <mergeCell ref="AF44:AJ44"/>
    <mergeCell ref="AK44:AO44"/>
    <mergeCell ref="B45:F45"/>
    <mergeCell ref="G45:K45"/>
    <mergeCell ref="L45:P45"/>
    <mergeCell ref="Q45:U45"/>
    <mergeCell ref="V45:Z45"/>
    <mergeCell ref="AA45:AE45"/>
    <mergeCell ref="AF45:AJ45"/>
    <mergeCell ref="AK45:AO45"/>
    <mergeCell ref="B40:F40"/>
    <mergeCell ref="G40:K40"/>
    <mergeCell ref="L40:P40"/>
    <mergeCell ref="Q40:U40"/>
    <mergeCell ref="V40:Z40"/>
    <mergeCell ref="AA40:AE40"/>
    <mergeCell ref="AF40:AJ40"/>
    <mergeCell ref="AK40:AO40"/>
    <mergeCell ref="B41:F41"/>
    <mergeCell ref="G41:K41"/>
    <mergeCell ref="L41:P41"/>
    <mergeCell ref="Q41:U41"/>
    <mergeCell ref="V41:Z41"/>
    <mergeCell ref="AA41:AE41"/>
    <mergeCell ref="AF41:AJ41"/>
    <mergeCell ref="AK41:AO41"/>
    <mergeCell ref="B42:F42"/>
    <mergeCell ref="G42:K42"/>
    <mergeCell ref="L42:P42"/>
    <mergeCell ref="Q42:U42"/>
    <mergeCell ref="V42:Z42"/>
    <mergeCell ref="AA42:AE42"/>
    <mergeCell ref="AF42:AJ42"/>
    <mergeCell ref="AK42:AO42"/>
    <mergeCell ref="AE221:AE222"/>
    <mergeCell ref="AF221:AI221"/>
    <mergeCell ref="AJ221:AJ222"/>
    <mergeCell ref="AK221:AN221"/>
    <mergeCell ref="AO221:AO222"/>
    <mergeCell ref="AP221:AS221"/>
    <mergeCell ref="AT221:AT222"/>
    <mergeCell ref="AU221:AX221"/>
    <mergeCell ref="V222:Y222"/>
    <mergeCell ref="AA222:AD222"/>
    <mergeCell ref="AF222:AI222"/>
    <mergeCell ref="AP222:AS222"/>
    <mergeCell ref="AA132:AA133"/>
    <mergeCell ref="AA134:AC134"/>
    <mergeCell ref="R235:U235"/>
    <mergeCell ref="I235:K235"/>
    <mergeCell ref="M235:P235"/>
    <mergeCell ref="O214:Q214"/>
    <mergeCell ref="M214:N214"/>
    <mergeCell ref="L222:O222"/>
    <mergeCell ref="Q222:T222"/>
    <mergeCell ref="AK222:AN222"/>
    <mergeCell ref="T213:V213"/>
    <mergeCell ref="Y213:Z213"/>
    <mergeCell ref="AA213:AC213"/>
    <mergeCell ref="AF213:AG213"/>
    <mergeCell ref="AH213:AJ213"/>
    <mergeCell ref="AM213:AN213"/>
    <mergeCell ref="AB188:AC189"/>
    <mergeCell ref="N188:N189"/>
    <mergeCell ref="K188:M189"/>
    <mergeCell ref="AB132:AE133"/>
    <mergeCell ref="F217:H217"/>
    <mergeCell ref="V178:Y179"/>
    <mergeCell ref="C132:H133"/>
    <mergeCell ref="R132:S133"/>
    <mergeCell ref="T132:U133"/>
    <mergeCell ref="V132:X133"/>
    <mergeCell ref="Y132:Z133"/>
    <mergeCell ref="H174:O174"/>
    <mergeCell ref="R175:R176"/>
    <mergeCell ref="H156:J156"/>
    <mergeCell ref="C165:G166"/>
    <mergeCell ref="L220:AX220"/>
    <mergeCell ref="AU222:AX222"/>
    <mergeCell ref="H186:O186"/>
    <mergeCell ref="J145:L146"/>
    <mergeCell ref="M145:M146"/>
    <mergeCell ref="C191:H192"/>
    <mergeCell ref="L193:M193"/>
    <mergeCell ref="S178:U179"/>
    <mergeCell ref="I190:P190"/>
    <mergeCell ref="C181:G182"/>
    <mergeCell ref="T188:U188"/>
    <mergeCell ref="M175:M176"/>
    <mergeCell ref="R148:T149"/>
    <mergeCell ref="U148:X149"/>
    <mergeCell ref="C151:G152"/>
    <mergeCell ref="J175:L176"/>
    <mergeCell ref="Y188:AA189"/>
    <mergeCell ref="C135:G136"/>
    <mergeCell ref="U162:V163"/>
    <mergeCell ref="W162:Y163"/>
    <mergeCell ref="Z162:AA163"/>
    <mergeCell ref="V96:W96"/>
    <mergeCell ref="Q97:AB97"/>
    <mergeCell ref="O102:Q102"/>
    <mergeCell ref="R102:S102"/>
    <mergeCell ref="Y118:Z118"/>
    <mergeCell ref="V113:V114"/>
    <mergeCell ref="W113:Y114"/>
    <mergeCell ref="Z113:AA114"/>
    <mergeCell ref="V110:V111"/>
    <mergeCell ref="W110:Y111"/>
    <mergeCell ref="Z110:AA111"/>
    <mergeCell ref="L118:M118"/>
    <mergeCell ref="O118:Q118"/>
    <mergeCell ref="R118:S118"/>
    <mergeCell ref="V118:X118"/>
    <mergeCell ref="N113:O113"/>
    <mergeCell ref="P113:P114"/>
    <mergeCell ref="Q113:S113"/>
    <mergeCell ref="N114:O114"/>
    <mergeCell ref="Q114:U114"/>
    <mergeCell ref="N110:O110"/>
    <mergeCell ref="P110:P111"/>
    <mergeCell ref="Q110:S110"/>
    <mergeCell ref="Q111:U111"/>
    <mergeCell ref="T110:U110"/>
    <mergeCell ref="N111:O111"/>
    <mergeCell ref="T113:U113"/>
    <mergeCell ref="Y102:Z102"/>
    <mergeCell ref="AM83:AO83"/>
    <mergeCell ref="AP83:AS83"/>
    <mergeCell ref="O80:R80"/>
    <mergeCell ref="S80:U80"/>
    <mergeCell ref="V80:Z80"/>
    <mergeCell ref="D82:G82"/>
    <mergeCell ref="H82:L82"/>
    <mergeCell ref="M82:N82"/>
    <mergeCell ref="O82:R82"/>
    <mergeCell ref="S82:U82"/>
    <mergeCell ref="V82:Z82"/>
    <mergeCell ref="D81:G81"/>
    <mergeCell ref="H81:L81"/>
    <mergeCell ref="AE83:AG83"/>
    <mergeCell ref="D83:G83"/>
    <mergeCell ref="H83:L83"/>
    <mergeCell ref="M83:N83"/>
    <mergeCell ref="O83:R83"/>
    <mergeCell ref="AA81:AD81"/>
    <mergeCell ref="AE81:AG81"/>
    <mergeCell ref="AH81:AL81"/>
    <mergeCell ref="AH82:AL82"/>
    <mergeCell ref="AM82:AO82"/>
    <mergeCell ref="AP82:AS82"/>
    <mergeCell ref="C66:E66"/>
    <mergeCell ref="B75:C77"/>
    <mergeCell ref="D75:G75"/>
    <mergeCell ref="H75:N75"/>
    <mergeCell ref="O75:U75"/>
    <mergeCell ref="D76:G76"/>
    <mergeCell ref="H76:N76"/>
    <mergeCell ref="O76:U76"/>
    <mergeCell ref="C60:E60"/>
    <mergeCell ref="C61:E61"/>
    <mergeCell ref="C62:E62"/>
    <mergeCell ref="C63:E63"/>
    <mergeCell ref="C64:E64"/>
    <mergeCell ref="C65:E65"/>
    <mergeCell ref="D77:G77"/>
    <mergeCell ref="H77:N77"/>
    <mergeCell ref="O77:U77"/>
    <mergeCell ref="C59:E59"/>
    <mergeCell ref="B31:F31"/>
    <mergeCell ref="G31:K31"/>
    <mergeCell ref="L31:P31"/>
    <mergeCell ref="Q31:U31"/>
    <mergeCell ref="V31:Z31"/>
    <mergeCell ref="AA31:AE31"/>
    <mergeCell ref="B33:F33"/>
    <mergeCell ref="G33:K33"/>
    <mergeCell ref="L33:P33"/>
    <mergeCell ref="Q33:U33"/>
    <mergeCell ref="V33:Z33"/>
    <mergeCell ref="AA33:AE33"/>
    <mergeCell ref="B35:F35"/>
    <mergeCell ref="G35:K35"/>
    <mergeCell ref="L35:P35"/>
    <mergeCell ref="Q35:U35"/>
    <mergeCell ref="V35:Z35"/>
    <mergeCell ref="AA35:AE35"/>
    <mergeCell ref="B37:F37"/>
    <mergeCell ref="B32:F32"/>
    <mergeCell ref="AA34:AE34"/>
    <mergeCell ref="AA37:AE37"/>
    <mergeCell ref="G39:K39"/>
    <mergeCell ref="B36:F36"/>
    <mergeCell ref="G36:K36"/>
    <mergeCell ref="L36:P36"/>
    <mergeCell ref="Q36:U36"/>
    <mergeCell ref="V36:Z36"/>
    <mergeCell ref="AA36:AE36"/>
    <mergeCell ref="B38:F38"/>
    <mergeCell ref="G38:K38"/>
    <mergeCell ref="C56:E56"/>
    <mergeCell ref="AF31:AJ31"/>
    <mergeCell ref="AK31:AO31"/>
    <mergeCell ref="G32:K32"/>
    <mergeCell ref="L32:P32"/>
    <mergeCell ref="Q32:U32"/>
    <mergeCell ref="V32:Z32"/>
    <mergeCell ref="AA32:AE32"/>
    <mergeCell ref="AF32:AJ32"/>
    <mergeCell ref="AK32:AO32"/>
    <mergeCell ref="AF33:AJ33"/>
    <mergeCell ref="AK33:AO33"/>
    <mergeCell ref="B34:F34"/>
    <mergeCell ref="G34:K34"/>
    <mergeCell ref="L34:P34"/>
    <mergeCell ref="Q34:U34"/>
    <mergeCell ref="AA51:AE51"/>
    <mergeCell ref="AF34:AJ34"/>
    <mergeCell ref="AK34:AO34"/>
    <mergeCell ref="AF35:AJ35"/>
    <mergeCell ref="AK35:AO35"/>
    <mergeCell ref="AF36:AJ36"/>
    <mergeCell ref="AK36:AO36"/>
    <mergeCell ref="AF37:AJ37"/>
    <mergeCell ref="AK37:AO37"/>
    <mergeCell ref="L38:P38"/>
    <mergeCell ref="Q38:U38"/>
    <mergeCell ref="V38:Z38"/>
    <mergeCell ref="AA38:AE38"/>
    <mergeCell ref="AF38:AJ38"/>
    <mergeCell ref="AK38:AO38"/>
    <mergeCell ref="L39:P39"/>
    <mergeCell ref="B21:F21"/>
    <mergeCell ref="G21:K21"/>
    <mergeCell ref="L21:P21"/>
    <mergeCell ref="Q21:U21"/>
    <mergeCell ref="V21:Z21"/>
    <mergeCell ref="AA21:AE21"/>
    <mergeCell ref="AF21:AJ21"/>
    <mergeCell ref="AK21:AO21"/>
    <mergeCell ref="B22:F22"/>
    <mergeCell ref="G22:K22"/>
    <mergeCell ref="L22:P22"/>
    <mergeCell ref="Q22:U22"/>
    <mergeCell ref="V22:Z22"/>
    <mergeCell ref="B24:F24"/>
    <mergeCell ref="G24:K24"/>
    <mergeCell ref="L24:P24"/>
    <mergeCell ref="Q24:U24"/>
    <mergeCell ref="V24:Z24"/>
    <mergeCell ref="AA24:AE24"/>
    <mergeCell ref="AF24:AJ24"/>
    <mergeCell ref="AK24:AO24"/>
    <mergeCell ref="B23:F23"/>
    <mergeCell ref="G23:K23"/>
    <mergeCell ref="AA23:AE23"/>
    <mergeCell ref="AF23:AJ23"/>
    <mergeCell ref="AA22:AE22"/>
    <mergeCell ref="B18:F18"/>
    <mergeCell ref="G18:K18"/>
    <mergeCell ref="L18:P18"/>
    <mergeCell ref="Q18:U18"/>
    <mergeCell ref="V18:Z18"/>
    <mergeCell ref="AA18:AE18"/>
    <mergeCell ref="AF18:AJ18"/>
    <mergeCell ref="AK18:AO18"/>
    <mergeCell ref="B17:F17"/>
    <mergeCell ref="G17:K17"/>
    <mergeCell ref="L17:P17"/>
    <mergeCell ref="Q17:U17"/>
    <mergeCell ref="V17:Z17"/>
    <mergeCell ref="B20:F20"/>
    <mergeCell ref="G20:K20"/>
    <mergeCell ref="L20:P20"/>
    <mergeCell ref="Q20:U20"/>
    <mergeCell ref="V20:Z20"/>
    <mergeCell ref="AA20:AE20"/>
    <mergeCell ref="AF20:AJ20"/>
    <mergeCell ref="AK20:AO20"/>
    <mergeCell ref="B19:F19"/>
    <mergeCell ref="G19:K19"/>
    <mergeCell ref="L19:P19"/>
    <mergeCell ref="Q19:U19"/>
    <mergeCell ref="V19:Z19"/>
    <mergeCell ref="B16:F16"/>
    <mergeCell ref="G16:K16"/>
    <mergeCell ref="L16:P16"/>
    <mergeCell ref="Q16:U16"/>
    <mergeCell ref="V13:Z13"/>
    <mergeCell ref="AA17:AE17"/>
    <mergeCell ref="AF17:AJ17"/>
    <mergeCell ref="AK17:AO17"/>
    <mergeCell ref="V16:Z16"/>
    <mergeCell ref="AA16:AE16"/>
    <mergeCell ref="AF16:AJ16"/>
    <mergeCell ref="B15:F15"/>
    <mergeCell ref="G15:K15"/>
    <mergeCell ref="L15:P15"/>
    <mergeCell ref="AF14:AJ14"/>
    <mergeCell ref="AK14:AO14"/>
    <mergeCell ref="Q15:U15"/>
    <mergeCell ref="V15:Z15"/>
    <mergeCell ref="AA15:AE15"/>
    <mergeCell ref="AF15:AJ15"/>
    <mergeCell ref="AK15:AO15"/>
    <mergeCell ref="B13:F13"/>
    <mergeCell ref="AF8:AJ9"/>
    <mergeCell ref="AK8:AO9"/>
    <mergeCell ref="AF12:AJ12"/>
    <mergeCell ref="AK12:AO12"/>
    <mergeCell ref="AK10:AO10"/>
    <mergeCell ref="AF11:AJ11"/>
    <mergeCell ref="AK11:AO11"/>
    <mergeCell ref="AF10:AJ10"/>
    <mergeCell ref="AF13:AJ13"/>
    <mergeCell ref="AK13:AO13"/>
    <mergeCell ref="AK16:AO16"/>
    <mergeCell ref="AA19:AE19"/>
    <mergeCell ref="AF19:AJ19"/>
    <mergeCell ref="AK19:AO19"/>
    <mergeCell ref="AK22:AO22"/>
    <mergeCell ref="AK23:AO23"/>
    <mergeCell ref="G9:K9"/>
    <mergeCell ref="L9:P9"/>
    <mergeCell ref="Q9:U9"/>
    <mergeCell ref="G12:K12"/>
    <mergeCell ref="L12:P12"/>
    <mergeCell ref="Q12:U12"/>
    <mergeCell ref="V12:Z12"/>
    <mergeCell ref="AA12:AE12"/>
    <mergeCell ref="AA14:AE14"/>
    <mergeCell ref="G13:K13"/>
    <mergeCell ref="L13:P13"/>
    <mergeCell ref="Q13:U13"/>
    <mergeCell ref="AF22:AJ22"/>
    <mergeCell ref="L23:P23"/>
    <mergeCell ref="Q23:U23"/>
    <mergeCell ref="V23:Z23"/>
    <mergeCell ref="Q25:U25"/>
    <mergeCell ref="V25:Z25"/>
    <mergeCell ref="AF51:AJ51"/>
    <mergeCell ref="AA30:AE30"/>
    <mergeCell ref="AF30:AJ30"/>
    <mergeCell ref="AK30:AO30"/>
    <mergeCell ref="AA29:AE29"/>
    <mergeCell ref="AF29:AJ29"/>
    <mergeCell ref="AK29:AO29"/>
    <mergeCell ref="AF28:AJ28"/>
    <mergeCell ref="AK28:AO28"/>
    <mergeCell ref="V26:Z26"/>
    <mergeCell ref="AA26:AE26"/>
    <mergeCell ref="AF26:AJ26"/>
    <mergeCell ref="AF25:AJ25"/>
    <mergeCell ref="AK26:AO26"/>
    <mergeCell ref="V27:Z27"/>
    <mergeCell ref="AF27:AJ27"/>
    <mergeCell ref="AK27:AO27"/>
    <mergeCell ref="Q39:U39"/>
    <mergeCell ref="V39:Z39"/>
    <mergeCell ref="AA39:AE39"/>
    <mergeCell ref="AF39:AJ39"/>
    <mergeCell ref="AK39:AO39"/>
    <mergeCell ref="AK25:AO25"/>
    <mergeCell ref="M78:N78"/>
    <mergeCell ref="O78:R78"/>
    <mergeCell ref="S78:U78"/>
    <mergeCell ref="AA76:AG76"/>
    <mergeCell ref="AA78:AG78"/>
    <mergeCell ref="M79:N79"/>
    <mergeCell ref="AA86:AG86"/>
    <mergeCell ref="AH86:AL86"/>
    <mergeCell ref="AP84:AS84"/>
    <mergeCell ref="S83:U83"/>
    <mergeCell ref="V83:Z83"/>
    <mergeCell ref="AA83:AD83"/>
    <mergeCell ref="D84:G84"/>
    <mergeCell ref="H84:L84"/>
    <mergeCell ref="AP85:AS85"/>
    <mergeCell ref="D85:G85"/>
    <mergeCell ref="H85:L85"/>
    <mergeCell ref="O85:R85"/>
    <mergeCell ref="S85:U85"/>
    <mergeCell ref="V85:Z85"/>
    <mergeCell ref="AA85:AG85"/>
    <mergeCell ref="AH85:AL85"/>
    <mergeCell ref="AM85:AO85"/>
    <mergeCell ref="M85:N85"/>
    <mergeCell ref="AM86:AO86"/>
    <mergeCell ref="AP86:AS86"/>
    <mergeCell ref="M86:N86"/>
    <mergeCell ref="AM84:AO84"/>
    <mergeCell ref="S84:U84"/>
    <mergeCell ref="AM81:AO81"/>
    <mergeCell ref="AP81:AS81"/>
    <mergeCell ref="AH83:AL83"/>
    <mergeCell ref="AP76:AS76"/>
    <mergeCell ref="AP77:AS77"/>
    <mergeCell ref="AP75:AS75"/>
    <mergeCell ref="V75:Z75"/>
    <mergeCell ref="AA75:AG75"/>
    <mergeCell ref="AH75:AO75"/>
    <mergeCell ref="AA80:AD80"/>
    <mergeCell ref="AE80:AG80"/>
    <mergeCell ref="AH76:AO76"/>
    <mergeCell ref="V77:Z77"/>
    <mergeCell ref="AA77:AG77"/>
    <mergeCell ref="AH77:AO77"/>
    <mergeCell ref="AP79:AS79"/>
    <mergeCell ref="AH78:AL78"/>
    <mergeCell ref="AM78:AO78"/>
    <mergeCell ref="AP78:AS78"/>
    <mergeCell ref="AM80:AO80"/>
    <mergeCell ref="AP80:AS80"/>
    <mergeCell ref="V76:Z76"/>
    <mergeCell ref="AH80:AL80"/>
    <mergeCell ref="V79:Z79"/>
    <mergeCell ref="AA79:AG79"/>
    <mergeCell ref="AH79:AL79"/>
    <mergeCell ref="AM79:AO79"/>
    <mergeCell ref="O79:R79"/>
    <mergeCell ref="AK51:AO51"/>
    <mergeCell ref="H4:M4"/>
    <mergeCell ref="B5:G5"/>
    <mergeCell ref="H5:M5"/>
    <mergeCell ref="B14:F14"/>
    <mergeCell ref="G14:K14"/>
    <mergeCell ref="L14:P14"/>
    <mergeCell ref="Q14:U14"/>
    <mergeCell ref="V14:Z14"/>
    <mergeCell ref="G10:K10"/>
    <mergeCell ref="L10:P10"/>
    <mergeCell ref="Q10:U10"/>
    <mergeCell ref="V10:Z10"/>
    <mergeCell ref="B8:F9"/>
    <mergeCell ref="G8:AE8"/>
    <mergeCell ref="AA13:AE13"/>
    <mergeCell ref="V9:Z9"/>
    <mergeCell ref="AA9:AE9"/>
    <mergeCell ref="B11:F11"/>
    <mergeCell ref="G11:K11"/>
    <mergeCell ref="L11:P11"/>
    <mergeCell ref="Q11:U11"/>
    <mergeCell ref="V11:Z11"/>
    <mergeCell ref="AA11:AE11"/>
    <mergeCell ref="AA10:AE10"/>
    <mergeCell ref="B10:F10"/>
    <mergeCell ref="B29:F29"/>
    <mergeCell ref="V29:Z29"/>
    <mergeCell ref="AA27:AE27"/>
    <mergeCell ref="D78:G78"/>
    <mergeCell ref="H78:L78"/>
    <mergeCell ref="F215:H215"/>
    <mergeCell ref="C194:G195"/>
    <mergeCell ref="H200:O200"/>
    <mergeCell ref="O188:R188"/>
    <mergeCell ref="S188:S189"/>
    <mergeCell ref="X188:X189"/>
    <mergeCell ref="O189:R189"/>
    <mergeCell ref="T189:W189"/>
    <mergeCell ref="M213:O213"/>
    <mergeCell ref="R213:S213"/>
    <mergeCell ref="J96:L97"/>
    <mergeCell ref="M96:M97"/>
    <mergeCell ref="J110:L111"/>
    <mergeCell ref="M110:M111"/>
    <mergeCell ref="J113:L114"/>
    <mergeCell ref="M113:M114"/>
    <mergeCell ref="L26:P26"/>
    <mergeCell ref="Q26:U26"/>
    <mergeCell ref="B27:F27"/>
    <mergeCell ref="G27:K27"/>
    <mergeCell ref="L27:P27"/>
    <mergeCell ref="Q27:U27"/>
    <mergeCell ref="B30:F30"/>
    <mergeCell ref="G30:K30"/>
    <mergeCell ref="L30:P30"/>
    <mergeCell ref="B28:F28"/>
    <mergeCell ref="G28:K28"/>
    <mergeCell ref="L28:P28"/>
    <mergeCell ref="Q28:U28"/>
    <mergeCell ref="V28:Z28"/>
    <mergeCell ref="S81:U81"/>
    <mergeCell ref="V81:Z81"/>
    <mergeCell ref="N93:O93"/>
    <mergeCell ref="P93:P94"/>
    <mergeCell ref="Q94:V94"/>
    <mergeCell ref="AD97:AS97"/>
    <mergeCell ref="X93:Z94"/>
    <mergeCell ref="AA93:AB94"/>
    <mergeCell ref="N4:S4"/>
    <mergeCell ref="T4:Y4"/>
    <mergeCell ref="N5:S5"/>
    <mergeCell ref="T5:Y5"/>
    <mergeCell ref="B25:F25"/>
    <mergeCell ref="G25:K25"/>
    <mergeCell ref="L25:P25"/>
    <mergeCell ref="B26:F26"/>
    <mergeCell ref="G26:K26"/>
    <mergeCell ref="J93:L94"/>
    <mergeCell ref="M93:M94"/>
    <mergeCell ref="H80:L80"/>
    <mergeCell ref="M80:N80"/>
    <mergeCell ref="B81:C81"/>
    <mergeCell ref="B79:C79"/>
    <mergeCell ref="I91:M91"/>
    <mergeCell ref="N91:O91"/>
    <mergeCell ref="AA25:AE25"/>
    <mergeCell ref="B12:F12"/>
    <mergeCell ref="C58:E58"/>
    <mergeCell ref="C57:E57"/>
    <mergeCell ref="M84:N84"/>
    <mergeCell ref="O84:R84"/>
    <mergeCell ref="M81:N81"/>
    <mergeCell ref="O81:R81"/>
    <mergeCell ref="B4:G4"/>
    <mergeCell ref="C205:H206"/>
    <mergeCell ref="C208:G209"/>
    <mergeCell ref="AA28:AE28"/>
    <mergeCell ref="V84:Z84"/>
    <mergeCell ref="AA84:AG84"/>
    <mergeCell ref="V51:Z51"/>
    <mergeCell ref="V30:Z30"/>
    <mergeCell ref="Q30:U30"/>
    <mergeCell ref="V34:Z34"/>
    <mergeCell ref="G37:K37"/>
    <mergeCell ref="L37:P37"/>
    <mergeCell ref="Q37:U37"/>
    <mergeCell ref="V37:Z37"/>
    <mergeCell ref="B39:F39"/>
    <mergeCell ref="D79:G79"/>
    <mergeCell ref="V78:Z78"/>
    <mergeCell ref="S79:U79"/>
    <mergeCell ref="G29:K29"/>
    <mergeCell ref="L29:P29"/>
    <mergeCell ref="Q29:U29"/>
    <mergeCell ref="B51:F51"/>
    <mergeCell ref="G51:K51"/>
    <mergeCell ref="L51:P51"/>
    <mergeCell ref="Q51:U51"/>
    <mergeCell ref="C178:H179"/>
    <mergeCell ref="T109:U109"/>
    <mergeCell ref="B78:C78"/>
    <mergeCell ref="B82:C82"/>
    <mergeCell ref="AA82:AD82"/>
    <mergeCell ref="AE82:AG82"/>
    <mergeCell ref="B84:C84"/>
    <mergeCell ref="P187:R187"/>
    <mergeCell ref="C124:I125"/>
    <mergeCell ref="C145:I146"/>
    <mergeCell ref="N145:O145"/>
    <mergeCell ref="S145:U146"/>
    <mergeCell ref="V145:W146"/>
    <mergeCell ref="C175:I176"/>
    <mergeCell ref="N175:O175"/>
    <mergeCell ref="S175:U176"/>
    <mergeCell ref="V175:W176"/>
    <mergeCell ref="L134:O134"/>
    <mergeCell ref="Z178:Z179"/>
    <mergeCell ref="C162:H163"/>
    <mergeCell ref="I147:P147"/>
    <mergeCell ref="C148:H149"/>
    <mergeCell ref="B85:C85"/>
    <mergeCell ref="H79:L79"/>
    <mergeCell ref="C93:I94"/>
    <mergeCell ref="C96:I97"/>
    <mergeCell ref="N94:O94"/>
    <mergeCell ref="Q93:S93"/>
    <mergeCell ref="W93:W94"/>
    <mergeCell ref="N96:O96"/>
    <mergeCell ref="B86:C86"/>
    <mergeCell ref="D86:G86"/>
    <mergeCell ref="H86:L86"/>
    <mergeCell ref="O86:U86"/>
    <mergeCell ref="V86:Z86"/>
    <mergeCell ref="C116:H117"/>
    <mergeCell ref="N116:O117"/>
    <mergeCell ref="B80:C80"/>
    <mergeCell ref="D80:G80"/>
    <mergeCell ref="B83:C83"/>
    <mergeCell ref="I308:K308"/>
    <mergeCell ref="M308:P308"/>
    <mergeCell ref="R308:U308"/>
    <mergeCell ref="AA305:AG305"/>
    <mergeCell ref="AH305:AL305"/>
    <mergeCell ref="AM305:AO305"/>
    <mergeCell ref="AP305:AS305"/>
    <mergeCell ref="B305:C305"/>
    <mergeCell ref="D305:G305"/>
    <mergeCell ref="H305:L305"/>
    <mergeCell ref="M305:N305"/>
    <mergeCell ref="O305:U305"/>
    <mergeCell ref="V305:Z305"/>
    <mergeCell ref="O207:Q207"/>
    <mergeCell ref="V207:X207"/>
    <mergeCell ref="N191:O192"/>
    <mergeCell ref="N202:N203"/>
    <mergeCell ref="O202:P202"/>
    <mergeCell ref="T202:V203"/>
    <mergeCell ref="W202:X203"/>
    <mergeCell ref="N205:O206"/>
    <mergeCell ref="V193:X193"/>
    <mergeCell ref="O193:Q193"/>
    <mergeCell ref="O201:Q201"/>
    <mergeCell ref="O203:R203"/>
    <mergeCell ref="I204:P204"/>
    <mergeCell ref="K202:M203"/>
    <mergeCell ref="F214:G214"/>
    <mergeCell ref="H214:J214"/>
    <mergeCell ref="AO213:AQ213"/>
    <mergeCell ref="F213:H213"/>
    <mergeCell ref="K213:L213"/>
    <mergeCell ref="B304:C304"/>
    <mergeCell ref="D304:G304"/>
    <mergeCell ref="H304:L304"/>
    <mergeCell ref="M304:N304"/>
    <mergeCell ref="O304:R304"/>
    <mergeCell ref="B303:C303"/>
    <mergeCell ref="D303:G303"/>
    <mergeCell ref="H303:L303"/>
    <mergeCell ref="M303:N303"/>
    <mergeCell ref="O303:R303"/>
    <mergeCell ref="S304:U304"/>
    <mergeCell ref="V304:Z304"/>
    <mergeCell ref="AA304:AG304"/>
    <mergeCell ref="AH304:AL304"/>
    <mergeCell ref="AM304:AO304"/>
    <mergeCell ref="AP304:AS304"/>
    <mergeCell ref="V303:Z303"/>
    <mergeCell ref="AA303:AG303"/>
    <mergeCell ref="AH303:AL303"/>
    <mergeCell ref="AM303:AO303"/>
    <mergeCell ref="AP303:AS303"/>
    <mergeCell ref="S303:U303"/>
    <mergeCell ref="V301:Z301"/>
    <mergeCell ref="AA301:AD301"/>
    <mergeCell ref="AE301:AG301"/>
    <mergeCell ref="AH301:AL301"/>
    <mergeCell ref="AM301:AO301"/>
    <mergeCell ref="AP301:AS301"/>
    <mergeCell ref="B301:C301"/>
    <mergeCell ref="D301:G301"/>
    <mergeCell ref="H301:L301"/>
    <mergeCell ref="M301:N301"/>
    <mergeCell ref="O301:R301"/>
    <mergeCell ref="S301:U301"/>
    <mergeCell ref="V302:Z302"/>
    <mergeCell ref="AA302:AD302"/>
    <mergeCell ref="AE302:AG302"/>
    <mergeCell ref="AH302:AL302"/>
    <mergeCell ref="AM302:AO302"/>
    <mergeCell ref="AP302:AS302"/>
    <mergeCell ref="B302:C302"/>
    <mergeCell ref="D302:G302"/>
    <mergeCell ref="H302:L302"/>
    <mergeCell ref="M302:N302"/>
    <mergeCell ref="O302:R302"/>
    <mergeCell ref="S302:U302"/>
    <mergeCell ref="V299:Z299"/>
    <mergeCell ref="AA299:AD299"/>
    <mergeCell ref="AE299:AG299"/>
    <mergeCell ref="AH299:AL299"/>
    <mergeCell ref="AM299:AO299"/>
    <mergeCell ref="AP299:AS299"/>
    <mergeCell ref="B299:C299"/>
    <mergeCell ref="D299:G299"/>
    <mergeCell ref="H299:L299"/>
    <mergeCell ref="M299:N299"/>
    <mergeCell ref="O299:R299"/>
    <mergeCell ref="S299:U299"/>
    <mergeCell ref="V300:Z300"/>
    <mergeCell ref="AA300:AD300"/>
    <mergeCell ref="AE300:AG300"/>
    <mergeCell ref="AH300:AL300"/>
    <mergeCell ref="AM300:AO300"/>
    <mergeCell ref="AP300:AS300"/>
    <mergeCell ref="B300:C300"/>
    <mergeCell ref="D300:G300"/>
    <mergeCell ref="H300:L300"/>
    <mergeCell ref="M300:N300"/>
    <mergeCell ref="O300:R300"/>
    <mergeCell ref="S300:U300"/>
    <mergeCell ref="B298:C298"/>
    <mergeCell ref="D298:G298"/>
    <mergeCell ref="H298:L298"/>
    <mergeCell ref="M298:N298"/>
    <mergeCell ref="O298:R298"/>
    <mergeCell ref="B297:C297"/>
    <mergeCell ref="D297:G297"/>
    <mergeCell ref="H297:L297"/>
    <mergeCell ref="M297:N297"/>
    <mergeCell ref="O297:R297"/>
    <mergeCell ref="S298:U298"/>
    <mergeCell ref="V298:Z298"/>
    <mergeCell ref="AA298:AG298"/>
    <mergeCell ref="AH298:AL298"/>
    <mergeCell ref="AM298:AO298"/>
    <mergeCell ref="AP298:AS298"/>
    <mergeCell ref="V297:Z297"/>
    <mergeCell ref="AA297:AG297"/>
    <mergeCell ref="AH297:AL297"/>
    <mergeCell ref="AM297:AO297"/>
    <mergeCell ref="AP297:AS297"/>
    <mergeCell ref="S297:U297"/>
    <mergeCell ref="H294:N294"/>
    <mergeCell ref="O294:U294"/>
    <mergeCell ref="V294:Z294"/>
    <mergeCell ref="AA294:AG294"/>
    <mergeCell ref="AH294:AO294"/>
    <mergeCell ref="AP294:AS294"/>
    <mergeCell ref="B294:C296"/>
    <mergeCell ref="D294:G294"/>
    <mergeCell ref="D295:G295"/>
    <mergeCell ref="D296:G296"/>
    <mergeCell ref="H296:N296"/>
    <mergeCell ref="O296:U296"/>
    <mergeCell ref="V296:Z296"/>
    <mergeCell ref="AA296:AG296"/>
    <mergeCell ref="AH296:AO296"/>
    <mergeCell ref="AP296:AS296"/>
    <mergeCell ref="H295:N295"/>
    <mergeCell ref="O295:U295"/>
    <mergeCell ref="V295:Z295"/>
    <mergeCell ref="AA295:AG295"/>
    <mergeCell ref="AH295:AO295"/>
    <mergeCell ref="AP295:AS295"/>
    <mergeCell ref="B289:F289"/>
    <mergeCell ref="G289:K289"/>
    <mergeCell ref="L289:P289"/>
    <mergeCell ref="Q289:U289"/>
    <mergeCell ref="V289:Z289"/>
    <mergeCell ref="AA289:AE289"/>
    <mergeCell ref="AF289:AJ289"/>
    <mergeCell ref="AK289:AO289"/>
    <mergeCell ref="B288:F288"/>
    <mergeCell ref="G288:K288"/>
    <mergeCell ref="L288:P288"/>
    <mergeCell ref="Q288:U288"/>
    <mergeCell ref="V288:Z288"/>
    <mergeCell ref="AA288:AE288"/>
    <mergeCell ref="AF290:AJ290"/>
    <mergeCell ref="AK290:AO290"/>
    <mergeCell ref="B291:F291"/>
    <mergeCell ref="G291:K291"/>
    <mergeCell ref="L291:P291"/>
    <mergeCell ref="Q291:U291"/>
    <mergeCell ref="V291:Z291"/>
    <mergeCell ref="AA291:AE291"/>
    <mergeCell ref="AF291:AJ291"/>
    <mergeCell ref="AK291:AO291"/>
    <mergeCell ref="B290:F290"/>
    <mergeCell ref="G290:K290"/>
    <mergeCell ref="L290:P290"/>
    <mergeCell ref="Q290:U290"/>
    <mergeCell ref="V290:Z290"/>
    <mergeCell ref="AA290:AE290"/>
    <mergeCell ref="AF286:AJ286"/>
    <mergeCell ref="AK286:AO286"/>
    <mergeCell ref="B287:F287"/>
    <mergeCell ref="G287:K287"/>
    <mergeCell ref="L287:P287"/>
    <mergeCell ref="Q287:U287"/>
    <mergeCell ref="V287:Z287"/>
    <mergeCell ref="AA287:AE287"/>
    <mergeCell ref="AF287:AJ287"/>
    <mergeCell ref="AK287:AO287"/>
    <mergeCell ref="B286:F286"/>
    <mergeCell ref="G286:K286"/>
    <mergeCell ref="L286:P286"/>
    <mergeCell ref="Q286:U286"/>
    <mergeCell ref="V286:Z286"/>
    <mergeCell ref="AA286:AE286"/>
    <mergeCell ref="AF288:AJ288"/>
    <mergeCell ref="AK288:AO288"/>
    <mergeCell ref="B283:F283"/>
    <mergeCell ref="G283:K283"/>
    <mergeCell ref="L283:P283"/>
    <mergeCell ref="Q283:U283"/>
    <mergeCell ref="V283:Z283"/>
    <mergeCell ref="AA283:AE283"/>
    <mergeCell ref="AF283:AJ283"/>
    <mergeCell ref="AK283:AO283"/>
    <mergeCell ref="B282:F282"/>
    <mergeCell ref="G282:K282"/>
    <mergeCell ref="L282:P282"/>
    <mergeCell ref="Q282:U282"/>
    <mergeCell ref="V282:Z282"/>
    <mergeCell ref="AA282:AE282"/>
    <mergeCell ref="AF284:AJ284"/>
    <mergeCell ref="AK284:AO284"/>
    <mergeCell ref="B285:F285"/>
    <mergeCell ref="G285:K285"/>
    <mergeCell ref="L285:P285"/>
    <mergeCell ref="Q285:U285"/>
    <mergeCell ref="V285:Z285"/>
    <mergeCell ref="AA285:AE285"/>
    <mergeCell ref="AF285:AJ285"/>
    <mergeCell ref="AK285:AO285"/>
    <mergeCell ref="B284:F284"/>
    <mergeCell ref="G284:K284"/>
    <mergeCell ref="L284:P284"/>
    <mergeCell ref="Q284:U284"/>
    <mergeCell ref="V284:Z284"/>
    <mergeCell ref="AA284:AE284"/>
    <mergeCell ref="AF280:AJ280"/>
    <mergeCell ref="AK280:AO280"/>
    <mergeCell ref="B281:F281"/>
    <mergeCell ref="G281:K281"/>
    <mergeCell ref="L281:P281"/>
    <mergeCell ref="Q281:U281"/>
    <mergeCell ref="V281:Z281"/>
    <mergeCell ref="AA281:AE281"/>
    <mergeCell ref="AF281:AJ281"/>
    <mergeCell ref="AK281:AO281"/>
    <mergeCell ref="B280:F280"/>
    <mergeCell ref="G280:K280"/>
    <mergeCell ref="L280:P280"/>
    <mergeCell ref="Q280:U280"/>
    <mergeCell ref="V280:Z280"/>
    <mergeCell ref="AA280:AE280"/>
    <mergeCell ref="AF282:AJ282"/>
    <mergeCell ref="AK282:AO282"/>
    <mergeCell ref="B277:F277"/>
    <mergeCell ref="G277:K277"/>
    <mergeCell ref="L277:P277"/>
    <mergeCell ref="Q277:U277"/>
    <mergeCell ref="V277:Z277"/>
    <mergeCell ref="AA277:AE277"/>
    <mergeCell ref="AF277:AJ277"/>
    <mergeCell ref="AK277:AO277"/>
    <mergeCell ref="B276:F276"/>
    <mergeCell ref="G276:K276"/>
    <mergeCell ref="L276:P276"/>
    <mergeCell ref="Q276:U276"/>
    <mergeCell ref="V276:Z276"/>
    <mergeCell ref="AA276:AE276"/>
    <mergeCell ref="AF278:AJ278"/>
    <mergeCell ref="AK278:AO278"/>
    <mergeCell ref="B279:F279"/>
    <mergeCell ref="G279:K279"/>
    <mergeCell ref="L279:P279"/>
    <mergeCell ref="Q279:U279"/>
    <mergeCell ref="V279:Z279"/>
    <mergeCell ref="AA279:AE279"/>
    <mergeCell ref="AF279:AJ279"/>
    <mergeCell ref="AK279:AO279"/>
    <mergeCell ref="B278:F278"/>
    <mergeCell ref="G278:K278"/>
    <mergeCell ref="L278:P278"/>
    <mergeCell ref="Q278:U278"/>
    <mergeCell ref="V278:Z278"/>
    <mergeCell ref="AA278:AE278"/>
    <mergeCell ref="AF274:AJ274"/>
    <mergeCell ref="AK274:AO274"/>
    <mergeCell ref="B275:F275"/>
    <mergeCell ref="G275:K275"/>
    <mergeCell ref="L275:P275"/>
    <mergeCell ref="Q275:U275"/>
    <mergeCell ref="V275:Z275"/>
    <mergeCell ref="AA275:AE275"/>
    <mergeCell ref="AF275:AJ275"/>
    <mergeCell ref="AK275:AO275"/>
    <mergeCell ref="B274:F274"/>
    <mergeCell ref="G274:K274"/>
    <mergeCell ref="L274:P274"/>
    <mergeCell ref="Q274:U274"/>
    <mergeCell ref="V274:Z274"/>
    <mergeCell ref="AA274:AE274"/>
    <mergeCell ref="AF276:AJ276"/>
    <mergeCell ref="AK276:AO276"/>
    <mergeCell ref="B271:F271"/>
    <mergeCell ref="G271:K271"/>
    <mergeCell ref="L271:P271"/>
    <mergeCell ref="Q271:U271"/>
    <mergeCell ref="V271:Z271"/>
    <mergeCell ref="AA271:AE271"/>
    <mergeCell ref="AF271:AJ271"/>
    <mergeCell ref="AK271:AO271"/>
    <mergeCell ref="B270:F270"/>
    <mergeCell ref="G270:K270"/>
    <mergeCell ref="L270:P270"/>
    <mergeCell ref="Q270:U270"/>
    <mergeCell ref="V270:Z270"/>
    <mergeCell ref="AA270:AE270"/>
    <mergeCell ref="AF272:AJ272"/>
    <mergeCell ref="AK272:AO272"/>
    <mergeCell ref="B273:F273"/>
    <mergeCell ref="G273:K273"/>
    <mergeCell ref="L273:P273"/>
    <mergeCell ref="Q273:U273"/>
    <mergeCell ref="V273:Z273"/>
    <mergeCell ref="AA273:AE273"/>
    <mergeCell ref="AF273:AJ273"/>
    <mergeCell ref="AK273:AO273"/>
    <mergeCell ref="B272:F272"/>
    <mergeCell ref="G272:K272"/>
    <mergeCell ref="L272:P272"/>
    <mergeCell ref="Q272:U272"/>
    <mergeCell ref="V272:Z272"/>
    <mergeCell ref="AA272:AE272"/>
    <mergeCell ref="AF268:AJ268"/>
    <mergeCell ref="AK268:AO268"/>
    <mergeCell ref="B269:F269"/>
    <mergeCell ref="G269:K269"/>
    <mergeCell ref="L269:P269"/>
    <mergeCell ref="Q269:U269"/>
    <mergeCell ref="V269:Z269"/>
    <mergeCell ref="AA269:AE269"/>
    <mergeCell ref="AF269:AJ269"/>
    <mergeCell ref="AK269:AO269"/>
    <mergeCell ref="B268:F268"/>
    <mergeCell ref="G268:K268"/>
    <mergeCell ref="L268:P268"/>
    <mergeCell ref="Q268:U268"/>
    <mergeCell ref="V268:Z268"/>
    <mergeCell ref="AA268:AE268"/>
    <mergeCell ref="AF270:AJ270"/>
    <mergeCell ref="AK270:AO270"/>
    <mergeCell ref="B265:F265"/>
    <mergeCell ref="G265:K265"/>
    <mergeCell ref="L265:P265"/>
    <mergeCell ref="Q265:U265"/>
    <mergeCell ref="V265:Z265"/>
    <mergeCell ref="AA265:AE265"/>
    <mergeCell ref="AF265:AJ265"/>
    <mergeCell ref="AK265:AO265"/>
    <mergeCell ref="B264:F264"/>
    <mergeCell ref="G264:K264"/>
    <mergeCell ref="L264:P264"/>
    <mergeCell ref="Q264:U264"/>
    <mergeCell ref="V264:Z264"/>
    <mergeCell ref="AA264:AE264"/>
    <mergeCell ref="AF266:AJ266"/>
    <mergeCell ref="AK266:AO266"/>
    <mergeCell ref="B267:F267"/>
    <mergeCell ref="G267:K267"/>
    <mergeCell ref="L267:P267"/>
    <mergeCell ref="Q267:U267"/>
    <mergeCell ref="V267:Z267"/>
    <mergeCell ref="AA267:AE267"/>
    <mergeCell ref="AF267:AJ267"/>
    <mergeCell ref="AK267:AO267"/>
    <mergeCell ref="B266:F266"/>
    <mergeCell ref="G266:K266"/>
    <mergeCell ref="L266:P266"/>
    <mergeCell ref="Q266:U266"/>
    <mergeCell ref="V266:Z266"/>
    <mergeCell ref="AA266:AE266"/>
    <mergeCell ref="AF262:AJ262"/>
    <mergeCell ref="AK262:AO262"/>
    <mergeCell ref="B263:F263"/>
    <mergeCell ref="G263:K263"/>
    <mergeCell ref="L263:P263"/>
    <mergeCell ref="Q263:U263"/>
    <mergeCell ref="V263:Z263"/>
    <mergeCell ref="AA263:AE263"/>
    <mergeCell ref="AF263:AJ263"/>
    <mergeCell ref="AK263:AO263"/>
    <mergeCell ref="B262:F262"/>
    <mergeCell ref="G262:K262"/>
    <mergeCell ref="L262:P262"/>
    <mergeCell ref="Q262:U262"/>
    <mergeCell ref="V262:Z262"/>
    <mergeCell ref="AA262:AE262"/>
    <mergeCell ref="AF264:AJ264"/>
    <mergeCell ref="AK264:AO264"/>
    <mergeCell ref="B259:F259"/>
    <mergeCell ref="G259:K259"/>
    <mergeCell ref="L259:P259"/>
    <mergeCell ref="Q259:U259"/>
    <mergeCell ref="V259:Z259"/>
    <mergeCell ref="AA259:AE259"/>
    <mergeCell ref="AF259:AJ259"/>
    <mergeCell ref="AK259:AO259"/>
    <mergeCell ref="B258:F258"/>
    <mergeCell ref="G258:K258"/>
    <mergeCell ref="L258:P258"/>
    <mergeCell ref="Q258:U258"/>
    <mergeCell ref="V258:Z258"/>
    <mergeCell ref="AA258:AE258"/>
    <mergeCell ref="AF260:AJ260"/>
    <mergeCell ref="AK260:AO260"/>
    <mergeCell ref="B261:F261"/>
    <mergeCell ref="G261:K261"/>
    <mergeCell ref="L261:P261"/>
    <mergeCell ref="Q261:U261"/>
    <mergeCell ref="V261:Z261"/>
    <mergeCell ref="AA261:AE261"/>
    <mergeCell ref="AF261:AJ261"/>
    <mergeCell ref="AK261:AO261"/>
    <mergeCell ref="B260:F260"/>
    <mergeCell ref="G260:K260"/>
    <mergeCell ref="L260:P260"/>
    <mergeCell ref="Q260:U260"/>
    <mergeCell ref="V260:Z260"/>
    <mergeCell ref="AA260:AE260"/>
    <mergeCell ref="AF256:AJ256"/>
    <mergeCell ref="AK256:AO256"/>
    <mergeCell ref="B257:F257"/>
    <mergeCell ref="G257:K257"/>
    <mergeCell ref="L257:P257"/>
    <mergeCell ref="Q257:U257"/>
    <mergeCell ref="V257:Z257"/>
    <mergeCell ref="AA257:AE257"/>
    <mergeCell ref="AF257:AJ257"/>
    <mergeCell ref="AK257:AO257"/>
    <mergeCell ref="B256:F256"/>
    <mergeCell ref="G256:K256"/>
    <mergeCell ref="L256:P256"/>
    <mergeCell ref="Q256:U256"/>
    <mergeCell ref="V256:Z256"/>
    <mergeCell ref="AA256:AE256"/>
    <mergeCell ref="AF258:AJ258"/>
    <mergeCell ref="AK258:AO258"/>
    <mergeCell ref="B253:F253"/>
    <mergeCell ref="G253:K253"/>
    <mergeCell ref="L253:P253"/>
    <mergeCell ref="Q253:U253"/>
    <mergeCell ref="V253:Z253"/>
    <mergeCell ref="AA253:AE253"/>
    <mergeCell ref="AF253:AJ253"/>
    <mergeCell ref="AK253:AO253"/>
    <mergeCell ref="B252:F252"/>
    <mergeCell ref="G252:K252"/>
    <mergeCell ref="L252:P252"/>
    <mergeCell ref="Q252:U252"/>
    <mergeCell ref="V252:Z252"/>
    <mergeCell ref="AA252:AE252"/>
    <mergeCell ref="AF254:AJ254"/>
    <mergeCell ref="AK254:AO254"/>
    <mergeCell ref="B255:F255"/>
    <mergeCell ref="G255:K255"/>
    <mergeCell ref="L255:P255"/>
    <mergeCell ref="Q255:U255"/>
    <mergeCell ref="V255:Z255"/>
    <mergeCell ref="AA255:AE255"/>
    <mergeCell ref="AF255:AJ255"/>
    <mergeCell ref="AK255:AO255"/>
    <mergeCell ref="B254:F254"/>
    <mergeCell ref="G254:K254"/>
    <mergeCell ref="L254:P254"/>
    <mergeCell ref="Q254:U254"/>
    <mergeCell ref="V254:Z254"/>
    <mergeCell ref="AA254:AE254"/>
    <mergeCell ref="AF250:AJ250"/>
    <mergeCell ref="AK250:AO250"/>
    <mergeCell ref="B251:F251"/>
    <mergeCell ref="G251:K251"/>
    <mergeCell ref="L251:P251"/>
    <mergeCell ref="Q251:U251"/>
    <mergeCell ref="V251:Z251"/>
    <mergeCell ref="AA251:AE251"/>
    <mergeCell ref="AF251:AJ251"/>
    <mergeCell ref="AK251:AO251"/>
    <mergeCell ref="B250:F250"/>
    <mergeCell ref="G250:K250"/>
    <mergeCell ref="L250:P250"/>
    <mergeCell ref="Q250:U250"/>
    <mergeCell ref="V250:Z250"/>
    <mergeCell ref="AA250:AE250"/>
    <mergeCell ref="AF252:AJ252"/>
    <mergeCell ref="AK252:AO252"/>
    <mergeCell ref="B244:G244"/>
    <mergeCell ref="H244:M244"/>
    <mergeCell ref="N244:S244"/>
    <mergeCell ref="T244:Y244"/>
    <mergeCell ref="B245:G245"/>
    <mergeCell ref="H245:M245"/>
    <mergeCell ref="N245:S245"/>
    <mergeCell ref="T245:Y245"/>
    <mergeCell ref="B248:F249"/>
    <mergeCell ref="G248:AE248"/>
    <mergeCell ref="AF248:AJ249"/>
    <mergeCell ref="AK248:AO249"/>
    <mergeCell ref="G249:K249"/>
    <mergeCell ref="L249:P249"/>
    <mergeCell ref="Q249:U249"/>
    <mergeCell ref="V249:Z249"/>
    <mergeCell ref="AA249:AE249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98"/>
  <sheetViews>
    <sheetView showGridLines="0" zoomScaleNormal="100" workbookViewId="0"/>
  </sheetViews>
  <sheetFormatPr defaultColWidth="8.77734375" defaultRowHeight="18" customHeight="1"/>
  <cols>
    <col min="1" max="1" width="3.77734375" style="127" customWidth="1"/>
    <col min="2" max="2" width="8.77734375" style="130"/>
    <col min="3" max="3" width="10.77734375" style="130" bestFit="1" customWidth="1"/>
    <col min="4" max="4" width="8.77734375" style="130"/>
    <col min="5" max="21" width="8.77734375" style="128"/>
    <col min="22" max="16384" width="8.77734375" style="127"/>
  </cols>
  <sheetData>
    <row r="1" spans="1:32" ht="15" customHeight="1">
      <c r="A1" s="124" t="s">
        <v>159</v>
      </c>
      <c r="B1" s="125"/>
      <c r="C1" s="125"/>
      <c r="D1" s="125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</row>
    <row r="2" spans="1:32" ht="24">
      <c r="B2" s="162" t="s">
        <v>160</v>
      </c>
      <c r="C2" s="162" t="s">
        <v>331</v>
      </c>
      <c r="D2" s="224" t="s">
        <v>361</v>
      </c>
      <c r="E2" s="162" t="s">
        <v>142</v>
      </c>
      <c r="F2" s="162" t="s">
        <v>161</v>
      </c>
      <c r="G2" s="162" t="s">
        <v>62</v>
      </c>
      <c r="H2" s="162" t="s">
        <v>162</v>
      </c>
      <c r="I2" s="162" t="s">
        <v>163</v>
      </c>
      <c r="J2" s="162" t="s">
        <v>164</v>
      </c>
      <c r="K2" s="162" t="s">
        <v>235</v>
      </c>
      <c r="L2" s="162" t="s">
        <v>236</v>
      </c>
      <c r="M2" s="274" t="s">
        <v>448</v>
      </c>
      <c r="N2" s="162" t="s">
        <v>165</v>
      </c>
      <c r="O2" s="320" t="s">
        <v>520</v>
      </c>
      <c r="P2" s="162" t="s">
        <v>143</v>
      </c>
      <c r="Q2" s="162" t="s">
        <v>166</v>
      </c>
      <c r="R2" s="162" t="s">
        <v>132</v>
      </c>
      <c r="S2" s="162" t="s">
        <v>148</v>
      </c>
      <c r="T2" s="165" t="s">
        <v>167</v>
      </c>
      <c r="U2" s="165" t="s">
        <v>168</v>
      </c>
    </row>
    <row r="3" spans="1:32" ht="15" customHeight="1">
      <c r="B3" s="129" t="e">
        <f>C3</f>
        <v>#DIV/0!</v>
      </c>
      <c r="C3" s="129" t="e">
        <f>AVERAGE(기본정보!B12:B13)</f>
        <v>#DIV/0!</v>
      </c>
      <c r="D3" s="129" t="str">
        <f>IFERROR(VLOOKUP(Length_1_STD1,R69:U72,3,FALSE),"게이지 블록")</f>
        <v>게이지 블록</v>
      </c>
      <c r="E3" s="129">
        <f>MIN(C9:C49)</f>
        <v>0</v>
      </c>
      <c r="F3" s="129">
        <f>MAX(C9:C49)</f>
        <v>0</v>
      </c>
      <c r="G3" s="129">
        <f>Length_1!H4</f>
        <v>0</v>
      </c>
      <c r="H3" s="129">
        <f>Length_1!I4</f>
        <v>0</v>
      </c>
      <c r="I3" s="129">
        <f>Length_1!J4</f>
        <v>0</v>
      </c>
      <c r="J3" s="129">
        <f>IF(I3="inch",25.4,1)</f>
        <v>1</v>
      </c>
      <c r="K3" s="129">
        <f>MIN(T9:T49)</f>
        <v>0</v>
      </c>
      <c r="L3" s="129">
        <f>MAX(T9:T49)</f>
        <v>0</v>
      </c>
      <c r="M3" s="266" t="str">
        <f>TEXT(L3,IF(L3&gt;=1000,"# ###","G/표준"))</f>
        <v>0</v>
      </c>
      <c r="N3" s="129">
        <f>G3*J3</f>
        <v>0</v>
      </c>
      <c r="O3" s="299" t="str">
        <f ca="1">TEXT(N3,OFFSET(P70,MATCH(IFERROR(LEN(N3)-FIND(".",N3),0),O71:O80,0),0))</f>
        <v>0</v>
      </c>
      <c r="P3" s="129">
        <f>H3*J3</f>
        <v>0</v>
      </c>
      <c r="Q3" s="129" t="e">
        <f ca="1">OFFSET(Length_1!D3,MATCH($L3,$T9:$T49,0),0)</f>
        <v>#N/A</v>
      </c>
      <c r="R3" s="129" t="e">
        <f ca="1">OFFSET(Length_1!E3,MATCH($L3,$T9:$T49,0),0)</f>
        <v>#N/A</v>
      </c>
      <c r="S3" s="129" t="e">
        <f ca="1">OFFSET(Length_1!F3,MATCH($L3,$T9:$T49,0),0)</f>
        <v>#N/A</v>
      </c>
      <c r="T3" s="145" t="e">
        <f ca="1">IF(SUM(R66)=0,"","초과")</f>
        <v>#N/A</v>
      </c>
      <c r="U3" s="166" t="str">
        <f>IF(SUM(AE8)=0,"PASS","FAIL")</f>
        <v>PASS</v>
      </c>
    </row>
    <row r="4" spans="1:32" ht="15" customHeight="1">
      <c r="B4" s="125"/>
      <c r="C4" s="125"/>
      <c r="D4" s="125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</row>
    <row r="5" spans="1:32" ht="15" customHeight="1">
      <c r="A5" s="124" t="s">
        <v>149</v>
      </c>
      <c r="C5" s="125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27"/>
      <c r="Y5" s="167" t="s">
        <v>170</v>
      </c>
    </row>
    <row r="6" spans="1:32" ht="15" customHeight="1">
      <c r="B6" s="514" t="s">
        <v>150</v>
      </c>
      <c r="C6" s="518" t="s">
        <v>115</v>
      </c>
      <c r="D6" s="518" t="s">
        <v>128</v>
      </c>
      <c r="E6" s="520" t="s">
        <v>392</v>
      </c>
      <c r="F6" s="520"/>
      <c r="G6" s="520"/>
      <c r="H6" s="520"/>
      <c r="I6" s="520"/>
      <c r="J6" s="520"/>
      <c r="K6" s="499" t="s">
        <v>393</v>
      </c>
      <c r="L6" s="203" t="s">
        <v>394</v>
      </c>
      <c r="M6" s="203" t="s">
        <v>395</v>
      </c>
      <c r="N6" s="493" t="s">
        <v>396</v>
      </c>
      <c r="O6" s="498"/>
      <c r="P6" s="494"/>
      <c r="Q6" s="203" t="s">
        <v>152</v>
      </c>
      <c r="R6" s="245" t="s">
        <v>397</v>
      </c>
      <c r="S6" s="203" t="s">
        <v>398</v>
      </c>
      <c r="T6" s="203" t="s">
        <v>399</v>
      </c>
      <c r="U6" s="203" t="s">
        <v>400</v>
      </c>
      <c r="V6" s="493" t="s">
        <v>401</v>
      </c>
      <c r="W6" s="494"/>
      <c r="X6" s="131"/>
      <c r="Y6" s="501" t="s">
        <v>402</v>
      </c>
      <c r="Z6" s="502"/>
      <c r="AA6" s="503" t="s">
        <v>182</v>
      </c>
      <c r="AB6" s="504"/>
      <c r="AC6" s="504"/>
      <c r="AD6" s="504"/>
      <c r="AE6" s="504"/>
      <c r="AF6" s="504"/>
    </row>
    <row r="7" spans="1:32" ht="15" customHeight="1">
      <c r="B7" s="514"/>
      <c r="C7" s="519"/>
      <c r="D7" s="519"/>
      <c r="E7" s="247" t="s">
        <v>403</v>
      </c>
      <c r="F7" s="204" t="s">
        <v>404</v>
      </c>
      <c r="G7" s="247" t="s">
        <v>133</v>
      </c>
      <c r="H7" s="204" t="s">
        <v>134</v>
      </c>
      <c r="I7" s="247" t="s">
        <v>135</v>
      </c>
      <c r="J7" s="204" t="s">
        <v>405</v>
      </c>
      <c r="K7" s="500"/>
      <c r="L7" s="203" t="s">
        <v>406</v>
      </c>
      <c r="M7" s="203" t="s">
        <v>407</v>
      </c>
      <c r="N7" s="203" t="s">
        <v>154</v>
      </c>
      <c r="O7" s="203" t="s">
        <v>408</v>
      </c>
      <c r="P7" s="203" t="s">
        <v>409</v>
      </c>
      <c r="Q7" s="203" t="s">
        <v>410</v>
      </c>
      <c r="R7" s="203" t="s">
        <v>411</v>
      </c>
      <c r="S7" s="203" t="s">
        <v>412</v>
      </c>
      <c r="T7" s="203" t="s">
        <v>413</v>
      </c>
      <c r="U7" s="203" t="s">
        <v>414</v>
      </c>
      <c r="V7" s="203" t="s">
        <v>415</v>
      </c>
      <c r="W7" s="203" t="s">
        <v>416</v>
      </c>
      <c r="X7" s="131"/>
      <c r="Y7" s="248" t="s">
        <v>417</v>
      </c>
      <c r="Z7" s="248" t="s">
        <v>418</v>
      </c>
      <c r="AA7" s="203" t="s">
        <v>419</v>
      </c>
      <c r="AB7" s="203" t="s">
        <v>416</v>
      </c>
      <c r="AC7" s="203" t="s">
        <v>415</v>
      </c>
      <c r="AD7" s="246" t="s">
        <v>420</v>
      </c>
      <c r="AE7" s="246" t="s">
        <v>421</v>
      </c>
      <c r="AF7" s="246" t="s">
        <v>457</v>
      </c>
    </row>
    <row r="8" spans="1:32" ht="15" customHeight="1">
      <c r="B8" s="514"/>
      <c r="C8" s="517"/>
      <c r="D8" s="517"/>
      <c r="E8" s="204">
        <f>I3</f>
        <v>0</v>
      </c>
      <c r="F8" s="204">
        <f t="shared" ref="F8:J8" si="0">E8</f>
        <v>0</v>
      </c>
      <c r="G8" s="204">
        <f t="shared" si="0"/>
        <v>0</v>
      </c>
      <c r="H8" s="204">
        <f t="shared" si="0"/>
        <v>0</v>
      </c>
      <c r="I8" s="204">
        <f t="shared" si="0"/>
        <v>0</v>
      </c>
      <c r="J8" s="204">
        <f t="shared" si="0"/>
        <v>0</v>
      </c>
      <c r="K8" s="262" t="s">
        <v>422</v>
      </c>
      <c r="L8" s="203" t="s">
        <v>422</v>
      </c>
      <c r="M8" s="203" t="s">
        <v>422</v>
      </c>
      <c r="N8" s="203" t="s">
        <v>423</v>
      </c>
      <c r="O8" s="203" t="s">
        <v>423</v>
      </c>
      <c r="P8" s="203" t="s">
        <v>423</v>
      </c>
      <c r="Q8" s="203" t="s">
        <v>424</v>
      </c>
      <c r="R8" s="203" t="s">
        <v>423</v>
      </c>
      <c r="S8" s="203" t="s">
        <v>424</v>
      </c>
      <c r="T8" s="203" t="s">
        <v>422</v>
      </c>
      <c r="U8" s="203" t="s">
        <v>422</v>
      </c>
      <c r="V8" s="203" t="s">
        <v>422</v>
      </c>
      <c r="W8" s="203" t="s">
        <v>422</v>
      </c>
      <c r="X8" s="131"/>
      <c r="Y8" s="203" t="s">
        <v>422</v>
      </c>
      <c r="Z8" s="203" t="s">
        <v>422</v>
      </c>
      <c r="AA8" s="203" t="s">
        <v>422</v>
      </c>
      <c r="AB8" s="203" t="s">
        <v>422</v>
      </c>
      <c r="AC8" s="203" t="s">
        <v>422</v>
      </c>
      <c r="AD8" s="203" t="s">
        <v>422</v>
      </c>
      <c r="AE8" s="318">
        <f>IF(TYPE(MATCH("FAIL",AE9:AE49,0))=16,0,1)</f>
        <v>0</v>
      </c>
      <c r="AF8" s="246" t="s">
        <v>449</v>
      </c>
    </row>
    <row r="9" spans="1:32" ht="15" customHeight="1">
      <c r="B9" s="132" t="b">
        <f>IF(TRIM(Length_1!A4)="",FALSE,TRUE)</f>
        <v>0</v>
      </c>
      <c r="C9" s="129" t="str">
        <f>IF($B9=FALSE,"",VALUE(Length_1!A4))</f>
        <v/>
      </c>
      <c r="D9" s="129" t="str">
        <f>IF($B9=FALSE,"",Length_1!B4)</f>
        <v/>
      </c>
      <c r="E9" s="133" t="str">
        <f>IF(B9=FALSE,"",Length_1!N4)</f>
        <v/>
      </c>
      <c r="F9" s="133" t="str">
        <f>IF(B9=FALSE,"",Length_1!O4)</f>
        <v/>
      </c>
      <c r="G9" s="133" t="str">
        <f>IF(B9=FALSE,"",Length_1!P4)</f>
        <v/>
      </c>
      <c r="H9" s="133" t="str">
        <f>IF(B9=FALSE,"",Length_1!Q4)</f>
        <v/>
      </c>
      <c r="I9" s="133" t="str">
        <f>IF(B9=FALSE,"",Length_1!R4)</f>
        <v/>
      </c>
      <c r="J9" s="134" t="str">
        <f t="shared" ref="J9:J28" si="1">IF(B9=FALSE,"",AVERAGE(E9:I9))</f>
        <v/>
      </c>
      <c r="K9" s="146" t="str">
        <f t="shared" ref="K9:K49" si="2">IF(B9=FALSE,"",STDEV(E9:I9)*J$3)</f>
        <v/>
      </c>
      <c r="L9" s="135" t="str">
        <f>IF(B9=FALSE,"",Length_1!D48)</f>
        <v/>
      </c>
      <c r="M9" s="136" t="str">
        <f>IF(B9=FALSE,"",Calcu!J9*J$3)</f>
        <v/>
      </c>
      <c r="N9" s="155" t="str">
        <f>IF(B9=FALSE,"",IF(Length_1!C4="Laser",0,11.5*10^-6))</f>
        <v/>
      </c>
      <c r="O9" s="155" t="str">
        <f ca="1">IF(B9=FALSE,"",OFFSET(Length_1!A48,0,MATCH("열팽창계수",Length_1!$47:$47,0)-1))</f>
        <v/>
      </c>
      <c r="P9" s="156" t="str">
        <f t="shared" ref="P9:P28" si="3">IF(B9=FALSE,"",AVERAGE(N9:O9))</f>
        <v/>
      </c>
      <c r="Q9" s="242" t="str">
        <f t="shared" ref="Q9:Q49" si="4">IF(B9=FALSE,"",B$3-C$3)</f>
        <v/>
      </c>
      <c r="R9" s="242" t="str">
        <f t="shared" ref="R9:R28" si="5">IF(B9=FALSE,"",N9-O9)</f>
        <v/>
      </c>
      <c r="S9" s="242" t="str">
        <f t="shared" ref="S9:S49" si="6">IF(B9=FALSE,"",AVERAGE(B$3:C$3)-20)</f>
        <v/>
      </c>
      <c r="T9" s="137" t="str">
        <f t="shared" ref="T9:T49" si="7">IF(B9=FALSE,"",C9*J$3)</f>
        <v/>
      </c>
      <c r="U9" s="138" t="str">
        <f t="shared" ref="U9:U28" si="8">IF(B9=FALSE,"",L9-M9-(P9*Q9+R9*S9)*T9)</f>
        <v/>
      </c>
      <c r="V9" s="129" t="str">
        <f>IF($B9=FALSE,"",ROUND(U9,$M$66))</f>
        <v/>
      </c>
      <c r="W9" s="129" t="str">
        <f>IF($B9=FALSE,"",ROUND(T9+V9,$M$66))</f>
        <v/>
      </c>
      <c r="X9" s="131"/>
      <c r="Y9" s="197" t="e">
        <f ca="1">IF(Length_1!K4&lt;0,ROUNDUP(Length_1!K4*J$3,$M$66),ROUNDDOWN(Length_1!K4*J$3,$M$66))</f>
        <v>#N/A</v>
      </c>
      <c r="Z9" s="197" t="e">
        <f ca="1">IF(Length_1!L4&lt;0,ROUNDDOWN(Length_1!L4*J$3,$M$66),ROUNDUP(Length_1!L4*J$3,$M$66))</f>
        <v>#N/A</v>
      </c>
      <c r="AA9" s="129" t="e">
        <f t="shared" ref="AA9:AA49" ca="1" si="9">TEXT(T9,IF(T9&gt;=1000,"# ##","")&amp;$P$66)</f>
        <v>#N/A</v>
      </c>
      <c r="AB9" s="129" t="e">
        <f t="shared" ref="AB9:AB49" ca="1" si="10">TEXT(W9,IF(W9&gt;=1000,"# ##","")&amp;$P$66)</f>
        <v>#N/A</v>
      </c>
      <c r="AC9" s="206" t="e">
        <f t="shared" ref="AC9:AC49" ca="1" si="11">TEXT(V9,$P$66)</f>
        <v>#N/A</v>
      </c>
      <c r="AD9" s="129" t="e">
        <f t="shared" ref="AD9:AD49" ca="1" si="12">"± "&amp;TEXT(Z9-T9,P$66)</f>
        <v>#N/A</v>
      </c>
      <c r="AE9" s="129" t="str">
        <f>IF($B9=FALSE,"",IF(AND(Y9&lt;=W9,W9&lt;=Z9),"PASS","FAIL"))</f>
        <v/>
      </c>
      <c r="AF9" s="266" t="e">
        <f ca="1">S$66</f>
        <v>#N/A</v>
      </c>
    </row>
    <row r="10" spans="1:32" ht="15" customHeight="1">
      <c r="B10" s="132" t="b">
        <f>IF(TRIM(Length_1!A5)="",FALSE,TRUE)</f>
        <v>0</v>
      </c>
      <c r="C10" s="129" t="str">
        <f>IF($B10=FALSE,"",VALUE(Length_1!A5))</f>
        <v/>
      </c>
      <c r="D10" s="129" t="str">
        <f>IF($B10=FALSE,"",Length_1!B5)</f>
        <v/>
      </c>
      <c r="E10" s="133" t="str">
        <f>IF(B10=FALSE,"",Length_1!N5)</f>
        <v/>
      </c>
      <c r="F10" s="133" t="str">
        <f>IF(B10=FALSE,"",Length_1!O5)</f>
        <v/>
      </c>
      <c r="G10" s="133" t="str">
        <f>IF(B10=FALSE,"",Length_1!P5)</f>
        <v/>
      </c>
      <c r="H10" s="133" t="str">
        <f>IF(B10=FALSE,"",Length_1!Q5)</f>
        <v/>
      </c>
      <c r="I10" s="133" t="str">
        <f>IF(B10=FALSE,"",Length_1!R5)</f>
        <v/>
      </c>
      <c r="J10" s="134" t="str">
        <f t="shared" si="1"/>
        <v/>
      </c>
      <c r="K10" s="146" t="str">
        <f t="shared" si="2"/>
        <v/>
      </c>
      <c r="L10" s="135" t="str">
        <f>IF(B10=FALSE,"",Length_1!D49)</f>
        <v/>
      </c>
      <c r="M10" s="136" t="str">
        <f>IF(B10=FALSE,"",Calcu!J10*J$3)</f>
        <v/>
      </c>
      <c r="N10" s="155" t="str">
        <f>IF(B10=FALSE,"",IF(Length_1!C5="Laser",0,11.5*10^-6))</f>
        <v/>
      </c>
      <c r="O10" s="155" t="str">
        <f ca="1">IF(B10=FALSE,"",OFFSET(Length_1!A49,0,MATCH("열팽창계수",Length_1!$47:$47,0)-1))</f>
        <v/>
      </c>
      <c r="P10" s="156" t="str">
        <f t="shared" si="3"/>
        <v/>
      </c>
      <c r="Q10" s="242" t="str">
        <f t="shared" si="4"/>
        <v/>
      </c>
      <c r="R10" s="242" t="str">
        <f t="shared" si="5"/>
        <v/>
      </c>
      <c r="S10" s="242" t="str">
        <f t="shared" si="6"/>
        <v/>
      </c>
      <c r="T10" s="137" t="str">
        <f t="shared" si="7"/>
        <v/>
      </c>
      <c r="U10" s="138" t="str">
        <f t="shared" si="8"/>
        <v/>
      </c>
      <c r="V10" s="129" t="str">
        <f t="shared" ref="V10:V49" si="13">IF($B10=FALSE,"",ROUND(U10,$M$66))</f>
        <v/>
      </c>
      <c r="W10" s="129" t="str">
        <f t="shared" ref="W10:W49" si="14">IF($B10=FALSE,"",ROUND(T10+V10,$M$66))</f>
        <v/>
      </c>
      <c r="X10" s="131"/>
      <c r="Y10" s="197" t="e">
        <f ca="1">IF(Length_1!K5&lt;0,ROUNDUP(Length_1!K5*J$3,$M$66),ROUNDDOWN(Length_1!K5*J$3,$M$66))</f>
        <v>#N/A</v>
      </c>
      <c r="Z10" s="197" t="e">
        <f ca="1">IF(Length_1!L5&lt;0,ROUNDDOWN(Length_1!L5*J$3,$M$66),ROUNDUP(Length_1!L5*J$3,$M$66))</f>
        <v>#N/A</v>
      </c>
      <c r="AA10" s="129" t="e">
        <f t="shared" ca="1" si="9"/>
        <v>#N/A</v>
      </c>
      <c r="AB10" s="129" t="e">
        <f t="shared" ca="1" si="10"/>
        <v>#N/A</v>
      </c>
      <c r="AC10" s="206" t="e">
        <f t="shared" ca="1" si="11"/>
        <v>#N/A</v>
      </c>
      <c r="AD10" s="129" t="e">
        <f t="shared" ca="1" si="12"/>
        <v>#N/A</v>
      </c>
      <c r="AE10" s="129" t="str">
        <f t="shared" ref="AE10:AE49" si="15">IF($B10=FALSE,"",IF(AND(Y10&lt;=W10,W10&lt;=Z10),"PASS","FAIL"))</f>
        <v/>
      </c>
      <c r="AF10" s="299" t="e">
        <f t="shared" ref="AF10:AF49" ca="1" si="16">S$66</f>
        <v>#N/A</v>
      </c>
    </row>
    <row r="11" spans="1:32" ht="15" customHeight="1">
      <c r="B11" s="132" t="b">
        <f>IF(TRIM(Length_1!A6)="",FALSE,TRUE)</f>
        <v>0</v>
      </c>
      <c r="C11" s="129" t="str">
        <f>IF($B11=FALSE,"",VALUE(Length_1!A6))</f>
        <v/>
      </c>
      <c r="D11" s="129" t="str">
        <f>IF($B11=FALSE,"",Length_1!B6)</f>
        <v/>
      </c>
      <c r="E11" s="133" t="str">
        <f>IF(B11=FALSE,"",Length_1!N6)</f>
        <v/>
      </c>
      <c r="F11" s="133" t="str">
        <f>IF(B11=FALSE,"",Length_1!O6)</f>
        <v/>
      </c>
      <c r="G11" s="133" t="str">
        <f>IF(B11=FALSE,"",Length_1!P6)</f>
        <v/>
      </c>
      <c r="H11" s="133" t="str">
        <f>IF(B11=FALSE,"",Length_1!Q6)</f>
        <v/>
      </c>
      <c r="I11" s="133" t="str">
        <f>IF(B11=FALSE,"",Length_1!R6)</f>
        <v/>
      </c>
      <c r="J11" s="134" t="str">
        <f t="shared" si="1"/>
        <v/>
      </c>
      <c r="K11" s="146" t="str">
        <f t="shared" si="2"/>
        <v/>
      </c>
      <c r="L11" s="135" t="str">
        <f>IF(B11=FALSE,"",Length_1!D50)</f>
        <v/>
      </c>
      <c r="M11" s="136" t="str">
        <f>IF(B11=FALSE,"",Calcu!J11*J$3)</f>
        <v/>
      </c>
      <c r="N11" s="155" t="str">
        <f>IF(B11=FALSE,"",IF(Length_1!C6="Laser",0,11.5*10^-6))</f>
        <v/>
      </c>
      <c r="O11" s="155" t="str">
        <f ca="1">IF(B11=FALSE,"",OFFSET(Length_1!A50,0,MATCH("열팽창계수",Length_1!$47:$47,0)-1))</f>
        <v/>
      </c>
      <c r="P11" s="156" t="str">
        <f t="shared" si="3"/>
        <v/>
      </c>
      <c r="Q11" s="242" t="str">
        <f t="shared" si="4"/>
        <v/>
      </c>
      <c r="R11" s="242" t="str">
        <f t="shared" si="5"/>
        <v/>
      </c>
      <c r="S11" s="242" t="str">
        <f t="shared" si="6"/>
        <v/>
      </c>
      <c r="T11" s="137" t="str">
        <f t="shared" si="7"/>
        <v/>
      </c>
      <c r="U11" s="138" t="str">
        <f t="shared" si="8"/>
        <v/>
      </c>
      <c r="V11" s="129" t="str">
        <f t="shared" si="13"/>
        <v/>
      </c>
      <c r="W11" s="129" t="str">
        <f t="shared" si="14"/>
        <v/>
      </c>
      <c r="X11" s="131"/>
      <c r="Y11" s="197" t="e">
        <f ca="1">IF(Length_1!K6&lt;0,ROUNDUP(Length_1!K6*J$3,$M$66),ROUNDDOWN(Length_1!K6*J$3,$M$66))</f>
        <v>#N/A</v>
      </c>
      <c r="Z11" s="197" t="e">
        <f ca="1">IF(Length_1!L6&lt;0,ROUNDDOWN(Length_1!L6*J$3,$M$66),ROUNDUP(Length_1!L6*J$3,$M$66))</f>
        <v>#N/A</v>
      </c>
      <c r="AA11" s="129" t="e">
        <f t="shared" ca="1" si="9"/>
        <v>#N/A</v>
      </c>
      <c r="AB11" s="129" t="e">
        <f t="shared" ca="1" si="10"/>
        <v>#N/A</v>
      </c>
      <c r="AC11" s="206" t="e">
        <f t="shared" ca="1" si="11"/>
        <v>#N/A</v>
      </c>
      <c r="AD11" s="129" t="e">
        <f t="shared" ca="1" si="12"/>
        <v>#N/A</v>
      </c>
      <c r="AE11" s="129" t="str">
        <f t="shared" si="15"/>
        <v/>
      </c>
      <c r="AF11" s="299" t="e">
        <f t="shared" ca="1" si="16"/>
        <v>#N/A</v>
      </c>
    </row>
    <row r="12" spans="1:32" ht="15" customHeight="1">
      <c r="B12" s="132" t="b">
        <f>IF(TRIM(Length_1!A7)="",FALSE,TRUE)</f>
        <v>0</v>
      </c>
      <c r="C12" s="129" t="str">
        <f>IF($B12=FALSE,"",VALUE(Length_1!A7))</f>
        <v/>
      </c>
      <c r="D12" s="129" t="str">
        <f>IF($B12=FALSE,"",Length_1!B7)</f>
        <v/>
      </c>
      <c r="E12" s="133" t="str">
        <f>IF(B12=FALSE,"",Length_1!N7)</f>
        <v/>
      </c>
      <c r="F12" s="133" t="str">
        <f>IF(B12=FALSE,"",Length_1!O7)</f>
        <v/>
      </c>
      <c r="G12" s="133" t="str">
        <f>IF(B12=FALSE,"",Length_1!P7)</f>
        <v/>
      </c>
      <c r="H12" s="133" t="str">
        <f>IF(B12=FALSE,"",Length_1!Q7)</f>
        <v/>
      </c>
      <c r="I12" s="133" t="str">
        <f>IF(B12=FALSE,"",Length_1!R7)</f>
        <v/>
      </c>
      <c r="J12" s="134" t="str">
        <f t="shared" si="1"/>
        <v/>
      </c>
      <c r="K12" s="146" t="str">
        <f t="shared" si="2"/>
        <v/>
      </c>
      <c r="L12" s="135" t="str">
        <f>IF(B12=FALSE,"",Length_1!D51)</f>
        <v/>
      </c>
      <c r="M12" s="136" t="str">
        <f>IF(B12=FALSE,"",Calcu!J12*J$3)</f>
        <v/>
      </c>
      <c r="N12" s="155" t="str">
        <f>IF(B12=FALSE,"",IF(Length_1!C7="Laser",0,11.5*10^-6))</f>
        <v/>
      </c>
      <c r="O12" s="155" t="str">
        <f ca="1">IF(B12=FALSE,"",OFFSET(Length_1!A51,0,MATCH("열팽창계수",Length_1!$47:$47,0)-1))</f>
        <v/>
      </c>
      <c r="P12" s="156" t="str">
        <f t="shared" si="3"/>
        <v/>
      </c>
      <c r="Q12" s="242" t="str">
        <f t="shared" si="4"/>
        <v/>
      </c>
      <c r="R12" s="242" t="str">
        <f t="shared" si="5"/>
        <v/>
      </c>
      <c r="S12" s="242" t="str">
        <f t="shared" si="6"/>
        <v/>
      </c>
      <c r="T12" s="137" t="str">
        <f t="shared" si="7"/>
        <v/>
      </c>
      <c r="U12" s="138" t="str">
        <f t="shared" si="8"/>
        <v/>
      </c>
      <c r="V12" s="129" t="str">
        <f t="shared" si="13"/>
        <v/>
      </c>
      <c r="W12" s="129" t="str">
        <f t="shared" si="14"/>
        <v/>
      </c>
      <c r="X12" s="131"/>
      <c r="Y12" s="197" t="e">
        <f ca="1">IF(Length_1!K7&lt;0,ROUNDUP(Length_1!K7*J$3,$M$66),ROUNDDOWN(Length_1!K7*J$3,$M$66))</f>
        <v>#N/A</v>
      </c>
      <c r="Z12" s="197" t="e">
        <f ca="1">IF(Length_1!L7&lt;0,ROUNDDOWN(Length_1!L7*J$3,$M$66),ROUNDUP(Length_1!L7*J$3,$M$66))</f>
        <v>#N/A</v>
      </c>
      <c r="AA12" s="129" t="e">
        <f t="shared" ca="1" si="9"/>
        <v>#N/A</v>
      </c>
      <c r="AB12" s="129" t="e">
        <f t="shared" ca="1" si="10"/>
        <v>#N/A</v>
      </c>
      <c r="AC12" s="206" t="e">
        <f t="shared" ca="1" si="11"/>
        <v>#N/A</v>
      </c>
      <c r="AD12" s="129" t="e">
        <f t="shared" ca="1" si="12"/>
        <v>#N/A</v>
      </c>
      <c r="AE12" s="129" t="str">
        <f t="shared" si="15"/>
        <v/>
      </c>
      <c r="AF12" s="299" t="e">
        <f t="shared" ca="1" si="16"/>
        <v>#N/A</v>
      </c>
    </row>
    <row r="13" spans="1:32" ht="15" customHeight="1">
      <c r="B13" s="132" t="b">
        <f>IF(TRIM(Length_1!A8)="",FALSE,TRUE)</f>
        <v>0</v>
      </c>
      <c r="C13" s="129" t="str">
        <f>IF($B13=FALSE,"",VALUE(Length_1!A8))</f>
        <v/>
      </c>
      <c r="D13" s="129" t="str">
        <f>IF($B13=FALSE,"",Length_1!B8)</f>
        <v/>
      </c>
      <c r="E13" s="133" t="str">
        <f>IF(B13=FALSE,"",Length_1!N8)</f>
        <v/>
      </c>
      <c r="F13" s="133" t="str">
        <f>IF(B13=FALSE,"",Length_1!O8)</f>
        <v/>
      </c>
      <c r="G13" s="133" t="str">
        <f>IF(B13=FALSE,"",Length_1!P8)</f>
        <v/>
      </c>
      <c r="H13" s="133" t="str">
        <f>IF(B13=FALSE,"",Length_1!Q8)</f>
        <v/>
      </c>
      <c r="I13" s="133" t="str">
        <f>IF(B13=FALSE,"",Length_1!R8)</f>
        <v/>
      </c>
      <c r="J13" s="134" t="str">
        <f t="shared" si="1"/>
        <v/>
      </c>
      <c r="K13" s="146" t="str">
        <f t="shared" si="2"/>
        <v/>
      </c>
      <c r="L13" s="135" t="str">
        <f>IF(B13=FALSE,"",Length_1!D52)</f>
        <v/>
      </c>
      <c r="M13" s="136" t="str">
        <f>IF(B13=FALSE,"",Calcu!J13*J$3)</f>
        <v/>
      </c>
      <c r="N13" s="155" t="str">
        <f>IF(B13=FALSE,"",IF(Length_1!C8="Laser",0,11.5*10^-6))</f>
        <v/>
      </c>
      <c r="O13" s="155" t="str">
        <f ca="1">IF(B13=FALSE,"",OFFSET(Length_1!A52,0,MATCH("열팽창계수",Length_1!$47:$47,0)-1))</f>
        <v/>
      </c>
      <c r="P13" s="156" t="str">
        <f t="shared" si="3"/>
        <v/>
      </c>
      <c r="Q13" s="242" t="str">
        <f t="shared" si="4"/>
        <v/>
      </c>
      <c r="R13" s="242" t="str">
        <f t="shared" si="5"/>
        <v/>
      </c>
      <c r="S13" s="242" t="str">
        <f t="shared" si="6"/>
        <v/>
      </c>
      <c r="T13" s="137" t="str">
        <f t="shared" si="7"/>
        <v/>
      </c>
      <c r="U13" s="138" t="str">
        <f t="shared" si="8"/>
        <v/>
      </c>
      <c r="V13" s="129" t="str">
        <f t="shared" si="13"/>
        <v/>
      </c>
      <c r="W13" s="129" t="str">
        <f t="shared" si="14"/>
        <v/>
      </c>
      <c r="X13" s="131"/>
      <c r="Y13" s="197" t="e">
        <f ca="1">IF(Length_1!K8&lt;0,ROUNDUP(Length_1!K8*J$3,$M$66),ROUNDDOWN(Length_1!K8*J$3,$M$66))</f>
        <v>#N/A</v>
      </c>
      <c r="Z13" s="197" t="e">
        <f ca="1">IF(Length_1!L8&lt;0,ROUNDDOWN(Length_1!L8*J$3,$M$66),ROUNDUP(Length_1!L8*J$3,$M$66))</f>
        <v>#N/A</v>
      </c>
      <c r="AA13" s="129" t="e">
        <f t="shared" ca="1" si="9"/>
        <v>#N/A</v>
      </c>
      <c r="AB13" s="129" t="e">
        <f t="shared" ca="1" si="10"/>
        <v>#N/A</v>
      </c>
      <c r="AC13" s="206" t="e">
        <f t="shared" ca="1" si="11"/>
        <v>#N/A</v>
      </c>
      <c r="AD13" s="129" t="e">
        <f t="shared" ca="1" si="12"/>
        <v>#N/A</v>
      </c>
      <c r="AE13" s="129" t="str">
        <f t="shared" si="15"/>
        <v/>
      </c>
      <c r="AF13" s="299" t="e">
        <f t="shared" ca="1" si="16"/>
        <v>#N/A</v>
      </c>
    </row>
    <row r="14" spans="1:32" ht="15" customHeight="1">
      <c r="B14" s="132" t="b">
        <f>IF(TRIM(Length_1!A9)="",FALSE,TRUE)</f>
        <v>0</v>
      </c>
      <c r="C14" s="129" t="str">
        <f>IF($B14=FALSE,"",VALUE(Length_1!A9))</f>
        <v/>
      </c>
      <c r="D14" s="129" t="str">
        <f>IF($B14=FALSE,"",Length_1!B9)</f>
        <v/>
      </c>
      <c r="E14" s="133" t="str">
        <f>IF(B14=FALSE,"",Length_1!N9)</f>
        <v/>
      </c>
      <c r="F14" s="133" t="str">
        <f>IF(B14=FALSE,"",Length_1!O9)</f>
        <v/>
      </c>
      <c r="G14" s="133" t="str">
        <f>IF(B14=FALSE,"",Length_1!P9)</f>
        <v/>
      </c>
      <c r="H14" s="133" t="str">
        <f>IF(B14=FALSE,"",Length_1!Q9)</f>
        <v/>
      </c>
      <c r="I14" s="133" t="str">
        <f>IF(B14=FALSE,"",Length_1!R9)</f>
        <v/>
      </c>
      <c r="J14" s="134" t="str">
        <f t="shared" si="1"/>
        <v/>
      </c>
      <c r="K14" s="146" t="str">
        <f t="shared" si="2"/>
        <v/>
      </c>
      <c r="L14" s="135" t="str">
        <f>IF(B14=FALSE,"",Length_1!D53)</f>
        <v/>
      </c>
      <c r="M14" s="136" t="str">
        <f>IF(B14=FALSE,"",Calcu!J14*J$3)</f>
        <v/>
      </c>
      <c r="N14" s="155" t="str">
        <f>IF(B14=FALSE,"",IF(Length_1!C9="Laser",0,11.5*10^-6))</f>
        <v/>
      </c>
      <c r="O14" s="155" t="str">
        <f ca="1">IF(B14=FALSE,"",OFFSET(Length_1!A53,0,MATCH("열팽창계수",Length_1!$47:$47,0)-1))</f>
        <v/>
      </c>
      <c r="P14" s="156" t="str">
        <f t="shared" si="3"/>
        <v/>
      </c>
      <c r="Q14" s="242" t="str">
        <f t="shared" si="4"/>
        <v/>
      </c>
      <c r="R14" s="242" t="str">
        <f t="shared" si="5"/>
        <v/>
      </c>
      <c r="S14" s="242" t="str">
        <f t="shared" si="6"/>
        <v/>
      </c>
      <c r="T14" s="137" t="str">
        <f t="shared" si="7"/>
        <v/>
      </c>
      <c r="U14" s="138" t="str">
        <f t="shared" si="8"/>
        <v/>
      </c>
      <c r="V14" s="129" t="str">
        <f t="shared" si="13"/>
        <v/>
      </c>
      <c r="W14" s="129" t="str">
        <f t="shared" si="14"/>
        <v/>
      </c>
      <c r="X14" s="131"/>
      <c r="Y14" s="197" t="e">
        <f ca="1">IF(Length_1!K9&lt;0,ROUNDUP(Length_1!K9*J$3,$M$66),ROUNDDOWN(Length_1!K9*J$3,$M$66))</f>
        <v>#N/A</v>
      </c>
      <c r="Z14" s="197" t="e">
        <f ca="1">IF(Length_1!L9&lt;0,ROUNDDOWN(Length_1!L9*J$3,$M$66),ROUNDUP(Length_1!L9*J$3,$M$66))</f>
        <v>#N/A</v>
      </c>
      <c r="AA14" s="129" t="e">
        <f t="shared" ca="1" si="9"/>
        <v>#N/A</v>
      </c>
      <c r="AB14" s="129" t="e">
        <f t="shared" ca="1" si="10"/>
        <v>#N/A</v>
      </c>
      <c r="AC14" s="206" t="e">
        <f t="shared" ca="1" si="11"/>
        <v>#N/A</v>
      </c>
      <c r="AD14" s="129" t="e">
        <f t="shared" ca="1" si="12"/>
        <v>#N/A</v>
      </c>
      <c r="AE14" s="129" t="str">
        <f t="shared" si="15"/>
        <v/>
      </c>
      <c r="AF14" s="299" t="e">
        <f t="shared" ca="1" si="16"/>
        <v>#N/A</v>
      </c>
    </row>
    <row r="15" spans="1:32" ht="15" customHeight="1">
      <c r="B15" s="132" t="b">
        <f>IF(TRIM(Length_1!A10)="",FALSE,TRUE)</f>
        <v>0</v>
      </c>
      <c r="C15" s="129" t="str">
        <f>IF($B15=FALSE,"",VALUE(Length_1!A10))</f>
        <v/>
      </c>
      <c r="D15" s="129" t="str">
        <f>IF($B15=FALSE,"",Length_1!B10)</f>
        <v/>
      </c>
      <c r="E15" s="133" t="str">
        <f>IF(B15=FALSE,"",Length_1!N10)</f>
        <v/>
      </c>
      <c r="F15" s="133" t="str">
        <f>IF(B15=FALSE,"",Length_1!O10)</f>
        <v/>
      </c>
      <c r="G15" s="133" t="str">
        <f>IF(B15=FALSE,"",Length_1!P10)</f>
        <v/>
      </c>
      <c r="H15" s="133" t="str">
        <f>IF(B15=FALSE,"",Length_1!Q10)</f>
        <v/>
      </c>
      <c r="I15" s="133" t="str">
        <f>IF(B15=FALSE,"",Length_1!R10)</f>
        <v/>
      </c>
      <c r="J15" s="134" t="str">
        <f t="shared" si="1"/>
        <v/>
      </c>
      <c r="K15" s="146" t="str">
        <f t="shared" si="2"/>
        <v/>
      </c>
      <c r="L15" s="135" t="str">
        <f>IF(B15=FALSE,"",Length_1!D54)</f>
        <v/>
      </c>
      <c r="M15" s="136" t="str">
        <f>IF(B15=FALSE,"",Calcu!J15*J$3)</f>
        <v/>
      </c>
      <c r="N15" s="155" t="str">
        <f>IF(B15=FALSE,"",IF(Length_1!C10="Laser",0,11.5*10^-6))</f>
        <v/>
      </c>
      <c r="O15" s="155" t="str">
        <f ca="1">IF(B15=FALSE,"",OFFSET(Length_1!A54,0,MATCH("열팽창계수",Length_1!$47:$47,0)-1))</f>
        <v/>
      </c>
      <c r="P15" s="156" t="str">
        <f t="shared" si="3"/>
        <v/>
      </c>
      <c r="Q15" s="242" t="str">
        <f t="shared" si="4"/>
        <v/>
      </c>
      <c r="R15" s="242" t="str">
        <f t="shared" si="5"/>
        <v/>
      </c>
      <c r="S15" s="242" t="str">
        <f t="shared" si="6"/>
        <v/>
      </c>
      <c r="T15" s="137" t="str">
        <f t="shared" si="7"/>
        <v/>
      </c>
      <c r="U15" s="138" t="str">
        <f t="shared" si="8"/>
        <v/>
      </c>
      <c r="V15" s="129" t="str">
        <f t="shared" si="13"/>
        <v/>
      </c>
      <c r="W15" s="129" t="str">
        <f t="shared" si="14"/>
        <v/>
      </c>
      <c r="X15" s="131"/>
      <c r="Y15" s="197" t="e">
        <f ca="1">IF(Length_1!K10&lt;0,ROUNDUP(Length_1!K10*J$3,$M$66),ROUNDDOWN(Length_1!K10*J$3,$M$66))</f>
        <v>#N/A</v>
      </c>
      <c r="Z15" s="197" t="e">
        <f ca="1">IF(Length_1!L10&lt;0,ROUNDDOWN(Length_1!L10*J$3,$M$66),ROUNDUP(Length_1!L10*J$3,$M$66))</f>
        <v>#N/A</v>
      </c>
      <c r="AA15" s="129" t="e">
        <f t="shared" ca="1" si="9"/>
        <v>#N/A</v>
      </c>
      <c r="AB15" s="129" t="e">
        <f t="shared" ca="1" si="10"/>
        <v>#N/A</v>
      </c>
      <c r="AC15" s="206" t="e">
        <f t="shared" ca="1" si="11"/>
        <v>#N/A</v>
      </c>
      <c r="AD15" s="129" t="e">
        <f t="shared" ca="1" si="12"/>
        <v>#N/A</v>
      </c>
      <c r="AE15" s="129" t="str">
        <f t="shared" si="15"/>
        <v/>
      </c>
      <c r="AF15" s="299" t="e">
        <f t="shared" ca="1" si="16"/>
        <v>#N/A</v>
      </c>
    </row>
    <row r="16" spans="1:32" ht="15" customHeight="1">
      <c r="B16" s="132" t="b">
        <f>IF(TRIM(Length_1!A11)="",FALSE,TRUE)</f>
        <v>0</v>
      </c>
      <c r="C16" s="129" t="str">
        <f>IF($B16=FALSE,"",VALUE(Length_1!A11))</f>
        <v/>
      </c>
      <c r="D16" s="129" t="str">
        <f>IF($B16=FALSE,"",Length_1!B11)</f>
        <v/>
      </c>
      <c r="E16" s="133" t="str">
        <f>IF(B16=FALSE,"",Length_1!N11)</f>
        <v/>
      </c>
      <c r="F16" s="133" t="str">
        <f>IF(B16=FALSE,"",Length_1!O11)</f>
        <v/>
      </c>
      <c r="G16" s="133" t="str">
        <f>IF(B16=FALSE,"",Length_1!P11)</f>
        <v/>
      </c>
      <c r="H16" s="133" t="str">
        <f>IF(B16=FALSE,"",Length_1!Q11)</f>
        <v/>
      </c>
      <c r="I16" s="133" t="str">
        <f>IF(B16=FALSE,"",Length_1!R11)</f>
        <v/>
      </c>
      <c r="J16" s="134" t="str">
        <f t="shared" si="1"/>
        <v/>
      </c>
      <c r="K16" s="146" t="str">
        <f t="shared" si="2"/>
        <v/>
      </c>
      <c r="L16" s="135" t="str">
        <f>IF(B16=FALSE,"",Length_1!D55)</f>
        <v/>
      </c>
      <c r="M16" s="136" t="str">
        <f>IF(B16=FALSE,"",Calcu!J16*J$3)</f>
        <v/>
      </c>
      <c r="N16" s="155" t="str">
        <f>IF(B16=FALSE,"",IF(Length_1!C11="Laser",0,11.5*10^-6))</f>
        <v/>
      </c>
      <c r="O16" s="155" t="str">
        <f ca="1">IF(B16=FALSE,"",OFFSET(Length_1!A55,0,MATCH("열팽창계수",Length_1!$47:$47,0)-1))</f>
        <v/>
      </c>
      <c r="P16" s="156" t="str">
        <f t="shared" si="3"/>
        <v/>
      </c>
      <c r="Q16" s="242" t="str">
        <f t="shared" si="4"/>
        <v/>
      </c>
      <c r="R16" s="242" t="str">
        <f t="shared" si="5"/>
        <v/>
      </c>
      <c r="S16" s="242" t="str">
        <f t="shared" si="6"/>
        <v/>
      </c>
      <c r="T16" s="137" t="str">
        <f t="shared" si="7"/>
        <v/>
      </c>
      <c r="U16" s="138" t="str">
        <f t="shared" si="8"/>
        <v/>
      </c>
      <c r="V16" s="129" t="str">
        <f t="shared" si="13"/>
        <v/>
      </c>
      <c r="W16" s="129" t="str">
        <f t="shared" si="14"/>
        <v/>
      </c>
      <c r="X16" s="131"/>
      <c r="Y16" s="197" t="e">
        <f ca="1">IF(Length_1!K11&lt;0,ROUNDUP(Length_1!K11*J$3,$M$66),ROUNDDOWN(Length_1!K11*J$3,$M$66))</f>
        <v>#N/A</v>
      </c>
      <c r="Z16" s="197" t="e">
        <f ca="1">IF(Length_1!L11&lt;0,ROUNDDOWN(Length_1!L11*J$3,$M$66),ROUNDUP(Length_1!L11*J$3,$M$66))</f>
        <v>#N/A</v>
      </c>
      <c r="AA16" s="129" t="e">
        <f t="shared" ca="1" si="9"/>
        <v>#N/A</v>
      </c>
      <c r="AB16" s="129" t="e">
        <f t="shared" ca="1" si="10"/>
        <v>#N/A</v>
      </c>
      <c r="AC16" s="206" t="e">
        <f t="shared" ca="1" si="11"/>
        <v>#N/A</v>
      </c>
      <c r="AD16" s="129" t="e">
        <f t="shared" ca="1" si="12"/>
        <v>#N/A</v>
      </c>
      <c r="AE16" s="129" t="str">
        <f t="shared" si="15"/>
        <v/>
      </c>
      <c r="AF16" s="299" t="e">
        <f t="shared" ca="1" si="16"/>
        <v>#N/A</v>
      </c>
    </row>
    <row r="17" spans="2:32" ht="15" customHeight="1">
      <c r="B17" s="132" t="b">
        <f>IF(TRIM(Length_1!A12)="",FALSE,TRUE)</f>
        <v>0</v>
      </c>
      <c r="C17" s="129" t="str">
        <f>IF($B17=FALSE,"",VALUE(Length_1!A12))</f>
        <v/>
      </c>
      <c r="D17" s="129" t="str">
        <f>IF($B17=FALSE,"",Length_1!B12)</f>
        <v/>
      </c>
      <c r="E17" s="133" t="str">
        <f>IF(B17=FALSE,"",Length_1!N12)</f>
        <v/>
      </c>
      <c r="F17" s="133" t="str">
        <f>IF(B17=FALSE,"",Length_1!O12)</f>
        <v/>
      </c>
      <c r="G17" s="133" t="str">
        <f>IF(B17=FALSE,"",Length_1!P12)</f>
        <v/>
      </c>
      <c r="H17" s="133" t="str">
        <f>IF(B17=FALSE,"",Length_1!Q12)</f>
        <v/>
      </c>
      <c r="I17" s="133" t="str">
        <f>IF(B17=FALSE,"",Length_1!R12)</f>
        <v/>
      </c>
      <c r="J17" s="134" t="str">
        <f t="shared" si="1"/>
        <v/>
      </c>
      <c r="K17" s="146" t="str">
        <f t="shared" si="2"/>
        <v/>
      </c>
      <c r="L17" s="135" t="str">
        <f>IF(B17=FALSE,"",Length_1!D56)</f>
        <v/>
      </c>
      <c r="M17" s="136" t="str">
        <f>IF(B17=FALSE,"",Calcu!J17*J$3)</f>
        <v/>
      </c>
      <c r="N17" s="155" t="str">
        <f>IF(B17=FALSE,"",IF(Length_1!C12="Laser",0,11.5*10^-6))</f>
        <v/>
      </c>
      <c r="O17" s="155" t="str">
        <f ca="1">IF(B17=FALSE,"",OFFSET(Length_1!A56,0,MATCH("열팽창계수",Length_1!$47:$47,0)-1))</f>
        <v/>
      </c>
      <c r="P17" s="156" t="str">
        <f t="shared" si="3"/>
        <v/>
      </c>
      <c r="Q17" s="242" t="str">
        <f t="shared" si="4"/>
        <v/>
      </c>
      <c r="R17" s="242" t="str">
        <f t="shared" si="5"/>
        <v/>
      </c>
      <c r="S17" s="242" t="str">
        <f t="shared" si="6"/>
        <v/>
      </c>
      <c r="T17" s="137" t="str">
        <f t="shared" si="7"/>
        <v/>
      </c>
      <c r="U17" s="138" t="str">
        <f t="shared" si="8"/>
        <v/>
      </c>
      <c r="V17" s="129" t="str">
        <f t="shared" si="13"/>
        <v/>
      </c>
      <c r="W17" s="129" t="str">
        <f t="shared" si="14"/>
        <v/>
      </c>
      <c r="X17" s="131"/>
      <c r="Y17" s="197" t="e">
        <f ca="1">IF(Length_1!K12&lt;0,ROUNDUP(Length_1!K12*J$3,$M$66),ROUNDDOWN(Length_1!K12*J$3,$M$66))</f>
        <v>#N/A</v>
      </c>
      <c r="Z17" s="197" t="e">
        <f ca="1">IF(Length_1!L12&lt;0,ROUNDDOWN(Length_1!L12*J$3,$M$66),ROUNDUP(Length_1!L12*J$3,$M$66))</f>
        <v>#N/A</v>
      </c>
      <c r="AA17" s="129" t="e">
        <f t="shared" ca="1" si="9"/>
        <v>#N/A</v>
      </c>
      <c r="AB17" s="129" t="e">
        <f t="shared" ca="1" si="10"/>
        <v>#N/A</v>
      </c>
      <c r="AC17" s="206" t="e">
        <f t="shared" ca="1" si="11"/>
        <v>#N/A</v>
      </c>
      <c r="AD17" s="129" t="e">
        <f t="shared" ca="1" si="12"/>
        <v>#N/A</v>
      </c>
      <c r="AE17" s="129" t="str">
        <f t="shared" si="15"/>
        <v/>
      </c>
      <c r="AF17" s="299" t="e">
        <f t="shared" ca="1" si="16"/>
        <v>#N/A</v>
      </c>
    </row>
    <row r="18" spans="2:32" ht="15" customHeight="1">
      <c r="B18" s="132" t="b">
        <f>IF(TRIM(Length_1!A13)="",FALSE,TRUE)</f>
        <v>0</v>
      </c>
      <c r="C18" s="129" t="str">
        <f>IF($B18=FALSE,"",VALUE(Length_1!A13))</f>
        <v/>
      </c>
      <c r="D18" s="129" t="str">
        <f>IF($B18=FALSE,"",Length_1!B13)</f>
        <v/>
      </c>
      <c r="E18" s="133" t="str">
        <f>IF(B18=FALSE,"",Length_1!N13)</f>
        <v/>
      </c>
      <c r="F18" s="133" t="str">
        <f>IF(B18=FALSE,"",Length_1!O13)</f>
        <v/>
      </c>
      <c r="G18" s="133" t="str">
        <f>IF(B18=FALSE,"",Length_1!P13)</f>
        <v/>
      </c>
      <c r="H18" s="133" t="str">
        <f>IF(B18=FALSE,"",Length_1!Q13)</f>
        <v/>
      </c>
      <c r="I18" s="133" t="str">
        <f>IF(B18=FALSE,"",Length_1!R13)</f>
        <v/>
      </c>
      <c r="J18" s="134" t="str">
        <f t="shared" si="1"/>
        <v/>
      </c>
      <c r="K18" s="146" t="str">
        <f t="shared" si="2"/>
        <v/>
      </c>
      <c r="L18" s="135" t="str">
        <f>IF(B18=FALSE,"",Length_1!D57)</f>
        <v/>
      </c>
      <c r="M18" s="136" t="str">
        <f>IF(B18=FALSE,"",Calcu!J18*J$3)</f>
        <v/>
      </c>
      <c r="N18" s="155" t="str">
        <f>IF(B18=FALSE,"",IF(Length_1!C13="Laser",0,11.5*10^-6))</f>
        <v/>
      </c>
      <c r="O18" s="155" t="str">
        <f ca="1">IF(B18=FALSE,"",OFFSET(Length_1!A57,0,MATCH("열팽창계수",Length_1!$47:$47,0)-1))</f>
        <v/>
      </c>
      <c r="P18" s="156" t="str">
        <f t="shared" si="3"/>
        <v/>
      </c>
      <c r="Q18" s="242" t="str">
        <f t="shared" si="4"/>
        <v/>
      </c>
      <c r="R18" s="242" t="str">
        <f t="shared" si="5"/>
        <v/>
      </c>
      <c r="S18" s="242" t="str">
        <f t="shared" si="6"/>
        <v/>
      </c>
      <c r="T18" s="137" t="str">
        <f t="shared" si="7"/>
        <v/>
      </c>
      <c r="U18" s="138" t="str">
        <f t="shared" si="8"/>
        <v/>
      </c>
      <c r="V18" s="129" t="str">
        <f t="shared" si="13"/>
        <v/>
      </c>
      <c r="W18" s="129" t="str">
        <f t="shared" si="14"/>
        <v/>
      </c>
      <c r="X18" s="131"/>
      <c r="Y18" s="197" t="e">
        <f ca="1">IF(Length_1!K13&lt;0,ROUNDUP(Length_1!K13*J$3,$M$66),ROUNDDOWN(Length_1!K13*J$3,$M$66))</f>
        <v>#N/A</v>
      </c>
      <c r="Z18" s="197" t="e">
        <f ca="1">IF(Length_1!L13&lt;0,ROUNDDOWN(Length_1!L13*J$3,$M$66),ROUNDUP(Length_1!L13*J$3,$M$66))</f>
        <v>#N/A</v>
      </c>
      <c r="AA18" s="129" t="e">
        <f t="shared" ca="1" si="9"/>
        <v>#N/A</v>
      </c>
      <c r="AB18" s="129" t="e">
        <f t="shared" ca="1" si="10"/>
        <v>#N/A</v>
      </c>
      <c r="AC18" s="206" t="e">
        <f t="shared" ca="1" si="11"/>
        <v>#N/A</v>
      </c>
      <c r="AD18" s="129" t="e">
        <f t="shared" ca="1" si="12"/>
        <v>#N/A</v>
      </c>
      <c r="AE18" s="129" t="str">
        <f t="shared" si="15"/>
        <v/>
      </c>
      <c r="AF18" s="299" t="e">
        <f t="shared" ca="1" si="16"/>
        <v>#N/A</v>
      </c>
    </row>
    <row r="19" spans="2:32" ht="15" customHeight="1">
      <c r="B19" s="132" t="b">
        <f>IF(TRIM(Length_1!A14)="",FALSE,TRUE)</f>
        <v>0</v>
      </c>
      <c r="C19" s="129" t="str">
        <f>IF($B19=FALSE,"",VALUE(Length_1!A14))</f>
        <v/>
      </c>
      <c r="D19" s="129" t="str">
        <f>IF($B19=FALSE,"",Length_1!B14)</f>
        <v/>
      </c>
      <c r="E19" s="133" t="str">
        <f>IF(B19=FALSE,"",Length_1!N14)</f>
        <v/>
      </c>
      <c r="F19" s="133" t="str">
        <f>IF(B19=FALSE,"",Length_1!O14)</f>
        <v/>
      </c>
      <c r="G19" s="133" t="str">
        <f>IF(B19=FALSE,"",Length_1!P14)</f>
        <v/>
      </c>
      <c r="H19" s="133" t="str">
        <f>IF(B19=FALSE,"",Length_1!Q14)</f>
        <v/>
      </c>
      <c r="I19" s="133" t="str">
        <f>IF(B19=FALSE,"",Length_1!R14)</f>
        <v/>
      </c>
      <c r="J19" s="134" t="str">
        <f t="shared" si="1"/>
        <v/>
      </c>
      <c r="K19" s="146" t="str">
        <f t="shared" si="2"/>
        <v/>
      </c>
      <c r="L19" s="135" t="str">
        <f>IF(B19=FALSE,"",Length_1!D58)</f>
        <v/>
      </c>
      <c r="M19" s="136" t="str">
        <f>IF(B19=FALSE,"",Calcu!J19*J$3)</f>
        <v/>
      </c>
      <c r="N19" s="155" t="str">
        <f>IF(B19=FALSE,"",IF(Length_1!C14="Laser",0,11.5*10^-6))</f>
        <v/>
      </c>
      <c r="O19" s="155" t="str">
        <f ca="1">IF(B19=FALSE,"",OFFSET(Length_1!A58,0,MATCH("열팽창계수",Length_1!$47:$47,0)-1))</f>
        <v/>
      </c>
      <c r="P19" s="156" t="str">
        <f t="shared" si="3"/>
        <v/>
      </c>
      <c r="Q19" s="242" t="str">
        <f t="shared" si="4"/>
        <v/>
      </c>
      <c r="R19" s="242" t="str">
        <f t="shared" si="5"/>
        <v/>
      </c>
      <c r="S19" s="242" t="str">
        <f t="shared" si="6"/>
        <v/>
      </c>
      <c r="T19" s="137" t="str">
        <f t="shared" si="7"/>
        <v/>
      </c>
      <c r="U19" s="138" t="str">
        <f t="shared" si="8"/>
        <v/>
      </c>
      <c r="V19" s="129" t="str">
        <f t="shared" si="13"/>
        <v/>
      </c>
      <c r="W19" s="129" t="str">
        <f t="shared" si="14"/>
        <v/>
      </c>
      <c r="X19" s="131"/>
      <c r="Y19" s="197" t="e">
        <f ca="1">IF(Length_1!K14&lt;0,ROUNDUP(Length_1!K14*J$3,$M$66),ROUNDDOWN(Length_1!K14*J$3,$M$66))</f>
        <v>#N/A</v>
      </c>
      <c r="Z19" s="197" t="e">
        <f ca="1">IF(Length_1!L14&lt;0,ROUNDDOWN(Length_1!L14*J$3,$M$66),ROUNDUP(Length_1!L14*J$3,$M$66))</f>
        <v>#N/A</v>
      </c>
      <c r="AA19" s="129" t="e">
        <f t="shared" ca="1" si="9"/>
        <v>#N/A</v>
      </c>
      <c r="AB19" s="129" t="e">
        <f t="shared" ca="1" si="10"/>
        <v>#N/A</v>
      </c>
      <c r="AC19" s="206" t="e">
        <f t="shared" ca="1" si="11"/>
        <v>#N/A</v>
      </c>
      <c r="AD19" s="129" t="e">
        <f t="shared" ca="1" si="12"/>
        <v>#N/A</v>
      </c>
      <c r="AE19" s="129" t="str">
        <f t="shared" si="15"/>
        <v/>
      </c>
      <c r="AF19" s="299" t="e">
        <f t="shared" ca="1" si="16"/>
        <v>#N/A</v>
      </c>
    </row>
    <row r="20" spans="2:32" ht="15" customHeight="1">
      <c r="B20" s="132" t="b">
        <f>IF(TRIM(Length_1!A15)="",FALSE,TRUE)</f>
        <v>0</v>
      </c>
      <c r="C20" s="129" t="str">
        <f>IF($B20=FALSE,"",VALUE(Length_1!A15))</f>
        <v/>
      </c>
      <c r="D20" s="129" t="str">
        <f>IF($B20=FALSE,"",Length_1!B15)</f>
        <v/>
      </c>
      <c r="E20" s="133" t="str">
        <f>IF(B20=FALSE,"",Length_1!N15)</f>
        <v/>
      </c>
      <c r="F20" s="133" t="str">
        <f>IF(B20=FALSE,"",Length_1!O15)</f>
        <v/>
      </c>
      <c r="G20" s="133" t="str">
        <f>IF(B20=FALSE,"",Length_1!P15)</f>
        <v/>
      </c>
      <c r="H20" s="133" t="str">
        <f>IF(B20=FALSE,"",Length_1!Q15)</f>
        <v/>
      </c>
      <c r="I20" s="133" t="str">
        <f>IF(B20=FALSE,"",Length_1!R15)</f>
        <v/>
      </c>
      <c r="J20" s="134" t="str">
        <f t="shared" si="1"/>
        <v/>
      </c>
      <c r="K20" s="146" t="str">
        <f t="shared" si="2"/>
        <v/>
      </c>
      <c r="L20" s="135" t="str">
        <f>IF(B20=FALSE,"",Length_1!D59)</f>
        <v/>
      </c>
      <c r="M20" s="136" t="str">
        <f>IF(B20=FALSE,"",Calcu!J20*J$3)</f>
        <v/>
      </c>
      <c r="N20" s="155" t="str">
        <f>IF(B20=FALSE,"",IF(Length_1!C15="Laser",0,11.5*10^-6))</f>
        <v/>
      </c>
      <c r="O20" s="155" t="str">
        <f ca="1">IF(B20=FALSE,"",OFFSET(Length_1!A59,0,MATCH("열팽창계수",Length_1!$47:$47,0)-1))</f>
        <v/>
      </c>
      <c r="P20" s="156" t="str">
        <f t="shared" si="3"/>
        <v/>
      </c>
      <c r="Q20" s="242" t="str">
        <f t="shared" si="4"/>
        <v/>
      </c>
      <c r="R20" s="242" t="str">
        <f t="shared" si="5"/>
        <v/>
      </c>
      <c r="S20" s="242" t="str">
        <f t="shared" si="6"/>
        <v/>
      </c>
      <c r="T20" s="137" t="str">
        <f t="shared" si="7"/>
        <v/>
      </c>
      <c r="U20" s="138" t="str">
        <f t="shared" si="8"/>
        <v/>
      </c>
      <c r="V20" s="129" t="str">
        <f t="shared" si="13"/>
        <v/>
      </c>
      <c r="W20" s="129" t="str">
        <f t="shared" si="14"/>
        <v/>
      </c>
      <c r="X20" s="131"/>
      <c r="Y20" s="197" t="e">
        <f ca="1">IF(Length_1!K15&lt;0,ROUNDUP(Length_1!K15*J$3,$M$66),ROUNDDOWN(Length_1!K15*J$3,$M$66))</f>
        <v>#N/A</v>
      </c>
      <c r="Z20" s="197" t="e">
        <f ca="1">IF(Length_1!L15&lt;0,ROUNDDOWN(Length_1!L15*J$3,$M$66),ROUNDUP(Length_1!L15*J$3,$M$66))</f>
        <v>#N/A</v>
      </c>
      <c r="AA20" s="129" t="e">
        <f t="shared" ca="1" si="9"/>
        <v>#N/A</v>
      </c>
      <c r="AB20" s="129" t="e">
        <f t="shared" ca="1" si="10"/>
        <v>#N/A</v>
      </c>
      <c r="AC20" s="206" t="e">
        <f t="shared" ca="1" si="11"/>
        <v>#N/A</v>
      </c>
      <c r="AD20" s="129" t="e">
        <f t="shared" ca="1" si="12"/>
        <v>#N/A</v>
      </c>
      <c r="AE20" s="129" t="str">
        <f t="shared" si="15"/>
        <v/>
      </c>
      <c r="AF20" s="299" t="e">
        <f t="shared" ca="1" si="16"/>
        <v>#N/A</v>
      </c>
    </row>
    <row r="21" spans="2:32" ht="15" customHeight="1">
      <c r="B21" s="132" t="b">
        <f>IF(TRIM(Length_1!A16)="",FALSE,TRUE)</f>
        <v>0</v>
      </c>
      <c r="C21" s="129" t="str">
        <f>IF($B21=FALSE,"",VALUE(Length_1!A16))</f>
        <v/>
      </c>
      <c r="D21" s="129" t="str">
        <f>IF($B21=FALSE,"",Length_1!B16)</f>
        <v/>
      </c>
      <c r="E21" s="133" t="str">
        <f>IF(B21=FALSE,"",Length_1!N16)</f>
        <v/>
      </c>
      <c r="F21" s="133" t="str">
        <f>IF(B21=FALSE,"",Length_1!O16)</f>
        <v/>
      </c>
      <c r="G21" s="133" t="str">
        <f>IF(B21=FALSE,"",Length_1!P16)</f>
        <v/>
      </c>
      <c r="H21" s="133" t="str">
        <f>IF(B21=FALSE,"",Length_1!Q16)</f>
        <v/>
      </c>
      <c r="I21" s="133" t="str">
        <f>IF(B21=FALSE,"",Length_1!R16)</f>
        <v/>
      </c>
      <c r="J21" s="134" t="str">
        <f t="shared" si="1"/>
        <v/>
      </c>
      <c r="K21" s="146" t="str">
        <f t="shared" si="2"/>
        <v/>
      </c>
      <c r="L21" s="135" t="str">
        <f>IF(B21=FALSE,"",Length_1!D60)</f>
        <v/>
      </c>
      <c r="M21" s="136" t="str">
        <f>IF(B21=FALSE,"",Calcu!J21*J$3)</f>
        <v/>
      </c>
      <c r="N21" s="155" t="str">
        <f>IF(B21=FALSE,"",IF(Length_1!C16="Laser",0,11.5*10^-6))</f>
        <v/>
      </c>
      <c r="O21" s="155" t="str">
        <f ca="1">IF(B21=FALSE,"",OFFSET(Length_1!A60,0,MATCH("열팽창계수",Length_1!$47:$47,0)-1))</f>
        <v/>
      </c>
      <c r="P21" s="156" t="str">
        <f t="shared" si="3"/>
        <v/>
      </c>
      <c r="Q21" s="242" t="str">
        <f t="shared" si="4"/>
        <v/>
      </c>
      <c r="R21" s="242" t="str">
        <f t="shared" si="5"/>
        <v/>
      </c>
      <c r="S21" s="242" t="str">
        <f t="shared" si="6"/>
        <v/>
      </c>
      <c r="T21" s="137" t="str">
        <f t="shared" si="7"/>
        <v/>
      </c>
      <c r="U21" s="138" t="str">
        <f t="shared" si="8"/>
        <v/>
      </c>
      <c r="V21" s="129" t="str">
        <f t="shared" si="13"/>
        <v/>
      </c>
      <c r="W21" s="129" t="str">
        <f t="shared" si="14"/>
        <v/>
      </c>
      <c r="X21" s="131"/>
      <c r="Y21" s="197" t="e">
        <f ca="1">IF(Length_1!K16&lt;0,ROUNDUP(Length_1!K16*J$3,$M$66),ROUNDDOWN(Length_1!K16*J$3,$M$66))</f>
        <v>#N/A</v>
      </c>
      <c r="Z21" s="197" t="e">
        <f ca="1">IF(Length_1!L16&lt;0,ROUNDDOWN(Length_1!L16*J$3,$M$66),ROUNDUP(Length_1!L16*J$3,$M$66))</f>
        <v>#N/A</v>
      </c>
      <c r="AA21" s="129" t="e">
        <f t="shared" ca="1" si="9"/>
        <v>#N/A</v>
      </c>
      <c r="AB21" s="129" t="e">
        <f t="shared" ca="1" si="10"/>
        <v>#N/A</v>
      </c>
      <c r="AC21" s="206" t="e">
        <f t="shared" ca="1" si="11"/>
        <v>#N/A</v>
      </c>
      <c r="AD21" s="129" t="e">
        <f t="shared" ca="1" si="12"/>
        <v>#N/A</v>
      </c>
      <c r="AE21" s="129" t="str">
        <f t="shared" si="15"/>
        <v/>
      </c>
      <c r="AF21" s="299" t="e">
        <f t="shared" ca="1" si="16"/>
        <v>#N/A</v>
      </c>
    </row>
    <row r="22" spans="2:32" ht="15" customHeight="1">
      <c r="B22" s="132" t="b">
        <f>IF(TRIM(Length_1!A17)="",FALSE,TRUE)</f>
        <v>0</v>
      </c>
      <c r="C22" s="129" t="str">
        <f>IF($B22=FALSE,"",VALUE(Length_1!A17))</f>
        <v/>
      </c>
      <c r="D22" s="129" t="str">
        <f>IF($B22=FALSE,"",Length_1!B17)</f>
        <v/>
      </c>
      <c r="E22" s="133" t="str">
        <f>IF(B22=FALSE,"",Length_1!N17)</f>
        <v/>
      </c>
      <c r="F22" s="133" t="str">
        <f>IF(B22=FALSE,"",Length_1!O17)</f>
        <v/>
      </c>
      <c r="G22" s="133" t="str">
        <f>IF(B22=FALSE,"",Length_1!P17)</f>
        <v/>
      </c>
      <c r="H22" s="133" t="str">
        <f>IF(B22=FALSE,"",Length_1!Q17)</f>
        <v/>
      </c>
      <c r="I22" s="133" t="str">
        <f>IF(B22=FALSE,"",Length_1!R17)</f>
        <v/>
      </c>
      <c r="J22" s="134" t="str">
        <f t="shared" si="1"/>
        <v/>
      </c>
      <c r="K22" s="146" t="str">
        <f t="shared" si="2"/>
        <v/>
      </c>
      <c r="L22" s="135" t="str">
        <f>IF(B22=FALSE,"",Length_1!D61)</f>
        <v/>
      </c>
      <c r="M22" s="136" t="str">
        <f>IF(B22=FALSE,"",Calcu!J22*J$3)</f>
        <v/>
      </c>
      <c r="N22" s="155" t="str">
        <f>IF(B22=FALSE,"",IF(Length_1!C17="Laser",0,11.5*10^-6))</f>
        <v/>
      </c>
      <c r="O22" s="155" t="str">
        <f ca="1">IF(B22=FALSE,"",OFFSET(Length_1!A61,0,MATCH("열팽창계수",Length_1!$47:$47,0)-1))</f>
        <v/>
      </c>
      <c r="P22" s="156" t="str">
        <f t="shared" si="3"/>
        <v/>
      </c>
      <c r="Q22" s="242" t="str">
        <f t="shared" si="4"/>
        <v/>
      </c>
      <c r="R22" s="242" t="str">
        <f t="shared" si="5"/>
        <v/>
      </c>
      <c r="S22" s="242" t="str">
        <f t="shared" si="6"/>
        <v/>
      </c>
      <c r="T22" s="137" t="str">
        <f t="shared" si="7"/>
        <v/>
      </c>
      <c r="U22" s="138" t="str">
        <f t="shared" si="8"/>
        <v/>
      </c>
      <c r="V22" s="129" t="str">
        <f t="shared" si="13"/>
        <v/>
      </c>
      <c r="W22" s="129" t="str">
        <f t="shared" si="14"/>
        <v/>
      </c>
      <c r="X22" s="131"/>
      <c r="Y22" s="197" t="e">
        <f ca="1">IF(Length_1!K17&lt;0,ROUNDUP(Length_1!K17*J$3,$M$66),ROUNDDOWN(Length_1!K17*J$3,$M$66))</f>
        <v>#N/A</v>
      </c>
      <c r="Z22" s="197" t="e">
        <f ca="1">IF(Length_1!L17&lt;0,ROUNDDOWN(Length_1!L17*J$3,$M$66),ROUNDUP(Length_1!L17*J$3,$M$66))</f>
        <v>#N/A</v>
      </c>
      <c r="AA22" s="129" t="e">
        <f t="shared" ca="1" si="9"/>
        <v>#N/A</v>
      </c>
      <c r="AB22" s="129" t="e">
        <f t="shared" ca="1" si="10"/>
        <v>#N/A</v>
      </c>
      <c r="AC22" s="206" t="e">
        <f t="shared" ca="1" si="11"/>
        <v>#N/A</v>
      </c>
      <c r="AD22" s="129" t="e">
        <f t="shared" ca="1" si="12"/>
        <v>#N/A</v>
      </c>
      <c r="AE22" s="129" t="str">
        <f t="shared" si="15"/>
        <v/>
      </c>
      <c r="AF22" s="299" t="e">
        <f t="shared" ca="1" si="16"/>
        <v>#N/A</v>
      </c>
    </row>
    <row r="23" spans="2:32" ht="15" customHeight="1">
      <c r="B23" s="132" t="b">
        <f>IF(TRIM(Length_1!A18)="",FALSE,TRUE)</f>
        <v>0</v>
      </c>
      <c r="C23" s="129" t="str">
        <f>IF($B23=FALSE,"",VALUE(Length_1!A18))</f>
        <v/>
      </c>
      <c r="D23" s="129" t="str">
        <f>IF($B23=FALSE,"",Length_1!B18)</f>
        <v/>
      </c>
      <c r="E23" s="133" t="str">
        <f>IF(B23=FALSE,"",Length_1!N18)</f>
        <v/>
      </c>
      <c r="F23" s="133" t="str">
        <f>IF(B23=FALSE,"",Length_1!O18)</f>
        <v/>
      </c>
      <c r="G23" s="133" t="str">
        <f>IF(B23=FALSE,"",Length_1!P18)</f>
        <v/>
      </c>
      <c r="H23" s="133" t="str">
        <f>IF(B23=FALSE,"",Length_1!Q18)</f>
        <v/>
      </c>
      <c r="I23" s="133" t="str">
        <f>IF(B23=FALSE,"",Length_1!R18)</f>
        <v/>
      </c>
      <c r="J23" s="134" t="str">
        <f t="shared" si="1"/>
        <v/>
      </c>
      <c r="K23" s="146" t="str">
        <f t="shared" si="2"/>
        <v/>
      </c>
      <c r="L23" s="135" t="str">
        <f>IF(B23=FALSE,"",Length_1!D62)</f>
        <v/>
      </c>
      <c r="M23" s="136" t="str">
        <f>IF(B23=FALSE,"",Calcu!J23*J$3)</f>
        <v/>
      </c>
      <c r="N23" s="155" t="str">
        <f>IF(B23=FALSE,"",IF(Length_1!C18="Laser",0,11.5*10^-6))</f>
        <v/>
      </c>
      <c r="O23" s="155" t="str">
        <f ca="1">IF(B23=FALSE,"",OFFSET(Length_1!A62,0,MATCH("열팽창계수",Length_1!$47:$47,0)-1))</f>
        <v/>
      </c>
      <c r="P23" s="156" t="str">
        <f t="shared" si="3"/>
        <v/>
      </c>
      <c r="Q23" s="242" t="str">
        <f t="shared" si="4"/>
        <v/>
      </c>
      <c r="R23" s="242" t="str">
        <f t="shared" si="5"/>
        <v/>
      </c>
      <c r="S23" s="242" t="str">
        <f t="shared" si="6"/>
        <v/>
      </c>
      <c r="T23" s="137" t="str">
        <f t="shared" si="7"/>
        <v/>
      </c>
      <c r="U23" s="138" t="str">
        <f t="shared" si="8"/>
        <v/>
      </c>
      <c r="V23" s="129" t="str">
        <f t="shared" si="13"/>
        <v/>
      </c>
      <c r="W23" s="129" t="str">
        <f t="shared" si="14"/>
        <v/>
      </c>
      <c r="X23" s="131"/>
      <c r="Y23" s="197" t="e">
        <f ca="1">IF(Length_1!K18&lt;0,ROUNDUP(Length_1!K18*J$3,$M$66),ROUNDDOWN(Length_1!K18*J$3,$M$66))</f>
        <v>#N/A</v>
      </c>
      <c r="Z23" s="197" t="e">
        <f ca="1">IF(Length_1!L18&lt;0,ROUNDDOWN(Length_1!L18*J$3,$M$66),ROUNDUP(Length_1!L18*J$3,$M$66))</f>
        <v>#N/A</v>
      </c>
      <c r="AA23" s="129" t="e">
        <f t="shared" ca="1" si="9"/>
        <v>#N/A</v>
      </c>
      <c r="AB23" s="129" t="e">
        <f t="shared" ca="1" si="10"/>
        <v>#N/A</v>
      </c>
      <c r="AC23" s="206" t="e">
        <f t="shared" ca="1" si="11"/>
        <v>#N/A</v>
      </c>
      <c r="AD23" s="129" t="e">
        <f t="shared" ca="1" si="12"/>
        <v>#N/A</v>
      </c>
      <c r="AE23" s="129" t="str">
        <f t="shared" si="15"/>
        <v/>
      </c>
      <c r="AF23" s="299" t="e">
        <f t="shared" ca="1" si="16"/>
        <v>#N/A</v>
      </c>
    </row>
    <row r="24" spans="2:32" ht="15" customHeight="1">
      <c r="B24" s="132" t="b">
        <f>IF(TRIM(Length_1!A19)="",FALSE,TRUE)</f>
        <v>0</v>
      </c>
      <c r="C24" s="129" t="str">
        <f>IF($B24=FALSE,"",VALUE(Length_1!A19))</f>
        <v/>
      </c>
      <c r="D24" s="129" t="str">
        <f>IF($B24=FALSE,"",Length_1!B19)</f>
        <v/>
      </c>
      <c r="E24" s="133" t="str">
        <f>IF(B24=FALSE,"",Length_1!N19)</f>
        <v/>
      </c>
      <c r="F24" s="133" t="str">
        <f>IF(B24=FALSE,"",Length_1!O19)</f>
        <v/>
      </c>
      <c r="G24" s="133" t="str">
        <f>IF(B24=FALSE,"",Length_1!P19)</f>
        <v/>
      </c>
      <c r="H24" s="133" t="str">
        <f>IF(B24=FALSE,"",Length_1!Q19)</f>
        <v/>
      </c>
      <c r="I24" s="133" t="str">
        <f>IF(B24=FALSE,"",Length_1!R19)</f>
        <v/>
      </c>
      <c r="J24" s="134" t="str">
        <f t="shared" si="1"/>
        <v/>
      </c>
      <c r="K24" s="146" t="str">
        <f t="shared" si="2"/>
        <v/>
      </c>
      <c r="L24" s="135" t="str">
        <f>IF(B24=FALSE,"",Length_1!D63)</f>
        <v/>
      </c>
      <c r="M24" s="136" t="str">
        <f>IF(B24=FALSE,"",Calcu!J24*J$3)</f>
        <v/>
      </c>
      <c r="N24" s="155" t="str">
        <f>IF(B24=FALSE,"",IF(Length_1!C19="Laser",0,11.5*10^-6))</f>
        <v/>
      </c>
      <c r="O24" s="155" t="str">
        <f ca="1">IF(B24=FALSE,"",OFFSET(Length_1!A63,0,MATCH("열팽창계수",Length_1!$47:$47,0)-1))</f>
        <v/>
      </c>
      <c r="P24" s="156" t="str">
        <f t="shared" si="3"/>
        <v/>
      </c>
      <c r="Q24" s="242" t="str">
        <f t="shared" si="4"/>
        <v/>
      </c>
      <c r="R24" s="242" t="str">
        <f t="shared" si="5"/>
        <v/>
      </c>
      <c r="S24" s="242" t="str">
        <f t="shared" si="6"/>
        <v/>
      </c>
      <c r="T24" s="137" t="str">
        <f t="shared" si="7"/>
        <v/>
      </c>
      <c r="U24" s="138" t="str">
        <f t="shared" si="8"/>
        <v/>
      </c>
      <c r="V24" s="129" t="str">
        <f t="shared" si="13"/>
        <v/>
      </c>
      <c r="W24" s="129" t="str">
        <f t="shared" si="14"/>
        <v/>
      </c>
      <c r="X24" s="131"/>
      <c r="Y24" s="197" t="e">
        <f ca="1">IF(Length_1!K19&lt;0,ROUNDUP(Length_1!K19*J$3,$M$66),ROUNDDOWN(Length_1!K19*J$3,$M$66))</f>
        <v>#N/A</v>
      </c>
      <c r="Z24" s="197" t="e">
        <f ca="1">IF(Length_1!L19&lt;0,ROUNDDOWN(Length_1!L19*J$3,$M$66),ROUNDUP(Length_1!L19*J$3,$M$66))</f>
        <v>#N/A</v>
      </c>
      <c r="AA24" s="129" t="e">
        <f t="shared" ca="1" si="9"/>
        <v>#N/A</v>
      </c>
      <c r="AB24" s="129" t="e">
        <f t="shared" ca="1" si="10"/>
        <v>#N/A</v>
      </c>
      <c r="AC24" s="206" t="e">
        <f t="shared" ca="1" si="11"/>
        <v>#N/A</v>
      </c>
      <c r="AD24" s="129" t="e">
        <f t="shared" ca="1" si="12"/>
        <v>#N/A</v>
      </c>
      <c r="AE24" s="129" t="str">
        <f t="shared" si="15"/>
        <v/>
      </c>
      <c r="AF24" s="299" t="e">
        <f t="shared" ca="1" si="16"/>
        <v>#N/A</v>
      </c>
    </row>
    <row r="25" spans="2:32" ht="15" customHeight="1">
      <c r="B25" s="132" t="b">
        <f>IF(TRIM(Length_1!A20)="",FALSE,TRUE)</f>
        <v>0</v>
      </c>
      <c r="C25" s="129" t="str">
        <f>IF($B25=FALSE,"",VALUE(Length_1!A20))</f>
        <v/>
      </c>
      <c r="D25" s="129" t="str">
        <f>IF($B25=FALSE,"",Length_1!B20)</f>
        <v/>
      </c>
      <c r="E25" s="133" t="str">
        <f>IF(B25=FALSE,"",Length_1!N20)</f>
        <v/>
      </c>
      <c r="F25" s="133" t="str">
        <f>IF(B25=FALSE,"",Length_1!O20)</f>
        <v/>
      </c>
      <c r="G25" s="133" t="str">
        <f>IF(B25=FALSE,"",Length_1!P20)</f>
        <v/>
      </c>
      <c r="H25" s="133" t="str">
        <f>IF(B25=FALSE,"",Length_1!Q20)</f>
        <v/>
      </c>
      <c r="I25" s="133" t="str">
        <f>IF(B25=FALSE,"",Length_1!R20)</f>
        <v/>
      </c>
      <c r="J25" s="134" t="str">
        <f t="shared" si="1"/>
        <v/>
      </c>
      <c r="K25" s="146" t="str">
        <f t="shared" si="2"/>
        <v/>
      </c>
      <c r="L25" s="135" t="str">
        <f>IF(B25=FALSE,"",Length_1!D64)</f>
        <v/>
      </c>
      <c r="M25" s="136" t="str">
        <f>IF(B25=FALSE,"",Calcu!J25*J$3)</f>
        <v/>
      </c>
      <c r="N25" s="155" t="str">
        <f>IF(B25=FALSE,"",IF(Length_1!C20="Laser",0,11.5*10^-6))</f>
        <v/>
      </c>
      <c r="O25" s="155" t="str">
        <f ca="1">IF(B25=FALSE,"",OFFSET(Length_1!A64,0,MATCH("열팽창계수",Length_1!$47:$47,0)-1))</f>
        <v/>
      </c>
      <c r="P25" s="156" t="str">
        <f t="shared" si="3"/>
        <v/>
      </c>
      <c r="Q25" s="242" t="str">
        <f t="shared" si="4"/>
        <v/>
      </c>
      <c r="R25" s="242" t="str">
        <f t="shared" si="5"/>
        <v/>
      </c>
      <c r="S25" s="242" t="str">
        <f t="shared" si="6"/>
        <v/>
      </c>
      <c r="T25" s="137" t="str">
        <f t="shared" si="7"/>
        <v/>
      </c>
      <c r="U25" s="138" t="str">
        <f t="shared" si="8"/>
        <v/>
      </c>
      <c r="V25" s="129" t="str">
        <f t="shared" si="13"/>
        <v/>
      </c>
      <c r="W25" s="129" t="str">
        <f t="shared" si="14"/>
        <v/>
      </c>
      <c r="X25" s="131"/>
      <c r="Y25" s="197" t="e">
        <f ca="1">IF(Length_1!K20&lt;0,ROUNDUP(Length_1!K20*J$3,$M$66),ROUNDDOWN(Length_1!K20*J$3,$M$66))</f>
        <v>#N/A</v>
      </c>
      <c r="Z25" s="197" t="e">
        <f ca="1">IF(Length_1!L20&lt;0,ROUNDDOWN(Length_1!L20*J$3,$M$66),ROUNDUP(Length_1!L20*J$3,$M$66))</f>
        <v>#N/A</v>
      </c>
      <c r="AA25" s="129" t="e">
        <f t="shared" ca="1" si="9"/>
        <v>#N/A</v>
      </c>
      <c r="AB25" s="129" t="e">
        <f t="shared" ca="1" si="10"/>
        <v>#N/A</v>
      </c>
      <c r="AC25" s="206" t="e">
        <f t="shared" ca="1" si="11"/>
        <v>#N/A</v>
      </c>
      <c r="AD25" s="129" t="e">
        <f t="shared" ca="1" si="12"/>
        <v>#N/A</v>
      </c>
      <c r="AE25" s="129" t="str">
        <f t="shared" si="15"/>
        <v/>
      </c>
      <c r="AF25" s="299" t="e">
        <f t="shared" ca="1" si="16"/>
        <v>#N/A</v>
      </c>
    </row>
    <row r="26" spans="2:32" ht="15" customHeight="1">
      <c r="B26" s="132" t="b">
        <f>IF(TRIM(Length_1!A21)="",FALSE,TRUE)</f>
        <v>0</v>
      </c>
      <c r="C26" s="129" t="str">
        <f>IF($B26=FALSE,"",VALUE(Length_1!A21))</f>
        <v/>
      </c>
      <c r="D26" s="129" t="str">
        <f>IF($B26=FALSE,"",Length_1!B21)</f>
        <v/>
      </c>
      <c r="E26" s="133" t="str">
        <f>IF(B26=FALSE,"",Length_1!N21)</f>
        <v/>
      </c>
      <c r="F26" s="133" t="str">
        <f>IF(B26=FALSE,"",Length_1!O21)</f>
        <v/>
      </c>
      <c r="G26" s="133" t="str">
        <f>IF(B26=FALSE,"",Length_1!P21)</f>
        <v/>
      </c>
      <c r="H26" s="133" t="str">
        <f>IF(B26=FALSE,"",Length_1!Q21)</f>
        <v/>
      </c>
      <c r="I26" s="133" t="str">
        <f>IF(B26=FALSE,"",Length_1!R21)</f>
        <v/>
      </c>
      <c r="J26" s="134" t="str">
        <f t="shared" si="1"/>
        <v/>
      </c>
      <c r="K26" s="146" t="str">
        <f t="shared" si="2"/>
        <v/>
      </c>
      <c r="L26" s="135" t="str">
        <f>IF(B26=FALSE,"",Length_1!D65)</f>
        <v/>
      </c>
      <c r="M26" s="136" t="str">
        <f>IF(B26=FALSE,"",Calcu!J26*J$3)</f>
        <v/>
      </c>
      <c r="N26" s="155" t="str">
        <f>IF(B26=FALSE,"",IF(Length_1!C21="Laser",0,11.5*10^-6))</f>
        <v/>
      </c>
      <c r="O26" s="155" t="str">
        <f ca="1">IF(B26=FALSE,"",OFFSET(Length_1!A65,0,MATCH("열팽창계수",Length_1!$47:$47,0)-1))</f>
        <v/>
      </c>
      <c r="P26" s="156" t="str">
        <f t="shared" si="3"/>
        <v/>
      </c>
      <c r="Q26" s="242" t="str">
        <f t="shared" si="4"/>
        <v/>
      </c>
      <c r="R26" s="242" t="str">
        <f t="shared" si="5"/>
        <v/>
      </c>
      <c r="S26" s="242" t="str">
        <f t="shared" si="6"/>
        <v/>
      </c>
      <c r="T26" s="137" t="str">
        <f t="shared" si="7"/>
        <v/>
      </c>
      <c r="U26" s="138" t="str">
        <f t="shared" si="8"/>
        <v/>
      </c>
      <c r="V26" s="129" t="str">
        <f t="shared" si="13"/>
        <v/>
      </c>
      <c r="W26" s="129" t="str">
        <f t="shared" si="14"/>
        <v/>
      </c>
      <c r="X26" s="131"/>
      <c r="Y26" s="197" t="e">
        <f ca="1">IF(Length_1!K21&lt;0,ROUNDUP(Length_1!K21*J$3,$M$66),ROUNDDOWN(Length_1!K21*J$3,$M$66))</f>
        <v>#N/A</v>
      </c>
      <c r="Z26" s="197" t="e">
        <f ca="1">IF(Length_1!L21&lt;0,ROUNDDOWN(Length_1!L21*J$3,$M$66),ROUNDUP(Length_1!L21*J$3,$M$66))</f>
        <v>#N/A</v>
      </c>
      <c r="AA26" s="129" t="e">
        <f t="shared" ca="1" si="9"/>
        <v>#N/A</v>
      </c>
      <c r="AB26" s="129" t="e">
        <f t="shared" ca="1" si="10"/>
        <v>#N/A</v>
      </c>
      <c r="AC26" s="206" t="e">
        <f t="shared" ca="1" si="11"/>
        <v>#N/A</v>
      </c>
      <c r="AD26" s="129" t="e">
        <f t="shared" ca="1" si="12"/>
        <v>#N/A</v>
      </c>
      <c r="AE26" s="129" t="str">
        <f t="shared" si="15"/>
        <v/>
      </c>
      <c r="AF26" s="299" t="e">
        <f t="shared" ca="1" si="16"/>
        <v>#N/A</v>
      </c>
    </row>
    <row r="27" spans="2:32" ht="15" customHeight="1">
      <c r="B27" s="132" t="b">
        <f>IF(TRIM(Length_1!A22)="",FALSE,TRUE)</f>
        <v>0</v>
      </c>
      <c r="C27" s="129" t="str">
        <f>IF($B27=FALSE,"",VALUE(Length_1!A22))</f>
        <v/>
      </c>
      <c r="D27" s="129" t="str">
        <f>IF($B27=FALSE,"",Length_1!B22)</f>
        <v/>
      </c>
      <c r="E27" s="133" t="str">
        <f>IF(B27=FALSE,"",Length_1!N22)</f>
        <v/>
      </c>
      <c r="F27" s="133" t="str">
        <f>IF(B27=FALSE,"",Length_1!O22)</f>
        <v/>
      </c>
      <c r="G27" s="133" t="str">
        <f>IF(B27=FALSE,"",Length_1!P22)</f>
        <v/>
      </c>
      <c r="H27" s="133" t="str">
        <f>IF(B27=FALSE,"",Length_1!Q22)</f>
        <v/>
      </c>
      <c r="I27" s="133" t="str">
        <f>IF(B27=FALSE,"",Length_1!R22)</f>
        <v/>
      </c>
      <c r="J27" s="134" t="str">
        <f t="shared" si="1"/>
        <v/>
      </c>
      <c r="K27" s="146" t="str">
        <f t="shared" si="2"/>
        <v/>
      </c>
      <c r="L27" s="135" t="str">
        <f>IF(B27=FALSE,"",Length_1!D66)</f>
        <v/>
      </c>
      <c r="M27" s="136" t="str">
        <f>IF(B27=FALSE,"",Calcu!J27*J$3)</f>
        <v/>
      </c>
      <c r="N27" s="155" t="str">
        <f>IF(B27=FALSE,"",IF(Length_1!C22="Laser",0,11.5*10^-6))</f>
        <v/>
      </c>
      <c r="O27" s="155" t="str">
        <f ca="1">IF(B27=FALSE,"",OFFSET(Length_1!A66,0,MATCH("열팽창계수",Length_1!$47:$47,0)-1))</f>
        <v/>
      </c>
      <c r="P27" s="156" t="str">
        <f t="shared" si="3"/>
        <v/>
      </c>
      <c r="Q27" s="242" t="str">
        <f t="shared" si="4"/>
        <v/>
      </c>
      <c r="R27" s="242" t="str">
        <f t="shared" si="5"/>
        <v/>
      </c>
      <c r="S27" s="242" t="str">
        <f t="shared" si="6"/>
        <v/>
      </c>
      <c r="T27" s="137" t="str">
        <f t="shared" si="7"/>
        <v/>
      </c>
      <c r="U27" s="138" t="str">
        <f t="shared" si="8"/>
        <v/>
      </c>
      <c r="V27" s="129" t="str">
        <f t="shared" si="13"/>
        <v/>
      </c>
      <c r="W27" s="129" t="str">
        <f t="shared" si="14"/>
        <v/>
      </c>
      <c r="X27" s="131"/>
      <c r="Y27" s="197" t="e">
        <f ca="1">IF(Length_1!K22&lt;0,ROUNDUP(Length_1!K22*J$3,$M$66),ROUNDDOWN(Length_1!K22*J$3,$M$66))</f>
        <v>#N/A</v>
      </c>
      <c r="Z27" s="197" t="e">
        <f ca="1">IF(Length_1!L22&lt;0,ROUNDDOWN(Length_1!L22*J$3,$M$66),ROUNDUP(Length_1!L22*J$3,$M$66))</f>
        <v>#N/A</v>
      </c>
      <c r="AA27" s="129" t="e">
        <f t="shared" ca="1" si="9"/>
        <v>#N/A</v>
      </c>
      <c r="AB27" s="129" t="e">
        <f t="shared" ca="1" si="10"/>
        <v>#N/A</v>
      </c>
      <c r="AC27" s="206" t="e">
        <f t="shared" ca="1" si="11"/>
        <v>#N/A</v>
      </c>
      <c r="AD27" s="129" t="e">
        <f t="shared" ca="1" si="12"/>
        <v>#N/A</v>
      </c>
      <c r="AE27" s="129" t="str">
        <f t="shared" si="15"/>
        <v/>
      </c>
      <c r="AF27" s="299" t="e">
        <f t="shared" ca="1" si="16"/>
        <v>#N/A</v>
      </c>
    </row>
    <row r="28" spans="2:32" ht="15" customHeight="1">
      <c r="B28" s="132" t="b">
        <f>IF(TRIM(Length_1!A23)="",FALSE,TRUE)</f>
        <v>0</v>
      </c>
      <c r="C28" s="129" t="str">
        <f>IF($B28=FALSE,"",VALUE(Length_1!A23))</f>
        <v/>
      </c>
      <c r="D28" s="129" t="str">
        <f>IF($B28=FALSE,"",Length_1!B23)</f>
        <v/>
      </c>
      <c r="E28" s="133" t="str">
        <f>IF(B28=FALSE,"",Length_1!N23)</f>
        <v/>
      </c>
      <c r="F28" s="133" t="str">
        <f>IF(B28=FALSE,"",Length_1!O23)</f>
        <v/>
      </c>
      <c r="G28" s="133" t="str">
        <f>IF(B28=FALSE,"",Length_1!P23)</f>
        <v/>
      </c>
      <c r="H28" s="133" t="str">
        <f>IF(B28=FALSE,"",Length_1!Q23)</f>
        <v/>
      </c>
      <c r="I28" s="133" t="str">
        <f>IF(B28=FALSE,"",Length_1!R23)</f>
        <v/>
      </c>
      <c r="J28" s="134" t="str">
        <f t="shared" si="1"/>
        <v/>
      </c>
      <c r="K28" s="146" t="str">
        <f t="shared" si="2"/>
        <v/>
      </c>
      <c r="L28" s="135" t="str">
        <f>IF(B28=FALSE,"",Length_1!D67)</f>
        <v/>
      </c>
      <c r="M28" s="136" t="str">
        <f>IF(B28=FALSE,"",Calcu!J28*J$3)</f>
        <v/>
      </c>
      <c r="N28" s="155" t="str">
        <f>IF(B28=FALSE,"",IF(Length_1!C23="Laser",0,11.5*10^-6))</f>
        <v/>
      </c>
      <c r="O28" s="155" t="str">
        <f ca="1">IF(B28=FALSE,"",OFFSET(Length_1!A67,0,MATCH("열팽창계수",Length_1!$47:$47,0)-1))</f>
        <v/>
      </c>
      <c r="P28" s="156" t="str">
        <f t="shared" si="3"/>
        <v/>
      </c>
      <c r="Q28" s="242" t="str">
        <f t="shared" si="4"/>
        <v/>
      </c>
      <c r="R28" s="242" t="str">
        <f t="shared" si="5"/>
        <v/>
      </c>
      <c r="S28" s="242" t="str">
        <f t="shared" si="6"/>
        <v/>
      </c>
      <c r="T28" s="137" t="str">
        <f t="shared" si="7"/>
        <v/>
      </c>
      <c r="U28" s="138" t="str">
        <f t="shared" si="8"/>
        <v/>
      </c>
      <c r="V28" s="129" t="str">
        <f t="shared" si="13"/>
        <v/>
      </c>
      <c r="W28" s="129" t="str">
        <f t="shared" si="14"/>
        <v/>
      </c>
      <c r="X28" s="131"/>
      <c r="Y28" s="197" t="e">
        <f ca="1">IF(Length_1!K23&lt;0,ROUNDUP(Length_1!K23*J$3,$M$66),ROUNDDOWN(Length_1!K23*J$3,$M$66))</f>
        <v>#N/A</v>
      </c>
      <c r="Z28" s="197" t="e">
        <f ca="1">IF(Length_1!L23&lt;0,ROUNDDOWN(Length_1!L23*J$3,$M$66),ROUNDUP(Length_1!L23*J$3,$M$66))</f>
        <v>#N/A</v>
      </c>
      <c r="AA28" s="129" t="e">
        <f t="shared" ca="1" si="9"/>
        <v>#N/A</v>
      </c>
      <c r="AB28" s="129" t="e">
        <f t="shared" ca="1" si="10"/>
        <v>#N/A</v>
      </c>
      <c r="AC28" s="206" t="e">
        <f t="shared" ca="1" si="11"/>
        <v>#N/A</v>
      </c>
      <c r="AD28" s="129" t="e">
        <f t="shared" ca="1" si="12"/>
        <v>#N/A</v>
      </c>
      <c r="AE28" s="129" t="str">
        <f t="shared" si="15"/>
        <v/>
      </c>
      <c r="AF28" s="299" t="e">
        <f t="shared" ca="1" si="16"/>
        <v>#N/A</v>
      </c>
    </row>
    <row r="29" spans="2:32" ht="15" customHeight="1">
      <c r="B29" s="132" t="b">
        <f>IF(TRIM(Length_1!A24)="",FALSE,TRUE)</f>
        <v>0</v>
      </c>
      <c r="C29" s="129" t="str">
        <f>IF($B29=FALSE,"",VALUE(Length_1!A24))</f>
        <v/>
      </c>
      <c r="D29" s="129" t="str">
        <f>IF($B29=FALSE,"",Length_1!B24)</f>
        <v/>
      </c>
      <c r="E29" s="133" t="str">
        <f>IF(B29=FALSE,"",Length_1!N24)</f>
        <v/>
      </c>
      <c r="F29" s="133" t="str">
        <f>IF(B29=FALSE,"",Length_1!O24)</f>
        <v/>
      </c>
      <c r="G29" s="133" t="str">
        <f>IF(B29=FALSE,"",Length_1!P24)</f>
        <v/>
      </c>
      <c r="H29" s="133" t="str">
        <f>IF(B29=FALSE,"",Length_1!Q24)</f>
        <v/>
      </c>
      <c r="I29" s="133" t="str">
        <f>IF(B29=FALSE,"",Length_1!R24)</f>
        <v/>
      </c>
      <c r="J29" s="134" t="str">
        <f t="shared" ref="J29:J49" si="17">IF(B29=FALSE,"",AVERAGE(E29:I29))</f>
        <v/>
      </c>
      <c r="K29" s="146" t="str">
        <f t="shared" si="2"/>
        <v/>
      </c>
      <c r="L29" s="135" t="str">
        <f>IF(B29=FALSE,"",Length_1!D68)</f>
        <v/>
      </c>
      <c r="M29" s="136" t="str">
        <f>IF(B29=FALSE,"",Calcu!J29*J$3)</f>
        <v/>
      </c>
      <c r="N29" s="155" t="str">
        <f>IF(B29=FALSE,"",IF(Length_1!C24="Laser",0,11.5*10^-6))</f>
        <v/>
      </c>
      <c r="O29" s="155" t="str">
        <f ca="1">IF(B29=FALSE,"",OFFSET(Length_1!A68,0,MATCH("열팽창계수",Length_1!$47:$47,0)-1))</f>
        <v/>
      </c>
      <c r="P29" s="156" t="str">
        <f t="shared" ref="P29:P49" si="18">IF(B29=FALSE,"",AVERAGE(N29:O29))</f>
        <v/>
      </c>
      <c r="Q29" s="242" t="str">
        <f t="shared" si="4"/>
        <v/>
      </c>
      <c r="R29" s="242" t="str">
        <f t="shared" ref="R29:R49" si="19">IF(B29=FALSE,"",N29-O29)</f>
        <v/>
      </c>
      <c r="S29" s="242" t="str">
        <f t="shared" si="6"/>
        <v/>
      </c>
      <c r="T29" s="137" t="str">
        <f t="shared" si="7"/>
        <v/>
      </c>
      <c r="U29" s="138" t="str">
        <f t="shared" ref="U29:U49" si="20">IF(B29=FALSE,"",L29-M29-(P29*Q29+R29*S29)*T29)</f>
        <v/>
      </c>
      <c r="V29" s="129" t="str">
        <f t="shared" si="13"/>
        <v/>
      </c>
      <c r="W29" s="129" t="str">
        <f t="shared" si="14"/>
        <v/>
      </c>
      <c r="X29" s="131"/>
      <c r="Y29" s="197" t="e">
        <f ca="1">IF(Length_1!K24&lt;0,ROUNDUP(Length_1!K24*J$3,$M$66),ROUNDDOWN(Length_1!K24*J$3,$M$66))</f>
        <v>#N/A</v>
      </c>
      <c r="Z29" s="197" t="e">
        <f ca="1">IF(Length_1!L24&lt;0,ROUNDDOWN(Length_1!L24*J$3,$M$66),ROUNDUP(Length_1!L24*J$3,$M$66))</f>
        <v>#N/A</v>
      </c>
      <c r="AA29" s="129" t="e">
        <f t="shared" ca="1" si="9"/>
        <v>#N/A</v>
      </c>
      <c r="AB29" s="129" t="e">
        <f t="shared" ca="1" si="10"/>
        <v>#N/A</v>
      </c>
      <c r="AC29" s="206" t="e">
        <f t="shared" ca="1" si="11"/>
        <v>#N/A</v>
      </c>
      <c r="AD29" s="129" t="e">
        <f t="shared" ca="1" si="12"/>
        <v>#N/A</v>
      </c>
      <c r="AE29" s="129" t="str">
        <f t="shared" si="15"/>
        <v/>
      </c>
      <c r="AF29" s="299" t="e">
        <f t="shared" ca="1" si="16"/>
        <v>#N/A</v>
      </c>
    </row>
    <row r="30" spans="2:32" ht="15" customHeight="1">
      <c r="B30" s="132" t="b">
        <f>IF(TRIM(Length_1!A25)="",FALSE,TRUE)</f>
        <v>0</v>
      </c>
      <c r="C30" s="129" t="str">
        <f>IF($B30=FALSE,"",VALUE(Length_1!A25))</f>
        <v/>
      </c>
      <c r="D30" s="129" t="str">
        <f>IF($B30=FALSE,"",Length_1!B25)</f>
        <v/>
      </c>
      <c r="E30" s="133" t="str">
        <f>IF(B30=FALSE,"",Length_1!N25)</f>
        <v/>
      </c>
      <c r="F30" s="133" t="str">
        <f>IF(B30=FALSE,"",Length_1!O25)</f>
        <v/>
      </c>
      <c r="G30" s="133" t="str">
        <f>IF(B30=FALSE,"",Length_1!P25)</f>
        <v/>
      </c>
      <c r="H30" s="133" t="str">
        <f>IF(B30=FALSE,"",Length_1!Q25)</f>
        <v/>
      </c>
      <c r="I30" s="133" t="str">
        <f>IF(B30=FALSE,"",Length_1!R25)</f>
        <v/>
      </c>
      <c r="J30" s="134" t="str">
        <f t="shared" si="17"/>
        <v/>
      </c>
      <c r="K30" s="146" t="str">
        <f t="shared" si="2"/>
        <v/>
      </c>
      <c r="L30" s="135" t="str">
        <f>IF(B30=FALSE,"",Length_1!D69)</f>
        <v/>
      </c>
      <c r="M30" s="136" t="str">
        <f>IF(B30=FALSE,"",Calcu!J30*J$3)</f>
        <v/>
      </c>
      <c r="N30" s="155" t="str">
        <f>IF(B30=FALSE,"",IF(Length_1!C25="Laser",0,11.5*10^-6))</f>
        <v/>
      </c>
      <c r="O30" s="155" t="str">
        <f ca="1">IF(B30=FALSE,"",OFFSET(Length_1!A69,0,MATCH("열팽창계수",Length_1!$47:$47,0)-1))</f>
        <v/>
      </c>
      <c r="P30" s="156" t="str">
        <f t="shared" si="18"/>
        <v/>
      </c>
      <c r="Q30" s="242" t="str">
        <f t="shared" si="4"/>
        <v/>
      </c>
      <c r="R30" s="242" t="str">
        <f t="shared" si="19"/>
        <v/>
      </c>
      <c r="S30" s="242" t="str">
        <f t="shared" si="6"/>
        <v/>
      </c>
      <c r="T30" s="137" t="str">
        <f t="shared" si="7"/>
        <v/>
      </c>
      <c r="U30" s="138" t="str">
        <f t="shared" si="20"/>
        <v/>
      </c>
      <c r="V30" s="129" t="str">
        <f t="shared" si="13"/>
        <v/>
      </c>
      <c r="W30" s="129" t="str">
        <f t="shared" si="14"/>
        <v/>
      </c>
      <c r="X30" s="131"/>
      <c r="Y30" s="197" t="e">
        <f ca="1">IF(Length_1!K25&lt;0,ROUNDUP(Length_1!K25*J$3,$M$66),ROUNDDOWN(Length_1!K25*J$3,$M$66))</f>
        <v>#N/A</v>
      </c>
      <c r="Z30" s="197" t="e">
        <f ca="1">IF(Length_1!L25&lt;0,ROUNDDOWN(Length_1!L25*J$3,$M$66),ROUNDUP(Length_1!L25*J$3,$M$66))</f>
        <v>#N/A</v>
      </c>
      <c r="AA30" s="129" t="e">
        <f t="shared" ca="1" si="9"/>
        <v>#N/A</v>
      </c>
      <c r="AB30" s="129" t="e">
        <f t="shared" ca="1" si="10"/>
        <v>#N/A</v>
      </c>
      <c r="AC30" s="206" t="e">
        <f t="shared" ca="1" si="11"/>
        <v>#N/A</v>
      </c>
      <c r="AD30" s="129" t="e">
        <f t="shared" ca="1" si="12"/>
        <v>#N/A</v>
      </c>
      <c r="AE30" s="129" t="str">
        <f t="shared" si="15"/>
        <v/>
      </c>
      <c r="AF30" s="299" t="e">
        <f t="shared" ca="1" si="16"/>
        <v>#N/A</v>
      </c>
    </row>
    <row r="31" spans="2:32" ht="15" customHeight="1">
      <c r="B31" s="132" t="b">
        <f>IF(TRIM(Length_1!A26)="",FALSE,TRUE)</f>
        <v>0</v>
      </c>
      <c r="C31" s="129" t="str">
        <f>IF($B31=FALSE,"",VALUE(Length_1!A26))</f>
        <v/>
      </c>
      <c r="D31" s="129" t="str">
        <f>IF($B31=FALSE,"",Length_1!B26)</f>
        <v/>
      </c>
      <c r="E31" s="133" t="str">
        <f>IF(B31=FALSE,"",Length_1!N26)</f>
        <v/>
      </c>
      <c r="F31" s="133" t="str">
        <f>IF(B31=FALSE,"",Length_1!O26)</f>
        <v/>
      </c>
      <c r="G31" s="133" t="str">
        <f>IF(B31=FALSE,"",Length_1!P26)</f>
        <v/>
      </c>
      <c r="H31" s="133" t="str">
        <f>IF(B31=FALSE,"",Length_1!Q26)</f>
        <v/>
      </c>
      <c r="I31" s="133" t="str">
        <f>IF(B31=FALSE,"",Length_1!R26)</f>
        <v/>
      </c>
      <c r="J31" s="134" t="str">
        <f t="shared" si="17"/>
        <v/>
      </c>
      <c r="K31" s="146" t="str">
        <f t="shared" si="2"/>
        <v/>
      </c>
      <c r="L31" s="135" t="str">
        <f>IF(B31=FALSE,"",Length_1!D70)</f>
        <v/>
      </c>
      <c r="M31" s="136" t="str">
        <f>IF(B31=FALSE,"",Calcu!J31*J$3)</f>
        <v/>
      </c>
      <c r="N31" s="155" t="str">
        <f>IF(B31=FALSE,"",IF(Length_1!C26="Laser",0,11.5*10^-6))</f>
        <v/>
      </c>
      <c r="O31" s="155" t="str">
        <f ca="1">IF(B31=FALSE,"",OFFSET(Length_1!A70,0,MATCH("열팽창계수",Length_1!$47:$47,0)-1))</f>
        <v/>
      </c>
      <c r="P31" s="156" t="str">
        <f t="shared" si="18"/>
        <v/>
      </c>
      <c r="Q31" s="242" t="str">
        <f t="shared" si="4"/>
        <v/>
      </c>
      <c r="R31" s="242" t="str">
        <f t="shared" si="19"/>
        <v/>
      </c>
      <c r="S31" s="242" t="str">
        <f t="shared" si="6"/>
        <v/>
      </c>
      <c r="T31" s="137" t="str">
        <f t="shared" si="7"/>
        <v/>
      </c>
      <c r="U31" s="138" t="str">
        <f t="shared" si="20"/>
        <v/>
      </c>
      <c r="V31" s="129" t="str">
        <f t="shared" si="13"/>
        <v/>
      </c>
      <c r="W31" s="129" t="str">
        <f t="shared" si="14"/>
        <v/>
      </c>
      <c r="X31" s="131"/>
      <c r="Y31" s="197" t="e">
        <f ca="1">IF(Length_1!K26&lt;0,ROUNDUP(Length_1!K26*J$3,$M$66),ROUNDDOWN(Length_1!K26*J$3,$M$66))</f>
        <v>#N/A</v>
      </c>
      <c r="Z31" s="197" t="e">
        <f ca="1">IF(Length_1!L26&lt;0,ROUNDDOWN(Length_1!L26*J$3,$M$66),ROUNDUP(Length_1!L26*J$3,$M$66))</f>
        <v>#N/A</v>
      </c>
      <c r="AA31" s="129" t="e">
        <f t="shared" ca="1" si="9"/>
        <v>#N/A</v>
      </c>
      <c r="AB31" s="129" t="e">
        <f t="shared" ca="1" si="10"/>
        <v>#N/A</v>
      </c>
      <c r="AC31" s="206" t="e">
        <f t="shared" ca="1" si="11"/>
        <v>#N/A</v>
      </c>
      <c r="AD31" s="129" t="e">
        <f t="shared" ca="1" si="12"/>
        <v>#N/A</v>
      </c>
      <c r="AE31" s="129" t="str">
        <f t="shared" si="15"/>
        <v/>
      </c>
      <c r="AF31" s="299" t="e">
        <f t="shared" ca="1" si="16"/>
        <v>#N/A</v>
      </c>
    </row>
    <row r="32" spans="2:32" ht="15" customHeight="1">
      <c r="B32" s="132" t="b">
        <f>IF(TRIM(Length_1!A27)="",FALSE,TRUE)</f>
        <v>0</v>
      </c>
      <c r="C32" s="129" t="str">
        <f>IF($B32=FALSE,"",VALUE(Length_1!A27))</f>
        <v/>
      </c>
      <c r="D32" s="129" t="str">
        <f>IF($B32=FALSE,"",Length_1!B27)</f>
        <v/>
      </c>
      <c r="E32" s="133" t="str">
        <f>IF(B32=FALSE,"",Length_1!N27)</f>
        <v/>
      </c>
      <c r="F32" s="133" t="str">
        <f>IF(B32=FALSE,"",Length_1!O27)</f>
        <v/>
      </c>
      <c r="G32" s="133" t="str">
        <f>IF(B32=FALSE,"",Length_1!P27)</f>
        <v/>
      </c>
      <c r="H32" s="133" t="str">
        <f>IF(B32=FALSE,"",Length_1!Q27)</f>
        <v/>
      </c>
      <c r="I32" s="133" t="str">
        <f>IF(B32=FALSE,"",Length_1!R27)</f>
        <v/>
      </c>
      <c r="J32" s="134" t="str">
        <f t="shared" si="17"/>
        <v/>
      </c>
      <c r="K32" s="146" t="str">
        <f t="shared" si="2"/>
        <v/>
      </c>
      <c r="L32" s="135" t="str">
        <f>IF(B32=FALSE,"",Length_1!D71)</f>
        <v/>
      </c>
      <c r="M32" s="136" t="str">
        <f>IF(B32=FALSE,"",Calcu!J32*J$3)</f>
        <v/>
      </c>
      <c r="N32" s="155" t="str">
        <f>IF(B32=FALSE,"",IF(Length_1!C27="Laser",0,11.5*10^-6))</f>
        <v/>
      </c>
      <c r="O32" s="155" t="str">
        <f ca="1">IF(B32=FALSE,"",OFFSET(Length_1!A71,0,MATCH("열팽창계수",Length_1!$47:$47,0)-1))</f>
        <v/>
      </c>
      <c r="P32" s="156" t="str">
        <f t="shared" si="18"/>
        <v/>
      </c>
      <c r="Q32" s="242" t="str">
        <f t="shared" si="4"/>
        <v/>
      </c>
      <c r="R32" s="242" t="str">
        <f t="shared" si="19"/>
        <v/>
      </c>
      <c r="S32" s="242" t="str">
        <f t="shared" si="6"/>
        <v/>
      </c>
      <c r="T32" s="137" t="str">
        <f t="shared" si="7"/>
        <v/>
      </c>
      <c r="U32" s="138" t="str">
        <f t="shared" si="20"/>
        <v/>
      </c>
      <c r="V32" s="129" t="str">
        <f t="shared" si="13"/>
        <v/>
      </c>
      <c r="W32" s="129" t="str">
        <f t="shared" si="14"/>
        <v/>
      </c>
      <c r="X32" s="131"/>
      <c r="Y32" s="197" t="e">
        <f ca="1">IF(Length_1!K27&lt;0,ROUNDUP(Length_1!K27*J$3,$M$66),ROUNDDOWN(Length_1!K27*J$3,$M$66))</f>
        <v>#N/A</v>
      </c>
      <c r="Z32" s="197" t="e">
        <f ca="1">IF(Length_1!L27&lt;0,ROUNDDOWN(Length_1!L27*J$3,$M$66),ROUNDUP(Length_1!L27*J$3,$M$66))</f>
        <v>#N/A</v>
      </c>
      <c r="AA32" s="129" t="e">
        <f t="shared" ca="1" si="9"/>
        <v>#N/A</v>
      </c>
      <c r="AB32" s="129" t="e">
        <f t="shared" ca="1" si="10"/>
        <v>#N/A</v>
      </c>
      <c r="AC32" s="206" t="e">
        <f t="shared" ca="1" si="11"/>
        <v>#N/A</v>
      </c>
      <c r="AD32" s="129" t="e">
        <f t="shared" ca="1" si="12"/>
        <v>#N/A</v>
      </c>
      <c r="AE32" s="129" t="str">
        <f t="shared" si="15"/>
        <v/>
      </c>
      <c r="AF32" s="299" t="e">
        <f t="shared" ca="1" si="16"/>
        <v>#N/A</v>
      </c>
    </row>
    <row r="33" spans="2:32" ht="15" customHeight="1">
      <c r="B33" s="132" t="b">
        <f>IF(TRIM(Length_1!A28)="",FALSE,TRUE)</f>
        <v>0</v>
      </c>
      <c r="C33" s="129" t="str">
        <f>IF($B33=FALSE,"",VALUE(Length_1!A28))</f>
        <v/>
      </c>
      <c r="D33" s="129" t="str">
        <f>IF($B33=FALSE,"",Length_1!B28)</f>
        <v/>
      </c>
      <c r="E33" s="133" t="str">
        <f>IF(B33=FALSE,"",Length_1!N28)</f>
        <v/>
      </c>
      <c r="F33" s="133" t="str">
        <f>IF(B33=FALSE,"",Length_1!O28)</f>
        <v/>
      </c>
      <c r="G33" s="133" t="str">
        <f>IF(B33=FALSE,"",Length_1!P28)</f>
        <v/>
      </c>
      <c r="H33" s="133" t="str">
        <f>IF(B33=FALSE,"",Length_1!Q28)</f>
        <v/>
      </c>
      <c r="I33" s="133" t="str">
        <f>IF(B33=FALSE,"",Length_1!R28)</f>
        <v/>
      </c>
      <c r="J33" s="134" t="str">
        <f t="shared" si="17"/>
        <v/>
      </c>
      <c r="K33" s="146" t="str">
        <f t="shared" si="2"/>
        <v/>
      </c>
      <c r="L33" s="135" t="str">
        <f>IF(B33=FALSE,"",Length_1!D72)</f>
        <v/>
      </c>
      <c r="M33" s="136" t="str">
        <f>IF(B33=FALSE,"",Calcu!J33*J$3)</f>
        <v/>
      </c>
      <c r="N33" s="155" t="str">
        <f>IF(B33=FALSE,"",IF(Length_1!C28="Laser",0,11.5*10^-6))</f>
        <v/>
      </c>
      <c r="O33" s="155" t="str">
        <f ca="1">IF(B33=FALSE,"",OFFSET(Length_1!A72,0,MATCH("열팽창계수",Length_1!$47:$47,0)-1))</f>
        <v/>
      </c>
      <c r="P33" s="156" t="str">
        <f t="shared" si="18"/>
        <v/>
      </c>
      <c r="Q33" s="242" t="str">
        <f t="shared" si="4"/>
        <v/>
      </c>
      <c r="R33" s="242" t="str">
        <f t="shared" si="19"/>
        <v/>
      </c>
      <c r="S33" s="242" t="str">
        <f t="shared" si="6"/>
        <v/>
      </c>
      <c r="T33" s="137" t="str">
        <f t="shared" si="7"/>
        <v/>
      </c>
      <c r="U33" s="138" t="str">
        <f t="shared" si="20"/>
        <v/>
      </c>
      <c r="V33" s="129" t="str">
        <f t="shared" si="13"/>
        <v/>
      </c>
      <c r="W33" s="129" t="str">
        <f t="shared" si="14"/>
        <v/>
      </c>
      <c r="X33" s="131"/>
      <c r="Y33" s="197" t="e">
        <f ca="1">IF(Length_1!K28&lt;0,ROUNDUP(Length_1!K28*J$3,$M$66),ROUNDDOWN(Length_1!K28*J$3,$M$66))</f>
        <v>#N/A</v>
      </c>
      <c r="Z33" s="197" t="e">
        <f ca="1">IF(Length_1!L28&lt;0,ROUNDDOWN(Length_1!L28*J$3,$M$66),ROUNDUP(Length_1!L28*J$3,$M$66))</f>
        <v>#N/A</v>
      </c>
      <c r="AA33" s="129" t="e">
        <f t="shared" ca="1" si="9"/>
        <v>#N/A</v>
      </c>
      <c r="AB33" s="129" t="e">
        <f t="shared" ca="1" si="10"/>
        <v>#N/A</v>
      </c>
      <c r="AC33" s="206" t="e">
        <f t="shared" ca="1" si="11"/>
        <v>#N/A</v>
      </c>
      <c r="AD33" s="129" t="e">
        <f t="shared" ca="1" si="12"/>
        <v>#N/A</v>
      </c>
      <c r="AE33" s="129" t="str">
        <f t="shared" si="15"/>
        <v/>
      </c>
      <c r="AF33" s="299" t="e">
        <f t="shared" ca="1" si="16"/>
        <v>#N/A</v>
      </c>
    </row>
    <row r="34" spans="2:32" ht="15" customHeight="1">
      <c r="B34" s="132" t="b">
        <f>IF(TRIM(Length_1!A29)="",FALSE,TRUE)</f>
        <v>0</v>
      </c>
      <c r="C34" s="129" t="str">
        <f>IF($B34=FALSE,"",VALUE(Length_1!A29))</f>
        <v/>
      </c>
      <c r="D34" s="129" t="str">
        <f>IF($B34=FALSE,"",Length_1!B29)</f>
        <v/>
      </c>
      <c r="E34" s="133" t="str">
        <f>IF(B34=FALSE,"",Length_1!N29)</f>
        <v/>
      </c>
      <c r="F34" s="133" t="str">
        <f>IF(B34=FALSE,"",Length_1!O29)</f>
        <v/>
      </c>
      <c r="G34" s="133" t="str">
        <f>IF(B34=FALSE,"",Length_1!P29)</f>
        <v/>
      </c>
      <c r="H34" s="133" t="str">
        <f>IF(B34=FALSE,"",Length_1!Q29)</f>
        <v/>
      </c>
      <c r="I34" s="133" t="str">
        <f>IF(B34=FALSE,"",Length_1!R29)</f>
        <v/>
      </c>
      <c r="J34" s="134" t="str">
        <f t="shared" si="17"/>
        <v/>
      </c>
      <c r="K34" s="146" t="str">
        <f t="shared" si="2"/>
        <v/>
      </c>
      <c r="L34" s="135" t="str">
        <f>IF(B34=FALSE,"",Length_1!D73)</f>
        <v/>
      </c>
      <c r="M34" s="136" t="str">
        <f>IF(B34=FALSE,"",Calcu!J34*J$3)</f>
        <v/>
      </c>
      <c r="N34" s="155" t="str">
        <f>IF(B34=FALSE,"",IF(Length_1!C29="Laser",0,11.5*10^-6))</f>
        <v/>
      </c>
      <c r="O34" s="155" t="str">
        <f ca="1">IF(B34=FALSE,"",OFFSET(Length_1!A73,0,MATCH("열팽창계수",Length_1!$47:$47,0)-1))</f>
        <v/>
      </c>
      <c r="P34" s="156" t="str">
        <f t="shared" si="18"/>
        <v/>
      </c>
      <c r="Q34" s="242" t="str">
        <f t="shared" si="4"/>
        <v/>
      </c>
      <c r="R34" s="242" t="str">
        <f t="shared" si="19"/>
        <v/>
      </c>
      <c r="S34" s="242" t="str">
        <f t="shared" si="6"/>
        <v/>
      </c>
      <c r="T34" s="137" t="str">
        <f t="shared" si="7"/>
        <v/>
      </c>
      <c r="U34" s="138" t="str">
        <f t="shared" si="20"/>
        <v/>
      </c>
      <c r="V34" s="129" t="str">
        <f t="shared" si="13"/>
        <v/>
      </c>
      <c r="W34" s="129" t="str">
        <f t="shared" si="14"/>
        <v/>
      </c>
      <c r="X34" s="131"/>
      <c r="Y34" s="197" t="e">
        <f ca="1">IF(Length_1!K29&lt;0,ROUNDUP(Length_1!K29*J$3,$M$66),ROUNDDOWN(Length_1!K29*J$3,$M$66))</f>
        <v>#N/A</v>
      </c>
      <c r="Z34" s="197" t="e">
        <f ca="1">IF(Length_1!L29&lt;0,ROUNDDOWN(Length_1!L29*J$3,$M$66),ROUNDUP(Length_1!L29*J$3,$M$66))</f>
        <v>#N/A</v>
      </c>
      <c r="AA34" s="129" t="e">
        <f t="shared" ca="1" si="9"/>
        <v>#N/A</v>
      </c>
      <c r="AB34" s="129" t="e">
        <f t="shared" ca="1" si="10"/>
        <v>#N/A</v>
      </c>
      <c r="AC34" s="206" t="e">
        <f t="shared" ca="1" si="11"/>
        <v>#N/A</v>
      </c>
      <c r="AD34" s="129" t="e">
        <f t="shared" ca="1" si="12"/>
        <v>#N/A</v>
      </c>
      <c r="AE34" s="129" t="str">
        <f t="shared" si="15"/>
        <v/>
      </c>
      <c r="AF34" s="299" t="e">
        <f t="shared" ca="1" si="16"/>
        <v>#N/A</v>
      </c>
    </row>
    <row r="35" spans="2:32" ht="15" customHeight="1">
      <c r="B35" s="132" t="b">
        <f>IF(TRIM(Length_1!A30)="",FALSE,TRUE)</f>
        <v>0</v>
      </c>
      <c r="C35" s="129" t="str">
        <f>IF($B35=FALSE,"",VALUE(Length_1!A30))</f>
        <v/>
      </c>
      <c r="D35" s="129" t="str">
        <f>IF($B35=FALSE,"",Length_1!B30)</f>
        <v/>
      </c>
      <c r="E35" s="133" t="str">
        <f>IF(B35=FALSE,"",Length_1!N30)</f>
        <v/>
      </c>
      <c r="F35" s="133" t="str">
        <f>IF(B35=FALSE,"",Length_1!O30)</f>
        <v/>
      </c>
      <c r="G35" s="133" t="str">
        <f>IF(B35=FALSE,"",Length_1!P30)</f>
        <v/>
      </c>
      <c r="H35" s="133" t="str">
        <f>IF(B35=FALSE,"",Length_1!Q30)</f>
        <v/>
      </c>
      <c r="I35" s="133" t="str">
        <f>IF(B35=FALSE,"",Length_1!R30)</f>
        <v/>
      </c>
      <c r="J35" s="134" t="str">
        <f t="shared" si="17"/>
        <v/>
      </c>
      <c r="K35" s="146" t="str">
        <f t="shared" si="2"/>
        <v/>
      </c>
      <c r="L35" s="135" t="str">
        <f>IF(B35=FALSE,"",Length_1!D74)</f>
        <v/>
      </c>
      <c r="M35" s="136" t="str">
        <f>IF(B35=FALSE,"",Calcu!J35*J$3)</f>
        <v/>
      </c>
      <c r="N35" s="155" t="str">
        <f>IF(B35=FALSE,"",IF(Length_1!C30="Laser",0,11.5*10^-6))</f>
        <v/>
      </c>
      <c r="O35" s="155" t="str">
        <f ca="1">IF(B35=FALSE,"",OFFSET(Length_1!A74,0,MATCH("열팽창계수",Length_1!$47:$47,0)-1))</f>
        <v/>
      </c>
      <c r="P35" s="156" t="str">
        <f t="shared" si="18"/>
        <v/>
      </c>
      <c r="Q35" s="242" t="str">
        <f t="shared" si="4"/>
        <v/>
      </c>
      <c r="R35" s="242" t="str">
        <f t="shared" si="19"/>
        <v/>
      </c>
      <c r="S35" s="242" t="str">
        <f t="shared" si="6"/>
        <v/>
      </c>
      <c r="T35" s="137" t="str">
        <f t="shared" si="7"/>
        <v/>
      </c>
      <c r="U35" s="138" t="str">
        <f t="shared" si="20"/>
        <v/>
      </c>
      <c r="V35" s="129" t="str">
        <f t="shared" si="13"/>
        <v/>
      </c>
      <c r="W35" s="129" t="str">
        <f t="shared" si="14"/>
        <v/>
      </c>
      <c r="X35" s="131"/>
      <c r="Y35" s="197" t="e">
        <f ca="1">IF(Length_1!K30&lt;0,ROUNDUP(Length_1!K30*J$3,$M$66),ROUNDDOWN(Length_1!K30*J$3,$M$66))</f>
        <v>#N/A</v>
      </c>
      <c r="Z35" s="197" t="e">
        <f ca="1">IF(Length_1!L30&lt;0,ROUNDDOWN(Length_1!L30*J$3,$M$66),ROUNDUP(Length_1!L30*J$3,$M$66))</f>
        <v>#N/A</v>
      </c>
      <c r="AA35" s="129" t="e">
        <f t="shared" ca="1" si="9"/>
        <v>#N/A</v>
      </c>
      <c r="AB35" s="129" t="e">
        <f t="shared" ca="1" si="10"/>
        <v>#N/A</v>
      </c>
      <c r="AC35" s="206" t="e">
        <f t="shared" ca="1" si="11"/>
        <v>#N/A</v>
      </c>
      <c r="AD35" s="129" t="e">
        <f t="shared" ca="1" si="12"/>
        <v>#N/A</v>
      </c>
      <c r="AE35" s="129" t="str">
        <f t="shared" si="15"/>
        <v/>
      </c>
      <c r="AF35" s="299" t="e">
        <f t="shared" ca="1" si="16"/>
        <v>#N/A</v>
      </c>
    </row>
    <row r="36" spans="2:32" ht="15" customHeight="1">
      <c r="B36" s="132" t="b">
        <f>IF(TRIM(Length_1!A31)="",FALSE,TRUE)</f>
        <v>0</v>
      </c>
      <c r="C36" s="129" t="str">
        <f>IF($B36=FALSE,"",VALUE(Length_1!A31))</f>
        <v/>
      </c>
      <c r="D36" s="129" t="str">
        <f>IF($B36=FALSE,"",Length_1!B31)</f>
        <v/>
      </c>
      <c r="E36" s="133" t="str">
        <f>IF(B36=FALSE,"",Length_1!N31)</f>
        <v/>
      </c>
      <c r="F36" s="133" t="str">
        <f>IF(B36=FALSE,"",Length_1!O31)</f>
        <v/>
      </c>
      <c r="G36" s="133" t="str">
        <f>IF(B36=FALSE,"",Length_1!P31)</f>
        <v/>
      </c>
      <c r="H36" s="133" t="str">
        <f>IF(B36=FALSE,"",Length_1!Q31)</f>
        <v/>
      </c>
      <c r="I36" s="133" t="str">
        <f>IF(B36=FALSE,"",Length_1!R31)</f>
        <v/>
      </c>
      <c r="J36" s="134" t="str">
        <f t="shared" si="17"/>
        <v/>
      </c>
      <c r="K36" s="146" t="str">
        <f t="shared" si="2"/>
        <v/>
      </c>
      <c r="L36" s="135" t="str">
        <f>IF(B36=FALSE,"",Length_1!D75)</f>
        <v/>
      </c>
      <c r="M36" s="136" t="str">
        <f>IF(B36=FALSE,"",Calcu!J36*J$3)</f>
        <v/>
      </c>
      <c r="N36" s="155" t="str">
        <f>IF(B36=FALSE,"",IF(Length_1!C31="Laser",0,11.5*10^-6))</f>
        <v/>
      </c>
      <c r="O36" s="155" t="str">
        <f ca="1">IF(B36=FALSE,"",OFFSET(Length_1!A75,0,MATCH("열팽창계수",Length_1!$47:$47,0)-1))</f>
        <v/>
      </c>
      <c r="P36" s="156" t="str">
        <f t="shared" si="18"/>
        <v/>
      </c>
      <c r="Q36" s="242" t="str">
        <f t="shared" si="4"/>
        <v/>
      </c>
      <c r="R36" s="242" t="str">
        <f t="shared" si="19"/>
        <v/>
      </c>
      <c r="S36" s="242" t="str">
        <f t="shared" si="6"/>
        <v/>
      </c>
      <c r="T36" s="137" t="str">
        <f t="shared" si="7"/>
        <v/>
      </c>
      <c r="U36" s="138" t="str">
        <f t="shared" si="20"/>
        <v/>
      </c>
      <c r="V36" s="129" t="str">
        <f t="shared" si="13"/>
        <v/>
      </c>
      <c r="W36" s="129" t="str">
        <f t="shared" si="14"/>
        <v/>
      </c>
      <c r="X36" s="131"/>
      <c r="Y36" s="197" t="e">
        <f ca="1">IF(Length_1!K31&lt;0,ROUNDUP(Length_1!K31*J$3,$M$66),ROUNDDOWN(Length_1!K31*J$3,$M$66))</f>
        <v>#N/A</v>
      </c>
      <c r="Z36" s="197" t="e">
        <f ca="1">IF(Length_1!L31&lt;0,ROUNDDOWN(Length_1!L31*J$3,$M$66),ROUNDUP(Length_1!L31*J$3,$M$66))</f>
        <v>#N/A</v>
      </c>
      <c r="AA36" s="129" t="e">
        <f t="shared" ca="1" si="9"/>
        <v>#N/A</v>
      </c>
      <c r="AB36" s="129" t="e">
        <f t="shared" ca="1" si="10"/>
        <v>#N/A</v>
      </c>
      <c r="AC36" s="206" t="e">
        <f t="shared" ca="1" si="11"/>
        <v>#N/A</v>
      </c>
      <c r="AD36" s="129" t="e">
        <f t="shared" ca="1" si="12"/>
        <v>#N/A</v>
      </c>
      <c r="AE36" s="129" t="str">
        <f t="shared" si="15"/>
        <v/>
      </c>
      <c r="AF36" s="299" t="e">
        <f t="shared" ca="1" si="16"/>
        <v>#N/A</v>
      </c>
    </row>
    <row r="37" spans="2:32" ht="15" customHeight="1">
      <c r="B37" s="132" t="b">
        <f>IF(TRIM(Length_1!A32)="",FALSE,TRUE)</f>
        <v>0</v>
      </c>
      <c r="C37" s="129" t="str">
        <f>IF($B37=FALSE,"",VALUE(Length_1!A32))</f>
        <v/>
      </c>
      <c r="D37" s="129" t="str">
        <f>IF($B37=FALSE,"",Length_1!B32)</f>
        <v/>
      </c>
      <c r="E37" s="133" t="str">
        <f>IF(B37=FALSE,"",Length_1!N32)</f>
        <v/>
      </c>
      <c r="F37" s="133" t="str">
        <f>IF(B37=FALSE,"",Length_1!O32)</f>
        <v/>
      </c>
      <c r="G37" s="133" t="str">
        <f>IF(B37=FALSE,"",Length_1!P32)</f>
        <v/>
      </c>
      <c r="H37" s="133" t="str">
        <f>IF(B37=FALSE,"",Length_1!Q32)</f>
        <v/>
      </c>
      <c r="I37" s="133" t="str">
        <f>IF(B37=FALSE,"",Length_1!R32)</f>
        <v/>
      </c>
      <c r="J37" s="134" t="str">
        <f t="shared" si="17"/>
        <v/>
      </c>
      <c r="K37" s="146" t="str">
        <f t="shared" si="2"/>
        <v/>
      </c>
      <c r="L37" s="135" t="str">
        <f>IF(B37=FALSE,"",Length_1!D76)</f>
        <v/>
      </c>
      <c r="M37" s="136" t="str">
        <f>IF(B37=FALSE,"",Calcu!J37*J$3)</f>
        <v/>
      </c>
      <c r="N37" s="155" t="str">
        <f>IF(B37=FALSE,"",IF(Length_1!C32="Laser",0,11.5*10^-6))</f>
        <v/>
      </c>
      <c r="O37" s="155" t="str">
        <f ca="1">IF(B37=FALSE,"",OFFSET(Length_1!A76,0,MATCH("열팽창계수",Length_1!$47:$47,0)-1))</f>
        <v/>
      </c>
      <c r="P37" s="156" t="str">
        <f t="shared" si="18"/>
        <v/>
      </c>
      <c r="Q37" s="242" t="str">
        <f t="shared" si="4"/>
        <v/>
      </c>
      <c r="R37" s="242" t="str">
        <f t="shared" si="19"/>
        <v/>
      </c>
      <c r="S37" s="242" t="str">
        <f t="shared" si="6"/>
        <v/>
      </c>
      <c r="T37" s="137" t="str">
        <f t="shared" si="7"/>
        <v/>
      </c>
      <c r="U37" s="138" t="str">
        <f t="shared" si="20"/>
        <v/>
      </c>
      <c r="V37" s="129" t="str">
        <f t="shared" si="13"/>
        <v/>
      </c>
      <c r="W37" s="129" t="str">
        <f t="shared" si="14"/>
        <v/>
      </c>
      <c r="X37" s="131"/>
      <c r="Y37" s="197" t="e">
        <f ca="1">IF(Length_1!K32&lt;0,ROUNDUP(Length_1!K32*J$3,$M$66),ROUNDDOWN(Length_1!K32*J$3,$M$66))</f>
        <v>#N/A</v>
      </c>
      <c r="Z37" s="197" t="e">
        <f ca="1">IF(Length_1!L32&lt;0,ROUNDDOWN(Length_1!L32*J$3,$M$66),ROUNDUP(Length_1!L32*J$3,$M$66))</f>
        <v>#N/A</v>
      </c>
      <c r="AA37" s="129" t="e">
        <f t="shared" ca="1" si="9"/>
        <v>#N/A</v>
      </c>
      <c r="AB37" s="129" t="e">
        <f t="shared" ca="1" si="10"/>
        <v>#N/A</v>
      </c>
      <c r="AC37" s="206" t="e">
        <f t="shared" ca="1" si="11"/>
        <v>#N/A</v>
      </c>
      <c r="AD37" s="129" t="e">
        <f t="shared" ca="1" si="12"/>
        <v>#N/A</v>
      </c>
      <c r="AE37" s="129" t="str">
        <f t="shared" si="15"/>
        <v/>
      </c>
      <c r="AF37" s="299" t="e">
        <f t="shared" ca="1" si="16"/>
        <v>#N/A</v>
      </c>
    </row>
    <row r="38" spans="2:32" ht="15" customHeight="1">
      <c r="B38" s="132" t="b">
        <f>IF(TRIM(Length_1!A33)="",FALSE,TRUE)</f>
        <v>0</v>
      </c>
      <c r="C38" s="129" t="str">
        <f>IF($B38=FALSE,"",VALUE(Length_1!A33))</f>
        <v/>
      </c>
      <c r="D38" s="129" t="str">
        <f>IF($B38=FALSE,"",Length_1!B33)</f>
        <v/>
      </c>
      <c r="E38" s="133" t="str">
        <f>IF(B38=FALSE,"",Length_1!N33)</f>
        <v/>
      </c>
      <c r="F38" s="133" t="str">
        <f>IF(B38=FALSE,"",Length_1!O33)</f>
        <v/>
      </c>
      <c r="G38" s="133" t="str">
        <f>IF(B38=FALSE,"",Length_1!P33)</f>
        <v/>
      </c>
      <c r="H38" s="133" t="str">
        <f>IF(B38=FALSE,"",Length_1!Q33)</f>
        <v/>
      </c>
      <c r="I38" s="133" t="str">
        <f>IF(B38=FALSE,"",Length_1!R33)</f>
        <v/>
      </c>
      <c r="J38" s="134" t="str">
        <f t="shared" si="17"/>
        <v/>
      </c>
      <c r="K38" s="146" t="str">
        <f t="shared" si="2"/>
        <v/>
      </c>
      <c r="L38" s="135" t="str">
        <f>IF(B38=FALSE,"",Length_1!D77)</f>
        <v/>
      </c>
      <c r="M38" s="136" t="str">
        <f>IF(B38=FALSE,"",Calcu!J38*J$3)</f>
        <v/>
      </c>
      <c r="N38" s="155" t="str">
        <f>IF(B38=FALSE,"",IF(Length_1!C33="Laser",0,11.5*10^-6))</f>
        <v/>
      </c>
      <c r="O38" s="155" t="str">
        <f ca="1">IF(B38=FALSE,"",OFFSET(Length_1!A77,0,MATCH("열팽창계수",Length_1!$47:$47,0)-1))</f>
        <v/>
      </c>
      <c r="P38" s="156" t="str">
        <f t="shared" si="18"/>
        <v/>
      </c>
      <c r="Q38" s="242" t="str">
        <f t="shared" si="4"/>
        <v/>
      </c>
      <c r="R38" s="242" t="str">
        <f t="shared" si="19"/>
        <v/>
      </c>
      <c r="S38" s="242" t="str">
        <f t="shared" si="6"/>
        <v/>
      </c>
      <c r="T38" s="137" t="str">
        <f t="shared" si="7"/>
        <v/>
      </c>
      <c r="U38" s="138" t="str">
        <f t="shared" si="20"/>
        <v/>
      </c>
      <c r="V38" s="129" t="str">
        <f t="shared" si="13"/>
        <v/>
      </c>
      <c r="W38" s="129" t="str">
        <f t="shared" si="14"/>
        <v/>
      </c>
      <c r="X38" s="131"/>
      <c r="Y38" s="197" t="e">
        <f ca="1">IF(Length_1!K33&lt;0,ROUNDUP(Length_1!K33*J$3,$M$66),ROUNDDOWN(Length_1!K33*J$3,$M$66))</f>
        <v>#N/A</v>
      </c>
      <c r="Z38" s="197" t="e">
        <f ca="1">IF(Length_1!L33&lt;0,ROUNDDOWN(Length_1!L33*J$3,$M$66),ROUNDUP(Length_1!L33*J$3,$M$66))</f>
        <v>#N/A</v>
      </c>
      <c r="AA38" s="129" t="e">
        <f t="shared" ca="1" si="9"/>
        <v>#N/A</v>
      </c>
      <c r="AB38" s="129" t="e">
        <f t="shared" ca="1" si="10"/>
        <v>#N/A</v>
      </c>
      <c r="AC38" s="206" t="e">
        <f t="shared" ca="1" si="11"/>
        <v>#N/A</v>
      </c>
      <c r="AD38" s="129" t="e">
        <f t="shared" ca="1" si="12"/>
        <v>#N/A</v>
      </c>
      <c r="AE38" s="129" t="str">
        <f t="shared" si="15"/>
        <v/>
      </c>
      <c r="AF38" s="299" t="e">
        <f t="shared" ca="1" si="16"/>
        <v>#N/A</v>
      </c>
    </row>
    <row r="39" spans="2:32" ht="15" customHeight="1">
      <c r="B39" s="132" t="b">
        <f>IF(TRIM(Length_1!A34)="",FALSE,TRUE)</f>
        <v>0</v>
      </c>
      <c r="C39" s="129" t="str">
        <f>IF($B39=FALSE,"",VALUE(Length_1!A34))</f>
        <v/>
      </c>
      <c r="D39" s="129" t="str">
        <f>IF($B39=FALSE,"",Length_1!B34)</f>
        <v/>
      </c>
      <c r="E39" s="133" t="str">
        <f>IF(B39=FALSE,"",Length_1!N34)</f>
        <v/>
      </c>
      <c r="F39" s="133" t="str">
        <f>IF(B39=FALSE,"",Length_1!O34)</f>
        <v/>
      </c>
      <c r="G39" s="133" t="str">
        <f>IF(B39=FALSE,"",Length_1!P34)</f>
        <v/>
      </c>
      <c r="H39" s="133" t="str">
        <f>IF(B39=FALSE,"",Length_1!Q34)</f>
        <v/>
      </c>
      <c r="I39" s="133" t="str">
        <f>IF(B39=FALSE,"",Length_1!R34)</f>
        <v/>
      </c>
      <c r="J39" s="134" t="str">
        <f t="shared" si="17"/>
        <v/>
      </c>
      <c r="K39" s="146" t="str">
        <f t="shared" si="2"/>
        <v/>
      </c>
      <c r="L39" s="135" t="str">
        <f>IF(B39=FALSE,"",Length_1!D78)</f>
        <v/>
      </c>
      <c r="M39" s="136" t="str">
        <f>IF(B39=FALSE,"",Calcu!J39*J$3)</f>
        <v/>
      </c>
      <c r="N39" s="155" t="str">
        <f>IF(B39=FALSE,"",IF(Length_1!C34="Laser",0,11.5*10^-6))</f>
        <v/>
      </c>
      <c r="O39" s="155" t="str">
        <f ca="1">IF(B39=FALSE,"",OFFSET(Length_1!A78,0,MATCH("열팽창계수",Length_1!$47:$47,0)-1))</f>
        <v/>
      </c>
      <c r="P39" s="156" t="str">
        <f t="shared" si="18"/>
        <v/>
      </c>
      <c r="Q39" s="242" t="str">
        <f t="shared" si="4"/>
        <v/>
      </c>
      <c r="R39" s="242" t="str">
        <f t="shared" si="19"/>
        <v/>
      </c>
      <c r="S39" s="242" t="str">
        <f t="shared" si="6"/>
        <v/>
      </c>
      <c r="T39" s="137" t="str">
        <f t="shared" si="7"/>
        <v/>
      </c>
      <c r="U39" s="138" t="str">
        <f t="shared" si="20"/>
        <v/>
      </c>
      <c r="V39" s="129" t="str">
        <f t="shared" si="13"/>
        <v/>
      </c>
      <c r="W39" s="129" t="str">
        <f t="shared" si="14"/>
        <v/>
      </c>
      <c r="X39" s="131"/>
      <c r="Y39" s="197" t="e">
        <f ca="1">IF(Length_1!K34&lt;0,ROUNDUP(Length_1!K34*J$3,$M$66),ROUNDDOWN(Length_1!K34*J$3,$M$66))</f>
        <v>#N/A</v>
      </c>
      <c r="Z39" s="197" t="e">
        <f ca="1">IF(Length_1!L34&lt;0,ROUNDDOWN(Length_1!L34*J$3,$M$66),ROUNDUP(Length_1!L34*J$3,$M$66))</f>
        <v>#N/A</v>
      </c>
      <c r="AA39" s="129" t="e">
        <f t="shared" ca="1" si="9"/>
        <v>#N/A</v>
      </c>
      <c r="AB39" s="129" t="e">
        <f t="shared" ca="1" si="10"/>
        <v>#N/A</v>
      </c>
      <c r="AC39" s="206" t="e">
        <f t="shared" ca="1" si="11"/>
        <v>#N/A</v>
      </c>
      <c r="AD39" s="129" t="e">
        <f t="shared" ca="1" si="12"/>
        <v>#N/A</v>
      </c>
      <c r="AE39" s="129" t="str">
        <f t="shared" si="15"/>
        <v/>
      </c>
      <c r="AF39" s="299" t="e">
        <f t="shared" ca="1" si="16"/>
        <v>#N/A</v>
      </c>
    </row>
    <row r="40" spans="2:32" ht="15" customHeight="1">
      <c r="B40" s="132" t="b">
        <f>IF(TRIM(Length_1!A35)="",FALSE,TRUE)</f>
        <v>0</v>
      </c>
      <c r="C40" s="129" t="str">
        <f>IF($B40=FALSE,"",VALUE(Length_1!A35))</f>
        <v/>
      </c>
      <c r="D40" s="129" t="str">
        <f>IF($B40=FALSE,"",Length_1!B35)</f>
        <v/>
      </c>
      <c r="E40" s="133" t="str">
        <f>IF(B40=FALSE,"",Length_1!N35)</f>
        <v/>
      </c>
      <c r="F40" s="133" t="str">
        <f>IF(B40=FALSE,"",Length_1!O35)</f>
        <v/>
      </c>
      <c r="G40" s="133" t="str">
        <f>IF(B40=FALSE,"",Length_1!P35)</f>
        <v/>
      </c>
      <c r="H40" s="133" t="str">
        <f>IF(B40=FALSE,"",Length_1!Q35)</f>
        <v/>
      </c>
      <c r="I40" s="133" t="str">
        <f>IF(B40=FALSE,"",Length_1!R35)</f>
        <v/>
      </c>
      <c r="J40" s="134" t="str">
        <f t="shared" si="17"/>
        <v/>
      </c>
      <c r="K40" s="146" t="str">
        <f t="shared" si="2"/>
        <v/>
      </c>
      <c r="L40" s="135" t="str">
        <f>IF(B40=FALSE,"",Length_1!D79)</f>
        <v/>
      </c>
      <c r="M40" s="136" t="str">
        <f>IF(B40=FALSE,"",Calcu!J40*J$3)</f>
        <v/>
      </c>
      <c r="N40" s="155" t="str">
        <f>IF(B40=FALSE,"",IF(Length_1!C35="Laser",0,11.5*10^-6))</f>
        <v/>
      </c>
      <c r="O40" s="155" t="str">
        <f ca="1">IF(B40=FALSE,"",OFFSET(Length_1!A79,0,MATCH("열팽창계수",Length_1!$47:$47,0)-1))</f>
        <v/>
      </c>
      <c r="P40" s="156" t="str">
        <f t="shared" si="18"/>
        <v/>
      </c>
      <c r="Q40" s="242" t="str">
        <f t="shared" si="4"/>
        <v/>
      </c>
      <c r="R40" s="242" t="str">
        <f t="shared" si="19"/>
        <v/>
      </c>
      <c r="S40" s="242" t="str">
        <f t="shared" si="6"/>
        <v/>
      </c>
      <c r="T40" s="137" t="str">
        <f t="shared" si="7"/>
        <v/>
      </c>
      <c r="U40" s="138" t="str">
        <f t="shared" si="20"/>
        <v/>
      </c>
      <c r="V40" s="129" t="str">
        <f t="shared" si="13"/>
        <v/>
      </c>
      <c r="W40" s="129" t="str">
        <f t="shared" si="14"/>
        <v/>
      </c>
      <c r="X40" s="131"/>
      <c r="Y40" s="197" t="e">
        <f ca="1">IF(Length_1!K35&lt;0,ROUNDUP(Length_1!K35*J$3,$M$66),ROUNDDOWN(Length_1!K35*J$3,$M$66))</f>
        <v>#N/A</v>
      </c>
      <c r="Z40" s="197" t="e">
        <f ca="1">IF(Length_1!L35&lt;0,ROUNDDOWN(Length_1!L35*J$3,$M$66),ROUNDUP(Length_1!L35*J$3,$M$66))</f>
        <v>#N/A</v>
      </c>
      <c r="AA40" s="129" t="e">
        <f t="shared" ca="1" si="9"/>
        <v>#N/A</v>
      </c>
      <c r="AB40" s="129" t="e">
        <f t="shared" ca="1" si="10"/>
        <v>#N/A</v>
      </c>
      <c r="AC40" s="206" t="e">
        <f t="shared" ca="1" si="11"/>
        <v>#N/A</v>
      </c>
      <c r="AD40" s="129" t="e">
        <f t="shared" ca="1" si="12"/>
        <v>#N/A</v>
      </c>
      <c r="AE40" s="129" t="str">
        <f t="shared" si="15"/>
        <v/>
      </c>
      <c r="AF40" s="299" t="e">
        <f t="shared" ca="1" si="16"/>
        <v>#N/A</v>
      </c>
    </row>
    <row r="41" spans="2:32" ht="15" customHeight="1">
      <c r="B41" s="132" t="b">
        <f>IF(TRIM(Length_1!A36)="",FALSE,TRUE)</f>
        <v>0</v>
      </c>
      <c r="C41" s="129" t="str">
        <f>IF($B41=FALSE,"",VALUE(Length_1!A36))</f>
        <v/>
      </c>
      <c r="D41" s="129" t="str">
        <f>IF($B41=FALSE,"",Length_1!B36)</f>
        <v/>
      </c>
      <c r="E41" s="133" t="str">
        <f>IF(B41=FALSE,"",Length_1!N36)</f>
        <v/>
      </c>
      <c r="F41" s="133" t="str">
        <f>IF(B41=FALSE,"",Length_1!O36)</f>
        <v/>
      </c>
      <c r="G41" s="133" t="str">
        <f>IF(B41=FALSE,"",Length_1!P36)</f>
        <v/>
      </c>
      <c r="H41" s="133" t="str">
        <f>IF(B41=FALSE,"",Length_1!Q36)</f>
        <v/>
      </c>
      <c r="I41" s="133" t="str">
        <f>IF(B41=FALSE,"",Length_1!R36)</f>
        <v/>
      </c>
      <c r="J41" s="134" t="str">
        <f t="shared" si="17"/>
        <v/>
      </c>
      <c r="K41" s="146" t="str">
        <f t="shared" si="2"/>
        <v/>
      </c>
      <c r="L41" s="135" t="str">
        <f>IF(B41=FALSE,"",Length_1!D80)</f>
        <v/>
      </c>
      <c r="M41" s="136" t="str">
        <f>IF(B41=FALSE,"",Calcu!J41*J$3)</f>
        <v/>
      </c>
      <c r="N41" s="155" t="str">
        <f>IF(B41=FALSE,"",IF(Length_1!C36="Laser",0,11.5*10^-6))</f>
        <v/>
      </c>
      <c r="O41" s="155" t="str">
        <f ca="1">IF(B41=FALSE,"",OFFSET(Length_1!A80,0,MATCH("열팽창계수",Length_1!$47:$47,0)-1))</f>
        <v/>
      </c>
      <c r="P41" s="156" t="str">
        <f t="shared" si="18"/>
        <v/>
      </c>
      <c r="Q41" s="242" t="str">
        <f t="shared" si="4"/>
        <v/>
      </c>
      <c r="R41" s="242" t="str">
        <f t="shared" si="19"/>
        <v/>
      </c>
      <c r="S41" s="242" t="str">
        <f t="shared" si="6"/>
        <v/>
      </c>
      <c r="T41" s="137" t="str">
        <f t="shared" si="7"/>
        <v/>
      </c>
      <c r="U41" s="138" t="str">
        <f t="shared" si="20"/>
        <v/>
      </c>
      <c r="V41" s="129" t="str">
        <f t="shared" si="13"/>
        <v/>
      </c>
      <c r="W41" s="129" t="str">
        <f t="shared" si="14"/>
        <v/>
      </c>
      <c r="X41" s="131"/>
      <c r="Y41" s="197" t="e">
        <f ca="1">IF(Length_1!K36&lt;0,ROUNDUP(Length_1!K36*J$3,$M$66),ROUNDDOWN(Length_1!K36*J$3,$M$66))</f>
        <v>#N/A</v>
      </c>
      <c r="Z41" s="197" t="e">
        <f ca="1">IF(Length_1!L36&lt;0,ROUNDDOWN(Length_1!L36*J$3,$M$66),ROUNDUP(Length_1!L36*J$3,$M$66))</f>
        <v>#N/A</v>
      </c>
      <c r="AA41" s="129" t="e">
        <f t="shared" ca="1" si="9"/>
        <v>#N/A</v>
      </c>
      <c r="AB41" s="129" t="e">
        <f t="shared" ca="1" si="10"/>
        <v>#N/A</v>
      </c>
      <c r="AC41" s="206" t="e">
        <f t="shared" ca="1" si="11"/>
        <v>#N/A</v>
      </c>
      <c r="AD41" s="129" t="e">
        <f t="shared" ca="1" si="12"/>
        <v>#N/A</v>
      </c>
      <c r="AE41" s="129" t="str">
        <f t="shared" si="15"/>
        <v/>
      </c>
      <c r="AF41" s="299" t="e">
        <f t="shared" ca="1" si="16"/>
        <v>#N/A</v>
      </c>
    </row>
    <row r="42" spans="2:32" ht="15" customHeight="1">
      <c r="B42" s="132" t="b">
        <f>IF(TRIM(Length_1!A37)="",FALSE,TRUE)</f>
        <v>0</v>
      </c>
      <c r="C42" s="129" t="str">
        <f>IF($B42=FALSE,"",VALUE(Length_1!A37))</f>
        <v/>
      </c>
      <c r="D42" s="129" t="str">
        <f>IF($B42=FALSE,"",Length_1!B37)</f>
        <v/>
      </c>
      <c r="E42" s="133" t="str">
        <f>IF(B42=FALSE,"",Length_1!N37)</f>
        <v/>
      </c>
      <c r="F42" s="133" t="str">
        <f>IF(B42=FALSE,"",Length_1!O37)</f>
        <v/>
      </c>
      <c r="G42" s="133" t="str">
        <f>IF(B42=FALSE,"",Length_1!P37)</f>
        <v/>
      </c>
      <c r="H42" s="133" t="str">
        <f>IF(B42=FALSE,"",Length_1!Q37)</f>
        <v/>
      </c>
      <c r="I42" s="133" t="str">
        <f>IF(B42=FALSE,"",Length_1!R37)</f>
        <v/>
      </c>
      <c r="J42" s="134" t="str">
        <f t="shared" si="17"/>
        <v/>
      </c>
      <c r="K42" s="146" t="str">
        <f t="shared" si="2"/>
        <v/>
      </c>
      <c r="L42" s="135" t="str">
        <f>IF(B42=FALSE,"",Length_1!D81)</f>
        <v/>
      </c>
      <c r="M42" s="136" t="str">
        <f>IF(B42=FALSE,"",Calcu!J42*J$3)</f>
        <v/>
      </c>
      <c r="N42" s="155" t="str">
        <f>IF(B42=FALSE,"",IF(Length_1!C37="Laser",0,11.5*10^-6))</f>
        <v/>
      </c>
      <c r="O42" s="155" t="str">
        <f ca="1">IF(B42=FALSE,"",OFFSET(Length_1!A81,0,MATCH("열팽창계수",Length_1!$47:$47,0)-1))</f>
        <v/>
      </c>
      <c r="P42" s="156" t="str">
        <f t="shared" si="18"/>
        <v/>
      </c>
      <c r="Q42" s="242" t="str">
        <f t="shared" si="4"/>
        <v/>
      </c>
      <c r="R42" s="242" t="str">
        <f t="shared" si="19"/>
        <v/>
      </c>
      <c r="S42" s="242" t="str">
        <f t="shared" si="6"/>
        <v/>
      </c>
      <c r="T42" s="137" t="str">
        <f t="shared" si="7"/>
        <v/>
      </c>
      <c r="U42" s="138" t="str">
        <f t="shared" si="20"/>
        <v/>
      </c>
      <c r="V42" s="129" t="str">
        <f t="shared" si="13"/>
        <v/>
      </c>
      <c r="W42" s="129" t="str">
        <f t="shared" si="14"/>
        <v/>
      </c>
      <c r="X42" s="131"/>
      <c r="Y42" s="197" t="e">
        <f ca="1">IF(Length_1!K37&lt;0,ROUNDUP(Length_1!K37*J$3,$M$66),ROUNDDOWN(Length_1!K37*J$3,$M$66))</f>
        <v>#N/A</v>
      </c>
      <c r="Z42" s="197" t="e">
        <f ca="1">IF(Length_1!L37&lt;0,ROUNDDOWN(Length_1!L37*J$3,$M$66),ROUNDUP(Length_1!L37*J$3,$M$66))</f>
        <v>#N/A</v>
      </c>
      <c r="AA42" s="129" t="e">
        <f t="shared" ca="1" si="9"/>
        <v>#N/A</v>
      </c>
      <c r="AB42" s="129" t="e">
        <f t="shared" ca="1" si="10"/>
        <v>#N/A</v>
      </c>
      <c r="AC42" s="206" t="e">
        <f t="shared" ca="1" si="11"/>
        <v>#N/A</v>
      </c>
      <c r="AD42" s="129" t="e">
        <f t="shared" ca="1" si="12"/>
        <v>#N/A</v>
      </c>
      <c r="AE42" s="129" t="str">
        <f t="shared" si="15"/>
        <v/>
      </c>
      <c r="AF42" s="299" t="e">
        <f t="shared" ca="1" si="16"/>
        <v>#N/A</v>
      </c>
    </row>
    <row r="43" spans="2:32" ht="15" customHeight="1">
      <c r="B43" s="132" t="b">
        <f>IF(TRIM(Length_1!A38)="",FALSE,TRUE)</f>
        <v>0</v>
      </c>
      <c r="C43" s="129" t="str">
        <f>IF($B43=FALSE,"",VALUE(Length_1!A38))</f>
        <v/>
      </c>
      <c r="D43" s="129" t="str">
        <f>IF($B43=FALSE,"",Length_1!B38)</f>
        <v/>
      </c>
      <c r="E43" s="133" t="str">
        <f>IF(B43=FALSE,"",Length_1!N38)</f>
        <v/>
      </c>
      <c r="F43" s="133" t="str">
        <f>IF(B43=FALSE,"",Length_1!O38)</f>
        <v/>
      </c>
      <c r="G43" s="133" t="str">
        <f>IF(B43=FALSE,"",Length_1!P38)</f>
        <v/>
      </c>
      <c r="H43" s="133" t="str">
        <f>IF(B43=FALSE,"",Length_1!Q38)</f>
        <v/>
      </c>
      <c r="I43" s="133" t="str">
        <f>IF(B43=FALSE,"",Length_1!R38)</f>
        <v/>
      </c>
      <c r="J43" s="134" t="str">
        <f t="shared" si="17"/>
        <v/>
      </c>
      <c r="K43" s="146" t="str">
        <f t="shared" si="2"/>
        <v/>
      </c>
      <c r="L43" s="135" t="str">
        <f>IF(B43=FALSE,"",Length_1!D82)</f>
        <v/>
      </c>
      <c r="M43" s="136" t="str">
        <f>IF(B43=FALSE,"",Calcu!J43*J$3)</f>
        <v/>
      </c>
      <c r="N43" s="155" t="str">
        <f>IF(B43=FALSE,"",IF(Length_1!C38="Laser",0,11.5*10^-6))</f>
        <v/>
      </c>
      <c r="O43" s="155" t="str">
        <f ca="1">IF(B43=FALSE,"",OFFSET(Length_1!A82,0,MATCH("열팽창계수",Length_1!$47:$47,0)-1))</f>
        <v/>
      </c>
      <c r="P43" s="156" t="str">
        <f t="shared" si="18"/>
        <v/>
      </c>
      <c r="Q43" s="242" t="str">
        <f t="shared" si="4"/>
        <v/>
      </c>
      <c r="R43" s="242" t="str">
        <f t="shared" si="19"/>
        <v/>
      </c>
      <c r="S43" s="242" t="str">
        <f t="shared" si="6"/>
        <v/>
      </c>
      <c r="T43" s="137" t="str">
        <f t="shared" si="7"/>
        <v/>
      </c>
      <c r="U43" s="138" t="str">
        <f t="shared" si="20"/>
        <v/>
      </c>
      <c r="V43" s="129" t="str">
        <f t="shared" si="13"/>
        <v/>
      </c>
      <c r="W43" s="129" t="str">
        <f t="shared" si="14"/>
        <v/>
      </c>
      <c r="X43" s="131"/>
      <c r="Y43" s="197" t="e">
        <f ca="1">IF(Length_1!K38&lt;0,ROUNDUP(Length_1!K38*J$3,$M$66),ROUNDDOWN(Length_1!K38*J$3,$M$66))</f>
        <v>#N/A</v>
      </c>
      <c r="Z43" s="197" t="e">
        <f ca="1">IF(Length_1!L38&lt;0,ROUNDDOWN(Length_1!L38*J$3,$M$66),ROUNDUP(Length_1!L38*J$3,$M$66))</f>
        <v>#N/A</v>
      </c>
      <c r="AA43" s="129" t="e">
        <f t="shared" ca="1" si="9"/>
        <v>#N/A</v>
      </c>
      <c r="AB43" s="129" t="e">
        <f t="shared" ca="1" si="10"/>
        <v>#N/A</v>
      </c>
      <c r="AC43" s="206" t="e">
        <f t="shared" ca="1" si="11"/>
        <v>#N/A</v>
      </c>
      <c r="AD43" s="129" t="e">
        <f t="shared" ca="1" si="12"/>
        <v>#N/A</v>
      </c>
      <c r="AE43" s="129" t="str">
        <f t="shared" si="15"/>
        <v/>
      </c>
      <c r="AF43" s="299" t="e">
        <f t="shared" ca="1" si="16"/>
        <v>#N/A</v>
      </c>
    </row>
    <row r="44" spans="2:32" ht="15" customHeight="1">
      <c r="B44" s="132" t="b">
        <f>IF(TRIM(Length_1!A39)="",FALSE,TRUE)</f>
        <v>0</v>
      </c>
      <c r="C44" s="129" t="str">
        <f>IF($B44=FALSE,"",VALUE(Length_1!A39))</f>
        <v/>
      </c>
      <c r="D44" s="129" t="str">
        <f>IF($B44=FALSE,"",Length_1!B39)</f>
        <v/>
      </c>
      <c r="E44" s="133" t="str">
        <f>IF(B44=FALSE,"",Length_1!N39)</f>
        <v/>
      </c>
      <c r="F44" s="133" t="str">
        <f>IF(B44=FALSE,"",Length_1!O39)</f>
        <v/>
      </c>
      <c r="G44" s="133" t="str">
        <f>IF(B44=FALSE,"",Length_1!P39)</f>
        <v/>
      </c>
      <c r="H44" s="133" t="str">
        <f>IF(B44=FALSE,"",Length_1!Q39)</f>
        <v/>
      </c>
      <c r="I44" s="133" t="str">
        <f>IF(B44=FALSE,"",Length_1!R39)</f>
        <v/>
      </c>
      <c r="J44" s="134" t="str">
        <f t="shared" si="17"/>
        <v/>
      </c>
      <c r="K44" s="146" t="str">
        <f t="shared" si="2"/>
        <v/>
      </c>
      <c r="L44" s="135" t="str">
        <f>IF(B44=FALSE,"",Length_1!D83)</f>
        <v/>
      </c>
      <c r="M44" s="136" t="str">
        <f>IF(B44=FALSE,"",Calcu!J44*J$3)</f>
        <v/>
      </c>
      <c r="N44" s="155" t="str">
        <f>IF(B44=FALSE,"",IF(Length_1!C39="Laser",0,11.5*10^-6))</f>
        <v/>
      </c>
      <c r="O44" s="155" t="str">
        <f ca="1">IF(B44=FALSE,"",OFFSET(Length_1!A83,0,MATCH("열팽창계수",Length_1!$47:$47,0)-1))</f>
        <v/>
      </c>
      <c r="P44" s="156" t="str">
        <f t="shared" si="18"/>
        <v/>
      </c>
      <c r="Q44" s="242" t="str">
        <f t="shared" si="4"/>
        <v/>
      </c>
      <c r="R44" s="242" t="str">
        <f t="shared" si="19"/>
        <v/>
      </c>
      <c r="S44" s="242" t="str">
        <f t="shared" si="6"/>
        <v/>
      </c>
      <c r="T44" s="137" t="str">
        <f t="shared" si="7"/>
        <v/>
      </c>
      <c r="U44" s="138" t="str">
        <f t="shared" si="20"/>
        <v/>
      </c>
      <c r="V44" s="129" t="str">
        <f t="shared" si="13"/>
        <v/>
      </c>
      <c r="W44" s="129" t="str">
        <f t="shared" si="14"/>
        <v/>
      </c>
      <c r="X44" s="131"/>
      <c r="Y44" s="197" t="e">
        <f ca="1">IF(Length_1!K39&lt;0,ROUNDUP(Length_1!K39*J$3,$M$66),ROUNDDOWN(Length_1!K39*J$3,$M$66))</f>
        <v>#N/A</v>
      </c>
      <c r="Z44" s="197" t="e">
        <f ca="1">IF(Length_1!L39&lt;0,ROUNDDOWN(Length_1!L39*J$3,$M$66),ROUNDUP(Length_1!L39*J$3,$M$66))</f>
        <v>#N/A</v>
      </c>
      <c r="AA44" s="129" t="e">
        <f t="shared" ca="1" si="9"/>
        <v>#N/A</v>
      </c>
      <c r="AB44" s="129" t="e">
        <f t="shared" ca="1" si="10"/>
        <v>#N/A</v>
      </c>
      <c r="AC44" s="206" t="e">
        <f t="shared" ca="1" si="11"/>
        <v>#N/A</v>
      </c>
      <c r="AD44" s="129" t="e">
        <f t="shared" ca="1" si="12"/>
        <v>#N/A</v>
      </c>
      <c r="AE44" s="129" t="str">
        <f t="shared" si="15"/>
        <v/>
      </c>
      <c r="AF44" s="299" t="e">
        <f t="shared" ca="1" si="16"/>
        <v>#N/A</v>
      </c>
    </row>
    <row r="45" spans="2:32" ht="15" customHeight="1">
      <c r="B45" s="132" t="b">
        <f>IF(TRIM(Length_1!A40)="",FALSE,TRUE)</f>
        <v>0</v>
      </c>
      <c r="C45" s="129" t="str">
        <f>IF($B45=FALSE,"",VALUE(Length_1!A40))</f>
        <v/>
      </c>
      <c r="D45" s="129" t="str">
        <f>IF($B45=FALSE,"",Length_1!B40)</f>
        <v/>
      </c>
      <c r="E45" s="133" t="str">
        <f>IF(B45=FALSE,"",Length_1!N40)</f>
        <v/>
      </c>
      <c r="F45" s="133" t="str">
        <f>IF(B45=FALSE,"",Length_1!O40)</f>
        <v/>
      </c>
      <c r="G45" s="133" t="str">
        <f>IF(B45=FALSE,"",Length_1!P40)</f>
        <v/>
      </c>
      <c r="H45" s="133" t="str">
        <f>IF(B45=FALSE,"",Length_1!Q40)</f>
        <v/>
      </c>
      <c r="I45" s="133" t="str">
        <f>IF(B45=FALSE,"",Length_1!R40)</f>
        <v/>
      </c>
      <c r="J45" s="134" t="str">
        <f t="shared" si="17"/>
        <v/>
      </c>
      <c r="K45" s="146" t="str">
        <f t="shared" si="2"/>
        <v/>
      </c>
      <c r="L45" s="135" t="str">
        <f>IF(B45=FALSE,"",Length_1!D84)</f>
        <v/>
      </c>
      <c r="M45" s="136" t="str">
        <f>IF(B45=FALSE,"",Calcu!J45*J$3)</f>
        <v/>
      </c>
      <c r="N45" s="155" t="str">
        <f>IF(B45=FALSE,"",IF(Length_1!C40="Laser",0,11.5*10^-6))</f>
        <v/>
      </c>
      <c r="O45" s="155" t="str">
        <f ca="1">IF(B45=FALSE,"",OFFSET(Length_1!A84,0,MATCH("열팽창계수",Length_1!$47:$47,0)-1))</f>
        <v/>
      </c>
      <c r="P45" s="156" t="str">
        <f t="shared" si="18"/>
        <v/>
      </c>
      <c r="Q45" s="242" t="str">
        <f t="shared" si="4"/>
        <v/>
      </c>
      <c r="R45" s="242" t="str">
        <f t="shared" si="19"/>
        <v/>
      </c>
      <c r="S45" s="242" t="str">
        <f t="shared" si="6"/>
        <v/>
      </c>
      <c r="T45" s="137" t="str">
        <f t="shared" si="7"/>
        <v/>
      </c>
      <c r="U45" s="138" t="str">
        <f t="shared" si="20"/>
        <v/>
      </c>
      <c r="V45" s="129" t="str">
        <f t="shared" si="13"/>
        <v/>
      </c>
      <c r="W45" s="129" t="str">
        <f t="shared" si="14"/>
        <v/>
      </c>
      <c r="X45" s="131"/>
      <c r="Y45" s="197" t="e">
        <f ca="1">IF(Length_1!K40&lt;0,ROUNDUP(Length_1!K40*J$3,$M$66),ROUNDDOWN(Length_1!K40*J$3,$M$66))</f>
        <v>#N/A</v>
      </c>
      <c r="Z45" s="197" t="e">
        <f ca="1">IF(Length_1!L40&lt;0,ROUNDDOWN(Length_1!L40*J$3,$M$66),ROUNDUP(Length_1!L40*J$3,$M$66))</f>
        <v>#N/A</v>
      </c>
      <c r="AA45" s="129" t="e">
        <f t="shared" ca="1" si="9"/>
        <v>#N/A</v>
      </c>
      <c r="AB45" s="129" t="e">
        <f t="shared" ca="1" si="10"/>
        <v>#N/A</v>
      </c>
      <c r="AC45" s="206" t="e">
        <f t="shared" ca="1" si="11"/>
        <v>#N/A</v>
      </c>
      <c r="AD45" s="129" t="e">
        <f t="shared" ca="1" si="12"/>
        <v>#N/A</v>
      </c>
      <c r="AE45" s="129" t="str">
        <f t="shared" si="15"/>
        <v/>
      </c>
      <c r="AF45" s="299" t="e">
        <f t="shared" ca="1" si="16"/>
        <v>#N/A</v>
      </c>
    </row>
    <row r="46" spans="2:32" ht="15" customHeight="1">
      <c r="B46" s="132" t="b">
        <f>IF(TRIM(Length_1!A41)="",FALSE,TRUE)</f>
        <v>0</v>
      </c>
      <c r="C46" s="129" t="str">
        <f>IF($B46=FALSE,"",VALUE(Length_1!A41))</f>
        <v/>
      </c>
      <c r="D46" s="129" t="str">
        <f>IF($B46=FALSE,"",Length_1!B41)</f>
        <v/>
      </c>
      <c r="E46" s="133" t="str">
        <f>IF(B46=FALSE,"",Length_1!N41)</f>
        <v/>
      </c>
      <c r="F46" s="133" t="str">
        <f>IF(B46=FALSE,"",Length_1!O41)</f>
        <v/>
      </c>
      <c r="G46" s="133" t="str">
        <f>IF(B46=FALSE,"",Length_1!P41)</f>
        <v/>
      </c>
      <c r="H46" s="133" t="str">
        <f>IF(B46=FALSE,"",Length_1!Q41)</f>
        <v/>
      </c>
      <c r="I46" s="133" t="str">
        <f>IF(B46=FALSE,"",Length_1!R41)</f>
        <v/>
      </c>
      <c r="J46" s="134" t="str">
        <f t="shared" si="17"/>
        <v/>
      </c>
      <c r="K46" s="146" t="str">
        <f t="shared" si="2"/>
        <v/>
      </c>
      <c r="L46" s="135" t="str">
        <f>IF(B46=FALSE,"",Length_1!D85)</f>
        <v/>
      </c>
      <c r="M46" s="136" t="str">
        <f>IF(B46=FALSE,"",Calcu!J46*J$3)</f>
        <v/>
      </c>
      <c r="N46" s="155" t="str">
        <f>IF(B46=FALSE,"",IF(Length_1!C41="Laser",0,11.5*10^-6))</f>
        <v/>
      </c>
      <c r="O46" s="155" t="str">
        <f ca="1">IF(B46=FALSE,"",OFFSET(Length_1!A85,0,MATCH("열팽창계수",Length_1!$47:$47,0)-1))</f>
        <v/>
      </c>
      <c r="P46" s="156" t="str">
        <f t="shared" si="18"/>
        <v/>
      </c>
      <c r="Q46" s="242" t="str">
        <f t="shared" si="4"/>
        <v/>
      </c>
      <c r="R46" s="242" t="str">
        <f t="shared" si="19"/>
        <v/>
      </c>
      <c r="S46" s="242" t="str">
        <f t="shared" si="6"/>
        <v/>
      </c>
      <c r="T46" s="137" t="str">
        <f t="shared" si="7"/>
        <v/>
      </c>
      <c r="U46" s="138" t="str">
        <f t="shared" si="20"/>
        <v/>
      </c>
      <c r="V46" s="129" t="str">
        <f t="shared" si="13"/>
        <v/>
      </c>
      <c r="W46" s="129" t="str">
        <f t="shared" si="14"/>
        <v/>
      </c>
      <c r="X46" s="131"/>
      <c r="Y46" s="197" t="e">
        <f ca="1">IF(Length_1!K41&lt;0,ROUNDUP(Length_1!K41*J$3,$M$66),ROUNDDOWN(Length_1!K41*J$3,$M$66))</f>
        <v>#N/A</v>
      </c>
      <c r="Z46" s="197" t="e">
        <f ca="1">IF(Length_1!L41&lt;0,ROUNDDOWN(Length_1!L41*J$3,$M$66),ROUNDUP(Length_1!L41*J$3,$M$66))</f>
        <v>#N/A</v>
      </c>
      <c r="AA46" s="129" t="e">
        <f t="shared" ca="1" si="9"/>
        <v>#N/A</v>
      </c>
      <c r="AB46" s="129" t="e">
        <f t="shared" ca="1" si="10"/>
        <v>#N/A</v>
      </c>
      <c r="AC46" s="206" t="e">
        <f t="shared" ca="1" si="11"/>
        <v>#N/A</v>
      </c>
      <c r="AD46" s="129" t="e">
        <f t="shared" ca="1" si="12"/>
        <v>#N/A</v>
      </c>
      <c r="AE46" s="129" t="str">
        <f t="shared" si="15"/>
        <v/>
      </c>
      <c r="AF46" s="299" t="e">
        <f t="shared" ca="1" si="16"/>
        <v>#N/A</v>
      </c>
    </row>
    <row r="47" spans="2:32" ht="15" customHeight="1">
      <c r="B47" s="132" t="b">
        <f>IF(TRIM(Length_1!A42)="",FALSE,TRUE)</f>
        <v>0</v>
      </c>
      <c r="C47" s="129" t="str">
        <f>IF($B47=FALSE,"",VALUE(Length_1!A42))</f>
        <v/>
      </c>
      <c r="D47" s="129" t="str">
        <f>IF($B47=FALSE,"",Length_1!B42)</f>
        <v/>
      </c>
      <c r="E47" s="133" t="str">
        <f>IF(B47=FALSE,"",Length_1!N42)</f>
        <v/>
      </c>
      <c r="F47" s="133" t="str">
        <f>IF(B47=FALSE,"",Length_1!O42)</f>
        <v/>
      </c>
      <c r="G47" s="133" t="str">
        <f>IF(B47=FALSE,"",Length_1!P42)</f>
        <v/>
      </c>
      <c r="H47" s="133" t="str">
        <f>IF(B47=FALSE,"",Length_1!Q42)</f>
        <v/>
      </c>
      <c r="I47" s="133" t="str">
        <f>IF(B47=FALSE,"",Length_1!R42)</f>
        <v/>
      </c>
      <c r="J47" s="134" t="str">
        <f t="shared" si="17"/>
        <v/>
      </c>
      <c r="K47" s="146" t="str">
        <f t="shared" si="2"/>
        <v/>
      </c>
      <c r="L47" s="135" t="str">
        <f>IF(B47=FALSE,"",Length_1!D86)</f>
        <v/>
      </c>
      <c r="M47" s="136" t="str">
        <f>IF(B47=FALSE,"",Calcu!J47*J$3)</f>
        <v/>
      </c>
      <c r="N47" s="155" t="str">
        <f>IF(B47=FALSE,"",IF(Length_1!C42="Laser",0,11.5*10^-6))</f>
        <v/>
      </c>
      <c r="O47" s="155" t="str">
        <f ca="1">IF(B47=FALSE,"",OFFSET(Length_1!A86,0,MATCH("열팽창계수",Length_1!$47:$47,0)-1))</f>
        <v/>
      </c>
      <c r="P47" s="156" t="str">
        <f t="shared" si="18"/>
        <v/>
      </c>
      <c r="Q47" s="242" t="str">
        <f t="shared" si="4"/>
        <v/>
      </c>
      <c r="R47" s="242" t="str">
        <f t="shared" si="19"/>
        <v/>
      </c>
      <c r="S47" s="242" t="str">
        <f t="shared" si="6"/>
        <v/>
      </c>
      <c r="T47" s="137" t="str">
        <f t="shared" si="7"/>
        <v/>
      </c>
      <c r="U47" s="138" t="str">
        <f t="shared" si="20"/>
        <v/>
      </c>
      <c r="V47" s="129" t="str">
        <f t="shared" si="13"/>
        <v/>
      </c>
      <c r="W47" s="129" t="str">
        <f t="shared" si="14"/>
        <v/>
      </c>
      <c r="X47" s="131"/>
      <c r="Y47" s="197" t="e">
        <f ca="1">IF(Length_1!K42&lt;0,ROUNDUP(Length_1!K42*J$3,$M$66),ROUNDDOWN(Length_1!K42*J$3,$M$66))</f>
        <v>#N/A</v>
      </c>
      <c r="Z47" s="197" t="e">
        <f ca="1">IF(Length_1!L42&lt;0,ROUNDDOWN(Length_1!L42*J$3,$M$66),ROUNDUP(Length_1!L42*J$3,$M$66))</f>
        <v>#N/A</v>
      </c>
      <c r="AA47" s="129" t="e">
        <f t="shared" ca="1" si="9"/>
        <v>#N/A</v>
      </c>
      <c r="AB47" s="129" t="e">
        <f t="shared" ca="1" si="10"/>
        <v>#N/A</v>
      </c>
      <c r="AC47" s="206" t="e">
        <f t="shared" ca="1" si="11"/>
        <v>#N/A</v>
      </c>
      <c r="AD47" s="129" t="e">
        <f t="shared" ca="1" si="12"/>
        <v>#N/A</v>
      </c>
      <c r="AE47" s="129" t="str">
        <f t="shared" si="15"/>
        <v/>
      </c>
      <c r="AF47" s="299" t="e">
        <f t="shared" ca="1" si="16"/>
        <v>#N/A</v>
      </c>
    </row>
    <row r="48" spans="2:32" ht="15" customHeight="1">
      <c r="B48" s="132" t="b">
        <f>IF(TRIM(Length_1!A43)="",FALSE,TRUE)</f>
        <v>0</v>
      </c>
      <c r="C48" s="129" t="str">
        <f>IF($B48=FALSE,"",VALUE(Length_1!A43))</f>
        <v/>
      </c>
      <c r="D48" s="129" t="str">
        <f>IF($B48=FALSE,"",Length_1!B43)</f>
        <v/>
      </c>
      <c r="E48" s="133" t="str">
        <f>IF(B48=FALSE,"",Length_1!N43)</f>
        <v/>
      </c>
      <c r="F48" s="133" t="str">
        <f>IF(B48=FALSE,"",Length_1!O43)</f>
        <v/>
      </c>
      <c r="G48" s="133" t="str">
        <f>IF(B48=FALSE,"",Length_1!P43)</f>
        <v/>
      </c>
      <c r="H48" s="133" t="str">
        <f>IF(B48=FALSE,"",Length_1!Q43)</f>
        <v/>
      </c>
      <c r="I48" s="133" t="str">
        <f>IF(B48=FALSE,"",Length_1!R43)</f>
        <v/>
      </c>
      <c r="J48" s="134" t="str">
        <f t="shared" si="17"/>
        <v/>
      </c>
      <c r="K48" s="146" t="str">
        <f t="shared" si="2"/>
        <v/>
      </c>
      <c r="L48" s="135" t="str">
        <f>IF(B48=FALSE,"",Length_1!D87)</f>
        <v/>
      </c>
      <c r="M48" s="136" t="str">
        <f>IF(B48=FALSE,"",Calcu!J48*J$3)</f>
        <v/>
      </c>
      <c r="N48" s="155" t="str">
        <f>IF(B48=FALSE,"",IF(Length_1!C43="Laser",0,11.5*10^-6))</f>
        <v/>
      </c>
      <c r="O48" s="155" t="str">
        <f ca="1">IF(B48=FALSE,"",OFFSET(Length_1!A87,0,MATCH("열팽창계수",Length_1!$47:$47,0)-1))</f>
        <v/>
      </c>
      <c r="P48" s="156" t="str">
        <f t="shared" si="18"/>
        <v/>
      </c>
      <c r="Q48" s="242" t="str">
        <f t="shared" si="4"/>
        <v/>
      </c>
      <c r="R48" s="242" t="str">
        <f t="shared" si="19"/>
        <v/>
      </c>
      <c r="S48" s="242" t="str">
        <f t="shared" si="6"/>
        <v/>
      </c>
      <c r="T48" s="137" t="str">
        <f t="shared" si="7"/>
        <v/>
      </c>
      <c r="U48" s="138" t="str">
        <f t="shared" si="20"/>
        <v/>
      </c>
      <c r="V48" s="129" t="str">
        <f t="shared" si="13"/>
        <v/>
      </c>
      <c r="W48" s="129" t="str">
        <f t="shared" si="14"/>
        <v/>
      </c>
      <c r="X48" s="131"/>
      <c r="Y48" s="197" t="e">
        <f ca="1">IF(Length_1!K43&lt;0,ROUNDUP(Length_1!K43*J$3,$M$66),ROUNDDOWN(Length_1!K43*J$3,$M$66))</f>
        <v>#N/A</v>
      </c>
      <c r="Z48" s="197" t="e">
        <f ca="1">IF(Length_1!L43&lt;0,ROUNDDOWN(Length_1!L43*J$3,$M$66),ROUNDUP(Length_1!L43*J$3,$M$66))</f>
        <v>#N/A</v>
      </c>
      <c r="AA48" s="129" t="e">
        <f t="shared" ca="1" si="9"/>
        <v>#N/A</v>
      </c>
      <c r="AB48" s="129" t="e">
        <f t="shared" ca="1" si="10"/>
        <v>#N/A</v>
      </c>
      <c r="AC48" s="206" t="e">
        <f t="shared" ca="1" si="11"/>
        <v>#N/A</v>
      </c>
      <c r="AD48" s="129" t="e">
        <f t="shared" ca="1" si="12"/>
        <v>#N/A</v>
      </c>
      <c r="AE48" s="129" t="str">
        <f t="shared" si="15"/>
        <v/>
      </c>
      <c r="AF48" s="299" t="e">
        <f t="shared" ca="1" si="16"/>
        <v>#N/A</v>
      </c>
    </row>
    <row r="49" spans="1:32" ht="15" customHeight="1">
      <c r="B49" s="132" t="b">
        <f>IF(TRIM(Length_1!A44)="",FALSE,TRUE)</f>
        <v>0</v>
      </c>
      <c r="C49" s="129" t="str">
        <f>IF($B49=FALSE,"",VALUE(Length_1!A44))</f>
        <v/>
      </c>
      <c r="D49" s="129" t="str">
        <f>IF($B49=FALSE,"",Length_1!B44)</f>
        <v/>
      </c>
      <c r="E49" s="133" t="str">
        <f>IF(B49=FALSE,"",Length_1!N44)</f>
        <v/>
      </c>
      <c r="F49" s="133" t="str">
        <f>IF(B49=FALSE,"",Length_1!O44)</f>
        <v/>
      </c>
      <c r="G49" s="133" t="str">
        <f>IF(B49=FALSE,"",Length_1!P44)</f>
        <v/>
      </c>
      <c r="H49" s="133" t="str">
        <f>IF(B49=FALSE,"",Length_1!Q44)</f>
        <v/>
      </c>
      <c r="I49" s="133" t="str">
        <f>IF(B49=FALSE,"",Length_1!R44)</f>
        <v/>
      </c>
      <c r="J49" s="134" t="str">
        <f t="shared" si="17"/>
        <v/>
      </c>
      <c r="K49" s="146" t="str">
        <f t="shared" si="2"/>
        <v/>
      </c>
      <c r="L49" s="135" t="str">
        <f>IF(B49=FALSE,"",Length_1!D88)</f>
        <v/>
      </c>
      <c r="M49" s="136" t="str">
        <f>IF(B49=FALSE,"",Calcu!J49*J$3)</f>
        <v/>
      </c>
      <c r="N49" s="155" t="str">
        <f>IF(B49=FALSE,"",IF(Length_1!C44="Laser",0,11.5*10^-6))</f>
        <v/>
      </c>
      <c r="O49" s="155" t="str">
        <f ca="1">IF(B49=FALSE,"",OFFSET(Length_1!A88,0,MATCH("열팽창계수",Length_1!$47:$47,0)-1))</f>
        <v/>
      </c>
      <c r="P49" s="156" t="str">
        <f t="shared" si="18"/>
        <v/>
      </c>
      <c r="Q49" s="242" t="str">
        <f t="shared" si="4"/>
        <v/>
      </c>
      <c r="R49" s="242" t="str">
        <f t="shared" si="19"/>
        <v/>
      </c>
      <c r="S49" s="242" t="str">
        <f t="shared" si="6"/>
        <v/>
      </c>
      <c r="T49" s="137" t="str">
        <f t="shared" si="7"/>
        <v/>
      </c>
      <c r="U49" s="138" t="str">
        <f t="shared" si="20"/>
        <v/>
      </c>
      <c r="V49" s="129" t="str">
        <f t="shared" si="13"/>
        <v/>
      </c>
      <c r="W49" s="129" t="str">
        <f t="shared" si="14"/>
        <v/>
      </c>
      <c r="X49" s="131"/>
      <c r="Y49" s="197" t="e">
        <f ca="1">IF(Length_1!K44&lt;0,ROUNDUP(Length_1!K44*J$3,$M$66),ROUNDDOWN(Length_1!K44*J$3,$M$66))</f>
        <v>#N/A</v>
      </c>
      <c r="Z49" s="197" t="e">
        <f ca="1">IF(Length_1!L44&lt;0,ROUNDDOWN(Length_1!L44*J$3,$M$66),ROUNDUP(Length_1!L44*J$3,$M$66))</f>
        <v>#N/A</v>
      </c>
      <c r="AA49" s="129" t="e">
        <f t="shared" ca="1" si="9"/>
        <v>#N/A</v>
      </c>
      <c r="AB49" s="129" t="e">
        <f t="shared" ca="1" si="10"/>
        <v>#N/A</v>
      </c>
      <c r="AC49" s="206" t="e">
        <f t="shared" ca="1" si="11"/>
        <v>#N/A</v>
      </c>
      <c r="AD49" s="129" t="e">
        <f t="shared" ca="1" si="12"/>
        <v>#N/A</v>
      </c>
      <c r="AE49" s="129" t="str">
        <f t="shared" si="15"/>
        <v/>
      </c>
      <c r="AF49" s="299" t="e">
        <f t="shared" ca="1" si="16"/>
        <v>#N/A</v>
      </c>
    </row>
    <row r="50" spans="1:32" ht="15" customHeight="1">
      <c r="N50" s="126"/>
      <c r="O50" s="126"/>
      <c r="P50" s="126"/>
      <c r="Q50" s="126"/>
      <c r="R50" s="126"/>
      <c r="S50" s="126"/>
      <c r="T50" s="126"/>
      <c r="X50" s="126"/>
    </row>
    <row r="51" spans="1:32" ht="15" customHeight="1">
      <c r="A51" s="124" t="s">
        <v>169</v>
      </c>
      <c r="C51" s="125"/>
      <c r="D51" s="125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</row>
    <row r="52" spans="1:32" ht="15" customHeight="1">
      <c r="A52" s="124"/>
      <c r="B52" s="515"/>
      <c r="C52" s="515" t="s">
        <v>171</v>
      </c>
      <c r="D52" s="516" t="s">
        <v>172</v>
      </c>
      <c r="E52" s="515" t="s">
        <v>173</v>
      </c>
      <c r="F52" s="515" t="s">
        <v>174</v>
      </c>
      <c r="G52" s="493">
        <v>1</v>
      </c>
      <c r="H52" s="498"/>
      <c r="I52" s="498"/>
      <c r="J52" s="498"/>
      <c r="K52" s="494"/>
      <c r="L52" s="162">
        <v>2</v>
      </c>
      <c r="M52" s="493">
        <v>3</v>
      </c>
      <c r="N52" s="498"/>
      <c r="O52" s="498"/>
      <c r="P52" s="494"/>
      <c r="Q52" s="493">
        <v>4</v>
      </c>
      <c r="R52" s="494"/>
      <c r="S52" s="162">
        <v>5</v>
      </c>
      <c r="T52" s="508" t="s">
        <v>471</v>
      </c>
      <c r="U52" s="493" t="s">
        <v>490</v>
      </c>
      <c r="V52" s="494"/>
      <c r="W52" s="296"/>
    </row>
    <row r="53" spans="1:32" ht="15" customHeight="1">
      <c r="A53" s="124"/>
      <c r="B53" s="513"/>
      <c r="C53" s="513"/>
      <c r="D53" s="517"/>
      <c r="E53" s="513"/>
      <c r="F53" s="513"/>
      <c r="G53" s="269" t="s">
        <v>445</v>
      </c>
      <c r="H53" s="269" t="s">
        <v>446</v>
      </c>
      <c r="I53" s="269" t="s">
        <v>447</v>
      </c>
      <c r="J53" s="493" t="s">
        <v>176</v>
      </c>
      <c r="K53" s="494"/>
      <c r="L53" s="162" t="s">
        <v>177</v>
      </c>
      <c r="M53" s="493" t="s">
        <v>175</v>
      </c>
      <c r="N53" s="494"/>
      <c r="O53" s="493" t="s">
        <v>178</v>
      </c>
      <c r="P53" s="494"/>
      <c r="Q53" s="493" t="s">
        <v>179</v>
      </c>
      <c r="R53" s="494"/>
      <c r="S53" s="162" t="s">
        <v>180</v>
      </c>
      <c r="T53" s="509"/>
      <c r="U53" s="314" t="s">
        <v>491</v>
      </c>
      <c r="V53" s="314" t="s">
        <v>492</v>
      </c>
      <c r="W53" s="296"/>
    </row>
    <row r="54" spans="1:32" ht="15" customHeight="1">
      <c r="B54" s="162" t="s">
        <v>183</v>
      </c>
      <c r="C54" s="148" t="s">
        <v>190</v>
      </c>
      <c r="D54" s="149" t="s">
        <v>191</v>
      </c>
      <c r="E54" s="164" t="e">
        <f ca="1">OFFSET(L$8,MATCH(L$3,T$9:T$49,0),0)</f>
        <v>#N/A</v>
      </c>
      <c r="F54" s="150" t="s">
        <v>186</v>
      </c>
      <c r="G54" s="199" t="e">
        <f ca="1">OFFSET(Length_1!F47,MATCH(L3,T9:T49,0),0)</f>
        <v>#N/A</v>
      </c>
      <c r="H54" s="129" t="e">
        <f ca="1">OFFSET(Length_1!F47,MATCH(L3,T9:T49,0),1)/IF(Length_1!J48="L=m",1000,1)</f>
        <v>#N/A</v>
      </c>
      <c r="I54" s="129" t="e">
        <f ca="1">OFFSET(Length_1!F47,MATCH(L3,T9:T49,0),3)</f>
        <v>#N/A</v>
      </c>
      <c r="J54" s="200" t="e">
        <f ca="1">SQRT(SUMSQ(G54,H54*L3))/I54/IF(Length_1_STD1="Gauge block",1000,1)</f>
        <v>#N/A</v>
      </c>
      <c r="K54" s="151" t="s">
        <v>188</v>
      </c>
      <c r="L54" s="153" t="s">
        <v>192</v>
      </c>
      <c r="M54" s="129"/>
      <c r="N54" s="129"/>
      <c r="O54" s="136">
        <v>1</v>
      </c>
      <c r="P54" s="129"/>
      <c r="Q54" s="209" t="e">
        <f t="shared" ref="Q54:Q61" ca="1" si="21">ABS(J54*O54)</f>
        <v>#N/A</v>
      </c>
      <c r="R54" s="151" t="s">
        <v>188</v>
      </c>
      <c r="S54" s="129" t="s">
        <v>193</v>
      </c>
      <c r="T54" s="308">
        <f>IF(S54="∞",0,Q54^4/S54)</f>
        <v>0</v>
      </c>
      <c r="U54" s="265" t="str">
        <f t="shared" ref="U54:U61" si="22">IF(OR(L54="직사각형",L54="삼각형"),Q54,"")</f>
        <v/>
      </c>
      <c r="V54" s="265" t="e">
        <f t="shared" ref="V54:V61" ca="1" si="23">IF(OR(L54="직사각형",L54="삼각형"),"",Q54)</f>
        <v>#N/A</v>
      </c>
      <c r="W54" s="296"/>
    </row>
    <row r="55" spans="1:32" ht="15" customHeight="1">
      <c r="B55" s="162" t="s">
        <v>189</v>
      </c>
      <c r="C55" s="148" t="s">
        <v>184</v>
      </c>
      <c r="D55" s="149" t="s">
        <v>185</v>
      </c>
      <c r="E55" s="164" t="e">
        <f ca="1">OFFSET(M$8,MATCH(L$3,T$9:T$49,0),0)</f>
        <v>#N/A</v>
      </c>
      <c r="F55" s="150" t="s">
        <v>186</v>
      </c>
      <c r="G55" s="151">
        <f>IF(MAX(K9:K49)=0,P3*1000,MAX(K9:K49)*1000)</f>
        <v>0</v>
      </c>
      <c r="H55" s="129">
        <f>IF(MAX(K9:K49)=0,2,1)</f>
        <v>2</v>
      </c>
      <c r="I55" s="152">
        <f>IF(MAX(K9:K49)=0,3,5)</f>
        <v>3</v>
      </c>
      <c r="J55" s="311">
        <f>G55/(IF(H55="",1,H55)*SQRT(I55))</f>
        <v>0</v>
      </c>
      <c r="K55" s="151" t="s">
        <v>187</v>
      </c>
      <c r="L55" s="153" t="str">
        <f>IF(MAX(K9:K49)=0,"직사각형","t")</f>
        <v>직사각형</v>
      </c>
      <c r="M55" s="129"/>
      <c r="N55" s="129"/>
      <c r="O55" s="136">
        <v>-1</v>
      </c>
      <c r="P55" s="129"/>
      <c r="Q55" s="209">
        <f>ABS(J55*O55)</f>
        <v>0</v>
      </c>
      <c r="R55" s="151" t="s">
        <v>188</v>
      </c>
      <c r="S55" s="197" t="str">
        <f>IF(MAX(K9:K49)=0,"∞",I55-1)</f>
        <v>∞</v>
      </c>
      <c r="T55" s="308">
        <f>IF(S55="∞",0,Q55^4/S55)</f>
        <v>0</v>
      </c>
      <c r="U55" s="265">
        <f t="shared" si="22"/>
        <v>0</v>
      </c>
      <c r="V55" s="265" t="str">
        <f t="shared" si="23"/>
        <v/>
      </c>
      <c r="W55" s="296"/>
    </row>
    <row r="56" spans="1:32" ht="15" customHeight="1">
      <c r="B56" s="162" t="s">
        <v>82</v>
      </c>
      <c r="C56" s="148" t="s">
        <v>145</v>
      </c>
      <c r="D56" s="149" t="s">
        <v>136</v>
      </c>
      <c r="E56" s="155" t="e">
        <f ca="1">OFFSET(P$8,MATCH(L$3,T$9:T$49,0),0)</f>
        <v>#N/A</v>
      </c>
      <c r="F56" s="150" t="s">
        <v>146</v>
      </c>
      <c r="G56" s="275">
        <f>1*10^-6</f>
        <v>9.9999999999999995E-7</v>
      </c>
      <c r="H56" s="207"/>
      <c r="I56" s="276">
        <v>3</v>
      </c>
      <c r="J56" s="312">
        <f>SQRT((G56/SQRT(I56)/2)^2+(G56/SQRT(I56)/2)^2)</f>
        <v>4.0824829046386305E-7</v>
      </c>
      <c r="K56" s="150" t="s">
        <v>146</v>
      </c>
      <c r="L56" s="153" t="s">
        <v>344</v>
      </c>
      <c r="M56" s="151">
        <f>G57</f>
        <v>0.5</v>
      </c>
      <c r="N56" s="129">
        <f>L3*1000</f>
        <v>0</v>
      </c>
      <c r="O56" s="136">
        <f>-M56*N56</f>
        <v>0</v>
      </c>
      <c r="P56" s="129" t="s">
        <v>147</v>
      </c>
      <c r="Q56" s="209">
        <f t="shared" si="21"/>
        <v>0</v>
      </c>
      <c r="R56" s="151" t="s">
        <v>144</v>
      </c>
      <c r="S56" s="129">
        <v>100</v>
      </c>
      <c r="T56" s="308">
        <f>IF(S56="∞",0,Q56^4/S56)</f>
        <v>0</v>
      </c>
      <c r="U56" s="265">
        <f t="shared" si="22"/>
        <v>0</v>
      </c>
      <c r="V56" s="265" t="str">
        <f t="shared" si="23"/>
        <v/>
      </c>
      <c r="W56" s="296"/>
    </row>
    <row r="57" spans="1:32" ht="15" customHeight="1">
      <c r="B57" s="162" t="s">
        <v>83</v>
      </c>
      <c r="C57" s="148" t="s">
        <v>152</v>
      </c>
      <c r="D57" s="149" t="s">
        <v>139</v>
      </c>
      <c r="E57" s="208" t="str">
        <f>Q9</f>
        <v/>
      </c>
      <c r="F57" s="150" t="s">
        <v>158</v>
      </c>
      <c r="G57" s="151">
        <f>IF(기본정보!H12=1,1,0.5)</f>
        <v>0.5</v>
      </c>
      <c r="H57" s="207"/>
      <c r="I57" s="152">
        <v>3</v>
      </c>
      <c r="J57" s="311">
        <f>G57/(IF(H57="",1,H57)*SQRT(I57))</f>
        <v>0.28867513459481292</v>
      </c>
      <c r="K57" s="150" t="s">
        <v>158</v>
      </c>
      <c r="L57" s="153" t="s">
        <v>197</v>
      </c>
      <c r="M57" s="155" t="e">
        <f ca="1">E56</f>
        <v>#N/A</v>
      </c>
      <c r="N57" s="129">
        <f>L3*1000</f>
        <v>0</v>
      </c>
      <c r="O57" s="136" t="e">
        <f ca="1">-M57*N57</f>
        <v>#N/A</v>
      </c>
      <c r="P57" s="129" t="s">
        <v>198</v>
      </c>
      <c r="Q57" s="209" t="e">
        <f ca="1">ABS(J57*O57)</f>
        <v>#N/A</v>
      </c>
      <c r="R57" s="151" t="s">
        <v>187</v>
      </c>
      <c r="S57" s="129">
        <v>12</v>
      </c>
      <c r="T57" s="308" t="e">
        <f t="shared" ref="T57:T61" ca="1" si="24">IF(S57="∞",0,Q57^4/S57)</f>
        <v>#N/A</v>
      </c>
      <c r="U57" s="265" t="e">
        <f t="shared" ca="1" si="22"/>
        <v>#N/A</v>
      </c>
      <c r="V57" s="265" t="str">
        <f t="shared" si="23"/>
        <v/>
      </c>
      <c r="W57" s="296"/>
    </row>
    <row r="58" spans="1:32" ht="15" customHeight="1">
      <c r="B58" s="162" t="s">
        <v>196</v>
      </c>
      <c r="C58" s="148" t="s">
        <v>137</v>
      </c>
      <c r="D58" s="149" t="s">
        <v>138</v>
      </c>
      <c r="E58" s="158" t="e">
        <f ca="1">OFFSET(R$8,MATCH(L$3,T$9:T$49,0),0)</f>
        <v>#N/A</v>
      </c>
      <c r="F58" s="150" t="s">
        <v>146</v>
      </c>
      <c r="G58" s="275">
        <f>1*10^-6</f>
        <v>9.9999999999999995E-7</v>
      </c>
      <c r="H58" s="207"/>
      <c r="I58" s="276">
        <v>3</v>
      </c>
      <c r="J58" s="312">
        <f>SQRT((G58/SQRT(I58))^2+(G58/SQRT(I58))^2)</f>
        <v>8.1649658092772609E-7</v>
      </c>
      <c r="K58" s="150" t="s">
        <v>146</v>
      </c>
      <c r="L58" s="153" t="s">
        <v>344</v>
      </c>
      <c r="M58" s="151">
        <f>E59</f>
        <v>0.1</v>
      </c>
      <c r="N58" s="129">
        <f>L3*1000</f>
        <v>0</v>
      </c>
      <c r="O58" s="136">
        <f>-M58*N58</f>
        <v>0</v>
      </c>
      <c r="P58" s="129" t="s">
        <v>194</v>
      </c>
      <c r="Q58" s="209">
        <f>ABS(J58*O58)</f>
        <v>0</v>
      </c>
      <c r="R58" s="151" t="s">
        <v>187</v>
      </c>
      <c r="S58" s="129">
        <v>100</v>
      </c>
      <c r="T58" s="308">
        <f t="shared" si="24"/>
        <v>0</v>
      </c>
      <c r="U58" s="265">
        <f t="shared" si="22"/>
        <v>0</v>
      </c>
      <c r="V58" s="265" t="str">
        <f t="shared" si="23"/>
        <v/>
      </c>
      <c r="W58" s="296"/>
    </row>
    <row r="59" spans="1:32" ht="15" customHeight="1">
      <c r="B59" s="162" t="s">
        <v>199</v>
      </c>
      <c r="C59" s="148" t="s">
        <v>140</v>
      </c>
      <c r="D59" s="149" t="s">
        <v>141</v>
      </c>
      <c r="E59" s="208">
        <f>MAX(S9,0.1)</f>
        <v>0.1</v>
      </c>
      <c r="F59" s="150" t="s">
        <v>158</v>
      </c>
      <c r="G59" s="151">
        <f>IF(기본정보!H12=1,3,1)</f>
        <v>1</v>
      </c>
      <c r="H59" s="207"/>
      <c r="I59" s="152">
        <v>3</v>
      </c>
      <c r="J59" s="311">
        <f>G59/(IF(H59="",1,H59)*SQRT(I59))</f>
        <v>0.57735026918962584</v>
      </c>
      <c r="K59" s="150" t="s">
        <v>158</v>
      </c>
      <c r="L59" s="153" t="s">
        <v>197</v>
      </c>
      <c r="M59" s="158" t="e">
        <f ca="1">E58</f>
        <v>#N/A</v>
      </c>
      <c r="N59" s="129">
        <f>L3*1000</f>
        <v>0</v>
      </c>
      <c r="O59" s="136" t="e">
        <f ca="1">-M59*N59</f>
        <v>#N/A</v>
      </c>
      <c r="P59" s="129" t="s">
        <v>198</v>
      </c>
      <c r="Q59" s="209" t="e">
        <f t="shared" ca="1" si="21"/>
        <v>#N/A</v>
      </c>
      <c r="R59" s="151" t="s">
        <v>187</v>
      </c>
      <c r="S59" s="129">
        <v>12</v>
      </c>
      <c r="T59" s="308" t="e">
        <f t="shared" ca="1" si="24"/>
        <v>#N/A</v>
      </c>
      <c r="U59" s="265" t="e">
        <f t="shared" ca="1" si="22"/>
        <v>#N/A</v>
      </c>
      <c r="V59" s="265" t="str">
        <f t="shared" si="23"/>
        <v/>
      </c>
      <c r="W59" s="296"/>
    </row>
    <row r="60" spans="1:32" ht="15" customHeight="1">
      <c r="B60" s="162" t="s">
        <v>200</v>
      </c>
      <c r="C60" s="148" t="s">
        <v>201</v>
      </c>
      <c r="D60" s="149" t="s">
        <v>508</v>
      </c>
      <c r="E60" s="129">
        <v>0</v>
      </c>
      <c r="F60" s="150" t="s">
        <v>186</v>
      </c>
      <c r="G60" s="129">
        <f>P3*1000</f>
        <v>0</v>
      </c>
      <c r="H60" s="129">
        <v>2</v>
      </c>
      <c r="I60" s="152">
        <v>3</v>
      </c>
      <c r="J60" s="311">
        <f>G60/(IF(H60="",1,H60)*SQRT(I60))</f>
        <v>0</v>
      </c>
      <c r="K60" s="151" t="s">
        <v>187</v>
      </c>
      <c r="L60" s="153" t="s">
        <v>202</v>
      </c>
      <c r="M60" s="129"/>
      <c r="N60" s="129"/>
      <c r="O60" s="136">
        <v>1</v>
      </c>
      <c r="P60" s="129"/>
      <c r="Q60" s="209">
        <f t="shared" si="21"/>
        <v>0</v>
      </c>
      <c r="R60" s="151" t="s">
        <v>188</v>
      </c>
      <c r="S60" s="129" t="s">
        <v>195</v>
      </c>
      <c r="T60" s="308">
        <f t="shared" si="24"/>
        <v>0</v>
      </c>
      <c r="U60" s="265">
        <f t="shared" si="22"/>
        <v>0</v>
      </c>
      <c r="V60" s="265" t="str">
        <f t="shared" si="23"/>
        <v/>
      </c>
      <c r="W60" s="296"/>
    </row>
    <row r="61" spans="1:32" ht="15" customHeight="1">
      <c r="B61" s="162" t="s">
        <v>203</v>
      </c>
      <c r="C61" s="148" t="s">
        <v>329</v>
      </c>
      <c r="D61" s="149" t="s">
        <v>380</v>
      </c>
      <c r="E61" s="129">
        <v>0</v>
      </c>
      <c r="F61" s="150" t="s">
        <v>204</v>
      </c>
      <c r="G61" s="206">
        <f>(L3-(L3*COS(RADIANS(0.5))))*1000</f>
        <v>0</v>
      </c>
      <c r="H61" s="207"/>
      <c r="I61" s="152">
        <v>3</v>
      </c>
      <c r="J61" s="311">
        <f>G61/(IF(H61="",1,H61)*SQRT(I61))</f>
        <v>0</v>
      </c>
      <c r="K61" s="151" t="s">
        <v>187</v>
      </c>
      <c r="L61" s="153" t="s">
        <v>202</v>
      </c>
      <c r="M61" s="129"/>
      <c r="N61" s="129"/>
      <c r="O61" s="136">
        <v>1</v>
      </c>
      <c r="P61" s="129"/>
      <c r="Q61" s="209">
        <f t="shared" si="21"/>
        <v>0</v>
      </c>
      <c r="R61" s="151" t="s">
        <v>187</v>
      </c>
      <c r="S61" s="129" t="s">
        <v>193</v>
      </c>
      <c r="T61" s="308">
        <f t="shared" si="24"/>
        <v>0</v>
      </c>
      <c r="U61" s="265">
        <f t="shared" si="22"/>
        <v>0</v>
      </c>
      <c r="V61" s="265" t="str">
        <f t="shared" si="23"/>
        <v/>
      </c>
      <c r="W61" s="296"/>
    </row>
    <row r="62" spans="1:32" ht="15" customHeight="1">
      <c r="B62" s="162" t="s">
        <v>205</v>
      </c>
      <c r="C62" s="148" t="s">
        <v>206</v>
      </c>
      <c r="D62" s="149" t="s">
        <v>330</v>
      </c>
      <c r="E62" s="164" t="e">
        <f ca="1">E54-E55-(E56*E57+E58*E59)*L3</f>
        <v>#N/A</v>
      </c>
      <c r="F62" s="150" t="s">
        <v>186</v>
      </c>
      <c r="G62" s="495"/>
      <c r="H62" s="496"/>
      <c r="I62" s="496"/>
      <c r="J62" s="496"/>
      <c r="K62" s="496"/>
      <c r="L62" s="496"/>
      <c r="M62" s="496"/>
      <c r="N62" s="496"/>
      <c r="O62" s="496"/>
      <c r="P62" s="497"/>
      <c r="Q62" s="210" t="e">
        <f ca="1">SQRT(SUMSQ(Q54:Q61))</f>
        <v>#N/A</v>
      </c>
      <c r="R62" s="151" t="s">
        <v>187</v>
      </c>
      <c r="S62" s="217" t="e">
        <f ca="1">IF(T62=0,"∞",ROUNDDOWN(Q62^4/T62,0))</f>
        <v>#N/A</v>
      </c>
      <c r="T62" s="310" t="e">
        <f ca="1">SUM(T54:T61)</f>
        <v>#N/A</v>
      </c>
      <c r="U62" s="278" t="e">
        <f ca="1">SQRT(SUMSQ(U54:U61))</f>
        <v>#N/A</v>
      </c>
      <c r="V62" s="278" t="e">
        <f ca="1">SQRT(SUMSQ(V54:V61))</f>
        <v>#N/A</v>
      </c>
      <c r="W62" s="298"/>
      <c r="X62" s="298"/>
      <c r="Y62" s="298"/>
    </row>
    <row r="63" spans="1:32" ht="15" customHeight="1">
      <c r="T63" s="131"/>
      <c r="U63" s="131"/>
    </row>
    <row r="64" spans="1:32" ht="15" customHeight="1">
      <c r="B64" s="163"/>
      <c r="C64" s="493" t="s">
        <v>208</v>
      </c>
      <c r="D64" s="498"/>
      <c r="E64" s="498"/>
      <c r="F64" s="498"/>
      <c r="G64" s="494"/>
      <c r="H64" s="162" t="s">
        <v>209</v>
      </c>
      <c r="I64" s="162" t="s">
        <v>210</v>
      </c>
      <c r="J64" s="493" t="s">
        <v>211</v>
      </c>
      <c r="K64" s="498"/>
      <c r="L64" s="498"/>
      <c r="M64" s="494"/>
      <c r="N64" s="301" t="s">
        <v>477</v>
      </c>
      <c r="O64" s="493" t="s">
        <v>212</v>
      </c>
      <c r="P64" s="498"/>
      <c r="Q64" s="494"/>
      <c r="R64" s="508" t="s">
        <v>480</v>
      </c>
      <c r="S64" s="493" t="s">
        <v>514</v>
      </c>
      <c r="T64" s="494"/>
      <c r="U64" s="127"/>
    </row>
    <row r="65" spans="2:31" ht="15" customHeight="1">
      <c r="B65" s="163"/>
      <c r="C65" s="163">
        <v>1</v>
      </c>
      <c r="D65" s="163">
        <v>2</v>
      </c>
      <c r="E65" s="163" t="s">
        <v>214</v>
      </c>
      <c r="F65" s="163" t="s">
        <v>215</v>
      </c>
      <c r="G65" s="163" t="s">
        <v>216</v>
      </c>
      <c r="H65" s="163" t="s">
        <v>217</v>
      </c>
      <c r="I65" s="163" t="s">
        <v>218</v>
      </c>
      <c r="J65" s="301" t="s">
        <v>481</v>
      </c>
      <c r="K65" s="301" t="s">
        <v>478</v>
      </c>
      <c r="L65" s="301" t="s">
        <v>76</v>
      </c>
      <c r="M65" s="301" t="s">
        <v>479</v>
      </c>
      <c r="N65" s="302"/>
      <c r="O65" s="301" t="s">
        <v>219</v>
      </c>
      <c r="P65" s="301" t="s">
        <v>478</v>
      </c>
      <c r="Q65" s="301" t="s">
        <v>482</v>
      </c>
      <c r="R65" s="512"/>
      <c r="S65" s="317" t="s">
        <v>515</v>
      </c>
      <c r="T65" s="317" t="s">
        <v>516</v>
      </c>
      <c r="U65" s="127"/>
    </row>
    <row r="66" spans="2:31" ht="15" customHeight="1">
      <c r="B66" s="163" t="s">
        <v>208</v>
      </c>
      <c r="C66" s="142" t="e">
        <f ca="1">E77*Q62</f>
        <v>#N/A</v>
      </c>
      <c r="D66" s="142"/>
      <c r="E66" s="142"/>
      <c r="F66" s="144" t="str">
        <f>R62</f>
        <v>μm</v>
      </c>
      <c r="G66" s="168" t="e">
        <f ca="1">C66/1000</f>
        <v>#N/A</v>
      </c>
      <c r="H66" s="168" t="e">
        <f ca="1">MAX(G66:G67)</f>
        <v>#N/A</v>
      </c>
      <c r="I66" s="198">
        <f>P3</f>
        <v>0</v>
      </c>
      <c r="J66" s="141" t="e">
        <f ca="1">IF(H66&lt;0.00001,6,IF(H66&lt;0.0001,5,IF(H66&lt;0.001,4,IF(H66&lt;0.01,3,IF(H66&lt;0.1,2,IF(H66&lt;1,1,IF(H66&lt;10,0,IF(H66&lt;100,-1,-2))))))))+K67</f>
        <v>#N/A</v>
      </c>
      <c r="K66" s="141" t="e">
        <f ca="1">J66+IF(AND(H65="μm",I65="mm"),3,0)</f>
        <v>#N/A</v>
      </c>
      <c r="L66" s="299">
        <f>IFERROR(LEN(I66)-FIND(".",I66),0)</f>
        <v>0</v>
      </c>
      <c r="M66" s="308" t="e">
        <f ca="1">IF(M67=TRUE,MIN(K66:L66),K66)</f>
        <v>#N/A</v>
      </c>
      <c r="N66" s="198" t="e">
        <f ca="1">ABS((H66-ROUND(H66,M66))/H66*100)</f>
        <v>#N/A</v>
      </c>
      <c r="O66" s="299" t="e">
        <f ca="1">OFFSET(P70,MATCH(J66,O71:O80,0),0)</f>
        <v>#N/A</v>
      </c>
      <c r="P66" s="299" t="e">
        <f ca="1">OFFSET(P70,MATCH(M66,O71:O80,0),0)</f>
        <v>#N/A</v>
      </c>
      <c r="Q66" s="299" t="str">
        <f ca="1">OFFSET(P70,MATCH(L66,O71:O80,0),0)</f>
        <v>0</v>
      </c>
      <c r="R66" s="145" t="e">
        <f ca="1">IF(H66=G66,0,1)</f>
        <v>#N/A</v>
      </c>
      <c r="S66" s="170" t="e">
        <f ca="1">TEXT(IF(N66&gt;5,ROUNDUP(H66,M66),ROUND(H66,M66)),P66)</f>
        <v>#N/A</v>
      </c>
      <c r="T66" s="170" t="e">
        <f ca="1">S66&amp;" "&amp;H65</f>
        <v>#N/A</v>
      </c>
      <c r="U66" s="127"/>
    </row>
    <row r="67" spans="2:31" ht="15" customHeight="1">
      <c r="B67" s="163" t="s">
        <v>220</v>
      </c>
      <c r="C67" s="143" t="e">
        <f ca="1">$Q$3</f>
        <v>#N/A</v>
      </c>
      <c r="D67" s="144" t="e">
        <f ca="1">$R$3</f>
        <v>#N/A</v>
      </c>
      <c r="E67" s="144">
        <f>L3</f>
        <v>0</v>
      </c>
      <c r="F67" s="144" t="e">
        <f ca="1">$S$3</f>
        <v>#N/A</v>
      </c>
      <c r="G67" s="169" t="e">
        <f ca="1">SQRT(SUMSQ(C67,D67*E67))/1000</f>
        <v>#N/A</v>
      </c>
      <c r="J67" s="300" t="s">
        <v>467</v>
      </c>
      <c r="K67" s="299">
        <f>IF(O67=TRUE,1,기본정보!$A$47)</f>
        <v>1</v>
      </c>
      <c r="L67" s="300" t="s">
        <v>468</v>
      </c>
      <c r="M67" s="299" t="b">
        <f>IF(O67=TRUE,FALSE,기본정보!$A$52)</f>
        <v>0</v>
      </c>
      <c r="N67" s="300" t="s">
        <v>469</v>
      </c>
      <c r="O67" s="299" t="b">
        <f>기본정보!$A$46=0</f>
        <v>1</v>
      </c>
      <c r="P67" s="131"/>
      <c r="Q67" s="127"/>
      <c r="R67" s="127"/>
      <c r="S67" s="127"/>
      <c r="T67" s="127"/>
      <c r="U67" s="127"/>
    </row>
    <row r="68" spans="2:31" ht="15" customHeight="1">
      <c r="T68" s="131"/>
      <c r="U68" s="131"/>
    </row>
    <row r="69" spans="2:31" ht="15" customHeight="1">
      <c r="B69" s="147" t="s">
        <v>207</v>
      </c>
      <c r="C69" s="296"/>
      <c r="D69" s="296"/>
      <c r="E69" s="296"/>
      <c r="F69" s="296"/>
      <c r="G69" s="296"/>
      <c r="H69" s="296"/>
      <c r="I69" s="148" t="s">
        <v>53</v>
      </c>
      <c r="J69" s="148" t="s">
        <v>213</v>
      </c>
      <c r="K69" s="296"/>
      <c r="L69" s="296"/>
      <c r="M69" s="296"/>
      <c r="N69" s="127"/>
      <c r="O69" s="160" t="s">
        <v>222</v>
      </c>
      <c r="P69" s="160" t="s">
        <v>221</v>
      </c>
      <c r="Q69" s="297"/>
      <c r="R69" s="225" t="s">
        <v>362</v>
      </c>
      <c r="S69" s="223"/>
      <c r="T69" s="225" t="s">
        <v>366</v>
      </c>
      <c r="U69" s="223"/>
      <c r="Z69" s="128"/>
      <c r="AA69" s="128"/>
      <c r="AB69" s="128"/>
      <c r="AC69" s="128"/>
      <c r="AD69" s="131"/>
      <c r="AE69" s="131"/>
    </row>
    <row r="70" spans="2:31" ht="15" customHeight="1">
      <c r="B70" s="510" t="s">
        <v>472</v>
      </c>
      <c r="C70" s="511"/>
      <c r="D70" s="508" t="s">
        <v>483</v>
      </c>
      <c r="E70" s="314" t="s">
        <v>197</v>
      </c>
      <c r="F70" s="314" t="s">
        <v>484</v>
      </c>
      <c r="G70" s="314" t="s">
        <v>485</v>
      </c>
      <c r="H70" s="296"/>
      <c r="I70" s="148"/>
      <c r="J70" s="148">
        <v>95.45</v>
      </c>
      <c r="K70" s="296"/>
      <c r="L70" s="296"/>
      <c r="M70" s="296"/>
      <c r="N70" s="127"/>
      <c r="O70" s="161" t="s">
        <v>224</v>
      </c>
      <c r="P70" s="161" t="s">
        <v>223</v>
      </c>
      <c r="Q70" s="297"/>
      <c r="R70" s="225" t="s">
        <v>363</v>
      </c>
      <c r="S70" s="223"/>
      <c r="T70" s="225" t="s">
        <v>367</v>
      </c>
      <c r="U70" s="223"/>
      <c r="Z70" s="128"/>
      <c r="AA70" s="128"/>
      <c r="AB70" s="128"/>
      <c r="AC70" s="128"/>
      <c r="AD70" s="131"/>
      <c r="AE70" s="131"/>
    </row>
    <row r="71" spans="2:31" ht="15" customHeight="1">
      <c r="B71" s="302" t="s">
        <v>473</v>
      </c>
      <c r="C71" s="307" t="s">
        <v>474</v>
      </c>
      <c r="D71" s="513"/>
      <c r="E71" s="313" t="e">
        <f ca="1">U62</f>
        <v>#N/A</v>
      </c>
      <c r="F71" s="313" t="e">
        <f ca="1">V62</f>
        <v>#N/A</v>
      </c>
      <c r="G71" s="273" t="e">
        <f ca="1">F71/E71</f>
        <v>#N/A</v>
      </c>
      <c r="H71" s="296"/>
      <c r="I71" s="129">
        <v>1</v>
      </c>
      <c r="J71" s="129">
        <v>13.97</v>
      </c>
      <c r="K71" s="296"/>
      <c r="L71" s="296"/>
      <c r="M71" s="296"/>
      <c r="N71" s="127"/>
      <c r="O71" s="139">
        <v>0</v>
      </c>
      <c r="P71" s="140" t="s">
        <v>225</v>
      </c>
      <c r="Q71" s="297"/>
      <c r="R71" s="225" t="s">
        <v>364</v>
      </c>
      <c r="S71" s="223"/>
      <c r="T71" s="225" t="s">
        <v>368</v>
      </c>
      <c r="U71" s="223"/>
      <c r="Z71" s="128"/>
      <c r="AA71" s="128"/>
      <c r="AB71" s="128"/>
      <c r="AC71" s="128"/>
      <c r="AD71" s="131"/>
      <c r="AE71" s="131"/>
    </row>
    <row r="72" spans="2:31" ht="15" customHeight="1">
      <c r="B72" s="299">
        <v>1</v>
      </c>
      <c r="C72" s="265">
        <f ca="1">IFERROR(LARGE(U54:U61,B72),0)</f>
        <v>0</v>
      </c>
      <c r="D72" s="314" t="s">
        <v>486</v>
      </c>
      <c r="E72" s="505" t="e">
        <f ca="1">SQRT(SUMSQ(C74:C79,V54:V61))</f>
        <v>#N/A</v>
      </c>
      <c r="F72" s="505"/>
      <c r="G72" s="506" t="e">
        <f ca="1">E72/SQRT(SUMSQ(E73,F73))</f>
        <v>#N/A</v>
      </c>
      <c r="H72" s="296"/>
      <c r="I72" s="129">
        <v>2</v>
      </c>
      <c r="J72" s="129">
        <v>4.53</v>
      </c>
      <c r="K72" s="296"/>
      <c r="L72" s="296"/>
      <c r="M72" s="296"/>
      <c r="N72" s="127"/>
      <c r="O72" s="139">
        <v>1</v>
      </c>
      <c r="P72" s="140" t="s">
        <v>226</v>
      </c>
      <c r="Q72" s="297"/>
      <c r="R72" s="225" t="s">
        <v>365</v>
      </c>
      <c r="S72" s="223"/>
      <c r="T72" s="225" t="s">
        <v>369</v>
      </c>
      <c r="U72" s="223"/>
      <c r="Z72" s="130"/>
      <c r="AA72" s="130"/>
      <c r="AB72" s="128"/>
      <c r="AC72" s="128"/>
      <c r="AD72" s="131"/>
      <c r="AE72" s="131"/>
    </row>
    <row r="73" spans="2:31" ht="15" customHeight="1">
      <c r="B73" s="299">
        <v>2</v>
      </c>
      <c r="C73" s="265">
        <f ca="1">IFERROR(LARGE(U54:U61,B73),0)</f>
        <v>0</v>
      </c>
      <c r="D73" s="314" t="s">
        <v>443</v>
      </c>
      <c r="E73" s="303">
        <f ca="1">C72</f>
        <v>0</v>
      </c>
      <c r="F73" s="303">
        <f ca="1">C73</f>
        <v>0</v>
      </c>
      <c r="G73" s="507"/>
      <c r="H73" s="296"/>
      <c r="I73" s="129">
        <v>3</v>
      </c>
      <c r="J73" s="129">
        <v>3.31</v>
      </c>
      <c r="K73" s="296"/>
      <c r="L73" s="296"/>
      <c r="M73" s="296"/>
      <c r="N73" s="127"/>
      <c r="O73" s="139">
        <v>2</v>
      </c>
      <c r="P73" s="140" t="s">
        <v>227</v>
      </c>
      <c r="Q73" s="297"/>
      <c r="R73" s="297"/>
      <c r="S73" s="127"/>
      <c r="T73" s="127"/>
      <c r="V73" s="128"/>
      <c r="W73" s="128"/>
      <c r="X73" s="128"/>
      <c r="Y73" s="130"/>
      <c r="Z73" s="130"/>
      <c r="AA73" s="130"/>
      <c r="AB73" s="128"/>
      <c r="AC73" s="128"/>
      <c r="AD73" s="131"/>
      <c r="AE73" s="131"/>
    </row>
    <row r="74" spans="2:31" ht="15" customHeight="1">
      <c r="B74" s="299">
        <v>3</v>
      </c>
      <c r="C74" s="309">
        <f ca="1">IFERROR(LARGE(U54:U61,B74),0)</f>
        <v>0</v>
      </c>
      <c r="D74" s="514" t="s">
        <v>487</v>
      </c>
      <c r="E74" s="272" t="s">
        <v>475</v>
      </c>
      <c r="F74" s="272" t="s">
        <v>476</v>
      </c>
      <c r="G74" s="272" t="s">
        <v>444</v>
      </c>
      <c r="H74" s="296"/>
      <c r="I74" s="129">
        <v>4</v>
      </c>
      <c r="J74" s="129">
        <v>2.87</v>
      </c>
      <c r="K74" s="296"/>
      <c r="L74" s="296"/>
      <c r="M74" s="296"/>
      <c r="N74" s="127"/>
      <c r="O74" s="139">
        <v>3</v>
      </c>
      <c r="P74" s="140" t="s">
        <v>228</v>
      </c>
      <c r="Q74" s="297"/>
      <c r="R74" s="297"/>
      <c r="S74" s="127"/>
      <c r="T74" s="127"/>
      <c r="V74" s="128"/>
      <c r="W74" s="128"/>
      <c r="X74" s="128"/>
      <c r="Y74" s="130"/>
      <c r="Z74" s="130"/>
      <c r="AA74" s="130"/>
      <c r="AB74" s="128"/>
      <c r="AC74" s="128"/>
      <c r="AD74" s="131"/>
      <c r="AE74" s="128"/>
    </row>
    <row r="75" spans="2:31" ht="15" customHeight="1">
      <c r="B75" s="299">
        <v>4</v>
      </c>
      <c r="C75" s="309">
        <f ca="1">IFERROR(LARGE(U54:U61,B75),0)</f>
        <v>0</v>
      </c>
      <c r="D75" s="514"/>
      <c r="E75" s="299">
        <f ca="1">OFFSET(G53,MATCH(E73,U54:U61,0),0)/IF(OFFSET(H53,MATCH(E73,U54:U61,0),0)="",1,OFFSET(H53,MATCH(E73,U54:U61,0),0))</f>
        <v>0</v>
      </c>
      <c r="F75" s="299">
        <f ca="1">OFFSET(G53,MATCH(F73,U54:U61,0),0)/IF(OFFSET(H53,MATCH(F73,U54:U61,0),0)="",1,OFFSET(H53,MATCH(F73,U54:U61,0),0))</f>
        <v>0</v>
      </c>
      <c r="G75" s="270" t="e">
        <f ca="1">ABS(E75-F75)/(E75+F75)</f>
        <v>#DIV/0!</v>
      </c>
      <c r="H75" s="296"/>
      <c r="I75" s="129">
        <v>5</v>
      </c>
      <c r="J75" s="129">
        <v>2.65</v>
      </c>
      <c r="K75" s="296"/>
      <c r="L75" s="296"/>
      <c r="M75" s="296"/>
      <c r="N75" s="127"/>
      <c r="O75" s="139">
        <v>4</v>
      </c>
      <c r="P75" s="140" t="s">
        <v>229</v>
      </c>
      <c r="Q75" s="297"/>
      <c r="R75" s="297"/>
      <c r="S75" s="127"/>
      <c r="T75" s="127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</row>
    <row r="76" spans="2:31" ht="15" customHeight="1">
      <c r="B76" s="299">
        <v>5</v>
      </c>
      <c r="C76" s="309">
        <f ca="1">IFERROR(LARGE(U54:U61,B76),0)</f>
        <v>0</v>
      </c>
      <c r="D76" s="314" t="s">
        <v>488</v>
      </c>
      <c r="E76" s="271" t="e">
        <f ca="1">IF(AND(G71&lt;0.3,G72&lt;0.3),"사다리꼴","정규")</f>
        <v>#N/A</v>
      </c>
      <c r="H76" s="296"/>
      <c r="I76" s="129">
        <v>6</v>
      </c>
      <c r="J76" s="129">
        <v>2.52</v>
      </c>
      <c r="K76" s="296"/>
      <c r="L76" s="296"/>
      <c r="M76" s="296"/>
      <c r="N76" s="127"/>
      <c r="O76" s="139">
        <v>5</v>
      </c>
      <c r="P76" s="140" t="s">
        <v>230</v>
      </c>
      <c r="Q76" s="297"/>
      <c r="R76" s="297"/>
      <c r="S76" s="127"/>
      <c r="T76" s="127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</row>
    <row r="77" spans="2:31" ht="15" customHeight="1">
      <c r="B77" s="299">
        <v>6</v>
      </c>
      <c r="C77" s="309">
        <f ca="1">IFERROR(LARGE(U54:U61,B77),0)</f>
        <v>0</v>
      </c>
      <c r="D77" s="314" t="s">
        <v>489</v>
      </c>
      <c r="E77" s="266" t="e">
        <f ca="1">IF(E76="정규",IF(OR(S62="∞",S62&gt;=10),2,OFFSET(J70,MATCH(S62,I71:I80,0),0)),ROUND((1-SQRT((1-0.95)*(1-G75^2)))/SQRT((1+G75^2)/6),2))</f>
        <v>#N/A</v>
      </c>
      <c r="H77" s="296"/>
      <c r="I77" s="129">
        <v>7</v>
      </c>
      <c r="J77" s="129">
        <v>2.4300000000000002</v>
      </c>
      <c r="K77" s="296"/>
      <c r="L77" s="296"/>
      <c r="M77" s="296"/>
      <c r="N77" s="127"/>
      <c r="O77" s="139">
        <v>6</v>
      </c>
      <c r="P77" s="140" t="s">
        <v>231</v>
      </c>
      <c r="Q77" s="297"/>
      <c r="R77" s="297"/>
      <c r="S77" s="127"/>
      <c r="T77" s="127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</row>
    <row r="78" spans="2:31" ht="15" customHeight="1">
      <c r="B78" s="299">
        <v>7</v>
      </c>
      <c r="C78" s="309">
        <f ca="1">IFERROR(LARGE(U54:U61,B78),0)</f>
        <v>0</v>
      </c>
      <c r="D78" s="300" t="s">
        <v>470</v>
      </c>
      <c r="E78" s="292" t="e">
        <f ca="1">IF(E76="사다리꼴","(신뢰수준 95 %,","(신뢰수준 약 95 %,")</f>
        <v>#N/A</v>
      </c>
      <c r="F78" s="292" t="e">
        <f ca="1">E77&amp;IF(E76="사다리꼴"," "&amp;E76&amp;" 확률분포)",")")</f>
        <v>#N/A</v>
      </c>
      <c r="G78" s="296"/>
      <c r="H78" s="296"/>
      <c r="I78" s="129">
        <v>8</v>
      </c>
      <c r="J78" s="129">
        <v>2.37</v>
      </c>
      <c r="K78" s="296"/>
      <c r="L78" s="296"/>
      <c r="M78" s="296"/>
      <c r="N78" s="127"/>
      <c r="O78" s="139">
        <v>7</v>
      </c>
      <c r="P78" s="140" t="s">
        <v>232</v>
      </c>
      <c r="Q78" s="297"/>
      <c r="R78" s="297"/>
      <c r="S78" s="127"/>
      <c r="T78" s="127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</row>
    <row r="79" spans="2:31" ht="15" customHeight="1">
      <c r="B79" s="299">
        <v>8</v>
      </c>
      <c r="C79" s="309">
        <f ca="1">IFERROR(LARGE(U54:U61,B79),0)</f>
        <v>0</v>
      </c>
      <c r="D79" s="296"/>
      <c r="E79" s="296"/>
      <c r="F79" s="296"/>
      <c r="G79" s="296"/>
      <c r="H79" s="296"/>
      <c r="I79" s="129">
        <v>9</v>
      </c>
      <c r="J79" s="129">
        <v>2.3199999999999998</v>
      </c>
      <c r="K79" s="296"/>
      <c r="L79" s="296"/>
      <c r="M79" s="296"/>
      <c r="N79" s="127"/>
      <c r="O79" s="139">
        <v>8</v>
      </c>
      <c r="P79" s="140" t="s">
        <v>233</v>
      </c>
      <c r="Q79" s="297"/>
      <c r="R79" s="297"/>
      <c r="S79" s="127"/>
      <c r="T79" s="127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</row>
    <row r="80" spans="2:31" ht="15" customHeight="1">
      <c r="B80" s="296"/>
      <c r="C80" s="296"/>
      <c r="D80" s="296"/>
      <c r="E80" s="296"/>
      <c r="F80" s="296"/>
      <c r="G80" s="296"/>
      <c r="H80" s="296"/>
      <c r="I80" s="129" t="s">
        <v>54</v>
      </c>
      <c r="J80" s="129">
        <v>2</v>
      </c>
      <c r="K80" s="296"/>
      <c r="L80" s="296"/>
      <c r="M80" s="296"/>
      <c r="N80" s="127"/>
      <c r="O80" s="139">
        <v>9</v>
      </c>
      <c r="P80" s="140" t="s">
        <v>234</v>
      </c>
      <c r="Q80" s="297"/>
      <c r="R80" s="297"/>
      <c r="S80" s="127"/>
      <c r="T80" s="127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</row>
    <row r="81" spans="2:28" ht="15" customHeight="1">
      <c r="I81" s="126"/>
      <c r="J81" s="127"/>
    </row>
    <row r="82" spans="2:28" ht="18" customHeight="1">
      <c r="B82" s="193" t="s">
        <v>332</v>
      </c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Z82" s="128"/>
      <c r="AA82" s="128"/>
      <c r="AB82" s="128"/>
    </row>
    <row r="83" spans="2:28" ht="18" customHeight="1">
      <c r="B83" s="194"/>
      <c r="C83" s="122" t="s">
        <v>522</v>
      </c>
      <c r="D83" s="128"/>
      <c r="G83" s="127"/>
      <c r="H83" s="127"/>
      <c r="I83" s="127"/>
      <c r="J83" s="127"/>
      <c r="N83" s="127"/>
      <c r="O83" s="127"/>
      <c r="P83" s="127"/>
      <c r="Q83" s="127"/>
      <c r="R83" s="127"/>
      <c r="S83" s="127"/>
      <c r="T83" s="127"/>
      <c r="U83" s="127"/>
    </row>
    <row r="84" spans="2:28" ht="18" customHeight="1">
      <c r="B84" s="194"/>
      <c r="C84" s="321" t="s">
        <v>521</v>
      </c>
      <c r="D84" s="128"/>
      <c r="G84" s="127"/>
      <c r="H84" s="127"/>
      <c r="I84" s="127"/>
      <c r="J84" s="127"/>
      <c r="N84" s="127"/>
      <c r="O84" s="127"/>
      <c r="P84" s="127"/>
      <c r="Q84" s="127"/>
      <c r="R84" s="127"/>
      <c r="S84" s="127"/>
      <c r="T84" s="127"/>
      <c r="U84" s="127"/>
    </row>
    <row r="85" spans="2:28" ht="18" customHeight="1">
      <c r="B85" s="194"/>
      <c r="C85" s="194"/>
      <c r="D85" s="128"/>
      <c r="G85" s="127"/>
      <c r="H85" s="127"/>
      <c r="I85" s="127"/>
      <c r="J85" s="127"/>
      <c r="N85" s="127"/>
      <c r="O85" s="127"/>
      <c r="P85" s="127"/>
      <c r="Q85" s="127"/>
      <c r="R85" s="127"/>
      <c r="S85" s="127"/>
      <c r="T85" s="127"/>
      <c r="U85" s="127"/>
    </row>
    <row r="86" spans="2:28" ht="18" customHeight="1">
      <c r="B86" s="194"/>
      <c r="C86" s="194"/>
      <c r="D86" s="128"/>
      <c r="G86" s="127"/>
      <c r="H86" s="127"/>
      <c r="I86" s="127"/>
      <c r="J86" s="127"/>
      <c r="N86" s="127"/>
      <c r="O86" s="127"/>
      <c r="P86" s="127"/>
      <c r="Q86" s="127"/>
      <c r="R86" s="127"/>
      <c r="S86" s="127"/>
      <c r="T86" s="127"/>
      <c r="U86" s="127"/>
    </row>
    <row r="87" spans="2:28" ht="18" customHeight="1">
      <c r="B87" s="194"/>
      <c r="C87" s="194"/>
      <c r="D87" s="128"/>
      <c r="G87" s="127"/>
      <c r="H87" s="127"/>
      <c r="I87" s="127"/>
      <c r="J87" s="127"/>
      <c r="N87" s="127"/>
      <c r="O87" s="127"/>
      <c r="P87" s="127"/>
      <c r="Q87" s="127"/>
      <c r="R87" s="127"/>
      <c r="S87" s="127"/>
      <c r="T87" s="127"/>
      <c r="U87" s="127"/>
    </row>
    <row r="88" spans="2:28" ht="18" customHeight="1">
      <c r="B88" s="194"/>
      <c r="C88" s="194"/>
      <c r="D88" s="128"/>
      <c r="G88" s="127"/>
      <c r="H88" s="127"/>
      <c r="I88" s="127"/>
      <c r="J88" s="127"/>
      <c r="N88" s="127"/>
      <c r="O88" s="127"/>
      <c r="P88" s="127"/>
      <c r="Q88" s="127"/>
      <c r="R88" s="127"/>
      <c r="S88" s="127"/>
      <c r="T88" s="127"/>
      <c r="U88" s="127"/>
    </row>
    <row r="89" spans="2:28" ht="18" customHeight="1">
      <c r="B89" s="194"/>
      <c r="C89" s="73"/>
      <c r="D89" s="128"/>
      <c r="G89" s="127"/>
      <c r="H89" s="127"/>
      <c r="I89" s="127"/>
      <c r="J89" s="127"/>
      <c r="N89" s="127"/>
      <c r="O89" s="127"/>
      <c r="P89" s="127"/>
      <c r="Q89" s="127"/>
      <c r="R89" s="127"/>
      <c r="S89" s="127"/>
      <c r="T89" s="127"/>
      <c r="U89" s="127"/>
    </row>
    <row r="90" spans="2:28" ht="18" customHeight="1">
      <c r="B90" s="194"/>
      <c r="C90" s="128"/>
      <c r="D90" s="128"/>
      <c r="G90" s="127"/>
      <c r="H90" s="127"/>
      <c r="I90" s="127"/>
      <c r="J90" s="127"/>
      <c r="N90" s="127"/>
      <c r="O90" s="127"/>
      <c r="P90" s="127"/>
      <c r="Q90" s="127"/>
      <c r="R90" s="127"/>
      <c r="S90" s="127"/>
      <c r="T90" s="127"/>
      <c r="U90" s="127"/>
    </row>
    <row r="91" spans="2:28" ht="18" customHeight="1">
      <c r="B91" s="73"/>
      <c r="C91" s="128"/>
      <c r="D91" s="73"/>
      <c r="E91" s="73"/>
      <c r="F91" s="73"/>
      <c r="G91" s="73"/>
      <c r="H91" s="73"/>
      <c r="M91" s="73"/>
      <c r="N91" s="73"/>
      <c r="O91" s="73"/>
      <c r="P91" s="194"/>
      <c r="Q91" s="194"/>
      <c r="R91" s="194"/>
      <c r="Z91" s="128"/>
      <c r="AA91" s="128"/>
      <c r="AB91" s="128"/>
    </row>
    <row r="92" spans="2:28" ht="18" customHeight="1">
      <c r="B92" s="128"/>
      <c r="C92" s="128"/>
      <c r="D92" s="128"/>
      <c r="I92" s="195"/>
      <c r="J92" s="194"/>
      <c r="K92" s="194"/>
      <c r="L92" s="194"/>
      <c r="P92" s="127"/>
      <c r="Q92" s="127"/>
      <c r="R92" s="127"/>
      <c r="Z92" s="128"/>
      <c r="AA92" s="128"/>
      <c r="AB92" s="128"/>
    </row>
    <row r="93" spans="2:28" ht="18" customHeight="1">
      <c r="B93" s="128"/>
      <c r="C93" s="128"/>
      <c r="D93" s="128"/>
      <c r="I93" s="195"/>
      <c r="J93" s="194"/>
      <c r="K93" s="194"/>
      <c r="L93" s="194"/>
      <c r="P93" s="127"/>
      <c r="Q93" s="127"/>
      <c r="R93" s="127"/>
      <c r="Z93" s="128"/>
      <c r="AA93" s="128"/>
      <c r="AB93" s="128"/>
    </row>
    <row r="94" spans="2:28" ht="18" customHeight="1">
      <c r="B94" s="128"/>
      <c r="C94" s="128"/>
      <c r="D94" s="128"/>
      <c r="J94" s="73"/>
      <c r="K94" s="73"/>
      <c r="L94" s="73"/>
      <c r="P94" s="127"/>
      <c r="Q94" s="127"/>
      <c r="R94" s="127"/>
      <c r="Z94" s="128"/>
      <c r="AA94" s="128"/>
      <c r="AB94" s="128"/>
    </row>
    <row r="95" spans="2:28" ht="18" customHeight="1">
      <c r="B95" s="128"/>
      <c r="C95" s="128"/>
      <c r="D95" s="128"/>
      <c r="I95" s="195"/>
      <c r="J95" s="131"/>
      <c r="K95" s="131"/>
      <c r="P95" s="127"/>
      <c r="Q95" s="127"/>
      <c r="R95" s="127"/>
      <c r="Z95" s="128"/>
      <c r="AA95" s="128"/>
      <c r="AB95" s="128"/>
    </row>
    <row r="96" spans="2:28" ht="18" customHeight="1">
      <c r="B96" s="128"/>
      <c r="C96" s="128"/>
      <c r="D96" s="128"/>
      <c r="I96" s="195"/>
      <c r="J96" s="131"/>
      <c r="K96" s="131"/>
      <c r="P96" s="127"/>
      <c r="Q96" s="127"/>
      <c r="R96" s="127"/>
      <c r="V96" s="128"/>
      <c r="W96" s="128"/>
      <c r="X96" s="128"/>
      <c r="Y96" s="128"/>
      <c r="Z96" s="128"/>
      <c r="AA96" s="128"/>
      <c r="AB96" s="128"/>
    </row>
    <row r="97" spans="2:28" ht="18" customHeight="1">
      <c r="B97" s="128"/>
      <c r="D97" s="128"/>
      <c r="J97" s="131"/>
      <c r="K97" s="131"/>
      <c r="P97" s="127"/>
      <c r="Q97" s="127"/>
      <c r="R97" s="127"/>
      <c r="V97" s="128"/>
      <c r="W97" s="128"/>
      <c r="X97" s="128"/>
      <c r="Y97" s="128"/>
      <c r="Z97" s="128"/>
      <c r="AA97" s="128"/>
      <c r="AB97" s="128"/>
    </row>
    <row r="98" spans="2:28" ht="18" customHeight="1">
      <c r="B98" s="128"/>
      <c r="D98" s="128"/>
      <c r="P98" s="127"/>
      <c r="Q98" s="127"/>
      <c r="R98" s="127"/>
    </row>
  </sheetData>
  <mergeCells count="34">
    <mergeCell ref="D74:D75"/>
    <mergeCell ref="C64:G64"/>
    <mergeCell ref="B6:B8"/>
    <mergeCell ref="B52:B53"/>
    <mergeCell ref="C52:C53"/>
    <mergeCell ref="D52:D53"/>
    <mergeCell ref="E52:E53"/>
    <mergeCell ref="C6:C8"/>
    <mergeCell ref="D6:D8"/>
    <mergeCell ref="E6:J6"/>
    <mergeCell ref="F52:F53"/>
    <mergeCell ref="B70:C70"/>
    <mergeCell ref="J64:M64"/>
    <mergeCell ref="O64:Q64"/>
    <mergeCell ref="R64:R65"/>
    <mergeCell ref="D70:D71"/>
    <mergeCell ref="S64:T64"/>
    <mergeCell ref="Y6:Z6"/>
    <mergeCell ref="AA6:AF6"/>
    <mergeCell ref="E72:F72"/>
    <mergeCell ref="G72:G73"/>
    <mergeCell ref="T52:T53"/>
    <mergeCell ref="V6:W6"/>
    <mergeCell ref="G62:P62"/>
    <mergeCell ref="G52:K52"/>
    <mergeCell ref="M52:P52"/>
    <mergeCell ref="Q52:R52"/>
    <mergeCell ref="J53:K53"/>
    <mergeCell ref="M53:N53"/>
    <mergeCell ref="O53:P53"/>
    <mergeCell ref="Q53:R53"/>
    <mergeCell ref="N6:P6"/>
    <mergeCell ref="U52:V52"/>
    <mergeCell ref="K6:K7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19</vt:i4>
      </vt:variant>
    </vt:vector>
  </HeadingPairs>
  <TitlesOfParts>
    <vt:vector size="31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Calcu_ADJ</vt:lpstr>
      <vt:lpstr>STD_Data</vt:lpstr>
      <vt:lpstr>Length_1</vt:lpstr>
      <vt:lpstr>'교정결과-E'!B_Tag</vt:lpstr>
      <vt:lpstr>'교정결과-HY'!B_Tag</vt:lpstr>
      <vt:lpstr>B_Tag</vt:lpstr>
      <vt:lpstr>판정결과!B_Tag_2</vt:lpstr>
      <vt:lpstr>부록!B_Tag_3</vt:lpstr>
      <vt:lpstr>Length_1_CMC</vt:lpstr>
      <vt:lpstr>Length_1_Condition</vt:lpstr>
      <vt:lpstr>Length_1_Condition_Temp</vt:lpstr>
      <vt:lpstr>Length_1_Resolution</vt:lpstr>
      <vt:lpstr>Length_1_Result</vt:lpstr>
      <vt:lpstr>Length_1_Result_ADJ</vt:lpstr>
      <vt:lpstr>Length_1_Spec</vt:lpstr>
      <vt:lpstr>Length_1_STD1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2020-11-02T06:41:36Z</cp:lastPrinted>
  <dcterms:created xsi:type="dcterms:W3CDTF">2004-11-10T00:11:43Z</dcterms:created>
  <dcterms:modified xsi:type="dcterms:W3CDTF">2021-08-11T07:36:26Z</dcterms:modified>
</cp:coreProperties>
</file>