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'교정결과-E'!$E$64:$H$64</definedName>
    <definedName name="B_Tag" localSheetId="3">'교정결과-HY'!$B$60:$Q$60</definedName>
    <definedName name="B_Tag">교정결과!$E$63:$H$63</definedName>
    <definedName name="B_Tag_2" localSheetId="4">판정결과!$E$50:$I$50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L59" i="21" l="1"/>
  <c r="L57" i="21"/>
  <c r="AP82" i="23"/>
  <c r="L84" i="21" l="1"/>
  <c r="K84" i="21"/>
  <c r="Q67" i="21" l="1"/>
  <c r="O67" i="21"/>
  <c r="M67" i="21" l="1"/>
  <c r="K67" i="21"/>
  <c r="T55" i="21"/>
  <c r="T60" i="21"/>
  <c r="T61" i="21"/>
  <c r="B193" i="23" l="1"/>
  <c r="F9" i="33" l="1"/>
  <c r="F8" i="33"/>
  <c r="F7" i="33"/>
  <c r="F6" i="33"/>
  <c r="A4" i="33"/>
  <c r="Z56" i="21" l="1"/>
  <c r="Z57" i="21"/>
  <c r="Z58" i="21"/>
  <c r="Z59" i="21"/>
  <c r="Z60" i="21"/>
  <c r="Z61" i="21"/>
  <c r="H61" i="21" l="1"/>
  <c r="K61" i="21" s="1"/>
  <c r="S61" i="21" s="1"/>
  <c r="H58" i="21" l="1"/>
  <c r="L58" i="21" s="1"/>
  <c r="H56" i="21"/>
  <c r="L56" i="21" s="1"/>
  <c r="Y55" i="21"/>
  <c r="Y54" i="21"/>
  <c r="BA86" i="23" l="1"/>
  <c r="Q226" i="23" s="1"/>
  <c r="X244" i="23" s="1"/>
  <c r="AL244" i="23" s="1"/>
  <c r="AZ244" i="23" s="1"/>
  <c r="M86" i="23"/>
  <c r="AW85" i="23"/>
  <c r="AG85" i="23"/>
  <c r="N214" i="23" s="1"/>
  <c r="AB85" i="23"/>
  <c r="I213" i="23" s="1"/>
  <c r="V85" i="23"/>
  <c r="M85" i="23"/>
  <c r="H85" i="23"/>
  <c r="BC84" i="23"/>
  <c r="AP231" i="23" s="1"/>
  <c r="AW84" i="23"/>
  <c r="AG84" i="23"/>
  <c r="N200" i="23" s="1"/>
  <c r="AB84" i="23"/>
  <c r="I199" i="23" s="1"/>
  <c r="V84" i="23"/>
  <c r="M84" i="23"/>
  <c r="H84" i="23"/>
  <c r="BC83" i="23"/>
  <c r="AK231" i="23" s="1"/>
  <c r="AB83" i="23"/>
  <c r="I186" i="23" s="1"/>
  <c r="V83" i="23"/>
  <c r="M83" i="23"/>
  <c r="BC82" i="23"/>
  <c r="AF231" i="23" s="1"/>
  <c r="AB82" i="23"/>
  <c r="I170" i="23" s="1"/>
  <c r="X82" i="23"/>
  <c r="M82" i="23"/>
  <c r="BC81" i="23"/>
  <c r="AA231" i="23" s="1"/>
  <c r="AB81" i="23"/>
  <c r="I156" i="23" s="1"/>
  <c r="V81" i="23"/>
  <c r="M81" i="23"/>
  <c r="BC80" i="23"/>
  <c r="V231" i="23" s="1"/>
  <c r="AB80" i="23"/>
  <c r="I140" i="23" s="1"/>
  <c r="X80" i="23"/>
  <c r="M80" i="23"/>
  <c r="BC79" i="23"/>
  <c r="Q231" i="23" s="1"/>
  <c r="AW79" i="23"/>
  <c r="AG79" i="23"/>
  <c r="N125" i="23" s="1"/>
  <c r="L127" i="23" s="1"/>
  <c r="AB79" i="23"/>
  <c r="I124" i="23" s="1"/>
  <c r="V79" i="23"/>
  <c r="M79" i="23"/>
  <c r="N117" i="23" s="1"/>
  <c r="BC78" i="23"/>
  <c r="L231" i="23" s="1"/>
  <c r="BA78" i="23"/>
  <c r="Z111" i="23" s="1"/>
  <c r="AO111" i="23" s="1"/>
  <c r="AG78" i="23"/>
  <c r="N109" i="23" s="1"/>
  <c r="L111" i="23" s="1"/>
  <c r="AB78" i="23"/>
  <c r="I108" i="23" s="1"/>
  <c r="Z78" i="23"/>
  <c r="M78" i="23"/>
  <c r="N90" i="23" s="1"/>
  <c r="V211" i="23"/>
  <c r="AB211" i="23" s="1"/>
  <c r="R216" i="23" s="1"/>
  <c r="Y216" i="23" s="1"/>
  <c r="AB197" i="23"/>
  <c r="R202" i="23" s="1"/>
  <c r="Y202" i="23" s="1"/>
  <c r="V184" i="23"/>
  <c r="V154" i="23"/>
  <c r="AA122" i="23"/>
  <c r="U122" i="23"/>
  <c r="AA119" i="23"/>
  <c r="R127" i="23" s="1"/>
  <c r="Y127" i="23" s="1"/>
  <c r="U119" i="23"/>
  <c r="B114" i="23"/>
  <c r="G64" i="23"/>
  <c r="G58" i="23"/>
  <c r="G56" i="23"/>
  <c r="L10" i="23"/>
  <c r="Q10" i="23" s="1"/>
  <c r="V10" i="23" s="1"/>
  <c r="AA10" i="23" s="1"/>
  <c r="G10" i="23"/>
  <c r="G8" i="23"/>
  <c r="V61" i="21"/>
  <c r="BC85" i="23" s="1"/>
  <c r="AU231" i="23" s="1"/>
  <c r="G60" i="21" l="1"/>
  <c r="Z5" i="23" s="1"/>
  <c r="C194" i="23" s="1"/>
  <c r="H59" i="21"/>
  <c r="H57" i="21"/>
  <c r="AR49" i="21"/>
  <c r="AZ49" i="21" s="1"/>
  <c r="AQ49" i="21"/>
  <c r="AP49" i="21"/>
  <c r="AO49" i="21"/>
  <c r="AN49" i="21"/>
  <c r="AM49" i="21"/>
  <c r="AW49" i="21" s="1"/>
  <c r="AL49" i="21"/>
  <c r="AV49" i="21" s="1"/>
  <c r="AK49" i="21"/>
  <c r="AU49" i="21" s="1"/>
  <c r="AJ49" i="21"/>
  <c r="AT49" i="21" s="1"/>
  <c r="AI49" i="21"/>
  <c r="AS49" i="21" s="1"/>
  <c r="B49" i="21"/>
  <c r="AR48" i="21"/>
  <c r="AZ48" i="21" s="1"/>
  <c r="AQ48" i="21"/>
  <c r="AP48" i="21"/>
  <c r="AO48" i="21"/>
  <c r="AN48" i="21"/>
  <c r="AM48" i="21"/>
  <c r="AW48" i="21" s="1"/>
  <c r="AL48" i="21"/>
  <c r="AV48" i="21" s="1"/>
  <c r="AK48" i="21"/>
  <c r="AU48" i="21" s="1"/>
  <c r="AJ48" i="21"/>
  <c r="AT48" i="21" s="1"/>
  <c r="AI48" i="21"/>
  <c r="AS48" i="21" s="1"/>
  <c r="B48" i="21"/>
  <c r="AR47" i="21"/>
  <c r="AZ47" i="21" s="1"/>
  <c r="AQ47" i="21"/>
  <c r="AP47" i="21"/>
  <c r="AO47" i="21"/>
  <c r="AN47" i="21"/>
  <c r="AM47" i="21"/>
  <c r="AW47" i="21" s="1"/>
  <c r="AL47" i="21"/>
  <c r="AV47" i="21" s="1"/>
  <c r="AK47" i="21"/>
  <c r="AU47" i="21" s="1"/>
  <c r="AJ47" i="21"/>
  <c r="AT47" i="21" s="1"/>
  <c r="AI47" i="21"/>
  <c r="AS47" i="21" s="1"/>
  <c r="B47" i="21"/>
  <c r="AR46" i="21"/>
  <c r="AZ46" i="21" s="1"/>
  <c r="AQ46" i="21"/>
  <c r="AP46" i="21"/>
  <c r="AO46" i="21"/>
  <c r="AN46" i="21"/>
  <c r="AM46" i="21"/>
  <c r="AW46" i="21" s="1"/>
  <c r="AL46" i="21"/>
  <c r="AV46" i="21" s="1"/>
  <c r="AK46" i="21"/>
  <c r="AU46" i="21" s="1"/>
  <c r="AJ46" i="21"/>
  <c r="AT46" i="21" s="1"/>
  <c r="AI46" i="21"/>
  <c r="AS46" i="21" s="1"/>
  <c r="B46" i="21"/>
  <c r="AR45" i="21"/>
  <c r="AZ45" i="21" s="1"/>
  <c r="AQ45" i="21"/>
  <c r="AP45" i="21"/>
  <c r="AO45" i="21"/>
  <c r="AN45" i="21"/>
  <c r="AM45" i="21"/>
  <c r="AW45" i="21" s="1"/>
  <c r="AL45" i="21"/>
  <c r="AV45" i="21" s="1"/>
  <c r="AK45" i="21"/>
  <c r="AU45" i="21" s="1"/>
  <c r="AJ45" i="21"/>
  <c r="AT45" i="21" s="1"/>
  <c r="AI45" i="21"/>
  <c r="B45" i="21"/>
  <c r="AR44" i="21"/>
  <c r="AZ44" i="21" s="1"/>
  <c r="AQ44" i="21"/>
  <c r="AP44" i="21"/>
  <c r="AO44" i="21"/>
  <c r="AN44" i="21"/>
  <c r="AM44" i="21"/>
  <c r="AW44" i="21" s="1"/>
  <c r="AL44" i="21"/>
  <c r="AK44" i="21"/>
  <c r="AU44" i="21" s="1"/>
  <c r="AJ44" i="21"/>
  <c r="AT44" i="21" s="1"/>
  <c r="AI44" i="21"/>
  <c r="AS44" i="21" s="1"/>
  <c r="B44" i="21"/>
  <c r="AR43" i="21"/>
  <c r="AZ43" i="21" s="1"/>
  <c r="AQ43" i="21"/>
  <c r="AP43" i="21"/>
  <c r="AO43" i="21"/>
  <c r="AN43" i="21"/>
  <c r="AM43" i="21"/>
  <c r="AW43" i="21" s="1"/>
  <c r="AL43" i="21"/>
  <c r="AV43" i="21" s="1"/>
  <c r="AK43" i="21"/>
  <c r="AU43" i="21" s="1"/>
  <c r="AJ43" i="21"/>
  <c r="AT43" i="21" s="1"/>
  <c r="AI43" i="21"/>
  <c r="AS43" i="21" s="1"/>
  <c r="B43" i="21"/>
  <c r="AR42" i="21"/>
  <c r="AZ42" i="21" s="1"/>
  <c r="AQ42" i="21"/>
  <c r="AP42" i="21"/>
  <c r="AO42" i="21"/>
  <c r="AN42" i="21"/>
  <c r="AM42" i="21"/>
  <c r="AW42" i="21" s="1"/>
  <c r="AL42" i="21"/>
  <c r="AV42" i="21" s="1"/>
  <c r="AK42" i="21"/>
  <c r="AU42" i="21" s="1"/>
  <c r="AJ42" i="21"/>
  <c r="AT42" i="21" s="1"/>
  <c r="AI42" i="21"/>
  <c r="AS42" i="21" s="1"/>
  <c r="B42" i="21"/>
  <c r="AR41" i="21"/>
  <c r="AZ41" i="21" s="1"/>
  <c r="AQ41" i="21"/>
  <c r="AP41" i="21"/>
  <c r="AO41" i="21"/>
  <c r="AN41" i="21"/>
  <c r="AM41" i="21"/>
  <c r="AL41" i="21"/>
  <c r="AV41" i="21" s="1"/>
  <c r="AK41" i="21"/>
  <c r="AU41" i="21" s="1"/>
  <c r="AJ41" i="21"/>
  <c r="AT41" i="21" s="1"/>
  <c r="AI41" i="21"/>
  <c r="AS41" i="21" s="1"/>
  <c r="B41" i="21"/>
  <c r="AR40" i="21"/>
  <c r="AZ40" i="21" s="1"/>
  <c r="AQ40" i="21"/>
  <c r="AP40" i="21"/>
  <c r="AO40" i="21"/>
  <c r="AN40" i="21"/>
  <c r="AM40" i="21"/>
  <c r="AW40" i="21" s="1"/>
  <c r="AL40" i="21"/>
  <c r="AV40" i="21" s="1"/>
  <c r="AK40" i="21"/>
  <c r="AU40" i="21" s="1"/>
  <c r="AJ40" i="21"/>
  <c r="AT40" i="21" s="1"/>
  <c r="AI40" i="21"/>
  <c r="AS40" i="21" s="1"/>
  <c r="B40" i="21"/>
  <c r="AR39" i="21"/>
  <c r="AZ39" i="21" s="1"/>
  <c r="AQ39" i="21"/>
  <c r="AP39" i="21"/>
  <c r="AO39" i="21"/>
  <c r="AN39" i="21"/>
  <c r="AM39" i="21"/>
  <c r="AW39" i="21" s="1"/>
  <c r="AL39" i="21"/>
  <c r="AV39" i="21" s="1"/>
  <c r="AK39" i="21"/>
  <c r="AU39" i="21" s="1"/>
  <c r="AJ39" i="21"/>
  <c r="AT39" i="21" s="1"/>
  <c r="AI39" i="21"/>
  <c r="AS39" i="21" s="1"/>
  <c r="B39" i="21"/>
  <c r="AR38" i="21"/>
  <c r="AQ38" i="21"/>
  <c r="AP38" i="21"/>
  <c r="AO38" i="21"/>
  <c r="AN38" i="21"/>
  <c r="AM38" i="21"/>
  <c r="AW38" i="21" s="1"/>
  <c r="AL38" i="21"/>
  <c r="AV38" i="21" s="1"/>
  <c r="AK38" i="21"/>
  <c r="AU38" i="21" s="1"/>
  <c r="AJ38" i="21"/>
  <c r="AT38" i="21" s="1"/>
  <c r="AI38" i="21"/>
  <c r="AS38" i="21" s="1"/>
  <c r="B38" i="21"/>
  <c r="AR37" i="21"/>
  <c r="AZ37" i="21" s="1"/>
  <c r="AQ37" i="21"/>
  <c r="AP37" i="21"/>
  <c r="AO37" i="21"/>
  <c r="AN37" i="21"/>
  <c r="AM37" i="21"/>
  <c r="AL37" i="21"/>
  <c r="AV37" i="21" s="1"/>
  <c r="AK37" i="21"/>
  <c r="AU37" i="21" s="1"/>
  <c r="AJ37" i="21"/>
  <c r="AT37" i="21" s="1"/>
  <c r="AI37" i="21"/>
  <c r="AS37" i="21" s="1"/>
  <c r="B37" i="21"/>
  <c r="AR36" i="21"/>
  <c r="AZ36" i="21" s="1"/>
  <c r="AQ36" i="21"/>
  <c r="AP36" i="21"/>
  <c r="AO36" i="21"/>
  <c r="AN36" i="21"/>
  <c r="AM36" i="21"/>
  <c r="AW36" i="21" s="1"/>
  <c r="AL36" i="21"/>
  <c r="AV36" i="21" s="1"/>
  <c r="AK36" i="21"/>
  <c r="AU36" i="21" s="1"/>
  <c r="AJ36" i="21"/>
  <c r="AT36" i="21" s="1"/>
  <c r="AI36" i="21"/>
  <c r="AS36" i="21" s="1"/>
  <c r="B36" i="21"/>
  <c r="AR35" i="21"/>
  <c r="AZ35" i="21" s="1"/>
  <c r="AQ35" i="21"/>
  <c r="AP35" i="21"/>
  <c r="AO35" i="21"/>
  <c r="AN35" i="21"/>
  <c r="AM35" i="21"/>
  <c r="AW35" i="21" s="1"/>
  <c r="AL35" i="21"/>
  <c r="AV35" i="21" s="1"/>
  <c r="AK35" i="21"/>
  <c r="AU35" i="21" s="1"/>
  <c r="AJ35" i="21"/>
  <c r="AT35" i="21" s="1"/>
  <c r="AI35" i="21"/>
  <c r="AS35" i="21" s="1"/>
  <c r="B35" i="21"/>
  <c r="AR34" i="21"/>
  <c r="AZ34" i="21" s="1"/>
  <c r="AQ34" i="21"/>
  <c r="AP34" i="21"/>
  <c r="AO34" i="21"/>
  <c r="AN34" i="21"/>
  <c r="AM34" i="21"/>
  <c r="AW34" i="21" s="1"/>
  <c r="AL34" i="21"/>
  <c r="AV34" i="21" s="1"/>
  <c r="AK34" i="21"/>
  <c r="AU34" i="21" s="1"/>
  <c r="AJ34" i="21"/>
  <c r="AT34" i="21" s="1"/>
  <c r="AI34" i="21"/>
  <c r="AS34" i="21" s="1"/>
  <c r="B34" i="21"/>
  <c r="AR33" i="21"/>
  <c r="AZ33" i="21" s="1"/>
  <c r="AQ33" i="21"/>
  <c r="AP33" i="21"/>
  <c r="AO33" i="21"/>
  <c r="AN33" i="21"/>
  <c r="AM33" i="21"/>
  <c r="AL33" i="21"/>
  <c r="AV33" i="21" s="1"/>
  <c r="AK33" i="21"/>
  <c r="AU33" i="21" s="1"/>
  <c r="AJ33" i="21"/>
  <c r="AT33" i="21" s="1"/>
  <c r="AI33" i="21"/>
  <c r="B33" i="21"/>
  <c r="AR32" i="21"/>
  <c r="AZ32" i="21" s="1"/>
  <c r="AQ32" i="21"/>
  <c r="AP32" i="21"/>
  <c r="AO32" i="21"/>
  <c r="AN32" i="21"/>
  <c r="AM32" i="21"/>
  <c r="AW32" i="21" s="1"/>
  <c r="AL32" i="21"/>
  <c r="AV32" i="21" s="1"/>
  <c r="AK32" i="21"/>
  <c r="AU32" i="21" s="1"/>
  <c r="AJ32" i="21"/>
  <c r="AT32" i="21" s="1"/>
  <c r="AI32" i="21"/>
  <c r="AS32" i="21" s="1"/>
  <c r="B32" i="21"/>
  <c r="AR31" i="21"/>
  <c r="AZ31" i="21" s="1"/>
  <c r="AQ31" i="21"/>
  <c r="AP31" i="21"/>
  <c r="AO31" i="21"/>
  <c r="AN31" i="21"/>
  <c r="AM31" i="21"/>
  <c r="AW31" i="21" s="1"/>
  <c r="AL31" i="21"/>
  <c r="AV31" i="21" s="1"/>
  <c r="AK31" i="21"/>
  <c r="AU31" i="21" s="1"/>
  <c r="AJ31" i="21"/>
  <c r="AT31" i="21" s="1"/>
  <c r="AI31" i="21"/>
  <c r="AS31" i="21" s="1"/>
  <c r="B31" i="21"/>
  <c r="AR30" i="21"/>
  <c r="AZ30" i="21" s="1"/>
  <c r="AQ30" i="21"/>
  <c r="AP30" i="21"/>
  <c r="AO30" i="21"/>
  <c r="AN30" i="21"/>
  <c r="AM30" i="21"/>
  <c r="AW30" i="21" s="1"/>
  <c r="AL30" i="21"/>
  <c r="AV30" i="21" s="1"/>
  <c r="AK30" i="21"/>
  <c r="AU30" i="21" s="1"/>
  <c r="AJ30" i="21"/>
  <c r="AT30" i="21" s="1"/>
  <c r="AI30" i="21"/>
  <c r="AS30" i="21" s="1"/>
  <c r="B30" i="21"/>
  <c r="AR29" i="21"/>
  <c r="AZ29" i="21" s="1"/>
  <c r="AQ29" i="21"/>
  <c r="AP29" i="21"/>
  <c r="AO29" i="21"/>
  <c r="AN29" i="21"/>
  <c r="AM29" i="21"/>
  <c r="AW29" i="21" s="1"/>
  <c r="AL29" i="21"/>
  <c r="AV29" i="21" s="1"/>
  <c r="AK29" i="21"/>
  <c r="AU29" i="21" s="1"/>
  <c r="AJ29" i="21"/>
  <c r="AT29" i="21" s="1"/>
  <c r="AI29" i="21"/>
  <c r="AS29" i="21" s="1"/>
  <c r="B29" i="21"/>
  <c r="AR28" i="21"/>
  <c r="AZ28" i="21" s="1"/>
  <c r="AQ28" i="21"/>
  <c r="AP28" i="21"/>
  <c r="AO28" i="21"/>
  <c r="AN28" i="21"/>
  <c r="AM28" i="21"/>
  <c r="AW28" i="21" s="1"/>
  <c r="AL28" i="21"/>
  <c r="AK28" i="21"/>
  <c r="AU28" i="21" s="1"/>
  <c r="AJ28" i="21"/>
  <c r="AT28" i="21" s="1"/>
  <c r="AI28" i="21"/>
  <c r="AS28" i="21" s="1"/>
  <c r="B28" i="21"/>
  <c r="AR27" i="21"/>
  <c r="AZ27" i="21" s="1"/>
  <c r="AQ27" i="21"/>
  <c r="AP27" i="21"/>
  <c r="AO27" i="21"/>
  <c r="AN27" i="21"/>
  <c r="AM27" i="21"/>
  <c r="AW27" i="21" s="1"/>
  <c r="AL27" i="21"/>
  <c r="AV27" i="21" s="1"/>
  <c r="AK27" i="21"/>
  <c r="AU27" i="21" s="1"/>
  <c r="AJ27" i="21"/>
  <c r="AT27" i="21" s="1"/>
  <c r="AI27" i="21"/>
  <c r="AS27" i="21" s="1"/>
  <c r="B27" i="21"/>
  <c r="AR26" i="21"/>
  <c r="AZ26" i="21" s="1"/>
  <c r="AQ26" i="21"/>
  <c r="AP26" i="21"/>
  <c r="AO26" i="21"/>
  <c r="AN26" i="21"/>
  <c r="AM26" i="21"/>
  <c r="AW26" i="21" s="1"/>
  <c r="AL26" i="21"/>
  <c r="AV26" i="21" s="1"/>
  <c r="AK26" i="21"/>
  <c r="AU26" i="21" s="1"/>
  <c r="AJ26" i="21"/>
  <c r="AT26" i="21" s="1"/>
  <c r="AI26" i="21"/>
  <c r="AS26" i="21" s="1"/>
  <c r="B26" i="21"/>
  <c r="AR25" i="21"/>
  <c r="AZ25" i="21" s="1"/>
  <c r="AQ25" i="21"/>
  <c r="AP25" i="21"/>
  <c r="AO25" i="21"/>
  <c r="AN25" i="21"/>
  <c r="AM25" i="21"/>
  <c r="AW25" i="21" s="1"/>
  <c r="AL25" i="21"/>
  <c r="AV25" i="21" s="1"/>
  <c r="AK25" i="21"/>
  <c r="AU25" i="21" s="1"/>
  <c r="AJ25" i="21"/>
  <c r="AT25" i="21" s="1"/>
  <c r="AI25" i="21"/>
  <c r="AS25" i="21" s="1"/>
  <c r="B25" i="21"/>
  <c r="AR24" i="21"/>
  <c r="AZ24" i="21" s="1"/>
  <c r="AQ24" i="21"/>
  <c r="AP24" i="21"/>
  <c r="AO24" i="21"/>
  <c r="AN24" i="21"/>
  <c r="AM24" i="21"/>
  <c r="AW24" i="21" s="1"/>
  <c r="AL24" i="21"/>
  <c r="AV24" i="21" s="1"/>
  <c r="AK24" i="21"/>
  <c r="AU24" i="21" s="1"/>
  <c r="AJ24" i="21"/>
  <c r="AT24" i="21" s="1"/>
  <c r="AI24" i="21"/>
  <c r="AS24" i="21" s="1"/>
  <c r="B24" i="21"/>
  <c r="AR23" i="21"/>
  <c r="AZ23" i="21" s="1"/>
  <c r="AQ23" i="21"/>
  <c r="AP23" i="21"/>
  <c r="AO23" i="21"/>
  <c r="AN23" i="21"/>
  <c r="AM23" i="21"/>
  <c r="AW23" i="21" s="1"/>
  <c r="AL23" i="21"/>
  <c r="AV23" i="21" s="1"/>
  <c r="AK23" i="21"/>
  <c r="AJ23" i="21"/>
  <c r="AT23" i="21" s="1"/>
  <c r="AI23" i="21"/>
  <c r="B23" i="21"/>
  <c r="AR22" i="21"/>
  <c r="AZ22" i="21" s="1"/>
  <c r="AQ22" i="21"/>
  <c r="AP22" i="21"/>
  <c r="AO22" i="21"/>
  <c r="AN22" i="21"/>
  <c r="AM22" i="21"/>
  <c r="AW22" i="21" s="1"/>
  <c r="AL22" i="21"/>
  <c r="AV22" i="21" s="1"/>
  <c r="AK22" i="21"/>
  <c r="AU22" i="21" s="1"/>
  <c r="AJ22" i="21"/>
  <c r="AT22" i="21" s="1"/>
  <c r="AI22" i="21"/>
  <c r="AS22" i="21" s="1"/>
  <c r="B22" i="21"/>
  <c r="AR21" i="21"/>
  <c r="AZ21" i="21" s="1"/>
  <c r="AQ21" i="21"/>
  <c r="AP21" i="21"/>
  <c r="AO21" i="21"/>
  <c r="AN21" i="21"/>
  <c r="AM21" i="21"/>
  <c r="AW21" i="21" s="1"/>
  <c r="AL21" i="21"/>
  <c r="AV21" i="21" s="1"/>
  <c r="AK21" i="21"/>
  <c r="AU21" i="21" s="1"/>
  <c r="AJ21" i="21"/>
  <c r="AI21" i="21"/>
  <c r="AS21" i="21" s="1"/>
  <c r="B21" i="21"/>
  <c r="AR20" i="21"/>
  <c r="AZ20" i="21" s="1"/>
  <c r="AQ20" i="21"/>
  <c r="AP20" i="21"/>
  <c r="AO20" i="21"/>
  <c r="AN20" i="21"/>
  <c r="AM20" i="21"/>
  <c r="AW20" i="21" s="1"/>
  <c r="AL20" i="21"/>
  <c r="AV20" i="21" s="1"/>
  <c r="AK20" i="21"/>
  <c r="AU20" i="21" s="1"/>
  <c r="AJ20" i="21"/>
  <c r="AT20" i="21" s="1"/>
  <c r="AI20" i="21"/>
  <c r="AS20" i="21" s="1"/>
  <c r="B20" i="21"/>
  <c r="AR19" i="21"/>
  <c r="AZ19" i="21" s="1"/>
  <c r="AQ19" i="21"/>
  <c r="AP19" i="21"/>
  <c r="AO19" i="21"/>
  <c r="AN19" i="21"/>
  <c r="AM19" i="21"/>
  <c r="AW19" i="21" s="1"/>
  <c r="AL19" i="21"/>
  <c r="AV19" i="21" s="1"/>
  <c r="AK19" i="21"/>
  <c r="AU19" i="21" s="1"/>
  <c r="AJ19" i="21"/>
  <c r="AT19" i="21" s="1"/>
  <c r="AI19" i="21"/>
  <c r="AS19" i="21" s="1"/>
  <c r="B19" i="21"/>
  <c r="AR18" i="21"/>
  <c r="AZ18" i="21" s="1"/>
  <c r="AQ18" i="21"/>
  <c r="AP18" i="21"/>
  <c r="AO18" i="21"/>
  <c r="AN18" i="21"/>
  <c r="AM18" i="21"/>
  <c r="AW18" i="21" s="1"/>
  <c r="AL18" i="21"/>
  <c r="AV18" i="21" s="1"/>
  <c r="AK18" i="21"/>
  <c r="AU18" i="21" s="1"/>
  <c r="AJ18" i="21"/>
  <c r="AI18" i="21"/>
  <c r="AS18" i="21" s="1"/>
  <c r="B18" i="21"/>
  <c r="AR17" i="21"/>
  <c r="AZ17" i="21" s="1"/>
  <c r="AQ17" i="21"/>
  <c r="AP17" i="21"/>
  <c r="AO17" i="21"/>
  <c r="AN17" i="21"/>
  <c r="AM17" i="21"/>
  <c r="AL17" i="21"/>
  <c r="AV17" i="21" s="1"/>
  <c r="AK17" i="21"/>
  <c r="AU17" i="21" s="1"/>
  <c r="AJ17" i="21"/>
  <c r="AI17" i="21"/>
  <c r="AS17" i="21" s="1"/>
  <c r="B17" i="21"/>
  <c r="AR16" i="21"/>
  <c r="AZ16" i="21" s="1"/>
  <c r="AQ16" i="21"/>
  <c r="AP16" i="21"/>
  <c r="AO16" i="21"/>
  <c r="AN16" i="21"/>
  <c r="AM16" i="21"/>
  <c r="AW16" i="21" s="1"/>
  <c r="AL16" i="21"/>
  <c r="AV16" i="21" s="1"/>
  <c r="AK16" i="21"/>
  <c r="AU16" i="21" s="1"/>
  <c r="AJ16" i="21"/>
  <c r="AT16" i="21" s="1"/>
  <c r="AI16" i="21"/>
  <c r="AS16" i="21" s="1"/>
  <c r="B16" i="21"/>
  <c r="AR15" i="21"/>
  <c r="AZ15" i="21" s="1"/>
  <c r="AQ15" i="21"/>
  <c r="AP15" i="21"/>
  <c r="AO15" i="21"/>
  <c r="AN15" i="21"/>
  <c r="AM15" i="21"/>
  <c r="AW15" i="21" s="1"/>
  <c r="AL15" i="21"/>
  <c r="AV15" i="21" s="1"/>
  <c r="AK15" i="21"/>
  <c r="AU15" i="21" s="1"/>
  <c r="AJ15" i="21"/>
  <c r="AT15" i="21" s="1"/>
  <c r="AI15" i="21"/>
  <c r="AS15" i="21" s="1"/>
  <c r="B15" i="21"/>
  <c r="AR14" i="21"/>
  <c r="AZ14" i="21" s="1"/>
  <c r="AQ14" i="21"/>
  <c r="AP14" i="21"/>
  <c r="AO14" i="21"/>
  <c r="AN14" i="21"/>
  <c r="AM14" i="21"/>
  <c r="AW14" i="21" s="1"/>
  <c r="AL14" i="21"/>
  <c r="AV14" i="21" s="1"/>
  <c r="AK14" i="21"/>
  <c r="AU14" i="21" s="1"/>
  <c r="AJ14" i="21"/>
  <c r="AT14" i="21" s="1"/>
  <c r="AI14" i="21"/>
  <c r="AS14" i="21" s="1"/>
  <c r="B14" i="21"/>
  <c r="AR13" i="21"/>
  <c r="AZ13" i="21" s="1"/>
  <c r="AQ13" i="21"/>
  <c r="AP13" i="21"/>
  <c r="AO13" i="21"/>
  <c r="AN13" i="21"/>
  <c r="AM13" i="21"/>
  <c r="AW13" i="21" s="1"/>
  <c r="AL13" i="21"/>
  <c r="AV13" i="21" s="1"/>
  <c r="AK13" i="21"/>
  <c r="AU13" i="21" s="1"/>
  <c r="AJ13" i="21"/>
  <c r="AT13" i="21" s="1"/>
  <c r="AI13" i="21"/>
  <c r="AS13" i="21" s="1"/>
  <c r="B13" i="21"/>
  <c r="AR12" i="21"/>
  <c r="AZ12" i="21" s="1"/>
  <c r="AQ12" i="21"/>
  <c r="AP12" i="21"/>
  <c r="AO12" i="21"/>
  <c r="AN12" i="21"/>
  <c r="AM12" i="21"/>
  <c r="AW12" i="21" s="1"/>
  <c r="AL12" i="21"/>
  <c r="AV12" i="21" s="1"/>
  <c r="AK12" i="21"/>
  <c r="AU12" i="21" s="1"/>
  <c r="AJ12" i="21"/>
  <c r="AT12" i="21" s="1"/>
  <c r="AI12" i="21"/>
  <c r="AS12" i="21" s="1"/>
  <c r="B12" i="21"/>
  <c r="AR11" i="21"/>
  <c r="AZ11" i="21" s="1"/>
  <c r="AQ11" i="21"/>
  <c r="AP11" i="21"/>
  <c r="AO11" i="21"/>
  <c r="AN11" i="21"/>
  <c r="AM11" i="21"/>
  <c r="AW11" i="21" s="1"/>
  <c r="AL11" i="21"/>
  <c r="AV11" i="21" s="1"/>
  <c r="AK11" i="21"/>
  <c r="AU11" i="21" s="1"/>
  <c r="AJ11" i="21"/>
  <c r="AT11" i="21" s="1"/>
  <c r="AI11" i="21"/>
  <c r="AS11" i="21" s="1"/>
  <c r="B11" i="21"/>
  <c r="AR10" i="21"/>
  <c r="AZ10" i="21" s="1"/>
  <c r="AQ10" i="21"/>
  <c r="AP10" i="21"/>
  <c r="AO10" i="21"/>
  <c r="AN10" i="21"/>
  <c r="AM10" i="21"/>
  <c r="AW10" i="21" s="1"/>
  <c r="AL10" i="21"/>
  <c r="AV10" i="21" s="1"/>
  <c r="AK10" i="21"/>
  <c r="AU10" i="21" s="1"/>
  <c r="AJ10" i="21"/>
  <c r="AT10" i="21" s="1"/>
  <c r="AI10" i="21"/>
  <c r="AS10" i="21" s="1"/>
  <c r="B10" i="21"/>
  <c r="AR9" i="21"/>
  <c r="AZ9" i="21" s="1"/>
  <c r="AQ9" i="21"/>
  <c r="AP9" i="21"/>
  <c r="AO9" i="21"/>
  <c r="AN9" i="21"/>
  <c r="AM9" i="21"/>
  <c r="AW9" i="21" s="1"/>
  <c r="AL9" i="21"/>
  <c r="AV9" i="21" s="1"/>
  <c r="AK9" i="21"/>
  <c r="AU9" i="21" s="1"/>
  <c r="AJ9" i="21"/>
  <c r="AT9" i="21" s="1"/>
  <c r="AI9" i="21"/>
  <c r="AS9" i="21" s="1"/>
  <c r="B9" i="21"/>
  <c r="I3" i="21"/>
  <c r="J3" i="21" s="1"/>
  <c r="H3" i="21"/>
  <c r="G3" i="21"/>
  <c r="D3" i="21"/>
  <c r="C3" i="21" s="1"/>
  <c r="F66" i="21"/>
  <c r="X60" i="21"/>
  <c r="O82" i="23"/>
  <c r="O80" i="23"/>
  <c r="X54" i="21"/>
  <c r="AS45" i="21"/>
  <c r="Q45" i="21"/>
  <c r="AV44" i="21"/>
  <c r="AW41" i="21"/>
  <c r="AZ38" i="21"/>
  <c r="AW37" i="21"/>
  <c r="AW33" i="21"/>
  <c r="AS33" i="21"/>
  <c r="N32" i="21"/>
  <c r="AV28" i="21"/>
  <c r="U28" i="21"/>
  <c r="N28" i="21"/>
  <c r="AU23" i="21"/>
  <c r="AW17" i="21"/>
  <c r="N3" i="21" l="1"/>
  <c r="O3" i="21" s="1"/>
  <c r="W23" i="21"/>
  <c r="AE23" i="21"/>
  <c r="V23" i="21"/>
  <c r="W31" i="21"/>
  <c r="AE31" i="21"/>
  <c r="V31" i="21"/>
  <c r="W35" i="21"/>
  <c r="AE35" i="21"/>
  <c r="V35" i="21"/>
  <c r="W47" i="21"/>
  <c r="AE47" i="21"/>
  <c r="V47" i="21"/>
  <c r="AE14" i="21"/>
  <c r="V14" i="21"/>
  <c r="W14" i="21"/>
  <c r="AE18" i="21"/>
  <c r="V18" i="21"/>
  <c r="W18" i="21"/>
  <c r="AE22" i="21"/>
  <c r="V22" i="21"/>
  <c r="W22" i="21"/>
  <c r="AE26" i="21"/>
  <c r="V26" i="21"/>
  <c r="W26" i="21"/>
  <c r="AE34" i="21"/>
  <c r="W34" i="21"/>
  <c r="V34" i="21"/>
  <c r="N9" i="21"/>
  <c r="AE9" i="21"/>
  <c r="V9" i="21"/>
  <c r="W9" i="21"/>
  <c r="W13" i="21"/>
  <c r="V13" i="21"/>
  <c r="AE13" i="21"/>
  <c r="W17" i="21"/>
  <c r="AE17" i="21"/>
  <c r="V17" i="21"/>
  <c r="W21" i="21"/>
  <c r="V21" i="21"/>
  <c r="AE21" i="21"/>
  <c r="W25" i="21"/>
  <c r="AE25" i="21"/>
  <c r="V25" i="21"/>
  <c r="W29" i="21"/>
  <c r="V29" i="21"/>
  <c r="AE29" i="21"/>
  <c r="W33" i="21"/>
  <c r="AE33" i="21"/>
  <c r="V33" i="21"/>
  <c r="W37" i="21"/>
  <c r="V37" i="21"/>
  <c r="AE37" i="21"/>
  <c r="W41" i="21"/>
  <c r="AE41" i="21"/>
  <c r="V41" i="21"/>
  <c r="W45" i="21"/>
  <c r="AE45" i="21"/>
  <c r="V45" i="21"/>
  <c r="W49" i="21"/>
  <c r="V49" i="21"/>
  <c r="AE49" i="21"/>
  <c r="W11" i="21"/>
  <c r="V11" i="21"/>
  <c r="AE11" i="21"/>
  <c r="W15" i="21"/>
  <c r="AE15" i="21"/>
  <c r="V15" i="21"/>
  <c r="W19" i="21"/>
  <c r="AE19" i="21"/>
  <c r="V19" i="21"/>
  <c r="W27" i="21"/>
  <c r="AE27" i="21"/>
  <c r="V27" i="21"/>
  <c r="W39" i="21"/>
  <c r="AE39" i="21"/>
  <c r="V39" i="21"/>
  <c r="W43" i="21"/>
  <c r="AE43" i="21"/>
  <c r="V43" i="21"/>
  <c r="AE10" i="21"/>
  <c r="V10" i="21"/>
  <c r="W10" i="21"/>
  <c r="AE30" i="21"/>
  <c r="V30" i="21"/>
  <c r="W30" i="21"/>
  <c r="AE38" i="21"/>
  <c r="W38" i="21"/>
  <c r="V38" i="21"/>
  <c r="AE42" i="21"/>
  <c r="W42" i="21"/>
  <c r="V42" i="21"/>
  <c r="AE46" i="21"/>
  <c r="W46" i="21"/>
  <c r="V46" i="21"/>
  <c r="W12" i="21"/>
  <c r="V12" i="21"/>
  <c r="AE12" i="21"/>
  <c r="AE16" i="21"/>
  <c r="W16" i="21"/>
  <c r="V16" i="21"/>
  <c r="W20" i="21"/>
  <c r="V20" i="21"/>
  <c r="AE20" i="21"/>
  <c r="AE24" i="21"/>
  <c r="W24" i="21"/>
  <c r="V24" i="21"/>
  <c r="W28" i="21"/>
  <c r="V28" i="21"/>
  <c r="AE28" i="21"/>
  <c r="V32" i="21"/>
  <c r="AE32" i="21"/>
  <c r="W32" i="21"/>
  <c r="AE36" i="21"/>
  <c r="V36" i="21"/>
  <c r="W36" i="21"/>
  <c r="V40" i="21"/>
  <c r="AE40" i="21"/>
  <c r="W40" i="21"/>
  <c r="AE44" i="21"/>
  <c r="V44" i="21"/>
  <c r="W44" i="21"/>
  <c r="V48" i="21"/>
  <c r="AE48" i="21"/>
  <c r="W48" i="21"/>
  <c r="N184" i="23"/>
  <c r="C181" i="23" s="1"/>
  <c r="O83" i="23"/>
  <c r="N154" i="23"/>
  <c r="S154" i="23" s="1"/>
  <c r="U159" i="23" s="1"/>
  <c r="O81" i="23"/>
  <c r="A27" i="33"/>
  <c r="A31" i="33"/>
  <c r="A39" i="33"/>
  <c r="A47" i="33"/>
  <c r="A55" i="33"/>
  <c r="A34" i="33"/>
  <c r="A19" i="33"/>
  <c r="A23" i="33"/>
  <c r="A35" i="33"/>
  <c r="A43" i="33"/>
  <c r="A51" i="33"/>
  <c r="A18" i="33"/>
  <c r="A22" i="33"/>
  <c r="A26" i="33"/>
  <c r="A30" i="33"/>
  <c r="A38" i="33"/>
  <c r="A42" i="33"/>
  <c r="A46" i="33"/>
  <c r="A50" i="33"/>
  <c r="A54" i="33"/>
  <c r="A17" i="33"/>
  <c r="A21" i="33"/>
  <c r="A25" i="33"/>
  <c r="A29" i="33"/>
  <c r="A33" i="33"/>
  <c r="A37" i="33"/>
  <c r="A41" i="33"/>
  <c r="A45" i="33"/>
  <c r="A49" i="33"/>
  <c r="A53" i="33"/>
  <c r="A57" i="33"/>
  <c r="N13" i="21"/>
  <c r="T42" i="21"/>
  <c r="B44" i="23" s="1"/>
  <c r="A20" i="33"/>
  <c r="A24" i="33"/>
  <c r="A28" i="33"/>
  <c r="A32" i="33"/>
  <c r="A36" i="33"/>
  <c r="A40" i="33"/>
  <c r="A44" i="33"/>
  <c r="A48" i="33"/>
  <c r="A52" i="33"/>
  <c r="A56" i="33"/>
  <c r="U29" i="21"/>
  <c r="N39" i="21"/>
  <c r="N47" i="21"/>
  <c r="N20" i="21"/>
  <c r="Q18" i="21"/>
  <c r="N22" i="21"/>
  <c r="R38" i="21"/>
  <c r="K42" i="21"/>
  <c r="AK44" i="23" s="1"/>
  <c r="R46" i="21"/>
  <c r="D13" i="21"/>
  <c r="N33" i="21"/>
  <c r="P41" i="21"/>
  <c r="N23" i="21"/>
  <c r="H13" i="21"/>
  <c r="Q33" i="21"/>
  <c r="O33" i="21"/>
  <c r="E42" i="21"/>
  <c r="D18" i="3"/>
  <c r="G18" i="3"/>
  <c r="C18" i="3"/>
  <c r="F18" i="3"/>
  <c r="E18" i="3"/>
  <c r="E14" i="21"/>
  <c r="F20" i="3"/>
  <c r="E20" i="3"/>
  <c r="D20" i="3"/>
  <c r="G20" i="3"/>
  <c r="C20" i="3"/>
  <c r="E20" i="21"/>
  <c r="D26" i="3"/>
  <c r="G26" i="3"/>
  <c r="C26" i="3"/>
  <c r="F26" i="3"/>
  <c r="E26" i="3"/>
  <c r="G26" i="21"/>
  <c r="F32" i="3"/>
  <c r="D32" i="3"/>
  <c r="E32" i="3"/>
  <c r="G32" i="3"/>
  <c r="C32" i="3"/>
  <c r="I30" i="21"/>
  <c r="F36" i="3"/>
  <c r="E36" i="3"/>
  <c r="D36" i="3"/>
  <c r="C36" i="3"/>
  <c r="G36" i="3"/>
  <c r="P37" i="21"/>
  <c r="G43" i="3"/>
  <c r="C43" i="3"/>
  <c r="E43" i="3"/>
  <c r="F43" i="3"/>
  <c r="D43" i="3"/>
  <c r="G47" i="3"/>
  <c r="C47" i="3"/>
  <c r="F47" i="3"/>
  <c r="E47" i="3"/>
  <c r="D47" i="3"/>
  <c r="E53" i="3"/>
  <c r="D53" i="3"/>
  <c r="G53" i="3"/>
  <c r="C53" i="3"/>
  <c r="F53" i="3"/>
  <c r="U26" i="21"/>
  <c r="E17" i="3"/>
  <c r="G17" i="3"/>
  <c r="D17" i="3"/>
  <c r="C17" i="3"/>
  <c r="F17" i="3"/>
  <c r="E17" i="21"/>
  <c r="G23" i="3"/>
  <c r="C23" i="3"/>
  <c r="F23" i="3"/>
  <c r="E23" i="3"/>
  <c r="D23" i="3"/>
  <c r="F24" i="3"/>
  <c r="D24" i="3"/>
  <c r="E24" i="3"/>
  <c r="G24" i="3"/>
  <c r="C24" i="3"/>
  <c r="E25" i="3"/>
  <c r="G25" i="3"/>
  <c r="D25" i="3"/>
  <c r="C25" i="3"/>
  <c r="F25" i="3"/>
  <c r="D20" i="21"/>
  <c r="G27" i="3"/>
  <c r="C27" i="3"/>
  <c r="E27" i="3"/>
  <c r="F27" i="3"/>
  <c r="D27" i="3"/>
  <c r="F28" i="3"/>
  <c r="E28" i="3"/>
  <c r="D28" i="3"/>
  <c r="C28" i="3"/>
  <c r="G28" i="3"/>
  <c r="L23" i="21"/>
  <c r="E29" i="3"/>
  <c r="C29" i="3"/>
  <c r="D29" i="3"/>
  <c r="G29" i="3"/>
  <c r="F29" i="3"/>
  <c r="N25" i="21"/>
  <c r="G31" i="3"/>
  <c r="C31" i="3"/>
  <c r="F31" i="3"/>
  <c r="E31" i="3"/>
  <c r="D31" i="3"/>
  <c r="N29" i="21"/>
  <c r="G35" i="3"/>
  <c r="C35" i="3"/>
  <c r="E35" i="3"/>
  <c r="F35" i="3"/>
  <c r="D35" i="3"/>
  <c r="G39" i="3"/>
  <c r="C39" i="3"/>
  <c r="F39" i="3"/>
  <c r="E39" i="3"/>
  <c r="D39" i="3"/>
  <c r="Q36" i="21"/>
  <c r="D42" i="3"/>
  <c r="G42" i="3"/>
  <c r="C42" i="3"/>
  <c r="F42" i="3"/>
  <c r="E42" i="3"/>
  <c r="D46" i="3"/>
  <c r="F46" i="3"/>
  <c r="E46" i="3"/>
  <c r="G46" i="3"/>
  <c r="C46" i="3"/>
  <c r="O45" i="21"/>
  <c r="G51" i="3"/>
  <c r="C51" i="3"/>
  <c r="D51" i="3"/>
  <c r="F51" i="3"/>
  <c r="E51" i="3"/>
  <c r="I46" i="21"/>
  <c r="F52" i="3"/>
  <c r="D52" i="3"/>
  <c r="G52" i="3"/>
  <c r="E52" i="3"/>
  <c r="C52" i="3"/>
  <c r="Q14" i="21"/>
  <c r="N18" i="21"/>
  <c r="U45" i="21"/>
  <c r="F16" i="3"/>
  <c r="D16" i="3"/>
  <c r="E16" i="3"/>
  <c r="G16" i="3"/>
  <c r="C16" i="3"/>
  <c r="D22" i="3"/>
  <c r="F22" i="3"/>
  <c r="G22" i="3"/>
  <c r="C22" i="3"/>
  <c r="E22" i="3"/>
  <c r="H17" i="21"/>
  <c r="I18" i="21"/>
  <c r="M20" i="21"/>
  <c r="AF22" i="23" s="1"/>
  <c r="I21" i="21"/>
  <c r="I22" i="21"/>
  <c r="E23" i="21"/>
  <c r="N24" i="21"/>
  <c r="D30" i="3"/>
  <c r="F30" i="3"/>
  <c r="G30" i="3"/>
  <c r="C30" i="3"/>
  <c r="E30" i="3"/>
  <c r="D34" i="3"/>
  <c r="G34" i="3"/>
  <c r="C34" i="3"/>
  <c r="F34" i="3"/>
  <c r="E34" i="3"/>
  <c r="D38" i="3"/>
  <c r="F38" i="3"/>
  <c r="G38" i="3"/>
  <c r="C38" i="3"/>
  <c r="E38" i="3"/>
  <c r="D33" i="21"/>
  <c r="E41" i="3"/>
  <c r="G41" i="3"/>
  <c r="D41" i="3"/>
  <c r="C41" i="3"/>
  <c r="F41" i="3"/>
  <c r="E45" i="3"/>
  <c r="C45" i="3"/>
  <c r="D45" i="3"/>
  <c r="G45" i="3"/>
  <c r="F45" i="3"/>
  <c r="D50" i="3"/>
  <c r="G50" i="3"/>
  <c r="C50" i="3"/>
  <c r="F50" i="3"/>
  <c r="E50" i="3"/>
  <c r="G45" i="21"/>
  <c r="O49" i="21"/>
  <c r="G55" i="3"/>
  <c r="C55" i="3"/>
  <c r="F55" i="3"/>
  <c r="E55" i="3"/>
  <c r="D55" i="3"/>
  <c r="Q30" i="21"/>
  <c r="U36" i="21"/>
  <c r="K37" i="21"/>
  <c r="AK39" i="23" s="1"/>
  <c r="Q23" i="21"/>
  <c r="I9" i="21"/>
  <c r="G15" i="3"/>
  <c r="C15" i="3"/>
  <c r="F15" i="3"/>
  <c r="E15" i="3"/>
  <c r="D15" i="3"/>
  <c r="G19" i="3"/>
  <c r="C19" i="3"/>
  <c r="E19" i="3"/>
  <c r="F19" i="3"/>
  <c r="D19" i="3"/>
  <c r="E21" i="3"/>
  <c r="C21" i="3"/>
  <c r="D21" i="3"/>
  <c r="G21" i="3"/>
  <c r="F21" i="3"/>
  <c r="F23" i="21"/>
  <c r="F27" i="21"/>
  <c r="E33" i="3"/>
  <c r="G33" i="3"/>
  <c r="D33" i="3"/>
  <c r="C33" i="3"/>
  <c r="F33" i="3"/>
  <c r="E37" i="3"/>
  <c r="C37" i="3"/>
  <c r="D37" i="3"/>
  <c r="G37" i="3"/>
  <c r="F37" i="3"/>
  <c r="G33" i="21"/>
  <c r="I34" i="21"/>
  <c r="F40" i="3"/>
  <c r="D40" i="3"/>
  <c r="E40" i="3"/>
  <c r="G40" i="3"/>
  <c r="C40" i="3"/>
  <c r="D38" i="21"/>
  <c r="F44" i="3"/>
  <c r="G44" i="3"/>
  <c r="E44" i="3"/>
  <c r="D44" i="3"/>
  <c r="C44" i="3"/>
  <c r="D42" i="21"/>
  <c r="F48" i="3"/>
  <c r="D48" i="3"/>
  <c r="C48" i="3"/>
  <c r="E48" i="3"/>
  <c r="G48" i="3"/>
  <c r="I43" i="21"/>
  <c r="E49" i="3"/>
  <c r="G49" i="3"/>
  <c r="F49" i="3"/>
  <c r="D49" i="3"/>
  <c r="C49" i="3"/>
  <c r="G48" i="21"/>
  <c r="D54" i="3"/>
  <c r="F54" i="3"/>
  <c r="E54" i="3"/>
  <c r="G54" i="3"/>
  <c r="C54" i="3"/>
  <c r="U30" i="21"/>
  <c r="D17" i="21"/>
  <c r="M24" i="21"/>
  <c r="AF26" i="23" s="1"/>
  <c r="C25" i="21"/>
  <c r="E26" i="21"/>
  <c r="F28" i="21"/>
  <c r="E34" i="21"/>
  <c r="O41" i="21"/>
  <c r="C42" i="21"/>
  <c r="M42" i="21"/>
  <c r="AF44" i="23" s="1"/>
  <c r="Q34" i="21"/>
  <c r="S41" i="21"/>
  <c r="E30" i="21"/>
  <c r="C34" i="21"/>
  <c r="D41" i="21"/>
  <c r="I42" i="21"/>
  <c r="N17" i="21"/>
  <c r="Q29" i="21"/>
  <c r="U34" i="21"/>
  <c r="N36" i="21"/>
  <c r="T41" i="21"/>
  <c r="B43" i="23" s="1"/>
  <c r="P42" i="21"/>
  <c r="Q26" i="21"/>
  <c r="K41" i="21"/>
  <c r="AK43" i="23" s="1"/>
  <c r="S42" i="21"/>
  <c r="Q43" i="21"/>
  <c r="J49" i="21"/>
  <c r="H9" i="21"/>
  <c r="O16" i="21"/>
  <c r="Q18" i="23"/>
  <c r="L18" i="23"/>
  <c r="AA18" i="23"/>
  <c r="G18" i="23"/>
  <c r="V18" i="23"/>
  <c r="Q34" i="23"/>
  <c r="L34" i="23"/>
  <c r="G34" i="23"/>
  <c r="AA34" i="23"/>
  <c r="V34" i="23"/>
  <c r="Q39" i="23"/>
  <c r="L39" i="23"/>
  <c r="G39" i="23"/>
  <c r="AA39" i="23"/>
  <c r="V39" i="23"/>
  <c r="M38" i="21"/>
  <c r="AF40" i="23" s="1"/>
  <c r="M44" i="21"/>
  <c r="AF46" i="23" s="1"/>
  <c r="Q46" i="23"/>
  <c r="L46" i="23"/>
  <c r="G46" i="23"/>
  <c r="AA46" i="23"/>
  <c r="V46" i="23"/>
  <c r="N14" i="21"/>
  <c r="Q32" i="21"/>
  <c r="S37" i="21"/>
  <c r="U43" i="21"/>
  <c r="N49" i="21"/>
  <c r="M13" i="21"/>
  <c r="AF15" i="23" s="1"/>
  <c r="Q15" i="23"/>
  <c r="AA15" i="23"/>
  <c r="L15" i="23"/>
  <c r="V15" i="23"/>
  <c r="G15" i="23"/>
  <c r="O13" i="21"/>
  <c r="L15" i="21"/>
  <c r="Q17" i="23"/>
  <c r="AA17" i="23"/>
  <c r="L17" i="23"/>
  <c r="V17" i="23"/>
  <c r="G17" i="23"/>
  <c r="E24" i="21"/>
  <c r="Q26" i="23"/>
  <c r="L26" i="23"/>
  <c r="G26" i="23"/>
  <c r="AA26" i="23"/>
  <c r="V26" i="23"/>
  <c r="H25" i="21"/>
  <c r="Q27" i="23"/>
  <c r="L27" i="23"/>
  <c r="G27" i="23"/>
  <c r="AA27" i="23"/>
  <c r="V27" i="23"/>
  <c r="I27" i="21"/>
  <c r="Q29" i="23"/>
  <c r="L29" i="23"/>
  <c r="G29" i="23"/>
  <c r="AA29" i="23"/>
  <c r="V29" i="23"/>
  <c r="M28" i="21"/>
  <c r="AF30" i="23" s="1"/>
  <c r="Q30" i="23"/>
  <c r="L30" i="23"/>
  <c r="G30" i="23"/>
  <c r="AA30" i="23"/>
  <c r="V30" i="23"/>
  <c r="I31" i="21"/>
  <c r="Q33" i="23"/>
  <c r="L33" i="23"/>
  <c r="G33" i="23"/>
  <c r="AA33" i="23"/>
  <c r="V33" i="23"/>
  <c r="L34" i="21"/>
  <c r="Q36" i="23"/>
  <c r="L36" i="23"/>
  <c r="G36" i="23"/>
  <c r="AA36" i="23"/>
  <c r="V36" i="23"/>
  <c r="H34" i="21"/>
  <c r="Q38" i="23"/>
  <c r="L38" i="23"/>
  <c r="G38" i="23"/>
  <c r="AA38" i="23"/>
  <c r="V38" i="23"/>
  <c r="H37" i="21"/>
  <c r="L41" i="21"/>
  <c r="Q43" i="23"/>
  <c r="L43" i="23"/>
  <c r="G43" i="23"/>
  <c r="AA43" i="23"/>
  <c r="V43" i="23"/>
  <c r="C44" i="21"/>
  <c r="C46" i="21"/>
  <c r="I47" i="21"/>
  <c r="Q49" i="23"/>
  <c r="L49" i="23"/>
  <c r="G49" i="23"/>
  <c r="AA49" i="23"/>
  <c r="V49" i="23"/>
  <c r="C49" i="21"/>
  <c r="V12" i="23"/>
  <c r="Q12" i="23"/>
  <c r="L12" i="23"/>
  <c r="AA12" i="23"/>
  <c r="G12" i="23"/>
  <c r="O14" i="21"/>
  <c r="Q16" i="23"/>
  <c r="L16" i="23"/>
  <c r="AA16" i="23"/>
  <c r="G16" i="23"/>
  <c r="V16" i="23"/>
  <c r="L38" i="21"/>
  <c r="Q40" i="23"/>
  <c r="L40" i="23"/>
  <c r="G40" i="23"/>
  <c r="V40" i="23"/>
  <c r="AA40" i="23"/>
  <c r="F43" i="21"/>
  <c r="Q45" i="23"/>
  <c r="L45" i="23"/>
  <c r="G45" i="23"/>
  <c r="AA45" i="23"/>
  <c r="V45" i="23"/>
  <c r="L46" i="21"/>
  <c r="Q48" i="23"/>
  <c r="L48" i="23"/>
  <c r="G48" i="23"/>
  <c r="AA48" i="23"/>
  <c r="V48" i="23"/>
  <c r="H46" i="21"/>
  <c r="F48" i="21"/>
  <c r="Q50" i="23"/>
  <c r="L50" i="23"/>
  <c r="G50" i="23"/>
  <c r="AA50" i="23"/>
  <c r="V50" i="23"/>
  <c r="L49" i="21"/>
  <c r="Q51" i="23"/>
  <c r="L51" i="23"/>
  <c r="G51" i="23"/>
  <c r="AA51" i="23"/>
  <c r="V51" i="23"/>
  <c r="M49" i="21"/>
  <c r="AF51" i="23" s="1"/>
  <c r="U32" i="21"/>
  <c r="J37" i="21"/>
  <c r="T37" i="21"/>
  <c r="N84" i="21"/>
  <c r="B5" i="23"/>
  <c r="V14" i="23"/>
  <c r="L14" i="23"/>
  <c r="Q14" i="23"/>
  <c r="G14" i="23"/>
  <c r="AA14" i="23"/>
  <c r="I14" i="21"/>
  <c r="O18" i="21"/>
  <c r="Q20" i="23"/>
  <c r="L20" i="23"/>
  <c r="G20" i="23"/>
  <c r="AA20" i="23"/>
  <c r="V20" i="23"/>
  <c r="L20" i="21"/>
  <c r="Q22" i="23"/>
  <c r="L22" i="23"/>
  <c r="G22" i="23"/>
  <c r="AA22" i="23"/>
  <c r="V22" i="23"/>
  <c r="H20" i="21"/>
  <c r="Q28" i="23"/>
  <c r="L28" i="23"/>
  <c r="G28" i="23"/>
  <c r="AA28" i="23"/>
  <c r="V28" i="23"/>
  <c r="O26" i="21"/>
  <c r="Q31" i="23"/>
  <c r="L31" i="23"/>
  <c r="G31" i="23"/>
  <c r="AA31" i="23"/>
  <c r="V31" i="23"/>
  <c r="L30" i="21"/>
  <c r="Q32" i="23"/>
  <c r="L32" i="23"/>
  <c r="G32" i="23"/>
  <c r="AA32" i="23"/>
  <c r="V32" i="23"/>
  <c r="M30" i="21"/>
  <c r="AF32" i="23" s="1"/>
  <c r="Q37" i="23"/>
  <c r="L37" i="23"/>
  <c r="G37" i="23"/>
  <c r="AA37" i="23"/>
  <c r="V37" i="23"/>
  <c r="E38" i="21"/>
  <c r="Q42" i="23"/>
  <c r="L42" i="23"/>
  <c r="G42" i="23"/>
  <c r="V42" i="23"/>
  <c r="AA42" i="23"/>
  <c r="F44" i="21"/>
  <c r="L45" i="21"/>
  <c r="Q47" i="23"/>
  <c r="L47" i="23"/>
  <c r="G47" i="23"/>
  <c r="AA47" i="23"/>
  <c r="V47" i="23"/>
  <c r="D46" i="21"/>
  <c r="M46" i="21"/>
  <c r="AF48" i="23" s="1"/>
  <c r="D49" i="21"/>
  <c r="P3" i="21"/>
  <c r="I84" i="21" s="1"/>
  <c r="J84" i="21" s="1"/>
  <c r="H5" i="23"/>
  <c r="K43" i="21"/>
  <c r="AK45" i="23" s="1"/>
  <c r="J46" i="21"/>
  <c r="R48" i="21"/>
  <c r="V11" i="23"/>
  <c r="Q11" i="23"/>
  <c r="L11" i="23"/>
  <c r="G11" i="23"/>
  <c r="AA11" i="23"/>
  <c r="V13" i="23"/>
  <c r="Q13" i="23"/>
  <c r="L13" i="23"/>
  <c r="G13" i="23"/>
  <c r="AA13" i="23"/>
  <c r="E13" i="21"/>
  <c r="M17" i="21"/>
  <c r="AF19" i="23" s="1"/>
  <c r="Q19" i="23"/>
  <c r="L19" i="23"/>
  <c r="G19" i="23"/>
  <c r="AA19" i="23"/>
  <c r="V19" i="23"/>
  <c r="O17" i="21"/>
  <c r="E18" i="21"/>
  <c r="Q21" i="23"/>
  <c r="L21" i="23"/>
  <c r="G21" i="23"/>
  <c r="AA21" i="23"/>
  <c r="V21" i="23"/>
  <c r="C20" i="21"/>
  <c r="I20" i="21"/>
  <c r="Q23" i="23"/>
  <c r="L23" i="23"/>
  <c r="G23" i="23"/>
  <c r="AA23" i="23"/>
  <c r="V23" i="23"/>
  <c r="Q24" i="23"/>
  <c r="L24" i="23"/>
  <c r="G24" i="23"/>
  <c r="AA24" i="23"/>
  <c r="V24" i="23"/>
  <c r="O23" i="21"/>
  <c r="Q25" i="23"/>
  <c r="L25" i="23"/>
  <c r="G25" i="23"/>
  <c r="AA25" i="23"/>
  <c r="V25" i="23"/>
  <c r="G25" i="21"/>
  <c r="D26" i="21"/>
  <c r="G28" i="21"/>
  <c r="H29" i="21"/>
  <c r="D30" i="21"/>
  <c r="L33" i="21"/>
  <c r="Q35" i="23"/>
  <c r="L35" i="23"/>
  <c r="G35" i="23"/>
  <c r="AA35" i="23"/>
  <c r="V35" i="23"/>
  <c r="D34" i="21"/>
  <c r="M34" i="21"/>
  <c r="AF36" i="23" s="1"/>
  <c r="I38" i="21"/>
  <c r="Q41" i="23"/>
  <c r="L41" i="23"/>
  <c r="G41" i="23"/>
  <c r="AA41" i="23"/>
  <c r="V41" i="23"/>
  <c r="G41" i="21"/>
  <c r="L42" i="21"/>
  <c r="Q44" i="23"/>
  <c r="L44" i="23"/>
  <c r="G44" i="23"/>
  <c r="AA44" i="23"/>
  <c r="V44" i="23"/>
  <c r="H42" i="21"/>
  <c r="G44" i="21"/>
  <c r="D45" i="21"/>
  <c r="E46" i="21"/>
  <c r="G49" i="21"/>
  <c r="O210" i="23"/>
  <c r="T211" i="23" s="1"/>
  <c r="L12" i="21"/>
  <c r="M12" i="21"/>
  <c r="AF14" i="23" s="1"/>
  <c r="D12" i="21"/>
  <c r="H16" i="21"/>
  <c r="O10" i="21"/>
  <c r="I10" i="21"/>
  <c r="C12" i="21"/>
  <c r="O12" i="21"/>
  <c r="C16" i="21"/>
  <c r="I16" i="21"/>
  <c r="M21" i="21"/>
  <c r="AF23" i="23" s="1"/>
  <c r="O21" i="21"/>
  <c r="D21" i="21"/>
  <c r="AX22" i="21"/>
  <c r="L29" i="21"/>
  <c r="O29" i="21"/>
  <c r="D29" i="21"/>
  <c r="M29" i="21"/>
  <c r="AF31" i="23" s="1"/>
  <c r="M9" i="21"/>
  <c r="AF11" i="23" s="1"/>
  <c r="E9" i="21"/>
  <c r="O9" i="21"/>
  <c r="E10" i="21"/>
  <c r="E12" i="21"/>
  <c r="D16" i="21"/>
  <c r="E21" i="21"/>
  <c r="F24" i="21"/>
  <c r="L26" i="21"/>
  <c r="H26" i="21"/>
  <c r="C26" i="21"/>
  <c r="I26" i="21"/>
  <c r="C29" i="21"/>
  <c r="G32" i="21"/>
  <c r="F32" i="21"/>
  <c r="L37" i="21"/>
  <c r="O37" i="21"/>
  <c r="D37" i="21"/>
  <c r="N37" i="21"/>
  <c r="M37" i="21"/>
  <c r="AF39" i="23" s="1"/>
  <c r="C37" i="21"/>
  <c r="F39" i="21"/>
  <c r="S39" i="21"/>
  <c r="E39" i="21"/>
  <c r="H12" i="21"/>
  <c r="L16" i="21"/>
  <c r="M16" i="21"/>
  <c r="AF18" i="23" s="1"/>
  <c r="E16" i="21"/>
  <c r="AX15" i="21"/>
  <c r="D9" i="21"/>
  <c r="G12" i="21"/>
  <c r="G16" i="21"/>
  <c r="H21" i="21"/>
  <c r="L22" i="21"/>
  <c r="E22" i="21"/>
  <c r="L24" i="21"/>
  <c r="L25" i="21"/>
  <c r="O25" i="21"/>
  <c r="D25" i="21"/>
  <c r="M25" i="21"/>
  <c r="AF27" i="23" s="1"/>
  <c r="M26" i="21"/>
  <c r="AF28" i="23" s="1"/>
  <c r="C28" i="21"/>
  <c r="Q28" i="21"/>
  <c r="G29" i="21"/>
  <c r="G36" i="21"/>
  <c r="G37" i="21"/>
  <c r="I39" i="21"/>
  <c r="G30" i="21"/>
  <c r="O30" i="21"/>
  <c r="H33" i="21"/>
  <c r="G38" i="21"/>
  <c r="O38" i="21"/>
  <c r="H41" i="21"/>
  <c r="H45" i="21"/>
  <c r="U33" i="21"/>
  <c r="I13" i="21"/>
  <c r="I17" i="21"/>
  <c r="G20" i="21"/>
  <c r="O20" i="21"/>
  <c r="C30" i="21"/>
  <c r="H30" i="21"/>
  <c r="C33" i="21"/>
  <c r="M33" i="21"/>
  <c r="AF35" i="23" s="1"/>
  <c r="G34" i="21"/>
  <c r="O34" i="21"/>
  <c r="C38" i="21"/>
  <c r="H38" i="21"/>
  <c r="C41" i="21"/>
  <c r="M41" i="21"/>
  <c r="AF43" i="23" s="1"/>
  <c r="G42" i="21"/>
  <c r="O42" i="21"/>
  <c r="C45" i="21"/>
  <c r="M45" i="21"/>
  <c r="AF47" i="23" s="1"/>
  <c r="G46" i="21"/>
  <c r="O46" i="21"/>
  <c r="H49" i="21"/>
  <c r="I11" i="21"/>
  <c r="E11" i="21"/>
  <c r="O11" i="21"/>
  <c r="H11" i="21"/>
  <c r="D11" i="21"/>
  <c r="Q11" i="21"/>
  <c r="M11" i="21"/>
  <c r="AF13" i="23" s="1"/>
  <c r="G11" i="21"/>
  <c r="C11" i="21"/>
  <c r="F11" i="21"/>
  <c r="I19" i="21"/>
  <c r="E19" i="21"/>
  <c r="N19" i="21"/>
  <c r="O19" i="21"/>
  <c r="H19" i="21"/>
  <c r="D19" i="21"/>
  <c r="M19" i="21"/>
  <c r="AF21" i="23" s="1"/>
  <c r="G19" i="21"/>
  <c r="C19" i="21"/>
  <c r="L11" i="21"/>
  <c r="AX12" i="21"/>
  <c r="I15" i="21"/>
  <c r="E15" i="21"/>
  <c r="O15" i="21"/>
  <c r="H15" i="21"/>
  <c r="D15" i="21"/>
  <c r="M15" i="21"/>
  <c r="AF17" i="23" s="1"/>
  <c r="G15" i="21"/>
  <c r="C15" i="21"/>
  <c r="Q15" i="21"/>
  <c r="F19" i="21"/>
  <c r="AX36" i="21"/>
  <c r="AX20" i="21"/>
  <c r="AX25" i="21"/>
  <c r="O35" i="21"/>
  <c r="H35" i="21"/>
  <c r="D35" i="21"/>
  <c r="M35" i="21"/>
  <c r="AF37" i="23" s="1"/>
  <c r="G35" i="21"/>
  <c r="C35" i="21"/>
  <c r="I35" i="21"/>
  <c r="F35" i="21"/>
  <c r="E35" i="21"/>
  <c r="I40" i="21"/>
  <c r="E40" i="21"/>
  <c r="O40" i="21"/>
  <c r="H40" i="21"/>
  <c r="D40" i="21"/>
  <c r="G40" i="21"/>
  <c r="T40" i="21"/>
  <c r="B42" i="23" s="1"/>
  <c r="F40" i="21"/>
  <c r="S40" i="21"/>
  <c r="M40" i="21"/>
  <c r="AF42" i="23" s="1"/>
  <c r="C40" i="21"/>
  <c r="P40" i="21"/>
  <c r="AX16" i="21"/>
  <c r="L35" i="21"/>
  <c r="L40" i="21"/>
  <c r="AX9" i="21"/>
  <c r="K40" i="21"/>
  <c r="AK42" i="23" s="1"/>
  <c r="AX39" i="21"/>
  <c r="F15" i="21"/>
  <c r="L19" i="21"/>
  <c r="AX41" i="21"/>
  <c r="AX13" i="21"/>
  <c r="F10" i="21"/>
  <c r="L10" i="21"/>
  <c r="F14" i="21"/>
  <c r="L14" i="21"/>
  <c r="F18" i="21"/>
  <c r="L18" i="21"/>
  <c r="F22" i="21"/>
  <c r="M22" i="21"/>
  <c r="AF24" i="23" s="1"/>
  <c r="O31" i="21"/>
  <c r="H31" i="21"/>
  <c r="D31" i="21"/>
  <c r="M31" i="21"/>
  <c r="AF33" i="23" s="1"/>
  <c r="G31" i="21"/>
  <c r="C31" i="21"/>
  <c r="L31" i="21"/>
  <c r="I36" i="21"/>
  <c r="E36" i="21"/>
  <c r="O36" i="21"/>
  <c r="H36" i="21"/>
  <c r="D36" i="21"/>
  <c r="L36" i="21"/>
  <c r="O47" i="21"/>
  <c r="H47" i="21"/>
  <c r="D47" i="21"/>
  <c r="M47" i="21"/>
  <c r="AF49" i="23" s="1"/>
  <c r="G47" i="21"/>
  <c r="C47" i="21"/>
  <c r="L47" i="21"/>
  <c r="AX10" i="21"/>
  <c r="AX14" i="21"/>
  <c r="AX42" i="21"/>
  <c r="AX43" i="21"/>
  <c r="F9" i="21"/>
  <c r="L9" i="21"/>
  <c r="C10" i="21"/>
  <c r="G10" i="21"/>
  <c r="M10" i="21"/>
  <c r="AF12" i="23" s="1"/>
  <c r="I12" i="21"/>
  <c r="F13" i="21"/>
  <c r="L13" i="21"/>
  <c r="C14" i="21"/>
  <c r="G14" i="21"/>
  <c r="M14" i="21"/>
  <c r="AF16" i="23" s="1"/>
  <c r="F17" i="21"/>
  <c r="L17" i="21"/>
  <c r="C18" i="21"/>
  <c r="G18" i="21"/>
  <c r="M18" i="21"/>
  <c r="AF20" i="23" s="1"/>
  <c r="F21" i="21"/>
  <c r="L21" i="21"/>
  <c r="C22" i="21"/>
  <c r="G22" i="21"/>
  <c r="O22" i="21"/>
  <c r="M23" i="21"/>
  <c r="AF25" i="23" s="1"/>
  <c r="G23" i="21"/>
  <c r="C23" i="21"/>
  <c r="H23" i="21"/>
  <c r="O24" i="21"/>
  <c r="H24" i="21"/>
  <c r="D24" i="21"/>
  <c r="G24" i="21"/>
  <c r="O27" i="21"/>
  <c r="H27" i="21"/>
  <c r="D27" i="21"/>
  <c r="M27" i="21"/>
  <c r="AF29" i="23" s="1"/>
  <c r="G27" i="21"/>
  <c r="C27" i="21"/>
  <c r="L27" i="21"/>
  <c r="E31" i="21"/>
  <c r="I32" i="21"/>
  <c r="E32" i="21"/>
  <c r="O32" i="21"/>
  <c r="H32" i="21"/>
  <c r="D32" i="21"/>
  <c r="L32" i="21"/>
  <c r="C36" i="21"/>
  <c r="M36" i="21"/>
  <c r="AF38" i="23" s="1"/>
  <c r="O43" i="21"/>
  <c r="H43" i="21"/>
  <c r="D43" i="21"/>
  <c r="M43" i="21"/>
  <c r="AF45" i="23" s="1"/>
  <c r="G43" i="21"/>
  <c r="C43" i="21"/>
  <c r="L43" i="21"/>
  <c r="E47" i="21"/>
  <c r="I48" i="21"/>
  <c r="E48" i="21"/>
  <c r="O48" i="21"/>
  <c r="H48" i="21"/>
  <c r="D48" i="21"/>
  <c r="L48" i="21"/>
  <c r="AX11" i="21"/>
  <c r="AX19" i="21"/>
  <c r="AX38" i="21"/>
  <c r="C9" i="21"/>
  <c r="G9" i="21"/>
  <c r="D10" i="21"/>
  <c r="H10" i="21"/>
  <c r="F12" i="21"/>
  <c r="C13" i="21"/>
  <c r="G13" i="21"/>
  <c r="D14" i="21"/>
  <c r="H14" i="21"/>
  <c r="F16" i="21"/>
  <c r="C17" i="21"/>
  <c r="G17" i="21"/>
  <c r="D18" i="21"/>
  <c r="H18" i="21"/>
  <c r="F20" i="21"/>
  <c r="C21" i="21"/>
  <c r="G21" i="21"/>
  <c r="D22" i="21"/>
  <c r="H22" i="21"/>
  <c r="D23" i="21"/>
  <c r="I23" i="21"/>
  <c r="C24" i="21"/>
  <c r="I24" i="21"/>
  <c r="E27" i="21"/>
  <c r="I28" i="21"/>
  <c r="E28" i="21"/>
  <c r="O28" i="21"/>
  <c r="H28" i="21"/>
  <c r="D28" i="21"/>
  <c r="L28" i="21"/>
  <c r="F31" i="21"/>
  <c r="C32" i="21"/>
  <c r="M32" i="21"/>
  <c r="AF34" i="23" s="1"/>
  <c r="F36" i="21"/>
  <c r="O39" i="21"/>
  <c r="H39" i="21"/>
  <c r="D39" i="21"/>
  <c r="M39" i="21"/>
  <c r="AF41" i="23" s="1"/>
  <c r="G39" i="21"/>
  <c r="C39" i="21"/>
  <c r="L39" i="21"/>
  <c r="E43" i="21"/>
  <c r="I44" i="21"/>
  <c r="E44" i="21"/>
  <c r="O44" i="21"/>
  <c r="H44" i="21"/>
  <c r="D44" i="21"/>
  <c r="L44" i="21"/>
  <c r="F47" i="21"/>
  <c r="C48" i="21"/>
  <c r="M48" i="21"/>
  <c r="AF50" i="23" s="1"/>
  <c r="E25" i="21"/>
  <c r="I25" i="21"/>
  <c r="F26" i="21"/>
  <c r="E29" i="21"/>
  <c r="I29" i="21"/>
  <c r="F30" i="21"/>
  <c r="E33" i="21"/>
  <c r="I33" i="21"/>
  <c r="F34" i="21"/>
  <c r="E37" i="21"/>
  <c r="I37" i="21"/>
  <c r="F38" i="21"/>
  <c r="E41" i="21"/>
  <c r="I41" i="21"/>
  <c r="F42" i="21"/>
  <c r="E45" i="21"/>
  <c r="I45" i="21"/>
  <c r="F46" i="21"/>
  <c r="E49" i="21"/>
  <c r="I49" i="21"/>
  <c r="F25" i="21"/>
  <c r="F29" i="21"/>
  <c r="F33" i="21"/>
  <c r="F37" i="21"/>
  <c r="F41" i="21"/>
  <c r="F45" i="21"/>
  <c r="F49" i="21"/>
  <c r="J12" i="21"/>
  <c r="Q13" i="21"/>
  <c r="S16" i="21"/>
  <c r="T16" i="21"/>
  <c r="B18" i="23" s="1"/>
  <c r="T27" i="21"/>
  <c r="B29" i="23" s="1"/>
  <c r="P27" i="21"/>
  <c r="S27" i="21"/>
  <c r="K27" i="21"/>
  <c r="AK29" i="23" s="1"/>
  <c r="Q27" i="21"/>
  <c r="N27" i="21"/>
  <c r="U27" i="21"/>
  <c r="T31" i="21"/>
  <c r="B33" i="23" s="1"/>
  <c r="P31" i="21"/>
  <c r="S31" i="21"/>
  <c r="K31" i="21"/>
  <c r="AK33" i="23" s="1"/>
  <c r="Q31" i="21"/>
  <c r="N31" i="21"/>
  <c r="U31" i="21"/>
  <c r="T35" i="21"/>
  <c r="B37" i="23" s="1"/>
  <c r="P35" i="21"/>
  <c r="S35" i="21"/>
  <c r="K35" i="21"/>
  <c r="AK37" i="23" s="1"/>
  <c r="Q35" i="21"/>
  <c r="N35" i="21"/>
  <c r="U35" i="21"/>
  <c r="E8" i="21"/>
  <c r="F8" i="21" s="1"/>
  <c r="G8" i="21" s="1"/>
  <c r="H8" i="21" s="1"/>
  <c r="I8" i="21" s="1"/>
  <c r="J8" i="21" s="1"/>
  <c r="Q9" i="21"/>
  <c r="E57" i="21" s="1"/>
  <c r="H81" i="23" s="1"/>
  <c r="Q10" i="21"/>
  <c r="N11" i="21"/>
  <c r="R11" i="21" s="1"/>
  <c r="T13" i="21"/>
  <c r="B15" i="23" s="1"/>
  <c r="K13" i="21"/>
  <c r="AK15" i="23" s="1"/>
  <c r="S13" i="21"/>
  <c r="R13" i="21"/>
  <c r="J13" i="21"/>
  <c r="N15" i="21"/>
  <c r="R15" i="21" s="1"/>
  <c r="K16" i="21"/>
  <c r="AK18" i="23" s="1"/>
  <c r="T17" i="21"/>
  <c r="B19" i="23" s="1"/>
  <c r="K17" i="21"/>
  <c r="AK19" i="23" s="1"/>
  <c r="S17" i="21"/>
  <c r="R17" i="21"/>
  <c r="J17" i="21"/>
  <c r="AT17" i="21"/>
  <c r="AX17" i="21" s="1"/>
  <c r="J21" i="21"/>
  <c r="AT21" i="21"/>
  <c r="AX21" i="21" s="1"/>
  <c r="Q22" i="21"/>
  <c r="T22" i="21"/>
  <c r="B24" i="23" s="1"/>
  <c r="P22" i="21"/>
  <c r="U22" i="21"/>
  <c r="S22" i="21"/>
  <c r="K22" i="21"/>
  <c r="AK24" i="23" s="1"/>
  <c r="R22" i="21"/>
  <c r="J23" i="21"/>
  <c r="AS23" i="21"/>
  <c r="AX23" i="21" s="1"/>
  <c r="AX26" i="21"/>
  <c r="J27" i="21"/>
  <c r="AX30" i="21"/>
  <c r="J31" i="21"/>
  <c r="AX34" i="21"/>
  <c r="J35" i="21"/>
  <c r="R12" i="21"/>
  <c r="J16" i="21"/>
  <c r="Q17" i="21"/>
  <c r="Q21" i="21"/>
  <c r="T21" i="21"/>
  <c r="B23" i="23" s="1"/>
  <c r="P21" i="21"/>
  <c r="U21" i="21"/>
  <c r="S21" i="21"/>
  <c r="K21" i="21"/>
  <c r="AK23" i="23" s="1"/>
  <c r="Q25" i="21"/>
  <c r="S9" i="21"/>
  <c r="E59" i="21" s="1"/>
  <c r="P9" i="21"/>
  <c r="K9" i="21"/>
  <c r="AK11" i="23" s="1"/>
  <c r="N12" i="21"/>
  <c r="T14" i="21"/>
  <c r="B16" i="23" s="1"/>
  <c r="K14" i="21"/>
  <c r="AK16" i="23" s="1"/>
  <c r="S14" i="21"/>
  <c r="R14" i="21"/>
  <c r="J14" i="21"/>
  <c r="N16" i="21"/>
  <c r="R16" i="21" s="1"/>
  <c r="P18" i="21"/>
  <c r="S18" i="21"/>
  <c r="R18" i="21"/>
  <c r="J18" i="21"/>
  <c r="T18" i="21"/>
  <c r="B20" i="23" s="1"/>
  <c r="AT18" i="21"/>
  <c r="AX18" i="21" s="1"/>
  <c r="Q19" i="21"/>
  <c r="K19" i="21"/>
  <c r="AK21" i="23" s="1"/>
  <c r="S19" i="21"/>
  <c r="P19" i="21"/>
  <c r="T19" i="21"/>
  <c r="B21" i="23" s="1"/>
  <c r="R19" i="21"/>
  <c r="AX24" i="21"/>
  <c r="R27" i="21"/>
  <c r="R31" i="21"/>
  <c r="R35" i="21"/>
  <c r="S10" i="21"/>
  <c r="P10" i="21"/>
  <c r="J10" i="21"/>
  <c r="T10" i="21"/>
  <c r="B12" i="23" s="1"/>
  <c r="N10" i="21"/>
  <c r="R10" i="21" s="1"/>
  <c r="T12" i="21"/>
  <c r="B14" i="23" s="1"/>
  <c r="P12" i="21"/>
  <c r="S12" i="21"/>
  <c r="K12" i="21"/>
  <c r="AK14" i="23" s="1"/>
  <c r="K10" i="21"/>
  <c r="AK12" i="23" s="1"/>
  <c r="U10" i="21"/>
  <c r="K11" i="21"/>
  <c r="AK13" i="23" s="1"/>
  <c r="S11" i="21"/>
  <c r="T11" i="21"/>
  <c r="B13" i="23" s="1"/>
  <c r="J11" i="21"/>
  <c r="Q12" i="21"/>
  <c r="U12" i="21" s="1"/>
  <c r="T15" i="21"/>
  <c r="B17" i="23" s="1"/>
  <c r="K15" i="21"/>
  <c r="AK17" i="23" s="1"/>
  <c r="S15" i="21"/>
  <c r="J15" i="21"/>
  <c r="Q16" i="21"/>
  <c r="Q20" i="21"/>
  <c r="J20" i="21"/>
  <c r="K20" i="21"/>
  <c r="AK22" i="23" s="1"/>
  <c r="S20" i="21"/>
  <c r="P20" i="21"/>
  <c r="T20" i="21"/>
  <c r="B22" i="23" s="1"/>
  <c r="R20" i="21"/>
  <c r="N21" i="21"/>
  <c r="R21" i="21" s="1"/>
  <c r="S23" i="21"/>
  <c r="P23" i="21"/>
  <c r="K23" i="21"/>
  <c r="AK25" i="23" s="1"/>
  <c r="T23" i="21"/>
  <c r="B25" i="23" s="1"/>
  <c r="U23" i="21"/>
  <c r="R23" i="21"/>
  <c r="J24" i="21"/>
  <c r="N26" i="21"/>
  <c r="AX27" i="21"/>
  <c r="T28" i="21"/>
  <c r="B30" i="23" s="1"/>
  <c r="P28" i="21"/>
  <c r="S28" i="21"/>
  <c r="K28" i="21"/>
  <c r="AK30" i="23" s="1"/>
  <c r="J28" i="21"/>
  <c r="R28" i="21"/>
  <c r="N30" i="21"/>
  <c r="AX31" i="21"/>
  <c r="T32" i="21"/>
  <c r="B34" i="23" s="1"/>
  <c r="P32" i="21"/>
  <c r="S32" i="21"/>
  <c r="K32" i="21"/>
  <c r="AK34" i="23" s="1"/>
  <c r="J32" i="21"/>
  <c r="R32" i="21"/>
  <c r="N34" i="21"/>
  <c r="AX35" i="21"/>
  <c r="T36" i="21"/>
  <c r="B38" i="23" s="1"/>
  <c r="P36" i="21"/>
  <c r="S36" i="21"/>
  <c r="K36" i="21"/>
  <c r="AK38" i="23" s="1"/>
  <c r="J36" i="21"/>
  <c r="R36" i="21"/>
  <c r="AX37" i="21"/>
  <c r="U38" i="21"/>
  <c r="Q38" i="21"/>
  <c r="P38" i="21"/>
  <c r="K38" i="21"/>
  <c r="AK40" i="23" s="1"/>
  <c r="T38" i="21"/>
  <c r="B40" i="23" s="1"/>
  <c r="J38" i="21"/>
  <c r="S38" i="21"/>
  <c r="N38" i="21"/>
  <c r="T44" i="21"/>
  <c r="B46" i="23" s="1"/>
  <c r="P44" i="21"/>
  <c r="Q44" i="21"/>
  <c r="K44" i="21"/>
  <c r="AK46" i="23" s="1"/>
  <c r="U44" i="21"/>
  <c r="J44" i="21"/>
  <c r="S44" i="21"/>
  <c r="N44" i="21"/>
  <c r="R44" i="21"/>
  <c r="K24" i="21"/>
  <c r="AK26" i="23" s="1"/>
  <c r="Q24" i="21"/>
  <c r="P25" i="21"/>
  <c r="S25" i="21"/>
  <c r="R25" i="21"/>
  <c r="J25" i="21"/>
  <c r="T25" i="21"/>
  <c r="B27" i="23" s="1"/>
  <c r="AX28" i="21"/>
  <c r="T29" i="21"/>
  <c r="B31" i="23" s="1"/>
  <c r="P29" i="21"/>
  <c r="S29" i="21"/>
  <c r="K29" i="21"/>
  <c r="AK31" i="23" s="1"/>
  <c r="J29" i="21"/>
  <c r="R29" i="21"/>
  <c r="AX32" i="21"/>
  <c r="T33" i="21"/>
  <c r="B35" i="23" s="1"/>
  <c r="P33" i="21"/>
  <c r="S33" i="21"/>
  <c r="K33" i="21"/>
  <c r="AK35" i="23" s="1"/>
  <c r="J33" i="21"/>
  <c r="R33" i="21"/>
  <c r="AX40" i="21"/>
  <c r="S24" i="21"/>
  <c r="R24" i="21"/>
  <c r="T24" i="21"/>
  <c r="B26" i="23" s="1"/>
  <c r="T26" i="21"/>
  <c r="B28" i="23" s="1"/>
  <c r="P26" i="21"/>
  <c r="S26" i="21"/>
  <c r="K26" i="21"/>
  <c r="AK28" i="23" s="1"/>
  <c r="J26" i="21"/>
  <c r="R26" i="21"/>
  <c r="AX29" i="21"/>
  <c r="T30" i="21"/>
  <c r="B32" i="23" s="1"/>
  <c r="P30" i="21"/>
  <c r="S30" i="21"/>
  <c r="K30" i="21"/>
  <c r="AK32" i="23" s="1"/>
  <c r="J30" i="21"/>
  <c r="R30" i="21"/>
  <c r="AX33" i="21"/>
  <c r="T34" i="21"/>
  <c r="B36" i="23" s="1"/>
  <c r="P34" i="21"/>
  <c r="S34" i="21"/>
  <c r="K34" i="21"/>
  <c r="AK36" i="23" s="1"/>
  <c r="J34" i="21"/>
  <c r="R34" i="21"/>
  <c r="U37" i="21"/>
  <c r="Q37" i="21"/>
  <c r="R37" i="21"/>
  <c r="J39" i="21"/>
  <c r="T39" i="21"/>
  <c r="B41" i="23" s="1"/>
  <c r="T46" i="21"/>
  <c r="B48" i="23" s="1"/>
  <c r="P46" i="21"/>
  <c r="S46" i="21"/>
  <c r="K46" i="21"/>
  <c r="AK48" i="23" s="1"/>
  <c r="Q46" i="21"/>
  <c r="N46" i="21"/>
  <c r="U46" i="21"/>
  <c r="K39" i="21"/>
  <c r="AK41" i="23" s="1"/>
  <c r="P39" i="21"/>
  <c r="AX45" i="21"/>
  <c r="U48" i="21"/>
  <c r="Q48" i="21"/>
  <c r="T48" i="21"/>
  <c r="B50" i="23" s="1"/>
  <c r="P48" i="21"/>
  <c r="S48" i="21"/>
  <c r="K48" i="21"/>
  <c r="AK50" i="23" s="1"/>
  <c r="N48" i="21"/>
  <c r="J48" i="21"/>
  <c r="U39" i="21"/>
  <c r="Q39" i="21"/>
  <c r="R39" i="21"/>
  <c r="AX46" i="21"/>
  <c r="Q40" i="21"/>
  <c r="U40" i="21"/>
  <c r="Q41" i="21"/>
  <c r="U41" i="21"/>
  <c r="Q42" i="21"/>
  <c r="U42" i="21"/>
  <c r="R43" i="21"/>
  <c r="N45" i="21"/>
  <c r="J47" i="21"/>
  <c r="AX47" i="21"/>
  <c r="U49" i="21"/>
  <c r="Q49" i="21"/>
  <c r="T49" i="21"/>
  <c r="B51" i="23" s="1"/>
  <c r="P49" i="21"/>
  <c r="S49" i="21"/>
  <c r="K49" i="21"/>
  <c r="AK51" i="23" s="1"/>
  <c r="R49" i="21"/>
  <c r="J40" i="21"/>
  <c r="N40" i="21"/>
  <c r="R40" i="21"/>
  <c r="J41" i="21"/>
  <c r="N41" i="21"/>
  <c r="R41" i="21"/>
  <c r="J42" i="21"/>
  <c r="N42" i="21"/>
  <c r="R42" i="21"/>
  <c r="T43" i="21"/>
  <c r="B45" i="23" s="1"/>
  <c r="P43" i="21"/>
  <c r="J43" i="21"/>
  <c r="N43" i="21"/>
  <c r="S43" i="21"/>
  <c r="AX48" i="21"/>
  <c r="AX44" i="21"/>
  <c r="T45" i="21"/>
  <c r="B47" i="23" s="1"/>
  <c r="P45" i="21"/>
  <c r="S45" i="21"/>
  <c r="K45" i="21"/>
  <c r="AK47" i="23" s="1"/>
  <c r="J45" i="21"/>
  <c r="R45" i="21"/>
  <c r="U47" i="21"/>
  <c r="Q47" i="21"/>
  <c r="T47" i="21"/>
  <c r="B49" i="23" s="1"/>
  <c r="P47" i="21"/>
  <c r="S47" i="21"/>
  <c r="K47" i="21"/>
  <c r="AK49" i="23" s="1"/>
  <c r="R47" i="21"/>
  <c r="AX49" i="21"/>
  <c r="O56" i="21"/>
  <c r="Q56" i="21" s="1"/>
  <c r="E13" i="11" l="1"/>
  <c r="F13" i="33"/>
  <c r="E13" i="24"/>
  <c r="S184" i="23"/>
  <c r="T189" i="23" s="1"/>
  <c r="O84" i="21"/>
  <c r="I66" i="21"/>
  <c r="L66" i="21" s="1"/>
  <c r="M66" i="21" s="1"/>
  <c r="T56" i="21"/>
  <c r="AP80" i="23" s="1"/>
  <c r="AC222" i="23" s="1"/>
  <c r="AH42" i="21"/>
  <c r="AY42" i="21" s="1"/>
  <c r="AH41" i="21"/>
  <c r="AY41" i="21" s="1"/>
  <c r="O58" i="21"/>
  <c r="Q58" i="21" s="1"/>
  <c r="H83" i="23"/>
  <c r="AH40" i="21"/>
  <c r="AY40" i="21" s="1"/>
  <c r="H60" i="21"/>
  <c r="K60" i="21" s="1"/>
  <c r="S60" i="21" s="1"/>
  <c r="R122" i="23"/>
  <c r="X122" i="23" s="1"/>
  <c r="AH37" i="21"/>
  <c r="AY37" i="21" s="1"/>
  <c r="B39" i="23"/>
  <c r="O85" i="23"/>
  <c r="AG80" i="23"/>
  <c r="H153" i="23"/>
  <c r="R141" i="23"/>
  <c r="AA141" i="23" s="1"/>
  <c r="L143" i="23" s="1"/>
  <c r="AA143" i="23" s="1"/>
  <c r="C207" i="23"/>
  <c r="Y211" i="23"/>
  <c r="O216" i="23" s="1"/>
  <c r="V216" i="23" s="1"/>
  <c r="I54" i="21"/>
  <c r="G54" i="21"/>
  <c r="B3" i="21" s="1"/>
  <c r="T5" i="23" s="1"/>
  <c r="AH25" i="21"/>
  <c r="AY25" i="21" s="1"/>
  <c r="AH19" i="21"/>
  <c r="AY19" i="21" s="1"/>
  <c r="AH18" i="21"/>
  <c r="AY18" i="21" s="1"/>
  <c r="AH16" i="21"/>
  <c r="AY16" i="21" s="1"/>
  <c r="L54" i="21"/>
  <c r="U20" i="21"/>
  <c r="AH11" i="21"/>
  <c r="AY11" i="21" s="1"/>
  <c r="AH20" i="21"/>
  <c r="AY20" i="21" s="1"/>
  <c r="AH10" i="21"/>
  <c r="AY10" i="21" s="1"/>
  <c r="U19" i="21"/>
  <c r="AH47" i="21"/>
  <c r="AY47" i="21" s="1"/>
  <c r="AH43" i="21"/>
  <c r="AY43" i="21" s="1"/>
  <c r="AH12" i="21"/>
  <c r="AY12" i="21" s="1"/>
  <c r="AH22" i="21"/>
  <c r="AY22" i="21" s="1"/>
  <c r="AH49" i="21"/>
  <c r="AY49" i="21" s="1"/>
  <c r="AH48" i="21"/>
  <c r="AY48" i="21" s="1"/>
  <c r="AH39" i="21"/>
  <c r="AY39" i="21" s="1"/>
  <c r="AH26" i="21"/>
  <c r="AY26" i="21" s="1"/>
  <c r="AH24" i="21"/>
  <c r="AY24" i="21" s="1"/>
  <c r="K25" i="21"/>
  <c r="AK27" i="23" s="1"/>
  <c r="AH36" i="21"/>
  <c r="AY36" i="21" s="1"/>
  <c r="AH28" i="21"/>
  <c r="AY28" i="21" s="1"/>
  <c r="P11" i="21"/>
  <c r="K18" i="21"/>
  <c r="T9" i="21"/>
  <c r="B11" i="23" s="1"/>
  <c r="F3" i="21"/>
  <c r="E3" i="21"/>
  <c r="J22" i="21"/>
  <c r="U17" i="21"/>
  <c r="P16" i="21"/>
  <c r="U16" i="21" s="1"/>
  <c r="H54" i="21"/>
  <c r="AH44" i="21"/>
  <c r="AY44" i="21" s="1"/>
  <c r="P24" i="21"/>
  <c r="U24" i="21" s="1"/>
  <c r="U11" i="21"/>
  <c r="AH21" i="21"/>
  <c r="AY21" i="21" s="1"/>
  <c r="AH35" i="21"/>
  <c r="AY35" i="21" s="1"/>
  <c r="AH45" i="21"/>
  <c r="AY45" i="21" s="1"/>
  <c r="AH30" i="21"/>
  <c r="AY30" i="21" s="1"/>
  <c r="AH29" i="21"/>
  <c r="AY29" i="21" s="1"/>
  <c r="AH38" i="21"/>
  <c r="AY38" i="21" s="1"/>
  <c r="AH23" i="21"/>
  <c r="AY23" i="21" s="1"/>
  <c r="P15" i="21"/>
  <c r="U15" i="21" s="1"/>
  <c r="P14" i="21"/>
  <c r="U14" i="21" s="1"/>
  <c r="R9" i="21"/>
  <c r="P17" i="21"/>
  <c r="P13" i="21"/>
  <c r="U13" i="21" s="1"/>
  <c r="U9" i="21"/>
  <c r="AH27" i="21"/>
  <c r="AY27" i="21" s="1"/>
  <c r="AH46" i="21"/>
  <c r="AY46" i="21" s="1"/>
  <c r="AH34" i="21"/>
  <c r="AY34" i="21" s="1"/>
  <c r="AH33" i="21"/>
  <c r="AY33" i="21" s="1"/>
  <c r="U25" i="21"/>
  <c r="AH32" i="21"/>
  <c r="AY32" i="21" s="1"/>
  <c r="AH15" i="21"/>
  <c r="AY15" i="21" s="1"/>
  <c r="J19" i="21"/>
  <c r="U18" i="21"/>
  <c r="AH14" i="21"/>
  <c r="AY14" i="21" s="1"/>
  <c r="AH17" i="21"/>
  <c r="AY17" i="21" s="1"/>
  <c r="AH13" i="21"/>
  <c r="AY13" i="21" s="1"/>
  <c r="J9" i="21"/>
  <c r="AH31" i="21"/>
  <c r="AY31" i="21" s="1"/>
  <c r="Q66" i="21" l="1"/>
  <c r="Y10" i="21"/>
  <c r="Y18" i="21"/>
  <c r="Y26" i="21"/>
  <c r="Y34" i="21"/>
  <c r="Y42" i="21"/>
  <c r="Z9" i="21"/>
  <c r="Y25" i="21"/>
  <c r="Y43" i="21"/>
  <c r="Z19" i="21"/>
  <c r="Z33" i="21"/>
  <c r="Z49" i="21"/>
  <c r="Z16" i="21"/>
  <c r="Z24" i="21"/>
  <c r="Z32" i="21"/>
  <c r="Z40" i="21"/>
  <c r="Z48" i="21"/>
  <c r="Y19" i="21"/>
  <c r="Y33" i="21"/>
  <c r="Y49" i="21"/>
  <c r="Z25" i="21"/>
  <c r="Z43" i="21"/>
  <c r="Y32" i="21"/>
  <c r="Z14" i="21"/>
  <c r="Z38" i="21"/>
  <c r="Y31" i="21"/>
  <c r="Z39" i="21"/>
  <c r="Y12" i="21"/>
  <c r="Y20" i="21"/>
  <c r="Y28" i="21"/>
  <c r="Y36" i="21"/>
  <c r="Y44" i="21"/>
  <c r="Y13" i="21"/>
  <c r="Y29" i="21"/>
  <c r="Y47" i="21"/>
  <c r="Z23" i="21"/>
  <c r="Z37" i="21"/>
  <c r="Z10" i="21"/>
  <c r="Z18" i="21"/>
  <c r="Z26" i="21"/>
  <c r="Z34" i="21"/>
  <c r="Z42" i="21"/>
  <c r="Y9" i="21"/>
  <c r="Y23" i="21"/>
  <c r="Y37" i="21"/>
  <c r="Z13" i="21"/>
  <c r="Z29" i="21"/>
  <c r="Z47" i="21"/>
  <c r="Y16" i="21"/>
  <c r="Z45" i="21"/>
  <c r="Z46" i="21"/>
  <c r="Y45" i="21"/>
  <c r="Y14" i="21"/>
  <c r="Y22" i="21"/>
  <c r="Y30" i="21"/>
  <c r="Y38" i="21"/>
  <c r="Y46" i="21"/>
  <c r="Y17" i="21"/>
  <c r="Y35" i="21"/>
  <c r="Z11" i="21"/>
  <c r="Z27" i="21"/>
  <c r="Z41" i="21"/>
  <c r="Z12" i="21"/>
  <c r="Z20" i="21"/>
  <c r="Z28" i="21"/>
  <c r="Z36" i="21"/>
  <c r="Z44" i="21"/>
  <c r="Y11" i="21"/>
  <c r="Y27" i="21"/>
  <c r="Y41" i="21"/>
  <c r="Z17" i="21"/>
  <c r="Z35" i="21"/>
  <c r="Y24" i="21"/>
  <c r="Y40" i="21"/>
  <c r="Y48" i="21"/>
  <c r="Y21" i="21"/>
  <c r="Y39" i="21"/>
  <c r="Z15" i="21"/>
  <c r="Z31" i="21"/>
  <c r="Z22" i="21"/>
  <c r="Z30" i="21"/>
  <c r="Y15" i="21"/>
  <c r="Z21" i="21"/>
  <c r="S58" i="21"/>
  <c r="T58" i="21"/>
  <c r="AP85" i="23"/>
  <c r="AJ223" i="23" s="1"/>
  <c r="S171" i="23"/>
  <c r="AB171" i="23" s="1"/>
  <c r="L173" i="23" s="1"/>
  <c r="AB173" i="23" s="1"/>
  <c r="H183" i="23"/>
  <c r="I55" i="21"/>
  <c r="AK20" i="23"/>
  <c r="Q118" i="23" s="1"/>
  <c r="R119" i="23" s="1"/>
  <c r="X119" i="23" s="1"/>
  <c r="T197" i="23"/>
  <c r="H223" i="23"/>
  <c r="AG82" i="23"/>
  <c r="T54" i="21"/>
  <c r="T78" i="23"/>
  <c r="AB92" i="23"/>
  <c r="AB104" i="23"/>
  <c r="Y92" i="23"/>
  <c r="Y104" i="23"/>
  <c r="H55" i="21"/>
  <c r="AH9" i="21"/>
  <c r="AY9" i="21" s="1"/>
  <c r="K54" i="21" s="1"/>
  <c r="K3" i="21"/>
  <c r="L3" i="21"/>
  <c r="C12" i="3"/>
  <c r="W56" i="21" l="1"/>
  <c r="L23" i="33"/>
  <c r="L29" i="33"/>
  <c r="L50" i="33"/>
  <c r="L44" i="33"/>
  <c r="L21" i="33"/>
  <c r="W58" i="21"/>
  <c r="Y58" i="21" s="1"/>
  <c r="W61" i="21"/>
  <c r="Y61" i="21" s="1"/>
  <c r="W60" i="21"/>
  <c r="L45" i="33"/>
  <c r="L36" i="33"/>
  <c r="L34" i="33"/>
  <c r="L37" i="33"/>
  <c r="L20" i="33"/>
  <c r="L46" i="33"/>
  <c r="L41" i="33"/>
  <c r="L38" i="33"/>
  <c r="L42" i="33"/>
  <c r="L24" i="33"/>
  <c r="L27" i="33"/>
  <c r="L57" i="33"/>
  <c r="L25" i="33"/>
  <c r="L28" i="33"/>
  <c r="L47" i="33"/>
  <c r="K55" i="21"/>
  <c r="S55" i="21" s="1"/>
  <c r="W55" i="21" s="1"/>
  <c r="L30" i="33"/>
  <c r="L40" i="33"/>
  <c r="L52" i="33"/>
  <c r="L54" i="33"/>
  <c r="L49" i="33"/>
  <c r="L51" i="33"/>
  <c r="L48" i="33"/>
  <c r="L22" i="33"/>
  <c r="K97" i="23"/>
  <c r="AH97" i="23" s="1"/>
  <c r="M3" i="21"/>
  <c r="E12" i="11" s="1"/>
  <c r="AU78" i="23"/>
  <c r="Y197" i="23"/>
  <c r="O202" i="23" s="1"/>
  <c r="V202" i="23" s="1"/>
  <c r="P196" i="23"/>
  <c r="O84" i="23"/>
  <c r="S54" i="21"/>
  <c r="AP78" i="23" s="1"/>
  <c r="O78" i="23"/>
  <c r="L19" i="33"/>
  <c r="L32" i="33"/>
  <c r="J54" i="21"/>
  <c r="Q3" i="21"/>
  <c r="C67" i="21" s="1"/>
  <c r="S3" i="21"/>
  <c r="F67" i="21" s="1"/>
  <c r="R3" i="21"/>
  <c r="D67" i="21" s="1"/>
  <c r="L33" i="33"/>
  <c r="E66" i="21"/>
  <c r="E58" i="21"/>
  <c r="E55" i="21"/>
  <c r="H79" i="23" s="1"/>
  <c r="E67" i="21"/>
  <c r="E56" i="21"/>
  <c r="M84" i="21"/>
  <c r="P84" i="21" s="1"/>
  <c r="Q84" i="21" s="1"/>
  <c r="E54" i="21"/>
  <c r="H78" i="23" s="1"/>
  <c r="L26" i="33"/>
  <c r="L17" i="33" l="1"/>
  <c r="AE8" i="21"/>
  <c r="U3" i="21" s="1"/>
  <c r="L31" i="33"/>
  <c r="L35" i="33"/>
  <c r="AU230" i="23"/>
  <c r="X61" i="21"/>
  <c r="L43" i="33"/>
  <c r="L56" i="33"/>
  <c r="L53" i="33"/>
  <c r="L55" i="33"/>
  <c r="L39" i="33"/>
  <c r="L18" i="33"/>
  <c r="F12" i="33"/>
  <c r="AM97" i="23"/>
  <c r="X98" i="23"/>
  <c r="O79" i="23"/>
  <c r="AM98" i="23"/>
  <c r="AH98" i="23"/>
  <c r="AR98" i="23"/>
  <c r="AR97" i="23"/>
  <c r="AH100" i="23"/>
  <c r="AC98" i="23"/>
  <c r="AC97" i="23"/>
  <c r="AB102" i="23"/>
  <c r="E12" i="24"/>
  <c r="X102" i="23"/>
  <c r="AW97" i="23"/>
  <c r="V230" i="23"/>
  <c r="Y56" i="21"/>
  <c r="Z55" i="21"/>
  <c r="AP79" i="23"/>
  <c r="X58" i="21"/>
  <c r="AF230" i="23"/>
  <c r="AP84" i="23"/>
  <c r="AB223" i="23" s="1"/>
  <c r="W54" i="21"/>
  <c r="P107" i="23"/>
  <c r="P95" i="23"/>
  <c r="O59" i="21"/>
  <c r="H82" i="23"/>
  <c r="O57" i="21"/>
  <c r="H80" i="23"/>
  <c r="E62" i="21"/>
  <c r="H86" i="23" s="1"/>
  <c r="X56" i="21"/>
  <c r="G67" i="21"/>
  <c r="A56" i="24"/>
  <c r="A55" i="11"/>
  <c r="A53" i="24"/>
  <c r="A51" i="11"/>
  <c r="A50" i="11"/>
  <c r="A47" i="24"/>
  <c r="A43" i="24"/>
  <c r="A40" i="24"/>
  <c r="A39" i="11"/>
  <c r="A37" i="24"/>
  <c r="A35" i="24"/>
  <c r="A34" i="11"/>
  <c r="A31" i="11"/>
  <c r="A30" i="11"/>
  <c r="A29" i="24"/>
  <c r="A28" i="24"/>
  <c r="A23" i="11"/>
  <c r="A17" i="11"/>
  <c r="L230" i="23" l="1"/>
  <c r="Z54" i="21"/>
  <c r="AP230" i="23"/>
  <c r="Y60" i="21"/>
  <c r="Q57" i="21"/>
  <c r="S57" i="21" s="1"/>
  <c r="Q59" i="21"/>
  <c r="O127" i="23"/>
  <c r="V127" i="23" s="1"/>
  <c r="V222" i="23"/>
  <c r="X55" i="21"/>
  <c r="Q230" i="23"/>
  <c r="A47" i="11"/>
  <c r="A31" i="24"/>
  <c r="A35" i="11"/>
  <c r="A51" i="24"/>
  <c r="A27" i="24"/>
  <c r="A43" i="11"/>
  <c r="A27" i="11"/>
  <c r="A42" i="24"/>
  <c r="A42" i="11"/>
  <c r="A23" i="24"/>
  <c r="A48" i="11"/>
  <c r="A48" i="24"/>
  <c r="A19" i="24"/>
  <c r="A19" i="11"/>
  <c r="A24" i="11"/>
  <c r="A24" i="24"/>
  <c r="A26" i="24"/>
  <c r="A26" i="11"/>
  <c r="A32" i="11"/>
  <c r="A32" i="24"/>
  <c r="A39" i="24"/>
  <c r="A57" i="24"/>
  <c r="A57" i="11"/>
  <c r="A20" i="11"/>
  <c r="A20" i="24"/>
  <c r="A41" i="24"/>
  <c r="A41" i="11"/>
  <c r="A55" i="24"/>
  <c r="A54" i="11"/>
  <c r="A46" i="11"/>
  <c r="A38" i="11"/>
  <c r="A22" i="11"/>
  <c r="A18" i="11"/>
  <c r="A36" i="24"/>
  <c r="A44" i="24"/>
  <c r="A52" i="24"/>
  <c r="A53" i="11"/>
  <c r="A49" i="11"/>
  <c r="A45" i="11"/>
  <c r="A37" i="11"/>
  <c r="A33" i="11"/>
  <c r="A29" i="11"/>
  <c r="A25" i="11"/>
  <c r="A21" i="11"/>
  <c r="A17" i="24"/>
  <c r="A21" i="24"/>
  <c r="A25" i="24"/>
  <c r="A33" i="24"/>
  <c r="A45" i="24"/>
  <c r="A49" i="24"/>
  <c r="A56" i="11"/>
  <c r="A52" i="11"/>
  <c r="A44" i="11"/>
  <c r="A40" i="11"/>
  <c r="A36" i="11"/>
  <c r="A28" i="11"/>
  <c r="A18" i="24"/>
  <c r="A22" i="24"/>
  <c r="A30" i="24"/>
  <c r="A34" i="24"/>
  <c r="A38" i="24"/>
  <c r="A46" i="24"/>
  <c r="A50" i="24"/>
  <c r="A54" i="24"/>
  <c r="A48" i="30"/>
  <c r="A42" i="30"/>
  <c r="A40" i="30"/>
  <c r="A38" i="30"/>
  <c r="A34" i="30"/>
  <c r="A33" i="30"/>
  <c r="A31" i="30"/>
  <c r="A28" i="30"/>
  <c r="A14" i="30"/>
  <c r="T59" i="21" l="1"/>
  <c r="AP83" i="23" s="1"/>
  <c r="S59" i="21"/>
  <c r="T57" i="21"/>
  <c r="S62" i="21"/>
  <c r="AP86" i="23" s="1"/>
  <c r="AG81" i="23"/>
  <c r="Z62" i="21"/>
  <c r="F71" i="21" s="1"/>
  <c r="AG83" i="23"/>
  <c r="A13" i="30"/>
  <c r="A21" i="30"/>
  <c r="A29" i="30"/>
  <c r="A19" i="30"/>
  <c r="A27" i="30"/>
  <c r="A32" i="30"/>
  <c r="A35" i="30"/>
  <c r="A17" i="30"/>
  <c r="A25" i="30"/>
  <c r="A36" i="30"/>
  <c r="A15" i="30"/>
  <c r="A23" i="30"/>
  <c r="A43" i="30"/>
  <c r="A46" i="30"/>
  <c r="A10" i="30"/>
  <c r="A12" i="30"/>
  <c r="A30" i="30"/>
  <c r="A39" i="30"/>
  <c r="A44" i="30"/>
  <c r="A9" i="30"/>
  <c r="A11" i="30"/>
  <c r="A16" i="30"/>
  <c r="A18" i="30"/>
  <c r="A20" i="30"/>
  <c r="A22" i="30"/>
  <c r="A24" i="30"/>
  <c r="A26" i="30"/>
  <c r="A37" i="30"/>
  <c r="A45" i="30"/>
  <c r="A41" i="30"/>
  <c r="A49" i="30"/>
  <c r="A47" i="30"/>
  <c r="W57" i="21" l="1"/>
  <c r="W62" i="21" s="1"/>
  <c r="AP81" i="23"/>
  <c r="W59" i="21"/>
  <c r="Y59" i="21" s="1"/>
  <c r="T62" i="21"/>
  <c r="Y57" i="21" l="1"/>
  <c r="C76" i="21" s="1"/>
  <c r="AK230" i="23"/>
  <c r="X59" i="21"/>
  <c r="AU86" i="23"/>
  <c r="AA230" i="23"/>
  <c r="L229" i="23"/>
  <c r="X57" i="21"/>
  <c r="B53" i="3"/>
  <c r="B47" i="3"/>
  <c r="B37" i="3"/>
  <c r="B43" i="3"/>
  <c r="B50" i="3"/>
  <c r="B45" i="3"/>
  <c r="B42" i="3"/>
  <c r="B40" i="3"/>
  <c r="B36" i="3"/>
  <c r="B41" i="3"/>
  <c r="B55" i="3"/>
  <c r="B51" i="3"/>
  <c r="B39" i="3"/>
  <c r="B49" i="3"/>
  <c r="B35" i="3"/>
  <c r="B54" i="3"/>
  <c r="B52" i="3"/>
  <c r="B48" i="3"/>
  <c r="B46" i="3"/>
  <c r="B44" i="3"/>
  <c r="B38" i="3"/>
  <c r="C72" i="21" l="1"/>
  <c r="E73" i="21" s="1"/>
  <c r="E75" i="21" s="1"/>
  <c r="Y62" i="21"/>
  <c r="G71" i="21" s="1"/>
  <c r="C75" i="21"/>
  <c r="C78" i="21"/>
  <c r="C74" i="21"/>
  <c r="C79" i="21"/>
  <c r="C73" i="21"/>
  <c r="F73" i="21" s="1"/>
  <c r="F75" i="21" s="1"/>
  <c r="C77" i="21"/>
  <c r="X62" i="21"/>
  <c r="V62" i="21" s="1"/>
  <c r="BC86" i="23" s="1"/>
  <c r="E71" i="21" l="1"/>
  <c r="E72" i="21"/>
  <c r="G72" i="21" s="1"/>
  <c r="E76" i="21" s="1"/>
  <c r="G75" i="21"/>
  <c r="C8" i="3"/>
  <c r="G59" i="33" l="1"/>
  <c r="E77" i="21"/>
  <c r="E63" i="24"/>
  <c r="A63" i="24"/>
  <c r="F62" i="24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B19" i="3"/>
  <c r="D8" i="3"/>
  <c r="B18" i="3"/>
  <c r="B34" i="3"/>
  <c r="H59" i="33" l="1"/>
  <c r="G62" i="11"/>
  <c r="D66" i="21"/>
  <c r="C66" i="21"/>
  <c r="G62" i="24"/>
  <c r="I244" i="23"/>
  <c r="B15" i="3"/>
  <c r="AF244" i="23" l="1"/>
  <c r="AA244" i="23"/>
  <c r="G66" i="21"/>
  <c r="B8" i="3"/>
  <c r="H66" i="21" l="1"/>
  <c r="H67" i="21" s="1"/>
  <c r="C9" i="25"/>
  <c r="C8" i="25"/>
  <c r="C7" i="25"/>
  <c r="C6" i="25"/>
  <c r="A59" i="11" l="1"/>
  <c r="A60" i="11" s="1"/>
  <c r="A61" i="11"/>
  <c r="K66" i="21"/>
  <c r="T66" i="21" s="1"/>
  <c r="T67" i="21" s="1"/>
  <c r="F59" i="11" s="1"/>
  <c r="U66" i="21"/>
  <c r="U67" i="21" s="1"/>
  <c r="A61" i="24"/>
  <c r="A59" i="24"/>
  <c r="A60" i="24" s="1"/>
  <c r="I67" i="21"/>
  <c r="R66" i="21"/>
  <c r="T3" i="21" s="1"/>
  <c r="J66" i="21"/>
  <c r="H17" i="30"/>
  <c r="H23" i="30"/>
  <c r="H9" i="30"/>
  <c r="H44" i="30"/>
  <c r="H38" i="30"/>
  <c r="H16" i="30"/>
  <c r="H35" i="30"/>
  <c r="H20" i="30"/>
  <c r="H32" i="30"/>
  <c r="H47" i="30"/>
  <c r="H31" i="30"/>
  <c r="H33" i="30"/>
  <c r="H36" i="30"/>
  <c r="H26" i="30"/>
  <c r="H10" i="30"/>
  <c r="H49" i="30"/>
  <c r="H34" i="30"/>
  <c r="H30" i="30"/>
  <c r="H11" i="30"/>
  <c r="H13" i="30"/>
  <c r="H41" i="30"/>
  <c r="H25" i="30"/>
  <c r="H19" i="30"/>
  <c r="H28" i="30"/>
  <c r="H14" i="30"/>
  <c r="H45" i="30"/>
  <c r="H46" i="30"/>
  <c r="H48" i="30"/>
  <c r="H39" i="30"/>
  <c r="H15" i="30"/>
  <c r="H43" i="30"/>
  <c r="H22" i="30"/>
  <c r="H27" i="30"/>
  <c r="H42" i="30"/>
  <c r="H21" i="30"/>
  <c r="H12" i="30"/>
  <c r="H40" i="30"/>
  <c r="H37" i="30"/>
  <c r="H29" i="30"/>
  <c r="H18" i="30"/>
  <c r="H24" i="30"/>
  <c r="A48" i="13"/>
  <c r="G59" i="11" l="1"/>
  <c r="G59" i="24"/>
  <c r="F59" i="24"/>
  <c r="O66" i="21"/>
  <c r="E9" i="24"/>
  <c r="E8" i="24"/>
  <c r="E7" i="24"/>
  <c r="E6" i="24"/>
  <c r="A4" i="24"/>
  <c r="H4" i="3"/>
  <c r="E4" i="3"/>
  <c r="C4" i="3"/>
  <c r="H3" i="3"/>
  <c r="E3" i="3"/>
  <c r="C3" i="3"/>
  <c r="P66" i="21" l="1"/>
  <c r="N66" i="21"/>
  <c r="E9" i="11"/>
  <c r="E8" i="11"/>
  <c r="E7" i="11"/>
  <c r="E6" i="11"/>
  <c r="S66" i="21" l="1"/>
  <c r="E61" i="24" s="1"/>
  <c r="AA34" i="21"/>
  <c r="AB14" i="21"/>
  <c r="AD42" i="21"/>
  <c r="AA30" i="21"/>
  <c r="AC21" i="21"/>
  <c r="AD44" i="21"/>
  <c r="AA40" i="21"/>
  <c r="AB30" i="21"/>
  <c r="AA20" i="21"/>
  <c r="AB48" i="21"/>
  <c r="AB36" i="21"/>
  <c r="AB19" i="21"/>
  <c r="AA32" i="21"/>
  <c r="AD27" i="21"/>
  <c r="AC30" i="21"/>
  <c r="AB34" i="21"/>
  <c r="AC10" i="21"/>
  <c r="AC15" i="21"/>
  <c r="AB13" i="21"/>
  <c r="AC34" i="21"/>
  <c r="AD10" i="21"/>
  <c r="AD39" i="21"/>
  <c r="AB11" i="21"/>
  <c r="AC19" i="21"/>
  <c r="AD20" i="21"/>
  <c r="AC14" i="21"/>
  <c r="AD19" i="21"/>
  <c r="AA38" i="21"/>
  <c r="AA14" i="21"/>
  <c r="AA43" i="21"/>
  <c r="AD33" i="21"/>
  <c r="AA46" i="21"/>
  <c r="AB17" i="21"/>
  <c r="AC46" i="21"/>
  <c r="AD34" i="21"/>
  <c r="AD45" i="21"/>
  <c r="AB25" i="21"/>
  <c r="AB42" i="21"/>
  <c r="AA39" i="21"/>
  <c r="AA22" i="21"/>
  <c r="AA16" i="21"/>
  <c r="AA23" i="21"/>
  <c r="AD37" i="21"/>
  <c r="AD16" i="21"/>
  <c r="AB20" i="21"/>
  <c r="AD25" i="21"/>
  <c r="AA15" i="21"/>
  <c r="AB9" i="21"/>
  <c r="AB33" i="21"/>
  <c r="AC35" i="21"/>
  <c r="AB18" i="21"/>
  <c r="AD43" i="21"/>
  <c r="AD18" i="21"/>
  <c r="AC39" i="21"/>
  <c r="AC20" i="21"/>
  <c r="AC24" i="21"/>
  <c r="AA35" i="21"/>
  <c r="AB21" i="21"/>
  <c r="AC45" i="21"/>
  <c r="AB39" i="21"/>
  <c r="AB46" i="21"/>
  <c r="AD31" i="21"/>
  <c r="AB29" i="21"/>
  <c r="AC36" i="21"/>
  <c r="AB43" i="21"/>
  <c r="AC16" i="21"/>
  <c r="AD46" i="21"/>
  <c r="AB45" i="21"/>
  <c r="AA36" i="21"/>
  <c r="AB24" i="21"/>
  <c r="AC26" i="21"/>
  <c r="AA19" i="21"/>
  <c r="AB10" i="21"/>
  <c r="AC44" i="21"/>
  <c r="AA37" i="21"/>
  <c r="AC9" i="21"/>
  <c r="AD13" i="21"/>
  <c r="AD28" i="21"/>
  <c r="AD26" i="21"/>
  <c r="AA21" i="21"/>
  <c r="AA41" i="21"/>
  <c r="AB23" i="21"/>
  <c r="AC37" i="21"/>
  <c r="AA17" i="21"/>
  <c r="AB41" i="21"/>
  <c r="AB49" i="21"/>
  <c r="AB32" i="21"/>
  <c r="AD22" i="21"/>
  <c r="AB15" i="21"/>
  <c r="AA9" i="21"/>
  <c r="AB35" i="21"/>
  <c r="AB12" i="21"/>
  <c r="AA45" i="21"/>
  <c r="AA26" i="21"/>
  <c r="AC40" i="21"/>
  <c r="AB47" i="21"/>
  <c r="AD21" i="21"/>
  <c r="AC47" i="21"/>
  <c r="AC29" i="21"/>
  <c r="AC31" i="21"/>
  <c r="AC38" i="21"/>
  <c r="AA11" i="21"/>
  <c r="AB16" i="21"/>
  <c r="AA49" i="21"/>
  <c r="AD23" i="21"/>
  <c r="AC42" i="21"/>
  <c r="AA29" i="21"/>
  <c r="AC33" i="21"/>
  <c r="AA42" i="21"/>
  <c r="AD29" i="21"/>
  <c r="AC13" i="21"/>
  <c r="AD47" i="21"/>
  <c r="AA31" i="21"/>
  <c r="AC28" i="21"/>
  <c r="AC43" i="21"/>
  <c r="AB38" i="21"/>
  <c r="AD40" i="21"/>
  <c r="AC27" i="21"/>
  <c r="AD17" i="21"/>
  <c r="AA13" i="21"/>
  <c r="AC17" i="21"/>
  <c r="AC25" i="21"/>
  <c r="AA48" i="21"/>
  <c r="AA44" i="21"/>
  <c r="AB40" i="21"/>
  <c r="AC41" i="21"/>
  <c r="AC18" i="21"/>
  <c r="AA18" i="21"/>
  <c r="AC22" i="21"/>
  <c r="AB26" i="21"/>
  <c r="AD24" i="21"/>
  <c r="AD15" i="21"/>
  <c r="AD35" i="21"/>
  <c r="AD41" i="21"/>
  <c r="AC12" i="21"/>
  <c r="AB37" i="21"/>
  <c r="AD9" i="21"/>
  <c r="AC32" i="21"/>
  <c r="AD14" i="21"/>
  <c r="AA10" i="21"/>
  <c r="AB31" i="21"/>
  <c r="AB27" i="21"/>
  <c r="AC48" i="21"/>
  <c r="AD12" i="21"/>
  <c r="AA27" i="21"/>
  <c r="AA28" i="21"/>
  <c r="AB28" i="21"/>
  <c r="AA12" i="21"/>
  <c r="AB44" i="21"/>
  <c r="AA24" i="21"/>
  <c r="AA33" i="21"/>
  <c r="AD48" i="21"/>
  <c r="AC23" i="21"/>
  <c r="AD11" i="21"/>
  <c r="AD30" i="21"/>
  <c r="AD36" i="21"/>
  <c r="AA47" i="21"/>
  <c r="AD49" i="21"/>
  <c r="AB22" i="21"/>
  <c r="AC11" i="21"/>
  <c r="AC49" i="21"/>
  <c r="AD32" i="21"/>
  <c r="AA25" i="21"/>
  <c r="AD38" i="21"/>
  <c r="F62" i="11"/>
  <c r="A4" i="11"/>
  <c r="AF25" i="21" l="1"/>
  <c r="Q33" i="33" s="1"/>
  <c r="AF40" i="21"/>
  <c r="Q48" i="33" s="1"/>
  <c r="AF32" i="21"/>
  <c r="Q40" i="33" s="1"/>
  <c r="AF49" i="21"/>
  <c r="Q57" i="33" s="1"/>
  <c r="AF27" i="21"/>
  <c r="Q35" i="33" s="1"/>
  <c r="AF21" i="21"/>
  <c r="Q29" i="33" s="1"/>
  <c r="AF46" i="21"/>
  <c r="Q54" i="33" s="1"/>
  <c r="AF41" i="21"/>
  <c r="Q49" i="33" s="1"/>
  <c r="AF17" i="21"/>
  <c r="Q25" i="33" s="1"/>
  <c r="AF16" i="21"/>
  <c r="Q24" i="33" s="1"/>
  <c r="AF34" i="21"/>
  <c r="Q42" i="33" s="1"/>
  <c r="AF37" i="21"/>
  <c r="Q45" i="33" s="1"/>
  <c r="AF44" i="21"/>
  <c r="Q52" i="33" s="1"/>
  <c r="AF39" i="21"/>
  <c r="Q47" i="33" s="1"/>
  <c r="AF30" i="21"/>
  <c r="Q38" i="33" s="1"/>
  <c r="AF33" i="21"/>
  <c r="Q41" i="33" s="1"/>
  <c r="AF48" i="21"/>
  <c r="Q56" i="33" s="1"/>
  <c r="AF20" i="21"/>
  <c r="Q28" i="33" s="1"/>
  <c r="AF23" i="21"/>
  <c r="Q31" i="33" s="1"/>
  <c r="AF45" i="21"/>
  <c r="Q53" i="33" s="1"/>
  <c r="AF29" i="21"/>
  <c r="Q37" i="33" s="1"/>
  <c r="AF13" i="21"/>
  <c r="Q21" i="33" s="1"/>
  <c r="AF36" i="21"/>
  <c r="Q44" i="33" s="1"/>
  <c r="AF43" i="21"/>
  <c r="Q51" i="33" s="1"/>
  <c r="AF11" i="21"/>
  <c r="Q19" i="33" s="1"/>
  <c r="AF14" i="21"/>
  <c r="Q22" i="33" s="1"/>
  <c r="AF28" i="21"/>
  <c r="Q36" i="33" s="1"/>
  <c r="AF12" i="21"/>
  <c r="Q20" i="33" s="1"/>
  <c r="AF35" i="21"/>
  <c r="Q43" i="33" s="1"/>
  <c r="AF19" i="21"/>
  <c r="Q27" i="33" s="1"/>
  <c r="AF42" i="21"/>
  <c r="Q50" i="33" s="1"/>
  <c r="AF26" i="21"/>
  <c r="Q34" i="33" s="1"/>
  <c r="AF10" i="21"/>
  <c r="Q18" i="33" s="1"/>
  <c r="AF24" i="21"/>
  <c r="Q32" i="33" s="1"/>
  <c r="AF47" i="21"/>
  <c r="Q55" i="33" s="1"/>
  <c r="AF31" i="21"/>
  <c r="Q39" i="33" s="1"/>
  <c r="AF15" i="21"/>
  <c r="Q23" i="33" s="1"/>
  <c r="AF38" i="21"/>
  <c r="Q46" i="33" s="1"/>
  <c r="AF22" i="21"/>
  <c r="Q30" i="33" s="1"/>
  <c r="AF9" i="21"/>
  <c r="Q17" i="33" s="1"/>
  <c r="AF18" i="21"/>
  <c r="Q26" i="33" s="1"/>
  <c r="E61" i="11"/>
  <c r="H44" i="33"/>
  <c r="G36" i="30"/>
  <c r="F20" i="33"/>
  <c r="E20" i="24"/>
  <c r="E20" i="11"/>
  <c r="E12" i="30"/>
  <c r="F18" i="33"/>
  <c r="E18" i="24"/>
  <c r="E18" i="11"/>
  <c r="E10" i="30"/>
  <c r="F26" i="33"/>
  <c r="E26" i="11"/>
  <c r="E26" i="24"/>
  <c r="E18" i="30"/>
  <c r="F21" i="33"/>
  <c r="E21" i="24"/>
  <c r="E21" i="11"/>
  <c r="E13" i="30"/>
  <c r="J41" i="33"/>
  <c r="F33" i="30"/>
  <c r="J39" i="33"/>
  <c r="F31" i="30"/>
  <c r="K20" i="33"/>
  <c r="F20" i="24"/>
  <c r="G20" i="11"/>
  <c r="F29" i="33"/>
  <c r="E29" i="11"/>
  <c r="E29" i="24"/>
  <c r="E21" i="30"/>
  <c r="K53" i="33"/>
  <c r="G53" i="11"/>
  <c r="F53" i="24"/>
  <c r="H51" i="33"/>
  <c r="G43" i="30"/>
  <c r="H53" i="33"/>
  <c r="G45" i="30"/>
  <c r="F46" i="33"/>
  <c r="E46" i="24"/>
  <c r="E46" i="11"/>
  <c r="E38" i="30"/>
  <c r="J42" i="33"/>
  <c r="F34" i="30"/>
  <c r="K42" i="33"/>
  <c r="G42" i="11"/>
  <c r="F42" i="24"/>
  <c r="K27" i="33"/>
  <c r="G27" i="11"/>
  <c r="F27" i="24"/>
  <c r="K38" i="33"/>
  <c r="F38" i="24"/>
  <c r="G38" i="11"/>
  <c r="F38" i="33"/>
  <c r="E38" i="24"/>
  <c r="E38" i="11"/>
  <c r="E30" i="30"/>
  <c r="F33" i="33"/>
  <c r="E33" i="24"/>
  <c r="E33" i="11"/>
  <c r="E25" i="30"/>
  <c r="K30" i="33"/>
  <c r="F30" i="24"/>
  <c r="G30" i="11"/>
  <c r="H38" i="33"/>
  <c r="G30" i="30"/>
  <c r="F41" i="33"/>
  <c r="E41" i="11"/>
  <c r="E41" i="24"/>
  <c r="E33" i="30"/>
  <c r="K36" i="33"/>
  <c r="F36" i="24"/>
  <c r="G36" i="11"/>
  <c r="J56" i="33"/>
  <c r="F48" i="30"/>
  <c r="H22" i="33"/>
  <c r="G14" i="30"/>
  <c r="J20" i="33"/>
  <c r="F12" i="30"/>
  <c r="H32" i="33"/>
  <c r="G24" i="30"/>
  <c r="J26" i="33"/>
  <c r="F18" i="30"/>
  <c r="F56" i="33"/>
  <c r="E56" i="24"/>
  <c r="E56" i="11"/>
  <c r="E48" i="30"/>
  <c r="H25" i="33"/>
  <c r="G17" i="30"/>
  <c r="J51" i="33"/>
  <c r="F43" i="30"/>
  <c r="J21" i="33"/>
  <c r="F13" i="30"/>
  <c r="F37" i="33"/>
  <c r="E37" i="11"/>
  <c r="E37" i="24"/>
  <c r="E29" i="30"/>
  <c r="K24" i="33"/>
  <c r="F24" i="24"/>
  <c r="G24" i="11"/>
  <c r="J37" i="33"/>
  <c r="F29" i="30"/>
  <c r="J48" i="33"/>
  <c r="F40" i="30"/>
  <c r="K43" i="33"/>
  <c r="F43" i="24"/>
  <c r="G43" i="11"/>
  <c r="K40" i="33"/>
  <c r="F40" i="24"/>
  <c r="G40" i="11"/>
  <c r="J45" i="33"/>
  <c r="F37" i="30"/>
  <c r="H34" i="33"/>
  <c r="G26" i="30"/>
  <c r="F45" i="33"/>
  <c r="E45" i="11"/>
  <c r="E45" i="24"/>
  <c r="E37" i="30"/>
  <c r="J34" i="33"/>
  <c r="F26" i="30"/>
  <c r="H54" i="33"/>
  <c r="G46" i="30"/>
  <c r="K37" i="33"/>
  <c r="F37" i="24"/>
  <c r="G37" i="11"/>
  <c r="J53" i="33"/>
  <c r="F45" i="30"/>
  <c r="J28" i="33"/>
  <c r="F20" i="30"/>
  <c r="K26" i="33"/>
  <c r="F26" i="24"/>
  <c r="G26" i="11"/>
  <c r="F23" i="33"/>
  <c r="E23" i="24"/>
  <c r="E23" i="11"/>
  <c r="E15" i="30"/>
  <c r="H45" i="33"/>
  <c r="G37" i="30"/>
  <c r="F47" i="33"/>
  <c r="E47" i="11"/>
  <c r="E47" i="24"/>
  <c r="E39" i="30"/>
  <c r="H42" i="33"/>
  <c r="G34" i="30"/>
  <c r="H41" i="33"/>
  <c r="G33" i="30"/>
  <c r="H27" i="33"/>
  <c r="G19" i="30"/>
  <c r="K19" i="33"/>
  <c r="F19" i="24"/>
  <c r="G19" i="11"/>
  <c r="K21" i="33"/>
  <c r="G21" i="11"/>
  <c r="F21" i="24"/>
  <c r="J38" i="33"/>
  <c r="F30" i="30"/>
  <c r="K44" i="33"/>
  <c r="G44" i="11"/>
  <c r="F44" i="24"/>
  <c r="F48" i="33"/>
  <c r="E48" i="11"/>
  <c r="E48" i="24"/>
  <c r="E40" i="30"/>
  <c r="H50" i="33"/>
  <c r="G42" i="30"/>
  <c r="H46" i="33"/>
  <c r="G38" i="30"/>
  <c r="H56" i="33"/>
  <c r="G48" i="30"/>
  <c r="H23" i="33"/>
  <c r="G15" i="30"/>
  <c r="F52" i="33"/>
  <c r="E52" i="24"/>
  <c r="E52" i="11"/>
  <c r="E44" i="30"/>
  <c r="K46" i="33"/>
  <c r="F46" i="24"/>
  <c r="G46" i="11"/>
  <c r="F57" i="33"/>
  <c r="E57" i="11"/>
  <c r="E57" i="24"/>
  <c r="E49" i="30"/>
  <c r="K55" i="33"/>
  <c r="G55" i="11"/>
  <c r="F55" i="24"/>
  <c r="F25" i="33"/>
  <c r="E25" i="11"/>
  <c r="E25" i="24"/>
  <c r="E17" i="30"/>
  <c r="F27" i="33"/>
  <c r="E27" i="24"/>
  <c r="E27" i="11"/>
  <c r="E19" i="30"/>
  <c r="K47" i="33"/>
  <c r="G47" i="11"/>
  <c r="F47" i="24"/>
  <c r="H24" i="33"/>
  <c r="G16" i="30"/>
  <c r="F54" i="33"/>
  <c r="E54" i="24"/>
  <c r="E54" i="11"/>
  <c r="E46" i="30"/>
  <c r="H40" i="33"/>
  <c r="G32" i="30"/>
  <c r="H57" i="33"/>
  <c r="G49" i="30"/>
  <c r="H19" i="33"/>
  <c r="G11" i="30"/>
  <c r="F32" i="33"/>
  <c r="E32" i="24"/>
  <c r="E32" i="11"/>
  <c r="E24" i="30"/>
  <c r="F36" i="33"/>
  <c r="E36" i="24"/>
  <c r="E36" i="11"/>
  <c r="E28" i="30"/>
  <c r="K35" i="33"/>
  <c r="G35" i="11"/>
  <c r="F35" i="24"/>
  <c r="J40" i="33"/>
  <c r="F32" i="30"/>
  <c r="H49" i="33"/>
  <c r="G41" i="30"/>
  <c r="K34" i="33"/>
  <c r="G34" i="11"/>
  <c r="F34" i="24"/>
  <c r="J49" i="33"/>
  <c r="F41" i="30"/>
  <c r="J33" i="33"/>
  <c r="F25" i="30"/>
  <c r="J35" i="33"/>
  <c r="F27" i="30"/>
  <c r="J36" i="33"/>
  <c r="F28" i="30"/>
  <c r="H37" i="33"/>
  <c r="G29" i="30"/>
  <c r="J50" i="33"/>
  <c r="F42" i="30"/>
  <c r="F19" i="33"/>
  <c r="E19" i="24"/>
  <c r="E19" i="11"/>
  <c r="E11" i="30"/>
  <c r="J55" i="33"/>
  <c r="F47" i="30"/>
  <c r="F34" i="33"/>
  <c r="E34" i="11"/>
  <c r="E34" i="24"/>
  <c r="E26" i="30"/>
  <c r="F17" i="33"/>
  <c r="E17" i="24"/>
  <c r="E17" i="11"/>
  <c r="E9" i="30"/>
  <c r="K57" i="33"/>
  <c r="G57" i="11"/>
  <c r="F57" i="24"/>
  <c r="K31" i="33"/>
  <c r="F31" i="24"/>
  <c r="G31" i="11"/>
  <c r="H36" i="33"/>
  <c r="G28" i="30"/>
  <c r="J52" i="33"/>
  <c r="F44" i="30"/>
  <c r="K32" i="33"/>
  <c r="F32" i="24"/>
  <c r="G32" i="11"/>
  <c r="J24" i="33"/>
  <c r="F16" i="30"/>
  <c r="H39" i="33"/>
  <c r="G31" i="30"/>
  <c r="K29" i="33"/>
  <c r="G29" i="11"/>
  <c r="F29" i="24"/>
  <c r="J47" i="33"/>
  <c r="F39" i="30"/>
  <c r="J43" i="33"/>
  <c r="F35" i="30"/>
  <c r="H33" i="33"/>
  <c r="G25" i="30"/>
  <c r="F31" i="33"/>
  <c r="E31" i="24"/>
  <c r="E31" i="11"/>
  <c r="E23" i="30"/>
  <c r="K50" i="33"/>
  <c r="F50" i="24"/>
  <c r="G50" i="11"/>
  <c r="J54" i="33"/>
  <c r="F46" i="30"/>
  <c r="F51" i="33"/>
  <c r="E51" i="11"/>
  <c r="E51" i="24"/>
  <c r="E43" i="30"/>
  <c r="J22" i="33"/>
  <c r="F14" i="30"/>
  <c r="H47" i="33"/>
  <c r="G39" i="30"/>
  <c r="J23" i="33"/>
  <c r="F15" i="30"/>
  <c r="H35" i="33"/>
  <c r="G27" i="30"/>
  <c r="K56" i="33"/>
  <c r="F56" i="24"/>
  <c r="G56" i="11"/>
  <c r="H52" i="33"/>
  <c r="G44" i="30"/>
  <c r="K22" i="33"/>
  <c r="G22" i="11"/>
  <c r="F22" i="24"/>
  <c r="J19" i="33"/>
  <c r="F11" i="30"/>
  <c r="H20" i="33"/>
  <c r="G12" i="30"/>
  <c r="K45" i="33"/>
  <c r="F45" i="24"/>
  <c r="G45" i="11"/>
  <c r="H55" i="33"/>
  <c r="G47" i="30"/>
  <c r="H30" i="33"/>
  <c r="G22" i="30"/>
  <c r="J17" i="33"/>
  <c r="F9" i="30"/>
  <c r="J44" i="33"/>
  <c r="F36" i="30"/>
  <c r="J32" i="33"/>
  <c r="F24" i="30"/>
  <c r="K17" i="33"/>
  <c r="G17" i="11"/>
  <c r="F17" i="24"/>
  <c r="F30" i="33"/>
  <c r="E30" i="11"/>
  <c r="E30" i="24"/>
  <c r="E22" i="30"/>
  <c r="J27" i="33"/>
  <c r="F19" i="30"/>
  <c r="J57" i="33"/>
  <c r="F49" i="30"/>
  <c r="F55" i="33"/>
  <c r="E55" i="11"/>
  <c r="E55" i="24"/>
  <c r="E47" i="30"/>
  <c r="J31" i="33"/>
  <c r="F23" i="30"/>
  <c r="K52" i="33"/>
  <c r="G52" i="11"/>
  <c r="F52" i="24"/>
  <c r="F35" i="33"/>
  <c r="E35" i="24"/>
  <c r="E35" i="11"/>
  <c r="E27" i="30"/>
  <c r="K39" i="33"/>
  <c r="F39" i="24"/>
  <c r="G39" i="11"/>
  <c r="H17" i="33"/>
  <c r="G9" i="30"/>
  <c r="H43" i="33"/>
  <c r="G35" i="30"/>
  <c r="J30" i="33"/>
  <c r="F22" i="30"/>
  <c r="K48" i="33"/>
  <c r="F48" i="24"/>
  <c r="G48" i="11"/>
  <c r="J25" i="33"/>
  <c r="F17" i="30"/>
  <c r="H48" i="33"/>
  <c r="G40" i="30"/>
  <c r="F39" i="33"/>
  <c r="E39" i="24"/>
  <c r="E39" i="11"/>
  <c r="E31" i="30"/>
  <c r="F50" i="33"/>
  <c r="E50" i="11"/>
  <c r="E50" i="24"/>
  <c r="E42" i="30"/>
  <c r="H31" i="33"/>
  <c r="G23" i="30"/>
  <c r="J46" i="33"/>
  <c r="F38" i="30"/>
  <c r="H29" i="33"/>
  <c r="G21" i="30"/>
  <c r="F53" i="33"/>
  <c r="E53" i="11"/>
  <c r="E53" i="24"/>
  <c r="E45" i="30"/>
  <c r="K23" i="33"/>
  <c r="F23" i="24"/>
  <c r="G23" i="11"/>
  <c r="K49" i="33"/>
  <c r="G49" i="11"/>
  <c r="F49" i="24"/>
  <c r="F49" i="33"/>
  <c r="E49" i="11"/>
  <c r="E49" i="24"/>
  <c r="E41" i="30"/>
  <c r="H21" i="33"/>
  <c r="G13" i="30"/>
  <c r="K18" i="33"/>
  <c r="F18" i="24"/>
  <c r="G18" i="11"/>
  <c r="F44" i="33"/>
  <c r="E44" i="11"/>
  <c r="E44" i="24"/>
  <c r="E36" i="30"/>
  <c r="K51" i="33"/>
  <c r="G51" i="11"/>
  <c r="F51" i="24"/>
  <c r="K54" i="33"/>
  <c r="F54" i="24"/>
  <c r="G54" i="11"/>
  <c r="F43" i="33"/>
  <c r="E43" i="24"/>
  <c r="E43" i="11"/>
  <c r="E35" i="30"/>
  <c r="H26" i="33"/>
  <c r="G18" i="30"/>
  <c r="K41" i="33"/>
  <c r="G41" i="11"/>
  <c r="F41" i="24"/>
  <c r="K28" i="33"/>
  <c r="G28" i="11"/>
  <c r="F28" i="24"/>
  <c r="F24" i="33"/>
  <c r="E24" i="24"/>
  <c r="E24" i="11"/>
  <c r="E16" i="30"/>
  <c r="K33" i="33"/>
  <c r="F33" i="24"/>
  <c r="G33" i="11"/>
  <c r="K25" i="33"/>
  <c r="G25" i="11"/>
  <c r="F25" i="24"/>
  <c r="F22" i="33"/>
  <c r="E22" i="11"/>
  <c r="E22" i="24"/>
  <c r="E14" i="30"/>
  <c r="H28" i="33"/>
  <c r="G20" i="30"/>
  <c r="H18" i="33"/>
  <c r="G10" i="30"/>
  <c r="J18" i="33"/>
  <c r="F10" i="30"/>
  <c r="F40" i="33"/>
  <c r="E40" i="24"/>
  <c r="E40" i="11"/>
  <c r="E32" i="30"/>
  <c r="F28" i="33"/>
  <c r="E28" i="24"/>
  <c r="E28" i="11"/>
  <c r="E20" i="30"/>
  <c r="J29" i="33"/>
  <c r="F21" i="30"/>
  <c r="F42" i="33"/>
  <c r="E42" i="11"/>
  <c r="E42" i="24"/>
  <c r="E34" i="30"/>
  <c r="C43" i="13" l="1"/>
  <c r="B14" i="3" l="1"/>
  <c r="C14" i="3" s="1"/>
  <c r="D14" i="3" s="1"/>
  <c r="E14" i="3" s="1"/>
  <c r="F14" i="3" s="1"/>
  <c r="G14" i="3" s="1"/>
  <c r="A50" i="13" l="1"/>
  <c r="P106" i="23" l="1"/>
  <c r="P94" i="23"/>
  <c r="S106" i="23"/>
  <c r="S94" i="23"/>
  <c r="I117" i="23" l="1"/>
  <c r="I90" i="23"/>
  <c r="C164" i="23" l="1"/>
  <c r="C151" i="23"/>
  <c r="C131" i="23"/>
  <c r="G63" i="23"/>
  <c r="G59" i="23"/>
  <c r="B180" i="23"/>
  <c r="B163" i="23"/>
  <c r="B150" i="23"/>
  <c r="B130" i="23"/>
  <c r="G61" i="23"/>
  <c r="G62" i="23"/>
  <c r="J104" i="23"/>
  <c r="B89" i="23"/>
  <c r="G60" i="23"/>
  <c r="G57" i="23"/>
  <c r="M222" i="23"/>
  <c r="T111" i="23"/>
  <c r="AI111" i="23" s="1"/>
  <c r="F222" i="23"/>
  <c r="O111" i="23"/>
  <c r="AD111" i="23" s="1"/>
  <c r="AM222" i="23"/>
  <c r="F224" i="23" l="1"/>
  <c r="F226" i="23" s="1"/>
  <c r="M244" i="23" s="1"/>
  <c r="R223" i="23"/>
  <c r="S187" i="23"/>
  <c r="AE187" i="23" s="1"/>
  <c r="L189" i="23" s="1"/>
  <c r="Z189" i="23" s="1"/>
  <c r="H165" i="23"/>
  <c r="AF106" i="23"/>
  <c r="AC106" i="23"/>
  <c r="R157" i="23"/>
  <c r="AD157" i="23" s="1"/>
  <c r="L159" i="23" s="1"/>
  <c r="AA159" i="23" s="1"/>
  <c r="H132" i="23"/>
  <c r="AE94" i="23"/>
  <c r="AR94" i="23" s="1"/>
  <c r="AB94" i="23"/>
  <c r="AN94" i="23" s="1"/>
  <c r="M224" i="23" l="1"/>
  <c r="K226" i="23" s="1"/>
  <c r="R244" i="23" s="1"/>
  <c r="AZ229" i="23" l="1"/>
  <c r="AS244" i="23" l="1"/>
  <c r="AO244" i="23" l="1"/>
  <c r="R84" i="21" l="1"/>
</calcChain>
</file>

<file path=xl/sharedStrings.xml><?xml version="1.0" encoding="utf-8"?>
<sst xmlns="http://schemas.openxmlformats.org/spreadsheetml/2006/main" count="959" uniqueCount="614">
  <si>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</si>
  <si>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</si>
  <si>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</si>
  <si>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</si>
  <si>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</si>
  <si>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</si>
  <si>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</si>
  <si>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</si>
  <si>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</si>
  <si>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</si>
  <si>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</si>
  <si>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</si>
  <si>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</si>
  <si>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</si>
  <si>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</si>
  <si>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</si>
  <si>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</si>
  <si>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</si>
  <si>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</si>
  <si>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</si>
  <si>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</si>
  <si>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</si>
  <si>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</si>
  <si>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</si>
  <si>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</si>
  <si>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</si>
  <si>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</si>
  <si>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</si>
  <si>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</si>
  <si>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</si>
  <si>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</si>
  <si>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</si>
  <si>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</si>
  <si>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</si>
  <si>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</si>
  <si>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</si>
  <si>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</si>
  <si>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</si>
  <si>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</si>
  <si>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</si>
  <si>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</si>
  <si>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</si>
  <si>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</si>
  <si>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</si>
  <si>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</si>
  <si>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</si>
  <si>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</si>
  <si>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</si>
  <si>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</si>
  <si>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</si>
  <si>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</si>
  <si>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</si>
  <si>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</si>
  <si>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</si>
  <si>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</si>
  <si>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</si>
  <si>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</si>
  <si>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</si>
  <si>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</si>
  <si>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</si>
  <si>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</si>
  <si>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</si>
  <si>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</si>
  <si>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</si>
  <si>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</si>
  <si>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</si>
  <si>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</si>
  <si>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</si>
  <si>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</si>
  <si>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</si>
  <si>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</si>
  <si>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</si>
  <si>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</si>
  <si>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</si>
  <si>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</si>
  <si>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</si>
  <si>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</si>
  <si>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</si>
  <si>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</si>
  <si>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</si>
  <si>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</si>
  <si>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</si>
  <si>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</si>
  <si>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</si>
  <si>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</si>
  <si>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</si>
  <si>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</si>
  <si>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</si>
  <si>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</si>
  <si>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</si>
  <si>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</si>
  <si>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</si>
  <si>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</si>
  <si>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</si>
  <si>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</si>
  <si>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</si>
  <si>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</si>
  <si>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</si>
  <si>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</si>
  <si>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</si>
  <si>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</si>
  <si>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</si>
  <si>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</si>
  <si>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</si>
  <si>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</si>
  <si>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</si>
  <si>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</si>
  <si>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</si>
  <si>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</si>
  <si>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</si>
  <si>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</si>
  <si>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</si>
  <si>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</si>
  <si>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</si>
  <si>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</si>
  <si>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</si>
  <si>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</si>
  <si>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</si>
  <si>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</si>
  <si>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</si>
  <si>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</si>
  <si>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</si>
  <si>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</si>
  <si>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</si>
  <si>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</si>
  <si>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</si>
  <si>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</si>
  <si>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</si>
  <si>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</si>
  <si>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</si>
  <si>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</si>
  <si>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</si>
  <si>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</si>
  <si>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눈금값
(mm)</t>
    <phoneticPr fontId="4" type="noConversion"/>
  </si>
  <si>
    <t>Nominal
(mm)</t>
    <phoneticPr fontId="4" type="noConversion"/>
  </si>
  <si>
    <t>기준기명</t>
  </si>
  <si>
    <t>명목값</t>
  </si>
  <si>
    <t>단위</t>
  </si>
  <si>
    <t>교정값</t>
  </si>
  <si>
    <t>불확도1</t>
  </si>
  <si>
    <t>불확도2</t>
  </si>
  <si>
    <t>불확도 단위</t>
  </si>
  <si>
    <t>k</t>
  </si>
  <si>
    <t>블록 #1</t>
    <phoneticPr fontId="4" type="noConversion"/>
  </si>
  <si>
    <t>블록 #2</t>
  </si>
  <si>
    <t>블록 #3</t>
  </si>
  <si>
    <t>블록 #4</t>
  </si>
  <si>
    <t>블록 #5</t>
  </si>
  <si>
    <t>교정값 #1</t>
    <phoneticPr fontId="4" type="noConversion"/>
  </si>
  <si>
    <t>교정값 #2</t>
  </si>
  <si>
    <t>교정값 #3</t>
  </si>
  <si>
    <t>교정값 #4</t>
  </si>
  <si>
    <t>교정값 #5</t>
  </si>
  <si>
    <t>열팽창계수</t>
    <phoneticPr fontId="4" type="noConversion"/>
  </si>
  <si>
    <t>보정값
(mm)</t>
    <phoneticPr fontId="4" type="noConversion"/>
  </si>
  <si>
    <t>Correction
(mm)</t>
    <phoneticPr fontId="4" type="noConversion"/>
  </si>
  <si>
    <t>μm</t>
    <phoneticPr fontId="4" type="noConversion"/>
  </si>
  <si>
    <t>=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</si>
  <si>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</si>
  <si>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</si>
  <si>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</si>
  <si>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</si>
  <si>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fees</t>
    <phoneticPr fontId="4" type="noConversion"/>
  </si>
  <si>
    <t>P/F</t>
    <phoneticPr fontId="4" type="noConversion"/>
  </si>
  <si>
    <t>비고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</si>
  <si>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</si>
  <si>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분해능</t>
    <phoneticPr fontId="4" type="noConversion"/>
  </si>
  <si>
    <t>Res. (mm)</t>
    <phoneticPr fontId="4" type="noConversion"/>
  </si>
  <si>
    <t>CMC2</t>
    <phoneticPr fontId="4" type="noConversion"/>
  </si>
  <si>
    <t>높이 게이지/측정기 지시값</t>
    <phoneticPr fontId="4" type="noConversion"/>
  </si>
  <si>
    <t>블록 2</t>
  </si>
  <si>
    <t>블록 3</t>
  </si>
  <si>
    <t>블록 4</t>
  </si>
  <si>
    <t>블록 5</t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</si>
  <si>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</si>
  <si>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</si>
  <si>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</si>
  <si>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</si>
  <si>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</si>
  <si>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</si>
  <si>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</si>
  <si>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</si>
  <si>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</si>
  <si>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요인(값)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</si>
  <si>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</si>
  <si>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</si>
  <si>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</si>
  <si>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</si>
  <si>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자리수</t>
    <phoneticPr fontId="4" type="noConversion"/>
  </si>
  <si>
    <t>Format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</si>
  <si>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</si>
  <si>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</si>
  <si>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</si>
  <si>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</si>
  <si>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</si>
  <si>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</si>
  <si>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</si>
  <si>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0</t>
    <phoneticPr fontId="4" type="noConversion"/>
  </si>
  <si>
    <t>B</t>
    <phoneticPr fontId="4" type="noConversion"/>
  </si>
  <si>
    <t>지시값</t>
    <phoneticPr fontId="4" type="noConversion"/>
  </si>
  <si>
    <t>mm</t>
    <phoneticPr fontId="4" type="noConversion"/>
  </si>
  <si>
    <t>μm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</si>
  <si>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</si>
  <si>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/℃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</si>
  <si>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</si>
  <si>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</si>
  <si>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0.00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</si>
  <si>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</si>
  <si>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</si>
  <si>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</si>
  <si>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</si>
  <si>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</si>
  <si>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</si>
  <si>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</si>
  <si>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</si>
  <si>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F</t>
    <phoneticPr fontId="4" type="noConversion"/>
  </si>
  <si>
    <t>직사각형</t>
    <phoneticPr fontId="4" type="noConversion"/>
  </si>
  <si>
    <t>0.000 00</t>
    <phoneticPr fontId="4" type="noConversion"/>
  </si>
  <si>
    <t>G</t>
    <phoneticPr fontId="4" type="noConversion"/>
  </si>
  <si>
    <t>분해능</t>
    <phoneticPr fontId="4" type="noConversion"/>
  </si>
  <si>
    <t>H</t>
    <phoneticPr fontId="4" type="noConversion"/>
  </si>
  <si>
    <t>I</t>
    <phoneticPr fontId="4" type="noConversion"/>
  </si>
  <si>
    <t>합성표준</t>
    <phoneticPr fontId="4" type="noConversion"/>
  </si>
  <si>
    <t>측정불확도</t>
    <phoneticPr fontId="4" type="noConversion"/>
  </si>
  <si>
    <t>불확도</t>
    <phoneticPr fontId="4" type="noConversion"/>
  </si>
  <si>
    <t>기본수수료</t>
    <phoneticPr fontId="4" type="noConversion"/>
  </si>
  <si>
    <t>추가수수료</t>
    <phoneticPr fontId="4" type="noConversion"/>
  </si>
  <si>
    <t>추가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</si>
  <si>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</si>
  <si>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</si>
  <si>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</si>
  <si>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</si>
  <si>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</si>
  <si>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</si>
  <si>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</si>
  <si>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</si>
  <si>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</si>
  <si>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 (mm)</t>
    <phoneticPr fontId="4" type="noConversion"/>
  </si>
  <si>
    <t>CMC1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</si>
  <si>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</si>
  <si>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</si>
  <si>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</si>
  <si>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</si>
  <si>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</si>
  <si>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표준편차</t>
    <phoneticPr fontId="4" type="noConversion"/>
  </si>
  <si>
    <t>기준값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</si>
  <si>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</si>
  <si>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</si>
  <si>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</si>
  <si>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</si>
  <si>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</si>
  <si>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</si>
  <si>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</si>
  <si>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</si>
  <si>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※ 게이지 블록 결합에 의한 불확도 계산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</si>
  <si>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</si>
  <si>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</si>
  <si>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</si>
  <si>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</si>
  <si>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</si>
  <si>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</si>
  <si>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</si>
  <si>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</si>
  <si>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</si>
  <si>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</si>
  <si>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</si>
  <si>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</si>
  <si>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</si>
  <si>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</si>
  <si>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</si>
  <si>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</si>
  <si>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</si>
  <si>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</si>
  <si>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사용블록</t>
    <phoneticPr fontId="4" type="noConversion"/>
  </si>
  <si>
    <t>블록 1</t>
    <phoneticPr fontId="4" type="noConversion"/>
  </si>
  <si>
    <t>밀착 불확도 합( k=1)</t>
    <phoneticPr fontId="4" type="noConversion"/>
  </si>
  <si>
    <t>상관관계 불확도 수식</t>
    <phoneticPr fontId="4" type="noConversion"/>
  </si>
  <si>
    <t>기준기</t>
    <phoneticPr fontId="4" type="noConversion"/>
  </si>
  <si>
    <t>불확도1</t>
    <phoneticPr fontId="4" type="noConversion"/>
  </si>
  <si>
    <t>불확도2</t>
    <phoneticPr fontId="4" type="noConversion"/>
  </si>
  <si>
    <t>단위</t>
    <phoneticPr fontId="4" type="noConversion"/>
  </si>
  <si>
    <t>k</t>
    <phoneticPr fontId="4" type="noConversion"/>
  </si>
  <si>
    <t>3. 불확도 계산</t>
    <phoneticPr fontId="4" type="noConversion"/>
  </si>
  <si>
    <t>t</t>
    <phoneticPr fontId="4" type="noConversion"/>
  </si>
  <si>
    <t>0.0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</si>
  <si>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</si>
  <si>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</si>
  <si>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</si>
  <si>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D</t>
    <phoneticPr fontId="4" type="noConversion"/>
  </si>
  <si>
    <t>℃</t>
    <phoneticPr fontId="4" type="noConversion"/>
  </si>
  <si>
    <t>직사각형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</si>
  <si>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</si>
  <si>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0.000</t>
    <phoneticPr fontId="4" type="noConversion"/>
  </si>
  <si>
    <t>0.000 0</t>
    <phoneticPr fontId="4" type="noConversion"/>
  </si>
  <si>
    <t>∞</t>
    <phoneticPr fontId="4" type="noConversion"/>
  </si>
  <si>
    <t>0.000 000</t>
    <phoneticPr fontId="4" type="noConversion"/>
  </si>
  <si>
    <t>정반평면도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</si>
  <si>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</si>
  <si>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0.000 000 0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</si>
  <si>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</si>
  <si>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0.000 000 00</t>
    <phoneticPr fontId="4" type="noConversion"/>
  </si>
  <si>
    <t>0.000 000 000</t>
    <phoneticPr fontId="4" type="noConversion"/>
  </si>
  <si>
    <t>※ 직사각형 확률분포가 합성표준불확도에 미치는 영향</t>
    <phoneticPr fontId="4" type="noConversion"/>
  </si>
  <si>
    <t>측정불확도</t>
    <phoneticPr fontId="4" type="noConversion"/>
  </si>
  <si>
    <t>계산(mm)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</si>
  <si>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</si>
  <si>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CMC</t>
    <phoneticPr fontId="4" type="noConversion"/>
  </si>
  <si>
    <t>● 교정료 계산</t>
    <phoneticPr fontId="4" type="noConversion"/>
  </si>
  <si>
    <t>종류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</si>
  <si>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</si>
  <si>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</si>
  <si>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</si>
  <si>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</si>
  <si>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게이지</t>
    <phoneticPr fontId="4" type="noConversion"/>
  </si>
  <si>
    <t>측정기</t>
    <phoneticPr fontId="4" type="noConversion"/>
  </si>
  <si>
    <t>mm마다</t>
    <phoneticPr fontId="4" type="noConversion"/>
  </si>
  <si>
    <t>※ 인치의 경우 기본수수료에서 80% 추가함.</t>
    <phoneticPr fontId="4" type="noConversion"/>
  </si>
  <si>
    <t>Step Gauge</t>
    <phoneticPr fontId="4" type="noConversion"/>
  </si>
  <si>
    <t>스텝 게이지</t>
    <phoneticPr fontId="4" type="noConversion"/>
  </si>
  <si>
    <t>Caliper Tester</t>
    <phoneticPr fontId="4" type="noConversion"/>
  </si>
  <si>
    <t>캘리퍼 검사기</t>
    <phoneticPr fontId="4" type="noConversion"/>
  </si>
  <si>
    <t>Gauge Block</t>
    <phoneticPr fontId="4" type="noConversion"/>
  </si>
  <si>
    <t>게이지 블록</t>
    <phoneticPr fontId="4" type="noConversion"/>
  </si>
  <si>
    <t>사용기준기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</si>
  <si>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</si>
  <si>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</si>
  <si>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</si>
  <si>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</si>
  <si>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높이 게이지/측정기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</si>
  <si>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</si>
  <si>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</si>
  <si>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</si>
  <si>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</si>
  <si>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</si>
  <si>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</si>
  <si>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</si>
  <si>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</si>
  <si>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</si>
  <si>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</si>
  <si>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</si>
  <si>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</si>
  <si>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</si>
  <si>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</si>
  <si>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</si>
  <si>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</si>
  <si>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</si>
  <si>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</si>
  <si>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</si>
  <si>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</si>
  <si>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</si>
  <si>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</si>
  <si>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</si>
  <si>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정반의 평면도가 미치는 영향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</si>
  <si>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</si>
  <si>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</si>
  <si>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</si>
  <si>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</si>
  <si>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</si>
  <si>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</si>
  <si>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</si>
  <si>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</si>
  <si>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</si>
  <si>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</si>
  <si>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</si>
  <si>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</si>
  <si>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</si>
  <si>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</si>
  <si>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</si>
  <si>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</si>
  <si>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</si>
  <si>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</si>
  <si>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</si>
  <si>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</si>
  <si>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</si>
  <si>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</si>
  <si>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</si>
  <si>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</si>
  <si>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</si>
  <si>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</si>
  <si>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</si>
  <si>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</si>
  <si>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F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</si>
  <si>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</si>
  <si>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</si>
  <si>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G</t>
    <phoneticPr fontId="4" type="noConversion"/>
  </si>
  <si>
    <t>H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</si>
  <si>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</si>
  <si>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I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</si>
  <si>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</si>
  <si>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높이 게이지/측정기의 지시값이며, 단위는 mm 이다.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</si>
  <si>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</si>
  <si>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</si>
  <si>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</si>
  <si>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※ 게이지 블록 사용 시</t>
    <phoneticPr fontId="4" type="noConversion"/>
  </si>
  <si>
    <t>A2. 표준불확도 :</t>
    <phoneticPr fontId="4" type="noConversion"/>
  </si>
  <si>
    <t xml:space="preserve">※ 게이지 블록의 측정불확도가 </t>
    <phoneticPr fontId="4" type="noConversion"/>
  </si>
  <si>
    <r>
      <t xml:space="preserve">nm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</si>
  <si>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게이지 블록의 길이이며, 단위는 mm이다.)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</si>
  <si>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</si>
  <si>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nm</t>
    <phoneticPr fontId="4" type="noConversion"/>
  </si>
  <si>
    <t>nm</t>
    <phoneticPr fontId="4" type="noConversion"/>
  </si>
  <si>
    <t>=</t>
    <phoneticPr fontId="4" type="noConversion"/>
  </si>
  <si>
    <t xml:space="preserve">※ 게이지 블록을 밀착하는 경우 공통적인 계통오차의 상관 관계를 가지고 있다. </t>
    <phoneticPr fontId="4" type="noConversion"/>
  </si>
  <si>
    <t>mm의 교정시 사용한 게이지 블록은</t>
    <phoneticPr fontId="4" type="noConversion"/>
  </si>
  <si>
    <t>,</t>
    <phoneticPr fontId="4" type="noConversion"/>
  </si>
  <si>
    <t>,</t>
    <phoneticPr fontId="4" type="noConversion"/>
  </si>
  <si>
    <t>,</t>
    <phoneticPr fontId="4" type="noConversion"/>
  </si>
  <si>
    <t>이다.</t>
    <phoneticPr fontId="4" type="noConversion"/>
  </si>
  <si>
    <t>이다.</t>
    <phoneticPr fontId="4" type="noConversion"/>
  </si>
  <si>
    <t>각 각의 길이의 불확도를 구하면</t>
    <phoneticPr fontId="4" type="noConversion"/>
  </si>
  <si>
    <r>
      <t>(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=1)</t>
    </r>
    <phoneticPr fontId="4" type="noConversion"/>
  </si>
  <si>
    <t>아래의 불확도 전파법칙식으로 계산 하면 다음과 같다.</t>
    <phoneticPr fontId="4" type="noConversion"/>
  </si>
  <si>
    <t>=</t>
    <phoneticPr fontId="4" type="noConversion"/>
  </si>
  <si>
    <t>길이 상관관계의 표준불확도 =</t>
    <phoneticPr fontId="4" type="noConversion"/>
  </si>
  <si>
    <t>μm</t>
    <phoneticPr fontId="4" type="noConversion"/>
  </si>
  <si>
    <t>※ 스텝 게이지, 캘리퍼 검사기 사용 시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</si>
  <si>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</si>
  <si>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</si>
  <si>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스텝 게이지의 길이이며, 단위는 mm이다.)</t>
    </r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</si>
  <si>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</si>
  <si>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</si>
  <si>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</si>
  <si>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</si>
  <si>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</si>
  <si>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</si>
  <si>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</si>
  <si>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</si>
  <si>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※ 표준불확도 성분은 우연효과로 인한 불확도로써 A형 평가를 통하여 구한다.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</si>
  <si>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</si>
  <si>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</si>
  <si>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</si>
  <si>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</si>
  <si>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</si>
  <si>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</si>
  <si>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</si>
  <si>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</si>
  <si>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</si>
  <si>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</si>
  <si>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=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</si>
  <si>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</si>
  <si>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</si>
  <si>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</si>
  <si>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</si>
  <si>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</si>
  <si>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</si>
  <si>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</si>
  <si>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</si>
  <si>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</si>
  <si>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</si>
  <si>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</si>
  <si>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</si>
  <si>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</si>
  <si>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</si>
  <si>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</si>
  <si>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C5. 불확도 기여량 :</t>
    <phoneticPr fontId="4" type="noConversion"/>
  </si>
  <si>
    <t>｜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</si>
  <si>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</si>
  <si>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</si>
  <si>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</si>
  <si>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</si>
  <si>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</si>
  <si>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</si>
  <si>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</si>
  <si>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</si>
  <si>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</si>
  <si>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</si>
  <si>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</si>
  <si>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</si>
  <si>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</si>
  <si>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</si>
  <si>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</si>
  <si>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</si>
  <si>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</si>
  <si>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</si>
  <si>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</si>
  <si>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|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</si>
  <si>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</si>
  <si>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</si>
  <si>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</si>
  <si>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</si>
  <si>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</si>
  <si>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</si>
  <si>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</si>
  <si>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</si>
  <si>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</si>
  <si>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</si>
  <si>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</si>
  <si>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</si>
  <si>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</si>
  <si>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</si>
  <si>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E5.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</si>
  <si>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</si>
  <si>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</si>
  <si>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</si>
  <si>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</si>
  <si>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</si>
  <si>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</si>
  <si>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</si>
  <si>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</si>
  <si>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F3. 확률분포 :</t>
    <phoneticPr fontId="4" type="noConversion"/>
  </si>
  <si>
    <t>F4. 감도계수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</si>
  <si>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</si>
  <si>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</si>
  <si>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</si>
  <si>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</si>
  <si>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</si>
  <si>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</si>
  <si>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</si>
  <si>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</si>
  <si>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</si>
  <si>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d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</si>
  <si>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</si>
  <si>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</si>
  <si>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</si>
  <si>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</si>
  <si>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</si>
  <si>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t>8</t>
    </r>
    <r>
      <rPr>
        <b/>
        <sz val="10"/>
        <rFont val="맑은 고딕"/>
        <family val="3"/>
        <charset val="129"/>
        <scheme val="major"/>
      </rPr>
      <t>. 정반의 평면도가 미치는 영향에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</si>
  <si>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</si>
  <si>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이 때 직사각형 확률분포를 적용하여 사용면적에 대한 상대불확도를 10 %로 추정하여 계산하면</t>
    <phoneticPr fontId="4" type="noConversion"/>
  </si>
  <si>
    <t>H1. 추정값 :</t>
    <phoneticPr fontId="4" type="noConversion"/>
  </si>
  <si>
    <t>H2. 표준불확도 :</t>
    <phoneticPr fontId="4" type="noConversion"/>
  </si>
  <si>
    <t>※ 평면도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</si>
  <si>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</si>
  <si>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F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</si>
  <si>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</si>
  <si>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</si>
  <si>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</si>
  <si>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</si>
  <si>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</si>
  <si>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</si>
  <si>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</si>
  <si>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</si>
  <si>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</si>
  <si>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</si>
  <si>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</si>
  <si>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</si>
  <si>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</si>
  <si>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</si>
  <si>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</si>
  <si>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</si>
  <si>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</si>
  <si>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</si>
  <si>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</si>
  <si>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  <phoneticPr fontId="4" type="noConversion"/>
  </si>
  <si>
    <t>=</t>
    <phoneticPr fontId="4" type="noConversion"/>
  </si>
  <si>
    <t>≒</t>
    <phoneticPr fontId="4" type="noConversion"/>
  </si>
  <si>
    <t>● 측정불확도 :</t>
    <phoneticPr fontId="4" type="noConversion"/>
  </si>
  <si>
    <t>● Measurement uncertainty :</t>
    <phoneticPr fontId="4" type="noConversion"/>
  </si>
  <si>
    <t>℃·μm</t>
  </si>
  <si>
    <t>눈금맞춤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</si>
  <si>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</si>
  <si>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</si>
  <si>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</si>
  <si>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최대범위 (표기용)</t>
    <phoneticPr fontId="4" type="noConversion"/>
  </si>
  <si>
    <t>불확도</t>
    <phoneticPr fontId="4" type="noConversion"/>
  </si>
  <si>
    <t>mm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</si>
  <si>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</si>
  <si>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</si>
  <si>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</si>
  <si>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</si>
  <si>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-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</si>
  <si>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</si>
  <si>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</si>
  <si>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</si>
  <si>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Indication Value</t>
    <phoneticPr fontId="4" type="noConversion"/>
  </si>
  <si>
    <t>번호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</si>
  <si>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</si>
  <si>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</si>
  <si>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</si>
  <si>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</si>
  <si>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직사각형분포</t>
    <phoneticPr fontId="4" type="noConversion"/>
  </si>
  <si>
    <t>크기순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</si>
  <si>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</si>
  <si>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</si>
  <si>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</si>
  <si>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</si>
  <si>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</si>
  <si>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</si>
  <si>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</si>
  <si>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</si>
  <si>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</si>
  <si>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</si>
  <si>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</si>
  <si>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</si>
  <si>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</si>
  <si>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</si>
  <si>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</si>
  <si>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</si>
  <si>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</si>
  <si>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</si>
  <si>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</si>
  <si>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</si>
  <si>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mm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</si>
  <si>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</si>
  <si>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</si>
  <si>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</si>
  <si>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</si>
  <si>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</si>
  <si>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</si>
  <si>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</si>
  <si>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</si>
  <si>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COID</t>
    <phoneticPr fontId="4" type="noConversion"/>
  </si>
  <si>
    <t>불확도표기</t>
    <phoneticPr fontId="4" type="noConversion"/>
  </si>
  <si>
    <t>값</t>
    <phoneticPr fontId="4" type="noConversion"/>
  </si>
  <si>
    <t>수식</t>
    <phoneticPr fontId="4" type="noConversion"/>
  </si>
  <si>
    <t>최소눈금 표기용</t>
    <phoneticPr fontId="4" type="noConversion"/>
  </si>
  <si>
    <t>불확도수식</t>
    <phoneticPr fontId="4" type="noConversion"/>
  </si>
  <si>
    <t>조건 1</t>
    <phoneticPr fontId="4" type="noConversion"/>
  </si>
  <si>
    <t>조건 2</t>
    <phoneticPr fontId="4" type="noConversion"/>
  </si>
  <si>
    <t>추가범위</t>
    <phoneticPr fontId="4" type="noConversion"/>
  </si>
  <si>
    <t>추가</t>
    <phoneticPr fontId="4" type="noConversion"/>
  </si>
  <si>
    <t>최대범위</t>
    <phoneticPr fontId="4" type="noConversion"/>
  </si>
  <si>
    <t>※     는 높이 게이지의 명목값이며, 단위는 mm 임.</t>
    <phoneticPr fontId="4" type="noConversion"/>
  </si>
  <si>
    <t>※     is the nominal value of the height gauge, and the unit is mm.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</si>
</sst>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0.000\ &quot;mm&quot;"/>
    <numFmt numFmtId="208" formatCode="0.000\ 00"/>
    <numFmt numFmtId="209" formatCode="#\ ###\ ###"/>
    <numFmt numFmtId="210" formatCode="0.0\ &quot;μm&quot;"/>
    <numFmt numFmtId="211" formatCode="0.000\ &quot;μm&quot;"/>
    <numFmt numFmtId="212" formatCode="_-* #,##0_-;\-* #,##0_-;_-* &quot;-&quot;??_-;_-@_-"/>
    <numFmt numFmtId="213" formatCode="0.00_);[Red]\(0.00\)"/>
    <numFmt numFmtId="214" formatCode="0.000\ \℃"/>
    <numFmt numFmtId="215" formatCode="General\ &quot;μm&quot;"/>
    <numFmt numFmtId="216" formatCode="0.000\ 000\ 00"/>
    <numFmt numFmtId="217" formatCode="0\ &quot;mm&quot;"/>
    <numFmt numFmtId="218" formatCode="0_ "/>
    <numFmt numFmtId="219" formatCode="#\ ##0"/>
    <numFmt numFmtId="220" formatCode="#\ ##0\ &quot;mm&quot;"/>
    <numFmt numFmtId="221" formatCode="0.000\ 0"/>
    <numFmt numFmtId="222" formatCode="0.0000"/>
    <numFmt numFmtId="223" formatCode="0.00_ "/>
    <numFmt numFmtId="224" formatCode="0.0E+00"/>
  </numFmts>
  <fonts count="108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15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3" fillId="23" borderId="65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3" fillId="23" borderId="65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5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6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7" fontId="81" fillId="29" borderId="51" xfId="0" applyNumberFormat="1" applyFont="1" applyFill="1" applyBorder="1" applyAlignment="1">
      <alignment horizontal="center" vertical="center"/>
    </xf>
    <xf numFmtId="197" fontId="81" fillId="0" borderId="53" xfId="0" applyNumberFormat="1" applyFont="1" applyFill="1" applyBorder="1" applyAlignment="1">
      <alignment horizontal="center" vertical="center"/>
    </xf>
    <xf numFmtId="198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2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08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0" fontId="52" fillId="0" borderId="46" xfId="87" applyNumberFormat="1" applyFont="1" applyBorder="1" applyAlignment="1">
      <alignment horizontal="center" vertical="center"/>
    </xf>
    <xf numFmtId="41" fontId="52" fillId="0" borderId="46" xfId="0" applyNumberFormat="1" applyFont="1" applyBorder="1" applyAlignment="1">
      <alignment horizontal="center" vertical="center"/>
    </xf>
    <xf numFmtId="212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199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8" fontId="81" fillId="36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4" fontId="81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94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4" fontId="81" fillId="29" borderId="65" xfId="0" applyNumberFormat="1" applyFont="1" applyFill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 wrapText="1"/>
    </xf>
    <xf numFmtId="0" fontId="52" fillId="29" borderId="71" xfId="87" applyNumberFormat="1" applyFont="1" applyFill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29" borderId="71" xfId="87" applyNumberFormat="1" applyFont="1" applyFill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7" fillId="0" borderId="7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52" fillId="0" borderId="55" xfId="0" applyNumberFormat="1" applyFont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213" fontId="81" fillId="0" borderId="50" xfId="0" applyNumberFormat="1" applyFont="1" applyFill="1" applyBorder="1" applyAlignment="1">
      <alignment horizontal="center" vertical="center"/>
    </xf>
    <xf numFmtId="197" fontId="81" fillId="0" borderId="50" xfId="0" applyNumberFormat="1" applyFont="1" applyFill="1" applyBorder="1" applyAlignment="1">
      <alignment horizontal="center" vertical="center"/>
    </xf>
    <xf numFmtId="197" fontId="81" fillId="0" borderId="52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vertical="center" wrapText="1"/>
    </xf>
    <xf numFmtId="0" fontId="82" fillId="28" borderId="76" xfId="0" applyNumberFormat="1" applyFont="1" applyFill="1" applyBorder="1" applyAlignment="1">
      <alignment horizontal="center" vertical="center"/>
    </xf>
    <xf numFmtId="197" fontId="81" fillId="0" borderId="65" xfId="0" applyNumberFormat="1" applyFont="1" applyFill="1" applyBorder="1" applyAlignment="1">
      <alignment horizontal="center" vertical="center"/>
    </xf>
    <xf numFmtId="194" fontId="81" fillId="0" borderId="0" xfId="0" applyNumberFormat="1" applyFont="1">
      <alignment vertical="center"/>
    </xf>
    <xf numFmtId="192" fontId="81" fillId="0" borderId="43" xfId="0" applyNumberFormat="1" applyFont="1" applyFill="1" applyBorder="1" applyAlignment="1">
      <alignment vertical="center"/>
    </xf>
    <xf numFmtId="192" fontId="81" fillId="0" borderId="42" xfId="0" applyNumberFormat="1" applyFont="1" applyFill="1" applyBorder="1" applyAlignment="1">
      <alignment vertical="center"/>
    </xf>
    <xf numFmtId="192" fontId="81" fillId="0" borderId="44" xfId="0" applyNumberFormat="1" applyFont="1" applyFill="1" applyBorder="1" applyAlignment="1">
      <alignment vertical="center"/>
    </xf>
    <xf numFmtId="194" fontId="81" fillId="31" borderId="65" xfId="0" applyNumberFormat="1" applyFont="1" applyFill="1" applyBorder="1" applyAlignment="1">
      <alignment horizontal="center" vertical="center"/>
    </xf>
    <xf numFmtId="41" fontId="52" fillId="0" borderId="78" xfId="87" applyFont="1" applyBorder="1" applyAlignment="1">
      <alignment horizontal="center" vertical="center" wrapText="1"/>
    </xf>
    <xf numFmtId="0" fontId="86" fillId="35" borderId="76" xfId="78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52" fillId="0" borderId="41" xfId="0" applyNumberFormat="1" applyFont="1" applyBorder="1" applyAlignment="1">
      <alignment vertical="center"/>
    </xf>
    <xf numFmtId="0" fontId="79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217" fontId="52" fillId="0" borderId="7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218" fontId="52" fillId="0" borderId="0" xfId="0" applyNumberFormat="1" applyFont="1" applyBorder="1" applyAlignment="1">
      <alignment vertical="center"/>
    </xf>
    <xf numFmtId="218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08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222" fontId="67" fillId="0" borderId="0" xfId="0" applyNumberFormat="1" applyFont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2" fontId="81" fillId="32" borderId="65" xfId="86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188" fontId="81" fillId="0" borderId="65" xfId="0" applyNumberFormat="1" applyFont="1" applyFill="1" applyBorder="1" applyAlignment="1">
      <alignment horizontal="center" vertical="center"/>
    </xf>
    <xf numFmtId="218" fontId="104" fillId="37" borderId="38" xfId="113" applyNumberFormat="1" applyFont="1" applyFill="1" applyBorder="1" applyAlignment="1">
      <alignment horizontal="center" vertical="center" wrapText="1"/>
    </xf>
    <xf numFmtId="49" fontId="60" fillId="37" borderId="38" xfId="79" applyNumberFormat="1" applyFont="1" applyFill="1" applyBorder="1" applyAlignment="1">
      <alignment horizontal="center" vertical="center" wrapText="1"/>
    </xf>
    <xf numFmtId="0" fontId="105" fillId="28" borderId="6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1" fillId="38" borderId="65" xfId="0" applyNumberFormat="1" applyFont="1" applyFill="1" applyBorder="1" applyAlignment="1">
      <alignment horizontal="center" vertical="center"/>
    </xf>
    <xf numFmtId="0" fontId="106" fillId="28" borderId="65" xfId="0" applyNumberFormat="1" applyFont="1" applyFill="1" applyBorder="1" applyAlignment="1">
      <alignment horizontal="center" vertical="center"/>
    </xf>
    <xf numFmtId="224" fontId="81" fillId="31" borderId="65" xfId="0" applyNumberFormat="1" applyFont="1" applyFill="1" applyBorder="1" applyAlignment="1">
      <alignment horizontal="center" vertical="center"/>
    </xf>
    <xf numFmtId="195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107" fillId="35" borderId="76" xfId="78" applyNumberFormat="1" applyFont="1" applyFill="1" applyBorder="1" applyAlignment="1">
      <alignment horizontal="center" vertical="center"/>
    </xf>
    <xf numFmtId="194" fontId="81" fillId="0" borderId="52" xfId="0" applyNumberFormat="1" applyFont="1" applyFill="1" applyBorder="1" applyAlignment="1">
      <alignment horizontal="center" vertical="center"/>
    </xf>
    <xf numFmtId="222" fontId="81" fillId="0" borderId="52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199" fontId="81" fillId="35" borderId="52" xfId="0" applyNumberFormat="1" applyFont="1" applyFill="1" applyBorder="1" applyAlignment="1">
      <alignment horizontal="center" vertical="center"/>
    </xf>
    <xf numFmtId="0" fontId="52" fillId="0" borderId="66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1"/>
    </xf>
    <xf numFmtId="0" fontId="48" fillId="0" borderId="0" xfId="79" applyNumberFormat="1" applyFont="1" applyFill="1" applyAlignment="1">
      <alignment horizontal="right" vertical="center" indent="1"/>
    </xf>
    <xf numFmtId="0" fontId="48" fillId="0" borderId="0" xfId="79" applyNumberFormat="1" applyFont="1" applyFill="1" applyAlignment="1">
      <alignment horizontal="right" vertical="center" indent="2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48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73" xfId="79" applyNumberFormat="1" applyFont="1" applyFill="1" applyBorder="1" applyAlignment="1">
      <alignment horizontal="center" vertic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57" xfId="79" applyNumberFormat="1" applyFont="1" applyFill="1" applyBorder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38" xfId="0" applyNumberFormat="1" applyFont="1" applyFill="1" applyBorder="1" applyAlignment="1">
      <alignment horizontal="center" vertical="center"/>
    </xf>
    <xf numFmtId="218" fontId="104" fillId="37" borderId="0" xfId="113" applyNumberFormat="1" applyFont="1" applyFill="1" applyBorder="1" applyAlignment="1">
      <alignment horizontal="center" vertical="center" wrapText="1"/>
    </xf>
    <xf numFmtId="218" fontId="104" fillId="37" borderId="38" xfId="113" applyNumberFormat="1" applyFont="1" applyFill="1" applyBorder="1" applyAlignment="1">
      <alignment horizontal="center" vertical="center" wrapText="1"/>
    </xf>
    <xf numFmtId="218" fontId="104" fillId="37" borderId="0" xfId="113" applyNumberFormat="1" applyFont="1" applyFill="1" applyBorder="1" applyAlignment="1">
      <alignment horizontal="center" vertical="center"/>
    </xf>
    <xf numFmtId="218" fontId="104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05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46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194" fontId="67" fillId="0" borderId="54" xfId="0" applyNumberFormat="1" applyFont="1" applyBorder="1" applyAlignment="1">
      <alignment vertical="center"/>
    </xf>
    <xf numFmtId="194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5" xfId="0" applyFont="1" applyBorder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0" fontId="69" fillId="0" borderId="78" xfId="0" applyFont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/>
    </xf>
    <xf numFmtId="0" fontId="67" fillId="0" borderId="46" xfId="0" applyNumberFormat="1" applyFont="1" applyBorder="1" applyAlignment="1">
      <alignment horizontal="center" vertical="center" shrinkToFit="1"/>
    </xf>
    <xf numFmtId="0" fontId="52" fillId="29" borderId="46" xfId="0" applyNumberFormat="1" applyFont="1" applyFill="1" applyBorder="1" applyAlignment="1">
      <alignment horizontal="center" vertical="center"/>
    </xf>
    <xf numFmtId="207" fontId="67" fillId="0" borderId="0" xfId="0" applyNumberFormat="1" applyFont="1" applyBorder="1" applyAlignment="1">
      <alignment horizontal="left" vertical="center"/>
    </xf>
    <xf numFmtId="2" fontId="67" fillId="0" borderId="54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horizontal="right" vertical="center"/>
    </xf>
    <xf numFmtId="0" fontId="67" fillId="0" borderId="58" xfId="0" applyFont="1" applyBorder="1" applyAlignment="1">
      <alignment vertical="center"/>
    </xf>
    <xf numFmtId="0" fontId="67" fillId="0" borderId="55" xfId="0" applyFont="1" applyBorder="1" applyAlignment="1">
      <alignment vertical="center"/>
    </xf>
    <xf numFmtId="216" fontId="67" fillId="0" borderId="54" xfId="0" applyNumberFormat="1" applyFont="1" applyBorder="1" applyAlignment="1">
      <alignment vertical="center"/>
    </xf>
    <xf numFmtId="216" fontId="67" fillId="0" borderId="58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201" fontId="67" fillId="0" borderId="0" xfId="0" applyNumberFormat="1" applyFont="1" applyBorder="1" applyAlignment="1">
      <alignment vertical="center" shrinkToFit="1"/>
    </xf>
    <xf numFmtId="0" fontId="67" fillId="0" borderId="70" xfId="0" applyNumberFormat="1" applyFont="1" applyBorder="1" applyAlignment="1">
      <alignment vertical="center"/>
    </xf>
    <xf numFmtId="193" fontId="67" fillId="0" borderId="7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0" fontId="67" fillId="0" borderId="54" xfId="0" applyFont="1" applyBorder="1" applyAlignment="1">
      <alignment vertical="center"/>
    </xf>
    <xf numFmtId="208" fontId="67" fillId="0" borderId="54" xfId="0" applyNumberFormat="1" applyFont="1" applyBorder="1" applyAlignment="1">
      <alignment vertical="center"/>
    </xf>
    <xf numFmtId="208" fontId="67" fillId="0" borderId="58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08" fontId="52" fillId="0" borderId="0" xfId="0" applyNumberFormat="1" applyFont="1" applyBorder="1" applyAlignment="1">
      <alignment horizontal="center" vertical="center"/>
    </xf>
    <xf numFmtId="219" fontId="52" fillId="0" borderId="0" xfId="0" applyNumberFormat="1" applyFont="1" applyBorder="1" applyAlignment="1">
      <alignment vertical="center"/>
    </xf>
    <xf numFmtId="220" fontId="52" fillId="0" borderId="0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/>
    </xf>
    <xf numFmtId="218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211" fontId="52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horizontal="right" vertical="center"/>
    </xf>
    <xf numFmtId="217" fontId="52" fillId="0" borderId="70" xfId="0" applyNumberFormat="1" applyFont="1" applyBorder="1" applyAlignment="1">
      <alignment horizontal="right" vertical="center"/>
    </xf>
    <xf numFmtId="2" fontId="52" fillId="0" borderId="0" xfId="0" applyNumberFormat="1" applyFont="1" applyBorder="1" applyAlignment="1">
      <alignment horizontal="right" vertical="center"/>
    </xf>
    <xf numFmtId="221" fontId="52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188" fontId="67" fillId="0" borderId="0" xfId="0" applyNumberFormat="1" applyFont="1" applyBorder="1" applyAlignment="1">
      <alignment vertical="center"/>
    </xf>
    <xf numFmtId="194" fontId="67" fillId="0" borderId="7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70" xfId="0" applyFont="1" applyBorder="1" applyAlignment="1">
      <alignment horizontal="center"/>
    </xf>
    <xf numFmtId="208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214" fontId="67" fillId="0" borderId="0" xfId="0" applyNumberFormat="1" applyFont="1" applyBorder="1" applyAlignment="1">
      <alignment horizontal="center" vertical="center"/>
    </xf>
    <xf numFmtId="208" fontId="0" fillId="0" borderId="0" xfId="0" applyNumberFormat="1" applyAlignment="1">
      <alignment vertical="center"/>
    </xf>
    <xf numFmtId="208" fontId="0" fillId="0" borderId="0" xfId="0" applyNumberFormat="1" applyBorder="1" applyAlignment="1">
      <alignment vertical="center"/>
    </xf>
    <xf numFmtId="201" fontId="69" fillId="0" borderId="0" xfId="0" applyNumberFormat="1" applyFont="1" applyBorder="1" applyAlignment="1">
      <alignment horizontal="center" vertical="center"/>
    </xf>
    <xf numFmtId="205" fontId="65" fillId="0" borderId="70" xfId="0" applyNumberFormat="1" applyFont="1" applyBorder="1" applyAlignment="1">
      <alignment horizontal="center" vertical="center"/>
    </xf>
    <xf numFmtId="205" fontId="67" fillId="0" borderId="7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215" fontId="72" fillId="0" borderId="70" xfId="0" applyNumberFormat="1" applyFont="1" applyBorder="1" applyAlignment="1">
      <alignment horizontal="center" vertical="center"/>
    </xf>
    <xf numFmtId="201" fontId="67" fillId="0" borderId="70" xfId="0" applyNumberFormat="1" applyFont="1" applyBorder="1" applyAlignment="1">
      <alignment vertical="center"/>
    </xf>
    <xf numFmtId="222" fontId="67" fillId="0" borderId="0" xfId="0" applyNumberFormat="1" applyFont="1" applyBorder="1" applyAlignment="1">
      <alignment horizontal="right" vertical="center"/>
    </xf>
    <xf numFmtId="194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222" fontId="67" fillId="0" borderId="0" xfId="0" applyNumberFormat="1" applyFont="1" applyBorder="1" applyAlignment="1">
      <alignment horizontal="center" vertical="center"/>
    </xf>
    <xf numFmtId="188" fontId="67" fillId="0" borderId="7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 shrinkToFit="1"/>
    </xf>
    <xf numFmtId="188" fontId="67" fillId="0" borderId="70" xfId="0" applyNumberFormat="1" applyFont="1" applyBorder="1" applyAlignment="1">
      <alignment horizontal="center" vertical="center" shrinkToFit="1"/>
    </xf>
    <xf numFmtId="194" fontId="67" fillId="0" borderId="0" xfId="0" applyNumberFormat="1" applyFont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212" fontId="52" fillId="0" borderId="56" xfId="87" applyNumberFormat="1" applyFont="1" applyBorder="1" applyAlignment="1">
      <alignment horizontal="center" vertical="center"/>
    </xf>
    <xf numFmtId="212" fontId="52" fillId="0" borderId="71" xfId="87" applyNumberFormat="1" applyFont="1" applyBorder="1" applyAlignment="1">
      <alignment horizontal="center" vertical="center"/>
    </xf>
    <xf numFmtId="212" fontId="52" fillId="0" borderId="78" xfId="87" applyNumberFormat="1" applyFont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76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0" fontId="82" fillId="28" borderId="80" xfId="0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82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6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223" fontId="81" fillId="32" borderId="60" xfId="86" applyNumberFormat="1" applyFont="1" applyFill="1" applyBorder="1" applyAlignment="1">
      <alignment horizontal="center" vertical="center" wrapText="1"/>
    </xf>
    <xf numFmtId="223" fontId="81" fillId="32" borderId="76" xfId="86" applyNumberFormat="1" applyFont="1" applyFill="1" applyBorder="1" applyAlignment="1">
      <alignment horizontal="center" vertical="center" wrapText="1"/>
    </xf>
  </cellXfs>
  <cellStyles count="15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2 3" xfId="121"/>
    <cellStyle name="Input [yellow] 2 3 2" xfId="143"/>
    <cellStyle name="Input [yellow] 3" xfId="97"/>
    <cellStyle name="Input [yellow] 3 2" xfId="130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2 3" xfId="122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2 2 2" xfId="149"/>
    <cellStyle name="메모 2 3" xfId="123"/>
    <cellStyle name="메모 3" xfId="99"/>
    <cellStyle name="메모 3 2" xfId="131"/>
    <cellStyle name="메모 3 2 2" xfId="147"/>
    <cellStyle name="메모 3 3" xfId="140"/>
    <cellStyle name="메모 4" xfId="119"/>
    <cellStyle name="메모 4 2" xfId="14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2 2 2" xfId="152"/>
    <cellStyle name="쉼표 [0] 2 2 2 3" xfId="135"/>
    <cellStyle name="쉼표 [0] 2 2 3" xfId="129"/>
    <cellStyle name="쉼표 [0] 2 2 3 2" xfId="146"/>
    <cellStyle name="쉼표 [0] 2 2 4" xfId="139"/>
    <cellStyle name="쉼표 [0] 2 2 5" xfId="117"/>
    <cellStyle name="쉼표 [0] 2 3" xfId="110"/>
    <cellStyle name="쉼표 [0] 2 3 2" xfId="150"/>
    <cellStyle name="쉼표 [0] 2 3 3" xfId="133"/>
    <cellStyle name="쉼표 [0] 2 4" xfId="127"/>
    <cellStyle name="쉼표 [0] 2 4 2" xfId="144"/>
    <cellStyle name="쉼표 [0] 2 5" xfId="137"/>
    <cellStyle name="쉼표 [0] 2 6" xfId="115"/>
    <cellStyle name="쉼표 [0] 3" xfId="95"/>
    <cellStyle name="쉼표 [0] 3 2" xfId="111"/>
    <cellStyle name="쉼표 [0] 3 2 2" xfId="151"/>
    <cellStyle name="쉼표 [0] 3 2 3" xfId="134"/>
    <cellStyle name="쉼표 [0] 3 3" xfId="128"/>
    <cellStyle name="쉼표 [0] 3 3 2" xfId="145"/>
    <cellStyle name="쉼표 [0] 3 4" xfId="138"/>
    <cellStyle name="쉼표 [0] 3 5" xfId="116"/>
    <cellStyle name="쉼표 [0] 4" xfId="103"/>
    <cellStyle name="쉼표 [0] 4 2" xfId="148"/>
    <cellStyle name="쉼표 [0] 4 3" xfId="132"/>
    <cellStyle name="쉼표 [0] 5" xfId="120"/>
    <cellStyle name="쉼표 [0] 5 2" xfId="142"/>
    <cellStyle name="쉼표 [0] 6" xfId="136"/>
    <cellStyle name="쉼표 [0] 7" xfId="114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2 3" xfId="124"/>
    <cellStyle name="요약 3" xfId="100"/>
    <cellStyle name="입력" xfId="59" builtinId="20" customBuiltin="1"/>
    <cellStyle name="입력 2" xfId="92"/>
    <cellStyle name="입력 2 2" xfId="108"/>
    <cellStyle name="입력 2 3" xfId="125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2 3" xfId="126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61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57525" y="11853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57525" y="11853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5</xdr:col>
      <xdr:colOff>180975</xdr:colOff>
      <xdr:row>57</xdr:row>
      <xdr:rowOff>171450</xdr:rowOff>
    </xdr:from>
    <xdr:to>
      <xdr:col>6</xdr:col>
      <xdr:colOff>1598557</xdr:colOff>
      <xdr:row>58</xdr:row>
      <xdr:rowOff>185943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/>
            <xdr:cNvSpPr txBox="1"/>
          </xdr:nvSpPr>
          <xdr:spPr>
            <a:xfrm>
              <a:off x="3048000" y="11439525"/>
              <a:ext cx="208433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4"/>
            <xdr:cNvSpPr txBox="1"/>
          </xdr:nvSpPr>
          <xdr:spPr>
            <a:xfrm>
              <a:off x="3048000" y="11439525"/>
              <a:ext cx="208433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4</xdr:col>
      <xdr:colOff>241268</xdr:colOff>
      <xdr:row>59</xdr:row>
      <xdr:rowOff>22701</xdr:rowOff>
    </xdr:from>
    <xdr:ext cx="1418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61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95750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95750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57</xdr:row>
      <xdr:rowOff>171450</xdr:rowOff>
    </xdr:from>
    <xdr:to>
      <xdr:col>7</xdr:col>
      <xdr:colOff>150757</xdr:colOff>
      <xdr:row>58</xdr:row>
      <xdr:rowOff>185943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/>
            <xdr:cNvSpPr txBox="1"/>
          </xdr:nvSpPr>
          <xdr:spPr>
            <a:xfrm>
              <a:off x="3724275" y="11439525"/>
              <a:ext cx="208433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4"/>
            <xdr:cNvSpPr txBox="1"/>
          </xdr:nvSpPr>
          <xdr:spPr>
            <a:xfrm>
              <a:off x="3724275" y="11439525"/>
              <a:ext cx="208433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4</xdr:col>
      <xdr:colOff>241268</xdr:colOff>
      <xdr:row>59</xdr:row>
      <xdr:rowOff>22701</xdr:rowOff>
    </xdr:from>
    <xdr:ext cx="1418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69</xdr:row>
      <xdr:rowOff>4767</xdr:rowOff>
    </xdr:from>
    <xdr:ext cx="5467779" cy="89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6" y="16597317"/>
              <a:ext cx="5467779" cy="89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6" y="16597317"/>
              <a:ext cx="5467779" cy="89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𝑙_𝑓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𝑙_𝑓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48</xdr:col>
      <xdr:colOff>0</xdr:colOff>
      <xdr:row>68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𝑙_𝑓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53</xdr:row>
      <xdr:rowOff>80961</xdr:rowOff>
    </xdr:from>
    <xdr:to>
      <xdr:col>38</xdr:col>
      <xdr:colOff>61387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𝑙_𝑓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119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119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2124074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2124074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838449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838449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124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29746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29746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</xdr:colOff>
      <xdr:row>129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5815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5815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130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132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135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136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140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143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170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156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186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199</xdr:row>
      <xdr:rowOff>57150</xdr:rowOff>
    </xdr:from>
    <xdr:ext cx="85696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47605950"/>
              <a:ext cx="85696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47605950"/>
              <a:ext cx="85696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213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5" y="5093970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5" y="5093970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𝑙_𝑓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𝑙_𝑓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145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168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154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173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175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184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197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197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202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19049</xdr:colOff>
      <xdr:row>211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30670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30670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216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51606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51606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𝑙_𝑓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100/10)^2=50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220</xdr:row>
      <xdr:rowOff>9525</xdr:rowOff>
    </xdr:from>
    <xdr:to>
      <xdr:col>35</xdr:col>
      <xdr:colOff>0</xdr:colOff>
      <xdr:row>221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𝑙_𝑓)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34</xdr:col>
      <xdr:colOff>142875</xdr:colOff>
      <xdr:row>222</xdr:row>
      <xdr:rowOff>38101</xdr:rowOff>
    </xdr:from>
    <xdr:to>
      <xdr:col>40</xdr:col>
      <xdr:colOff>104775</xdr:colOff>
      <xdr:row>222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53244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53244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222</xdr:row>
      <xdr:rowOff>38101</xdr:rowOff>
    </xdr:from>
    <xdr:to>
      <xdr:col>32</xdr:col>
      <xdr:colOff>104775</xdr:colOff>
      <xdr:row>222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229</xdr:row>
      <xdr:rowOff>19050</xdr:rowOff>
    </xdr:from>
    <xdr:to>
      <xdr:col>15</xdr:col>
      <xdr:colOff>123825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228</xdr:row>
      <xdr:rowOff>28575</xdr:rowOff>
    </xdr:from>
    <xdr:to>
      <xdr:col>33</xdr:col>
      <xdr:colOff>19050</xdr:colOff>
      <xdr:row>229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314825" y="544830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314825" y="544830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229</xdr:row>
      <xdr:rowOff>19050</xdr:rowOff>
    </xdr:from>
    <xdr:to>
      <xdr:col>20</xdr:col>
      <xdr:colOff>57150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229</xdr:row>
      <xdr:rowOff>19050</xdr:rowOff>
    </xdr:from>
    <xdr:to>
      <xdr:col>25</xdr:col>
      <xdr:colOff>85725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229</xdr:row>
      <xdr:rowOff>19050</xdr:rowOff>
    </xdr:from>
    <xdr:to>
      <xdr:col>30</xdr:col>
      <xdr:colOff>66675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229</xdr:row>
      <xdr:rowOff>19050</xdr:rowOff>
    </xdr:from>
    <xdr:to>
      <xdr:col>35</xdr:col>
      <xdr:colOff>76200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229</xdr:row>
      <xdr:rowOff>19050</xdr:rowOff>
    </xdr:from>
    <xdr:to>
      <xdr:col>40</xdr:col>
      <xdr:colOff>66675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229</xdr:row>
      <xdr:rowOff>19050</xdr:rowOff>
    </xdr:from>
    <xdr:to>
      <xdr:col>45</xdr:col>
      <xdr:colOff>57150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229</xdr:row>
      <xdr:rowOff>19050</xdr:rowOff>
    </xdr:from>
    <xdr:to>
      <xdr:col>50</xdr:col>
      <xdr:colOff>66675</xdr:colOff>
      <xdr:row>229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6953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6953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228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159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189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211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5"/>
            <xdr:cNvSpPr txBox="1"/>
          </xdr:nvSpPr>
          <xdr:spPr>
            <a:xfrm>
              <a:off x="23050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4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5"/>
            <xdr:cNvSpPr txBox="1"/>
          </xdr:nvSpPr>
          <xdr:spPr>
            <a:xfrm>
              <a:off x="23050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4√3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76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91</xdr:row>
      <xdr:rowOff>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4"/>
            <xdr:cNvSpPr txBox="1"/>
          </xdr:nvSpPr>
          <xdr:spPr>
            <a:xfrm>
              <a:off x="3571875" y="2183130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4"/>
            <xdr:cNvSpPr txBox="1"/>
          </xdr:nvSpPr>
          <xdr:spPr>
            <a:xfrm>
              <a:off x="3571875" y="2183130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92</xdr:row>
      <xdr:rowOff>228600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4"/>
            <xdr:cNvSpPr txBox="1"/>
          </xdr:nvSpPr>
          <xdr:spPr>
            <a:xfrm>
              <a:off x="2190750" y="2229802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4"/>
            <xdr:cNvSpPr txBox="1"/>
          </xdr:nvSpPr>
          <xdr:spPr>
            <a:xfrm>
              <a:off x="2190750" y="2229802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28575</xdr:colOff>
      <xdr:row>93</xdr:row>
      <xdr:rowOff>104775</xdr:rowOff>
    </xdr:from>
    <xdr:ext cx="1321708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4"/>
            <xdr:cNvSpPr txBox="1"/>
          </xdr:nvSpPr>
          <xdr:spPr>
            <a:xfrm>
              <a:off x="3990975" y="22412325"/>
              <a:ext cx="132170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4"/>
            <xdr:cNvSpPr txBox="1"/>
          </xdr:nvSpPr>
          <xdr:spPr>
            <a:xfrm>
              <a:off x="3990975" y="22412325"/>
              <a:ext cx="132170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18095</xdr:colOff>
      <xdr:row>93</xdr:row>
      <xdr:rowOff>104775</xdr:rowOff>
    </xdr:from>
    <xdr:ext cx="153448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4"/>
            <xdr:cNvSpPr txBox="1"/>
          </xdr:nvSpPr>
          <xdr:spPr>
            <a:xfrm>
              <a:off x="5961695" y="22412325"/>
              <a:ext cx="153448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4"/>
            <xdr:cNvSpPr txBox="1"/>
          </xdr:nvSpPr>
          <xdr:spPr>
            <a:xfrm>
              <a:off x="5961695" y="22412325"/>
              <a:ext cx="153448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3236</xdr:colOff>
      <xdr:row>98</xdr:row>
      <xdr:rowOff>225004</xdr:rowOff>
    </xdr:from>
    <xdr:ext cx="3403047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1527236" y="23723179"/>
              <a:ext cx="3403047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e>
                    </m:nary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1527236" y="23723179"/>
              <a:ext cx="3403047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)=∑24_(𝑖=1)^𝑁▒〖𝑐_𝑖^2 𝑢^2 (𝑙_𝑖 ) 〗+2∑24_(𝑖=1)^(𝑁−1)▒∑24_(𝑗=𝑖+1)^𝑁▒〖𝑐_𝑖 𝑐_𝑗 𝑟(𝑙_𝑖,𝑙_𝑗 )𝑢(𝑙_𝑖 )𝑢(𝑙_𝑗 ) 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65720</xdr:colOff>
      <xdr:row>100</xdr:row>
      <xdr:rowOff>228600</xdr:rowOff>
    </xdr:from>
    <xdr:ext cx="1582105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4"/>
            <xdr:cNvSpPr txBox="1"/>
          </xdr:nvSpPr>
          <xdr:spPr>
            <a:xfrm>
              <a:off x="3570920" y="24203025"/>
              <a:ext cx="158210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4"/>
            <xdr:cNvSpPr txBox="1"/>
          </xdr:nvSpPr>
          <xdr:spPr>
            <a:xfrm>
              <a:off x="3570920" y="24203025"/>
              <a:ext cx="158210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108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103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104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105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109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109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221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221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221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221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221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222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222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223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223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224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242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242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242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59" t="s">
        <v>0</v>
      </c>
      <c r="B1" s="360"/>
      <c r="C1" s="360"/>
      <c r="D1" s="360"/>
      <c r="E1" s="360"/>
      <c r="F1" s="360"/>
      <c r="G1" s="360"/>
      <c r="H1" s="361"/>
      <c r="I1" s="362"/>
      <c r="J1" s="363"/>
    </row>
    <row r="2" spans="1:13" ht="12.95" customHeight="1">
      <c r="A2" s="339" t="s">
        <v>1</v>
      </c>
      <c r="B2" s="339"/>
      <c r="C2" s="339"/>
      <c r="D2" s="339"/>
      <c r="E2" s="339"/>
      <c r="F2" s="339"/>
      <c r="G2" s="339"/>
      <c r="H2" s="339"/>
      <c r="I2" s="339"/>
      <c r="J2" s="339"/>
    </row>
    <row r="3" spans="1:13" ht="12.95" customHeight="1">
      <c r="A3" s="340" t="s">
        <v>2</v>
      </c>
      <c r="B3" s="341"/>
      <c r="C3" s="364"/>
      <c r="D3" s="364"/>
      <c r="E3" s="364"/>
      <c r="F3" s="341" t="s">
        <v>3</v>
      </c>
      <c r="G3" s="341"/>
      <c r="H3" s="355"/>
      <c r="I3" s="354"/>
      <c r="J3" s="354"/>
    </row>
    <row r="4" spans="1:13" ht="12.95" customHeight="1">
      <c r="A4" s="341" t="s">
        <v>4</v>
      </c>
      <c r="B4" s="341"/>
      <c r="C4" s="365"/>
      <c r="D4" s="341"/>
      <c r="E4" s="341"/>
      <c r="F4" s="341" t="s">
        <v>5</v>
      </c>
      <c r="G4" s="341"/>
      <c r="H4" s="341"/>
      <c r="I4" s="354"/>
      <c r="J4" s="354"/>
    </row>
    <row r="5" spans="1:13" ht="12.95" customHeight="1">
      <c r="A5" s="341" t="s">
        <v>6</v>
      </c>
      <c r="B5" s="341"/>
      <c r="C5" s="341"/>
      <c r="D5" s="354"/>
      <c r="E5" s="354"/>
      <c r="F5" s="340" t="s">
        <v>7</v>
      </c>
      <c r="G5" s="341"/>
      <c r="H5" s="342"/>
      <c r="I5" s="343"/>
      <c r="J5" s="343"/>
    </row>
    <row r="6" spans="1:13" ht="12.95" customHeight="1">
      <c r="A6" s="341" t="s">
        <v>8</v>
      </c>
      <c r="B6" s="341"/>
      <c r="C6" s="341"/>
      <c r="D6" s="354"/>
      <c r="E6" s="354"/>
      <c r="F6" s="340" t="s">
        <v>9</v>
      </c>
      <c r="G6" s="341"/>
      <c r="H6" s="342"/>
      <c r="I6" s="343"/>
      <c r="J6" s="343"/>
    </row>
    <row r="7" spans="1:13" ht="12.95" customHeight="1">
      <c r="A7" s="341" t="s">
        <v>10</v>
      </c>
      <c r="B7" s="341"/>
      <c r="C7" s="357"/>
      <c r="D7" s="354"/>
      <c r="E7" s="354"/>
      <c r="F7" s="340" t="s">
        <v>11</v>
      </c>
      <c r="G7" s="341"/>
      <c r="H7" s="341"/>
      <c r="I7" s="354"/>
      <c r="J7" s="354"/>
    </row>
    <row r="8" spans="1:13" ht="12.95" customHeight="1">
      <c r="A8" s="341" t="s">
        <v>12</v>
      </c>
      <c r="B8" s="341"/>
      <c r="C8" s="355"/>
      <c r="D8" s="356"/>
      <c r="E8" s="356"/>
      <c r="F8" s="340" t="s">
        <v>13</v>
      </c>
      <c r="G8" s="341"/>
      <c r="H8" s="341"/>
      <c r="I8" s="354"/>
      <c r="J8" s="354"/>
    </row>
    <row r="9" spans="1:13" ht="12.95" customHeight="1">
      <c r="A9" s="340" t="s">
        <v>35</v>
      </c>
      <c r="B9" s="341"/>
      <c r="C9" s="342"/>
      <c r="D9" s="343"/>
      <c r="E9" s="343"/>
      <c r="F9" s="358" t="s">
        <v>14</v>
      </c>
      <c r="G9" s="358"/>
      <c r="H9" s="342"/>
      <c r="I9" s="343"/>
      <c r="J9" s="343"/>
    </row>
    <row r="10" spans="1:13" ht="23.25" customHeight="1">
      <c r="A10" s="341" t="s">
        <v>15</v>
      </c>
      <c r="B10" s="341"/>
      <c r="C10" s="342"/>
      <c r="D10" s="343"/>
      <c r="E10" s="343"/>
      <c r="F10" s="341" t="s">
        <v>16</v>
      </c>
      <c r="G10" s="341"/>
      <c r="H10" s="34"/>
      <c r="I10" s="346" t="s">
        <v>17</v>
      </c>
      <c r="J10" s="347"/>
      <c r="K10" s="4"/>
    </row>
    <row r="11" spans="1:13" ht="12.95" customHeight="1">
      <c r="A11" s="339" t="s">
        <v>18</v>
      </c>
      <c r="B11" s="339"/>
      <c r="C11" s="339"/>
      <c r="D11" s="339"/>
      <c r="E11" s="339"/>
      <c r="F11" s="339"/>
      <c r="G11" s="339"/>
      <c r="H11" s="339"/>
      <c r="I11" s="339"/>
      <c r="J11" s="339"/>
      <c r="K11" s="5"/>
    </row>
    <row r="12" spans="1:13" ht="17.25" customHeight="1">
      <c r="A12" s="3" t="s">
        <v>19</v>
      </c>
      <c r="B12" s="86"/>
      <c r="C12" s="6" t="s">
        <v>20</v>
      </c>
      <c r="D12" s="87"/>
      <c r="E12" s="6" t="s">
        <v>21</v>
      </c>
      <c r="F12" s="88"/>
      <c r="G12" s="348" t="s">
        <v>22</v>
      </c>
      <c r="H12" s="344"/>
      <c r="I12" s="350" t="s">
        <v>23</v>
      </c>
      <c r="J12" s="351"/>
      <c r="K12" s="4"/>
      <c r="L12" s="7"/>
      <c r="M12" s="7"/>
    </row>
    <row r="13" spans="1:13" ht="17.25" customHeight="1">
      <c r="A13" s="8" t="s">
        <v>24</v>
      </c>
      <c r="B13" s="86"/>
      <c r="C13" s="8" t="s">
        <v>25</v>
      </c>
      <c r="D13" s="87"/>
      <c r="E13" s="6" t="s">
        <v>26</v>
      </c>
      <c r="F13" s="88"/>
      <c r="G13" s="349"/>
      <c r="H13" s="345"/>
      <c r="I13" s="352"/>
      <c r="J13" s="353"/>
      <c r="K13" s="5"/>
    </row>
    <row r="14" spans="1:13" ht="12.95" customHeight="1">
      <c r="A14" s="339" t="s">
        <v>27</v>
      </c>
      <c r="B14" s="339"/>
      <c r="C14" s="339"/>
      <c r="D14" s="339"/>
      <c r="E14" s="339"/>
      <c r="F14" s="339"/>
      <c r="G14" s="339"/>
      <c r="H14" s="339"/>
      <c r="I14" s="339"/>
      <c r="J14" s="339"/>
      <c r="K14" s="5"/>
    </row>
    <row r="15" spans="1:13" ht="39" customHeight="1">
      <c r="A15" s="336"/>
      <c r="B15" s="337"/>
      <c r="C15" s="337"/>
      <c r="D15" s="337"/>
      <c r="E15" s="337"/>
      <c r="F15" s="337"/>
      <c r="G15" s="337"/>
      <c r="H15" s="337"/>
      <c r="I15" s="337"/>
      <c r="J15" s="338"/>
    </row>
    <row r="16" spans="1:13" ht="12.95" customHeight="1">
      <c r="A16" s="339" t="s">
        <v>28</v>
      </c>
      <c r="B16" s="339"/>
      <c r="C16" s="339"/>
      <c r="D16" s="339"/>
      <c r="E16" s="339"/>
      <c r="F16" s="339"/>
      <c r="G16" s="339"/>
      <c r="H16" s="339"/>
      <c r="I16" s="339"/>
      <c r="J16" s="339"/>
    </row>
    <row r="17" spans="1:12" ht="12.95" customHeight="1">
      <c r="A17" s="3" t="s">
        <v>29</v>
      </c>
      <c r="B17" s="340" t="s">
        <v>30</v>
      </c>
      <c r="C17" s="341"/>
      <c r="D17" s="341"/>
      <c r="E17" s="341"/>
      <c r="F17" s="340" t="s">
        <v>31</v>
      </c>
      <c r="G17" s="341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4"/>
      <c r="C18" s="335"/>
      <c r="D18" s="335"/>
      <c r="E18" s="335"/>
      <c r="F18" s="334"/>
      <c r="G18" s="335"/>
      <c r="H18" s="40"/>
      <c r="I18" s="18"/>
      <c r="J18" s="85"/>
      <c r="L18" s="5"/>
    </row>
    <row r="19" spans="1:12" ht="12.95" customHeight="1">
      <c r="A19" s="35"/>
      <c r="B19" s="334"/>
      <c r="C19" s="335"/>
      <c r="D19" s="335"/>
      <c r="E19" s="335"/>
      <c r="F19" s="334"/>
      <c r="G19" s="335"/>
      <c r="H19" s="21"/>
      <c r="I19" s="21"/>
      <c r="J19" s="85"/>
      <c r="L19" s="5"/>
    </row>
    <row r="20" spans="1:12" ht="12.95" customHeight="1">
      <c r="A20" s="35"/>
      <c r="B20" s="334"/>
      <c r="C20" s="335"/>
      <c r="D20" s="335"/>
      <c r="E20" s="335"/>
      <c r="F20" s="334"/>
      <c r="G20" s="335"/>
      <c r="H20" s="32"/>
      <c r="I20" s="32"/>
      <c r="J20" s="85"/>
      <c r="L20" s="5"/>
    </row>
    <row r="21" spans="1:12" ht="12.95" customHeight="1">
      <c r="A21" s="35"/>
      <c r="B21" s="334"/>
      <c r="C21" s="335"/>
      <c r="D21" s="335"/>
      <c r="E21" s="335"/>
      <c r="F21" s="334"/>
      <c r="G21" s="335"/>
      <c r="H21" s="32"/>
      <c r="I21" s="9"/>
      <c r="J21" s="85"/>
      <c r="L21" s="5"/>
    </row>
    <row r="22" spans="1:12" ht="12.95" customHeight="1">
      <c r="A22" s="35"/>
      <c r="B22" s="334"/>
      <c r="C22" s="335"/>
      <c r="D22" s="335"/>
      <c r="E22" s="335"/>
      <c r="F22" s="334"/>
      <c r="G22" s="335"/>
      <c r="H22" s="20"/>
      <c r="I22" s="11"/>
      <c r="J22" s="85"/>
      <c r="L22" s="5"/>
    </row>
    <row r="23" spans="1:12" ht="12.95" customHeight="1">
      <c r="A23" s="35"/>
      <c r="B23" s="334"/>
      <c r="C23" s="335"/>
      <c r="D23" s="335"/>
      <c r="E23" s="335"/>
      <c r="F23" s="334"/>
      <c r="G23" s="335"/>
      <c r="H23" s="11"/>
      <c r="I23" s="9"/>
      <c r="J23" s="85"/>
      <c r="L23" s="5"/>
    </row>
    <row r="24" spans="1:12" ht="12.95" customHeight="1">
      <c r="A24" s="35"/>
      <c r="B24" s="334"/>
      <c r="C24" s="335"/>
      <c r="D24" s="335"/>
      <c r="E24" s="335"/>
      <c r="F24" s="334"/>
      <c r="G24" s="335"/>
      <c r="H24" s="16"/>
      <c r="I24" s="9"/>
      <c r="J24" s="85"/>
      <c r="L24" s="5"/>
    </row>
    <row r="25" spans="1:12" ht="12.95" customHeight="1">
      <c r="A25" s="35"/>
      <c r="B25" s="334"/>
      <c r="C25" s="335"/>
      <c r="D25" s="335"/>
      <c r="E25" s="335"/>
      <c r="F25" s="334"/>
      <c r="G25" s="335"/>
      <c r="H25" s="16"/>
      <c r="I25" s="9"/>
      <c r="J25" s="85"/>
      <c r="L25" s="5"/>
    </row>
    <row r="26" spans="1:12" ht="12.95" customHeight="1">
      <c r="A26" s="35"/>
      <c r="B26" s="334"/>
      <c r="C26" s="335"/>
      <c r="D26" s="335"/>
      <c r="E26" s="335"/>
      <c r="F26" s="334"/>
      <c r="G26" s="335"/>
      <c r="H26" s="16"/>
      <c r="I26" s="9"/>
      <c r="J26" s="85"/>
      <c r="L26" s="5"/>
    </row>
    <row r="27" spans="1:12" ht="12.95" customHeight="1">
      <c r="A27" s="35"/>
      <c r="B27" s="334"/>
      <c r="C27" s="335"/>
      <c r="D27" s="335"/>
      <c r="E27" s="335"/>
      <c r="F27" s="334"/>
      <c r="G27" s="335"/>
      <c r="H27" s="9"/>
      <c r="I27" s="9"/>
      <c r="J27" s="85"/>
    </row>
    <row r="28" spans="1:12" ht="12.95" customHeight="1">
      <c r="A28" s="35"/>
      <c r="B28" s="334"/>
      <c r="C28" s="335"/>
      <c r="D28" s="335"/>
      <c r="E28" s="335"/>
      <c r="F28" s="334"/>
      <c r="G28" s="335"/>
      <c r="H28" s="9"/>
      <c r="I28" s="9"/>
      <c r="J28" s="85"/>
    </row>
    <row r="29" spans="1:12" ht="12.95" customHeight="1">
      <c r="A29" s="35"/>
      <c r="B29" s="334"/>
      <c r="C29" s="335"/>
      <c r="D29" s="335"/>
      <c r="E29" s="335"/>
      <c r="F29" s="334"/>
      <c r="G29" s="335"/>
      <c r="H29" s="9"/>
      <c r="I29" s="9"/>
      <c r="J29" s="85"/>
    </row>
    <row r="30" spans="1:12" ht="12.95" customHeight="1">
      <c r="A30" s="35"/>
      <c r="B30" s="334"/>
      <c r="C30" s="335"/>
      <c r="D30" s="335"/>
      <c r="E30" s="335"/>
      <c r="F30" s="334"/>
      <c r="G30" s="335"/>
      <c r="H30" s="9"/>
      <c r="I30" s="9"/>
      <c r="J30" s="85"/>
    </row>
    <row r="31" spans="1:12" ht="12.95" customHeight="1">
      <c r="A31" s="35"/>
      <c r="B31" s="334"/>
      <c r="C31" s="335"/>
      <c r="D31" s="335"/>
      <c r="E31" s="335"/>
      <c r="F31" s="334"/>
      <c r="G31" s="335"/>
      <c r="H31" s="9"/>
      <c r="I31" s="9"/>
      <c r="J31" s="85"/>
    </row>
    <row r="32" spans="1:12" ht="12.95" customHeight="1">
      <c r="A32" s="35"/>
      <c r="B32" s="334"/>
      <c r="C32" s="335"/>
      <c r="D32" s="335"/>
      <c r="E32" s="335"/>
      <c r="F32" s="334"/>
      <c r="G32" s="335"/>
      <c r="H32" s="9"/>
      <c r="I32" s="9"/>
      <c r="J32" s="85"/>
    </row>
    <row r="33" spans="1:10" ht="12.95" customHeight="1">
      <c r="A33" s="35"/>
      <c r="B33" s="334"/>
      <c r="C33" s="335"/>
      <c r="D33" s="335"/>
      <c r="E33" s="335"/>
      <c r="F33" s="334"/>
      <c r="G33" s="335"/>
      <c r="H33" s="9"/>
      <c r="I33" s="9"/>
      <c r="J33" s="85"/>
    </row>
    <row r="34" spans="1:10" ht="12.95" customHeight="1">
      <c r="A34" s="35"/>
      <c r="B34" s="334"/>
      <c r="C34" s="335"/>
      <c r="D34" s="335"/>
      <c r="E34" s="335"/>
      <c r="F34" s="334"/>
      <c r="G34" s="335"/>
      <c r="H34" s="9"/>
      <c r="I34" s="9"/>
      <c r="J34" s="85"/>
    </row>
    <row r="35" spans="1:10" ht="12.95" customHeight="1">
      <c r="A35" s="35"/>
      <c r="B35" s="334"/>
      <c r="C35" s="335"/>
      <c r="D35" s="335"/>
      <c r="E35" s="335"/>
      <c r="F35" s="334"/>
      <c r="G35" s="335"/>
      <c r="H35" s="9"/>
      <c r="I35" s="9"/>
      <c r="J35" s="85"/>
    </row>
    <row r="36" spans="1:10" ht="12.95" customHeight="1">
      <c r="A36" s="35"/>
      <c r="B36" s="334"/>
      <c r="C36" s="335"/>
      <c r="D36" s="335"/>
      <c r="E36" s="335"/>
      <c r="F36" s="334"/>
      <c r="G36" s="335"/>
      <c r="H36" s="9"/>
      <c r="I36" s="9"/>
      <c r="J36" s="85"/>
    </row>
    <row r="37" spans="1:10" ht="12.95" customHeight="1">
      <c r="A37" s="35"/>
      <c r="B37" s="334"/>
      <c r="C37" s="335"/>
      <c r="D37" s="335"/>
      <c r="E37" s="335"/>
      <c r="F37" s="334"/>
      <c r="G37" s="335"/>
      <c r="H37" s="9"/>
      <c r="I37" s="9"/>
      <c r="J37" s="85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20" t="s">
        <v>37</v>
      </c>
      <c r="B39" s="320"/>
      <c r="C39" s="320"/>
      <c r="D39" s="320"/>
      <c r="E39" s="320"/>
      <c r="F39" s="321" t="s">
        <v>38</v>
      </c>
      <c r="G39" s="324"/>
      <c r="H39" s="325"/>
      <c r="I39" s="325"/>
      <c r="J39" s="326"/>
    </row>
    <row r="40" spans="1:10" ht="12.95" customHeight="1">
      <c r="A40" s="320" t="s">
        <v>39</v>
      </c>
      <c r="B40" s="320"/>
      <c r="C40" s="320"/>
      <c r="D40" s="320"/>
      <c r="E40" s="320"/>
      <c r="F40" s="322"/>
      <c r="G40" s="327"/>
      <c r="H40" s="328"/>
      <c r="I40" s="328"/>
      <c r="J40" s="329"/>
    </row>
    <row r="41" spans="1:10" ht="12.95" customHeight="1">
      <c r="A41" s="320" t="s">
        <v>40</v>
      </c>
      <c r="B41" s="320"/>
      <c r="C41" s="320"/>
      <c r="D41" s="320"/>
      <c r="E41" s="320"/>
      <c r="F41" s="322"/>
      <c r="G41" s="327"/>
      <c r="H41" s="328"/>
      <c r="I41" s="328"/>
      <c r="J41" s="329"/>
    </row>
    <row r="42" spans="1:10" ht="12.95" customHeight="1">
      <c r="A42" s="320" t="s">
        <v>41</v>
      </c>
      <c r="B42" s="320"/>
      <c r="C42" s="333" t="s">
        <v>42</v>
      </c>
      <c r="D42" s="333"/>
      <c r="E42" s="333"/>
      <c r="F42" s="323"/>
      <c r="G42" s="330"/>
      <c r="H42" s="331"/>
      <c r="I42" s="331"/>
      <c r="J42" s="332"/>
    </row>
    <row r="43" spans="1:10" ht="12.95" customHeight="1">
      <c r="A43" s="319" t="s">
        <v>52</v>
      </c>
      <c r="B43" s="319"/>
      <c r="C43" s="319" t="e">
        <f ca="1">Calcu!T3</f>
        <v>#N/A</v>
      </c>
      <c r="D43" s="319"/>
      <c r="E43" s="319"/>
    </row>
    <row r="46" spans="1:10" ht="12.95" customHeight="1">
      <c r="B46" s="1" t="s">
        <v>131</v>
      </c>
    </row>
    <row r="47" spans="1:10" ht="12.95" customHeight="1">
      <c r="B47" s="1" t="s">
        <v>132</v>
      </c>
    </row>
    <row r="48" spans="1:10" ht="12.95" customHeight="1">
      <c r="A48" s="1">
        <f>Calcu!R97</f>
        <v>0</v>
      </c>
      <c r="B48" s="1" t="s">
        <v>162</v>
      </c>
    </row>
    <row r="49" spans="1:2" ht="12.95" customHeight="1">
      <c r="A49" s="112"/>
    </row>
    <row r="50" spans="1:2" ht="12.95" customHeight="1">
      <c r="A50" s="1" t="str">
        <f>Calcu!U3</f>
        <v>PASS</v>
      </c>
      <c r="B50" s="1" t="s">
        <v>163</v>
      </c>
    </row>
    <row r="52" spans="1:2" ht="12.95" customHeight="1">
      <c r="B52" s="292" t="s">
        <v>569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4" bestFit="1" customWidth="1"/>
    <col min="2" max="2" width="6.6640625" style="94" bestFit="1" customWidth="1"/>
    <col min="3" max="3" width="8.88671875" style="94"/>
    <col min="4" max="4" width="6.6640625" style="94" bestFit="1" customWidth="1"/>
    <col min="5" max="13" width="1.77734375" style="94" customWidth="1"/>
    <col min="14" max="15" width="6" style="94" bestFit="1" customWidth="1"/>
    <col min="16" max="16" width="7.5546875" style="94" bestFit="1" customWidth="1"/>
    <col min="17" max="17" width="4" style="94" bestFit="1" customWidth="1"/>
    <col min="18" max="18" width="5.33203125" style="94" bestFit="1" customWidth="1"/>
    <col min="19" max="19" width="4" style="94" bestFit="1" customWidth="1"/>
    <col min="20" max="21" width="6.5546875" style="94" bestFit="1" customWidth="1"/>
    <col min="22" max="22" width="8.44140625" style="94" bestFit="1" customWidth="1"/>
    <col min="23" max="23" width="6.6640625" style="94" bestFit="1" customWidth="1"/>
    <col min="24" max="24" width="5.33203125" style="94" bestFit="1" customWidth="1"/>
    <col min="25" max="25" width="8.33203125" style="94" bestFit="1" customWidth="1"/>
    <col min="26" max="27" width="4" style="94" bestFit="1" customWidth="1"/>
    <col min="28" max="34" width="1.77734375" style="94" customWidth="1"/>
    <col min="35" max="35" width="7.5546875" style="94" bestFit="1" customWidth="1"/>
    <col min="36" max="16384" width="8.88671875" style="94"/>
  </cols>
  <sheetData>
    <row r="1" spans="1:36">
      <c r="A1" s="118" t="s">
        <v>100</v>
      </c>
      <c r="B1" s="118" t="s">
        <v>66</v>
      </c>
      <c r="C1" s="118" t="s">
        <v>67</v>
      </c>
      <c r="D1" s="118" t="s">
        <v>101</v>
      </c>
      <c r="E1" s="118"/>
      <c r="F1" s="118"/>
      <c r="G1" s="118"/>
      <c r="H1" s="118"/>
      <c r="I1" s="118"/>
      <c r="J1" s="118"/>
      <c r="K1" s="118"/>
      <c r="L1" s="118"/>
      <c r="M1" s="118"/>
      <c r="N1" s="118" t="s">
        <v>102</v>
      </c>
      <c r="O1" s="118" t="s">
        <v>103</v>
      </c>
      <c r="P1" s="118" t="s">
        <v>68</v>
      </c>
      <c r="Q1" s="118" t="s">
        <v>104</v>
      </c>
      <c r="R1" s="118" t="s">
        <v>70</v>
      </c>
      <c r="S1" s="118" t="s">
        <v>69</v>
      </c>
      <c r="T1" s="118" t="s">
        <v>71</v>
      </c>
      <c r="U1" s="118" t="s">
        <v>105</v>
      </c>
      <c r="V1" s="118" t="s">
        <v>72</v>
      </c>
      <c r="W1" s="118" t="s">
        <v>73</v>
      </c>
      <c r="X1" s="118" t="s">
        <v>106</v>
      </c>
      <c r="Y1" s="118" t="s">
        <v>107</v>
      </c>
      <c r="Z1" s="118" t="s">
        <v>108</v>
      </c>
      <c r="AA1" s="118" t="s">
        <v>109</v>
      </c>
      <c r="AB1" s="118"/>
      <c r="AC1" s="118"/>
      <c r="AD1" s="118"/>
      <c r="AE1" s="118"/>
      <c r="AF1" s="118"/>
      <c r="AG1" s="118"/>
      <c r="AH1" s="118"/>
      <c r="AI1" s="118" t="s">
        <v>110</v>
      </c>
      <c r="AJ1" s="172" t="s">
        <v>130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94</v>
      </c>
    </row>
    <row r="2" spans="1:17" s="12" customFormat="1" ht="17.100000000000001" customHeight="1">
      <c r="A2" s="17" t="s">
        <v>43</v>
      </c>
      <c r="C2" s="95" t="s">
        <v>63</v>
      </c>
      <c r="F2" s="95" t="s">
        <v>75</v>
      </c>
      <c r="J2" s="17" t="s">
        <v>44</v>
      </c>
      <c r="M2" s="17" t="s">
        <v>45</v>
      </c>
    </row>
    <row r="3" spans="1:17" s="12" customFormat="1" ht="13.5">
      <c r="A3" s="14" t="s">
        <v>95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4" t="s">
        <v>96</v>
      </c>
      <c r="P3" s="114" t="s">
        <v>97</v>
      </c>
      <c r="Q3" s="41" t="s">
        <v>98</v>
      </c>
    </row>
    <row r="4" spans="1:17" s="12" customFormat="1" ht="17.100000000000001" customHeight="1">
      <c r="A4" s="113"/>
      <c r="B4" s="23"/>
      <c r="C4" s="23"/>
      <c r="D4" s="55"/>
      <c r="E4" s="42"/>
      <c r="F4" s="23"/>
      <c r="G4" s="23"/>
      <c r="H4" s="96"/>
      <c r="I4" s="42"/>
      <c r="J4" s="23"/>
      <c r="K4" s="23"/>
      <c r="L4" s="23"/>
      <c r="M4" s="23"/>
      <c r="N4" s="23"/>
      <c r="O4" s="115"/>
      <c r="P4" s="115"/>
      <c r="Q4" s="23"/>
    </row>
    <row r="5" spans="1:17" s="12" customFormat="1" ht="17.100000000000001" customHeight="1">
      <c r="A5" s="113"/>
      <c r="B5" s="23"/>
      <c r="C5" s="23"/>
      <c r="D5" s="55"/>
      <c r="E5" s="42"/>
      <c r="F5" s="23"/>
      <c r="G5" s="23"/>
      <c r="H5" s="96"/>
      <c r="I5" s="42"/>
      <c r="J5" s="23"/>
      <c r="K5" s="24"/>
      <c r="L5" s="24"/>
      <c r="M5" s="24"/>
      <c r="N5" s="24"/>
      <c r="O5" s="116"/>
      <c r="P5" s="116"/>
      <c r="Q5" s="24"/>
    </row>
    <row r="6" spans="1:17" s="12" customFormat="1" ht="17.100000000000001" customHeight="1">
      <c r="A6" s="113"/>
      <c r="B6" s="23"/>
      <c r="C6" s="23"/>
      <c r="D6" s="55"/>
      <c r="E6" s="42"/>
      <c r="F6" s="23"/>
      <c r="G6" s="23"/>
      <c r="H6" s="96"/>
      <c r="I6" s="42"/>
      <c r="J6" s="23"/>
      <c r="K6" s="24"/>
      <c r="L6" s="24"/>
      <c r="M6" s="24"/>
      <c r="N6" s="24"/>
      <c r="O6" s="116"/>
      <c r="P6" s="116"/>
      <c r="Q6" s="24"/>
    </row>
    <row r="7" spans="1:17" s="12" customFormat="1" ht="17.100000000000001" customHeight="1">
      <c r="A7" s="113"/>
      <c r="B7" s="23"/>
      <c r="C7" s="23"/>
      <c r="D7" s="55"/>
      <c r="E7" s="42"/>
      <c r="F7" s="23"/>
      <c r="G7" s="23"/>
      <c r="H7" s="96"/>
      <c r="I7" s="42"/>
      <c r="J7" s="23"/>
      <c r="K7" s="24"/>
      <c r="L7" s="24"/>
      <c r="M7" s="24"/>
      <c r="N7" s="24"/>
      <c r="O7" s="116"/>
      <c r="P7" s="116"/>
      <c r="Q7" s="24"/>
    </row>
    <row r="8" spans="1:17" s="12" customFormat="1" ht="17.100000000000001" customHeight="1">
      <c r="A8" s="113"/>
      <c r="B8" s="23"/>
      <c r="C8" s="23"/>
      <c r="D8" s="55"/>
      <c r="E8" s="42"/>
      <c r="F8" s="23"/>
      <c r="G8" s="23"/>
      <c r="H8" s="96"/>
      <c r="I8" s="42"/>
      <c r="J8" s="23"/>
      <c r="K8" s="24"/>
      <c r="L8" s="24"/>
      <c r="M8" s="24"/>
      <c r="N8" s="24"/>
      <c r="O8" s="116"/>
      <c r="P8" s="116"/>
      <c r="Q8" s="24"/>
    </row>
    <row r="9" spans="1:17" s="12" customFormat="1" ht="17.100000000000001" customHeight="1">
      <c r="A9" s="113"/>
      <c r="B9" s="23"/>
      <c r="C9" s="23"/>
      <c r="D9" s="55"/>
      <c r="E9" s="42"/>
      <c r="F9" s="23"/>
      <c r="G9" s="23"/>
      <c r="H9" s="96"/>
      <c r="I9" s="42"/>
      <c r="J9" s="23"/>
      <c r="K9" s="24"/>
      <c r="L9" s="24"/>
      <c r="M9" s="24"/>
      <c r="N9" s="24"/>
      <c r="O9" s="116"/>
      <c r="P9" s="116"/>
      <c r="Q9" s="24"/>
    </row>
    <row r="10" spans="1:17" s="12" customFormat="1" ht="17.100000000000001" customHeight="1">
      <c r="A10" s="113"/>
      <c r="B10" s="23"/>
      <c r="C10" s="23"/>
      <c r="D10" s="55"/>
      <c r="E10" s="42"/>
      <c r="F10" s="23"/>
      <c r="G10" s="23"/>
      <c r="H10" s="96"/>
      <c r="I10" s="42"/>
      <c r="J10" s="23"/>
      <c r="K10" s="24"/>
      <c r="L10" s="24"/>
      <c r="M10" s="24"/>
      <c r="N10" s="24"/>
      <c r="O10" s="116"/>
      <c r="P10" s="116"/>
      <c r="Q10" s="24"/>
    </row>
    <row r="11" spans="1:17" s="12" customFormat="1" ht="17.100000000000001" customHeight="1">
      <c r="A11" s="113"/>
      <c r="B11" s="23"/>
      <c r="C11" s="23"/>
      <c r="D11" s="55"/>
      <c r="E11" s="42"/>
      <c r="F11" s="23"/>
      <c r="G11" s="23"/>
      <c r="H11" s="96"/>
      <c r="I11" s="42"/>
      <c r="J11" s="23"/>
      <c r="K11" s="24"/>
      <c r="L11" s="24"/>
      <c r="M11" s="24"/>
      <c r="N11" s="24"/>
      <c r="O11" s="116"/>
      <c r="P11" s="116"/>
      <c r="Q11" s="24"/>
    </row>
    <row r="12" spans="1:17" s="12" customFormat="1" ht="17.100000000000001" customHeight="1">
      <c r="A12" s="113"/>
      <c r="B12" s="23"/>
      <c r="C12" s="23"/>
      <c r="D12" s="55"/>
      <c r="E12" s="42"/>
      <c r="F12" s="23"/>
      <c r="G12" s="23"/>
      <c r="H12" s="96"/>
      <c r="I12" s="42"/>
      <c r="J12" s="23"/>
      <c r="K12" s="24"/>
      <c r="L12" s="24"/>
      <c r="M12" s="24"/>
      <c r="N12" s="24"/>
      <c r="O12" s="116"/>
      <c r="P12" s="116"/>
      <c r="Q12" s="24"/>
    </row>
    <row r="13" spans="1:17" s="12" customFormat="1" ht="17.100000000000001" customHeight="1">
      <c r="A13" s="113"/>
      <c r="B13" s="23"/>
      <c r="C13" s="23"/>
      <c r="D13" s="55"/>
      <c r="E13" s="42"/>
      <c r="F13" s="23"/>
      <c r="G13" s="23"/>
      <c r="H13" s="96"/>
      <c r="I13" s="42"/>
      <c r="J13" s="23"/>
      <c r="K13" s="24"/>
      <c r="L13" s="24"/>
      <c r="M13" s="24"/>
      <c r="N13" s="24"/>
      <c r="O13" s="116"/>
      <c r="P13" s="116"/>
      <c r="Q13" s="24"/>
    </row>
    <row r="14" spans="1:17" s="12" customFormat="1" ht="17.100000000000001" customHeight="1">
      <c r="A14" s="113"/>
      <c r="B14" s="23"/>
      <c r="C14" s="23"/>
      <c r="D14" s="55"/>
      <c r="E14" s="42"/>
      <c r="F14" s="23"/>
      <c r="G14" s="23"/>
      <c r="H14" s="96"/>
      <c r="I14" s="42"/>
      <c r="J14" s="23"/>
      <c r="K14" s="24"/>
      <c r="L14" s="24"/>
      <c r="M14" s="24"/>
      <c r="N14" s="24"/>
      <c r="O14" s="116"/>
      <c r="P14" s="116"/>
      <c r="Q14" s="24"/>
    </row>
    <row r="15" spans="1:17" s="12" customFormat="1" ht="17.100000000000001" customHeight="1">
      <c r="A15" s="113"/>
      <c r="B15" s="23"/>
      <c r="C15" s="23"/>
      <c r="D15" s="55"/>
      <c r="E15" s="42"/>
      <c r="F15" s="23"/>
      <c r="G15" s="23"/>
      <c r="H15" s="96"/>
      <c r="I15" s="42"/>
      <c r="J15" s="24"/>
      <c r="K15" s="24"/>
      <c r="L15" s="24"/>
      <c r="M15" s="24"/>
      <c r="N15" s="24"/>
      <c r="O15" s="116"/>
      <c r="P15" s="116"/>
      <c r="Q15" s="24"/>
    </row>
    <row r="16" spans="1:17" s="12" customFormat="1" ht="17.100000000000001" customHeight="1">
      <c r="A16" s="113"/>
      <c r="B16" s="23"/>
      <c r="C16" s="23"/>
      <c r="D16" s="55"/>
      <c r="E16" s="42"/>
      <c r="F16" s="23"/>
      <c r="G16" s="23"/>
      <c r="H16" s="96"/>
      <c r="I16" s="42"/>
      <c r="J16" s="24"/>
      <c r="K16" s="24"/>
      <c r="L16" s="24"/>
      <c r="M16" s="24"/>
      <c r="N16" s="24"/>
      <c r="O16" s="116"/>
      <c r="P16" s="116"/>
      <c r="Q16" s="24"/>
    </row>
    <row r="17" spans="1:17" s="12" customFormat="1" ht="17.100000000000001" customHeight="1">
      <c r="A17" s="113"/>
      <c r="B17" s="23"/>
      <c r="C17" s="23"/>
      <c r="D17" s="55"/>
      <c r="E17" s="42"/>
      <c r="F17" s="23"/>
      <c r="G17" s="23"/>
      <c r="H17" s="96"/>
      <c r="I17" s="42"/>
      <c r="J17" s="24"/>
      <c r="K17" s="24"/>
      <c r="L17" s="24"/>
      <c r="M17" s="24"/>
      <c r="N17" s="24"/>
      <c r="O17" s="116"/>
      <c r="P17" s="116"/>
      <c r="Q17" s="24"/>
    </row>
    <row r="18" spans="1:17" s="12" customFormat="1" ht="17.100000000000001" customHeight="1">
      <c r="A18" s="113"/>
      <c r="B18" s="23"/>
      <c r="C18" s="23"/>
      <c r="D18" s="55"/>
      <c r="E18" s="42"/>
      <c r="F18" s="23"/>
      <c r="G18" s="23"/>
      <c r="H18" s="96"/>
      <c r="I18" s="42"/>
      <c r="J18" s="24"/>
      <c r="K18" s="24"/>
      <c r="L18" s="24"/>
      <c r="M18" s="24"/>
      <c r="N18" s="24"/>
      <c r="O18" s="116"/>
      <c r="P18" s="116"/>
      <c r="Q18" s="24"/>
    </row>
    <row r="19" spans="1:17" s="12" customFormat="1" ht="17.100000000000001" customHeight="1">
      <c r="A19" s="113"/>
      <c r="B19" s="115"/>
      <c r="C19" s="115"/>
      <c r="D19" s="115"/>
      <c r="E19" s="115"/>
      <c r="F19" s="115"/>
      <c r="G19" s="115"/>
      <c r="H19" s="115"/>
      <c r="I19" s="115"/>
      <c r="J19" s="116"/>
      <c r="K19" s="116"/>
      <c r="L19" s="116"/>
      <c r="M19" s="116"/>
      <c r="N19" s="116"/>
      <c r="O19" s="116"/>
      <c r="P19" s="116"/>
      <c r="Q19" s="116"/>
    </row>
    <row r="20" spans="1:17" s="12" customFormat="1" ht="17.100000000000001" customHeight="1">
      <c r="A20" s="113"/>
      <c r="B20" s="115"/>
      <c r="C20" s="115"/>
      <c r="D20" s="115"/>
      <c r="E20" s="115"/>
      <c r="F20" s="115"/>
      <c r="G20" s="115"/>
      <c r="H20" s="115"/>
      <c r="I20" s="115"/>
      <c r="J20" s="116"/>
      <c r="K20" s="116"/>
      <c r="L20" s="116"/>
      <c r="M20" s="116"/>
      <c r="N20" s="116"/>
      <c r="O20" s="116"/>
      <c r="P20" s="116"/>
      <c r="Q20" s="116"/>
    </row>
    <row r="21" spans="1:17" s="12" customFormat="1" ht="17.100000000000001" customHeight="1">
      <c r="A21" s="113"/>
      <c r="B21" s="115"/>
      <c r="C21" s="115"/>
      <c r="D21" s="115"/>
      <c r="E21" s="115"/>
      <c r="F21" s="115"/>
      <c r="G21" s="115"/>
      <c r="H21" s="115"/>
      <c r="I21" s="115"/>
      <c r="J21" s="116"/>
      <c r="K21" s="116"/>
      <c r="L21" s="116"/>
      <c r="M21" s="116"/>
      <c r="N21" s="116"/>
      <c r="O21" s="116"/>
      <c r="P21" s="116"/>
      <c r="Q21" s="116"/>
    </row>
    <row r="22" spans="1:17" s="12" customFormat="1" ht="17.100000000000001" customHeight="1">
      <c r="A22" s="113"/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6"/>
      <c r="M22" s="116"/>
      <c r="N22" s="116"/>
      <c r="O22" s="116"/>
      <c r="P22" s="116"/>
      <c r="Q22" s="116"/>
    </row>
    <row r="23" spans="1:17" s="12" customFormat="1" ht="17.100000000000001" customHeight="1">
      <c r="A23" s="113"/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6"/>
      <c r="M23" s="116"/>
      <c r="N23" s="116"/>
      <c r="O23" s="116"/>
      <c r="P23" s="116"/>
      <c r="Q23" s="116"/>
    </row>
    <row r="24" spans="1:17" s="12" customFormat="1" ht="17.100000000000001" customHeight="1">
      <c r="A24" s="113"/>
      <c r="B24" s="115"/>
      <c r="C24" s="115"/>
      <c r="D24" s="115"/>
      <c r="E24" s="115"/>
      <c r="F24" s="115"/>
      <c r="G24" s="115"/>
      <c r="H24" s="115"/>
      <c r="I24" s="115"/>
      <c r="J24" s="116"/>
      <c r="K24" s="116"/>
      <c r="L24" s="116"/>
      <c r="M24" s="116"/>
      <c r="N24" s="116"/>
      <c r="O24" s="116"/>
      <c r="P24" s="116"/>
      <c r="Q24" s="116"/>
    </row>
    <row r="25" spans="1:17" s="12" customFormat="1" ht="17.100000000000001" customHeight="1">
      <c r="A25" s="113"/>
      <c r="B25" s="115"/>
      <c r="C25" s="115"/>
      <c r="D25" s="115"/>
      <c r="E25" s="115"/>
      <c r="F25" s="115"/>
      <c r="G25" s="115"/>
      <c r="H25" s="115"/>
      <c r="I25" s="115"/>
      <c r="J25" s="116"/>
      <c r="K25" s="116"/>
      <c r="L25" s="116"/>
      <c r="M25" s="116"/>
      <c r="N25" s="116"/>
      <c r="O25" s="116"/>
      <c r="P25" s="116"/>
      <c r="Q25" s="116"/>
    </row>
    <row r="26" spans="1:17" s="12" customFormat="1" ht="17.100000000000001" customHeight="1">
      <c r="A26" s="113"/>
      <c r="B26" s="115"/>
      <c r="C26" s="115"/>
      <c r="D26" s="115"/>
      <c r="E26" s="115"/>
      <c r="F26" s="115"/>
      <c r="G26" s="115"/>
      <c r="H26" s="115"/>
      <c r="I26" s="115"/>
      <c r="J26" s="116"/>
      <c r="K26" s="116"/>
      <c r="L26" s="116"/>
      <c r="M26" s="116"/>
      <c r="N26" s="116"/>
      <c r="O26" s="116"/>
      <c r="P26" s="116"/>
      <c r="Q26" s="116"/>
    </row>
    <row r="27" spans="1:17" s="12" customFormat="1" ht="17.100000000000001" customHeight="1">
      <c r="A27" s="113"/>
      <c r="B27" s="115"/>
      <c r="C27" s="115"/>
      <c r="D27" s="115"/>
      <c r="E27" s="115"/>
      <c r="F27" s="115"/>
      <c r="G27" s="115"/>
      <c r="H27" s="115"/>
      <c r="I27" s="115"/>
      <c r="J27" s="116"/>
      <c r="K27" s="116"/>
      <c r="L27" s="116"/>
      <c r="M27" s="116"/>
      <c r="N27" s="116"/>
      <c r="O27" s="116"/>
      <c r="P27" s="116"/>
      <c r="Q27" s="116"/>
    </row>
    <row r="28" spans="1:17" s="12" customFormat="1" ht="17.100000000000001" customHeight="1">
      <c r="A28" s="113"/>
      <c r="B28" s="115"/>
      <c r="C28" s="115"/>
      <c r="D28" s="115"/>
      <c r="E28" s="115"/>
      <c r="F28" s="115"/>
      <c r="G28" s="115"/>
      <c r="H28" s="115"/>
      <c r="I28" s="115"/>
      <c r="J28" s="116"/>
      <c r="K28" s="116"/>
      <c r="L28" s="116"/>
      <c r="M28" s="116"/>
      <c r="N28" s="116"/>
      <c r="O28" s="116"/>
      <c r="P28" s="116"/>
      <c r="Q28" s="116"/>
    </row>
    <row r="29" spans="1:17" s="12" customFormat="1" ht="17.100000000000001" customHeight="1">
      <c r="A29" s="113"/>
      <c r="B29" s="115"/>
      <c r="C29" s="115"/>
      <c r="D29" s="115"/>
      <c r="E29" s="115"/>
      <c r="F29" s="115"/>
      <c r="G29" s="115"/>
      <c r="H29" s="115"/>
      <c r="I29" s="115"/>
      <c r="J29" s="116"/>
      <c r="K29" s="116"/>
      <c r="L29" s="116"/>
      <c r="M29" s="116"/>
      <c r="N29" s="116"/>
      <c r="O29" s="116"/>
      <c r="P29" s="116"/>
      <c r="Q29" s="116"/>
    </row>
    <row r="30" spans="1:17" s="12" customFormat="1" ht="17.100000000000001" customHeight="1">
      <c r="A30" s="113"/>
      <c r="B30" s="115"/>
      <c r="C30" s="115"/>
      <c r="D30" s="115"/>
      <c r="E30" s="115"/>
      <c r="F30" s="115"/>
      <c r="G30" s="115"/>
      <c r="H30" s="115"/>
      <c r="I30" s="115"/>
      <c r="J30" s="116"/>
      <c r="K30" s="116"/>
      <c r="L30" s="116"/>
      <c r="M30" s="116"/>
      <c r="N30" s="116"/>
      <c r="O30" s="116"/>
      <c r="P30" s="116"/>
      <c r="Q30" s="116"/>
    </row>
    <row r="31" spans="1:17" s="12" customFormat="1" ht="17.100000000000001" customHeight="1">
      <c r="A31" s="113"/>
      <c r="B31" s="115"/>
      <c r="C31" s="115"/>
      <c r="D31" s="115"/>
      <c r="E31" s="115"/>
      <c r="F31" s="115"/>
      <c r="G31" s="115"/>
      <c r="H31" s="115"/>
      <c r="I31" s="115"/>
      <c r="J31" s="116"/>
      <c r="K31" s="116"/>
      <c r="L31" s="116"/>
      <c r="M31" s="116"/>
      <c r="N31" s="116"/>
      <c r="O31" s="116"/>
      <c r="P31" s="116"/>
      <c r="Q31" s="116"/>
    </row>
    <row r="32" spans="1:17" s="12" customFormat="1" ht="17.100000000000001" customHeight="1">
      <c r="A32" s="113"/>
      <c r="B32" s="115"/>
      <c r="C32" s="115"/>
      <c r="D32" s="115"/>
      <c r="E32" s="115"/>
      <c r="F32" s="115"/>
      <c r="G32" s="115"/>
      <c r="H32" s="115"/>
      <c r="I32" s="115"/>
      <c r="J32" s="116"/>
      <c r="K32" s="116"/>
      <c r="L32" s="116"/>
      <c r="M32" s="116"/>
      <c r="N32" s="116"/>
      <c r="O32" s="116"/>
      <c r="P32" s="116"/>
      <c r="Q32" s="116"/>
    </row>
    <row r="33" spans="1:20" s="12" customFormat="1" ht="17.100000000000001" customHeight="1">
      <c r="A33" s="113"/>
      <c r="B33" s="115"/>
      <c r="C33" s="115"/>
      <c r="D33" s="115"/>
      <c r="E33" s="115"/>
      <c r="F33" s="115"/>
      <c r="G33" s="115"/>
      <c r="H33" s="115"/>
      <c r="I33" s="115"/>
      <c r="J33" s="116"/>
      <c r="K33" s="116"/>
      <c r="L33" s="116"/>
      <c r="M33" s="116"/>
      <c r="N33" s="116"/>
      <c r="O33" s="116"/>
      <c r="P33" s="116"/>
      <c r="Q33" s="116"/>
    </row>
    <row r="34" spans="1:20" s="12" customFormat="1" ht="17.100000000000001" customHeight="1">
      <c r="A34" s="113"/>
      <c r="B34" s="115"/>
      <c r="C34" s="115"/>
      <c r="D34" s="115"/>
      <c r="E34" s="115"/>
      <c r="F34" s="115"/>
      <c r="G34" s="115"/>
      <c r="H34" s="115"/>
      <c r="I34" s="115"/>
      <c r="J34" s="116"/>
      <c r="K34" s="116"/>
      <c r="L34" s="116"/>
      <c r="M34" s="116"/>
      <c r="N34" s="116"/>
      <c r="O34" s="116"/>
      <c r="P34" s="116"/>
      <c r="Q34" s="116"/>
    </row>
    <row r="35" spans="1:20" s="12" customFormat="1" ht="17.100000000000001" customHeight="1">
      <c r="A35" s="113"/>
      <c r="B35" s="115"/>
      <c r="C35" s="115"/>
      <c r="D35" s="115"/>
      <c r="E35" s="115"/>
      <c r="F35" s="115"/>
      <c r="G35" s="115"/>
      <c r="H35" s="115"/>
      <c r="I35" s="115"/>
      <c r="J35" s="116"/>
      <c r="K35" s="116"/>
      <c r="L35" s="116"/>
      <c r="M35" s="116"/>
      <c r="N35" s="116"/>
      <c r="O35" s="116"/>
      <c r="P35" s="116"/>
      <c r="Q35" s="116"/>
    </row>
    <row r="36" spans="1:20" s="12" customFormat="1" ht="17.100000000000001" customHeight="1">
      <c r="A36" s="113"/>
      <c r="B36" s="115"/>
      <c r="C36" s="115"/>
      <c r="D36" s="115"/>
      <c r="E36" s="115"/>
      <c r="F36" s="115"/>
      <c r="G36" s="115"/>
      <c r="H36" s="115"/>
      <c r="I36" s="115"/>
      <c r="J36" s="116"/>
      <c r="K36" s="116"/>
      <c r="L36" s="116"/>
      <c r="M36" s="116"/>
      <c r="N36" s="116"/>
      <c r="O36" s="116"/>
      <c r="P36" s="116"/>
      <c r="Q36" s="116"/>
    </row>
    <row r="37" spans="1:20" s="12" customFormat="1" ht="17.100000000000001" customHeight="1">
      <c r="A37" s="113"/>
      <c r="B37" s="115"/>
      <c r="C37" s="115"/>
      <c r="D37" s="115"/>
      <c r="E37" s="115"/>
      <c r="F37" s="115"/>
      <c r="G37" s="115"/>
      <c r="H37" s="115"/>
      <c r="I37" s="115"/>
      <c r="J37" s="116"/>
      <c r="K37" s="116"/>
      <c r="L37" s="116"/>
      <c r="M37" s="116"/>
      <c r="N37" s="116"/>
      <c r="O37" s="116"/>
      <c r="P37" s="116"/>
      <c r="Q37" s="116"/>
    </row>
    <row r="38" spans="1:20" s="12" customFormat="1" ht="17.100000000000001" customHeight="1">
      <c r="A38" s="113"/>
      <c r="B38" s="115"/>
      <c r="C38" s="115"/>
      <c r="D38" s="115"/>
      <c r="E38" s="115"/>
      <c r="F38" s="115"/>
      <c r="G38" s="115"/>
      <c r="H38" s="115"/>
      <c r="I38" s="115"/>
      <c r="J38" s="116"/>
      <c r="K38" s="116"/>
      <c r="L38" s="116"/>
      <c r="M38" s="116"/>
      <c r="N38" s="116"/>
      <c r="O38" s="116"/>
      <c r="P38" s="116"/>
      <c r="Q38" s="116"/>
    </row>
    <row r="39" spans="1:20" s="12" customFormat="1" ht="17.100000000000001" customHeight="1">
      <c r="A39" s="113"/>
      <c r="B39" s="115"/>
      <c r="C39" s="115"/>
      <c r="D39" s="115"/>
      <c r="E39" s="115"/>
      <c r="F39" s="115"/>
      <c r="G39" s="115"/>
      <c r="H39" s="115"/>
      <c r="I39" s="115"/>
      <c r="J39" s="116"/>
      <c r="K39" s="116"/>
      <c r="L39" s="116"/>
      <c r="M39" s="116"/>
      <c r="N39" s="116"/>
      <c r="O39" s="116"/>
      <c r="P39" s="116"/>
      <c r="Q39" s="116"/>
    </row>
    <row r="40" spans="1:20" s="12" customFormat="1" ht="17.100000000000001" customHeight="1">
      <c r="A40" s="113"/>
      <c r="B40" s="115"/>
      <c r="C40" s="115"/>
      <c r="D40" s="115"/>
      <c r="E40" s="115"/>
      <c r="F40" s="115"/>
      <c r="G40" s="115"/>
      <c r="H40" s="115"/>
      <c r="I40" s="115"/>
      <c r="J40" s="116"/>
      <c r="K40" s="116"/>
      <c r="L40" s="116"/>
      <c r="M40" s="116"/>
      <c r="N40" s="116"/>
      <c r="O40" s="116"/>
      <c r="P40" s="116"/>
      <c r="Q40" s="116"/>
    </row>
    <row r="41" spans="1:20" s="12" customFormat="1" ht="17.100000000000001" customHeight="1">
      <c r="A41" s="113"/>
      <c r="B41" s="115"/>
      <c r="C41" s="115"/>
      <c r="D41" s="115"/>
      <c r="E41" s="115"/>
      <c r="F41" s="115"/>
      <c r="G41" s="115"/>
      <c r="H41" s="115"/>
      <c r="I41" s="115"/>
      <c r="J41" s="116"/>
      <c r="K41" s="116"/>
      <c r="L41" s="116"/>
      <c r="M41" s="116"/>
      <c r="N41" s="116"/>
      <c r="O41" s="116"/>
      <c r="P41" s="116"/>
      <c r="Q41" s="116"/>
    </row>
    <row r="42" spans="1:20" s="12" customFormat="1" ht="17.100000000000001" customHeight="1">
      <c r="A42" s="113"/>
      <c r="B42" s="115"/>
      <c r="C42" s="115"/>
      <c r="D42" s="115"/>
      <c r="E42" s="115"/>
      <c r="F42" s="115"/>
      <c r="G42" s="115"/>
      <c r="H42" s="115"/>
      <c r="I42" s="115"/>
      <c r="J42" s="116"/>
      <c r="K42" s="116"/>
      <c r="L42" s="116"/>
      <c r="M42" s="116"/>
      <c r="N42" s="116"/>
      <c r="O42" s="116"/>
      <c r="P42" s="116"/>
      <c r="Q42" s="116"/>
    </row>
    <row r="43" spans="1:20" s="12" customFormat="1" ht="17.100000000000001" customHeight="1">
      <c r="A43" s="113"/>
      <c r="B43" s="115"/>
      <c r="C43" s="115"/>
      <c r="D43" s="115"/>
      <c r="E43" s="115"/>
      <c r="F43" s="115"/>
      <c r="G43" s="115"/>
      <c r="H43" s="115"/>
      <c r="I43" s="115"/>
      <c r="J43" s="116"/>
      <c r="K43" s="116"/>
      <c r="L43" s="116"/>
      <c r="M43" s="116"/>
      <c r="N43" s="116"/>
      <c r="O43" s="116"/>
      <c r="P43" s="116"/>
      <c r="Q43" s="116"/>
    </row>
    <row r="44" spans="1:20" s="12" customFormat="1" ht="17.100000000000001" customHeight="1">
      <c r="A44" s="113"/>
      <c r="B44" s="23"/>
      <c r="C44" s="23"/>
      <c r="D44" s="55"/>
      <c r="E44" s="42"/>
      <c r="F44" s="23"/>
      <c r="G44" s="23"/>
      <c r="H44" s="96"/>
      <c r="I44" s="42"/>
      <c r="J44" s="24"/>
      <c r="K44" s="24"/>
      <c r="L44" s="24"/>
      <c r="M44" s="24"/>
      <c r="N44" s="24"/>
      <c r="O44" s="116"/>
      <c r="P44" s="116"/>
      <c r="Q44" s="24"/>
    </row>
    <row r="45" spans="1:20" s="12" customFormat="1" ht="17.100000000000001" customHeight="1"/>
    <row r="46" spans="1:20" s="12" customFormat="1" ht="17.100000000000001" customHeight="1">
      <c r="A46" s="17" t="s">
        <v>99</v>
      </c>
    </row>
    <row r="47" spans="1:20" s="19" customFormat="1" ht="18" customHeight="1">
      <c r="A47" s="181" t="s">
        <v>135</v>
      </c>
      <c r="B47" s="181" t="s">
        <v>136</v>
      </c>
      <c r="C47" s="181" t="s">
        <v>137</v>
      </c>
      <c r="D47" s="181" t="s">
        <v>138</v>
      </c>
      <c r="E47" s="181" t="s">
        <v>164</v>
      </c>
      <c r="F47" s="181" t="s">
        <v>153</v>
      </c>
      <c r="G47" s="181" t="s">
        <v>143</v>
      </c>
      <c r="H47" s="181" t="s">
        <v>144</v>
      </c>
      <c r="I47" s="181" t="s">
        <v>145</v>
      </c>
      <c r="J47" s="181" t="s">
        <v>146</v>
      </c>
      <c r="K47" s="181" t="s">
        <v>147</v>
      </c>
      <c r="L47" s="181" t="s">
        <v>148</v>
      </c>
      <c r="M47" s="181" t="s">
        <v>149</v>
      </c>
      <c r="N47" s="181" t="s">
        <v>150</v>
      </c>
      <c r="O47" s="181" t="s">
        <v>151</v>
      </c>
      <c r="P47" s="181" t="s">
        <v>152</v>
      </c>
      <c r="Q47" s="181" t="s">
        <v>139</v>
      </c>
      <c r="R47" s="181" t="s">
        <v>140</v>
      </c>
      <c r="S47" s="181" t="s">
        <v>141</v>
      </c>
      <c r="T47" s="181" t="s">
        <v>142</v>
      </c>
    </row>
    <row r="48" spans="1:20" ht="17.100000000000001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</row>
    <row r="49" spans="1:20" ht="17.100000000000001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</row>
    <row r="50" spans="1:20" ht="17.100000000000001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</row>
    <row r="51" spans="1:20" ht="17.100000000000001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</row>
    <row r="52" spans="1:20" ht="17.100000000000001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</row>
    <row r="53" spans="1:20" ht="17.100000000000001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</row>
    <row r="54" spans="1:20" ht="17.100000000000001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</row>
    <row r="55" spans="1:20" ht="17.100000000000001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</row>
    <row r="56" spans="1:20" ht="17.100000000000001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</row>
    <row r="57" spans="1:20" ht="17.100000000000001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</row>
    <row r="58" spans="1:20" ht="17.100000000000001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</row>
    <row r="59" spans="1:20" ht="17.100000000000001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</row>
    <row r="60" spans="1:20" ht="17.100000000000001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</row>
    <row r="61" spans="1:20" ht="17.100000000000001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</row>
    <row r="62" spans="1:20" ht="17.100000000000001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</row>
    <row r="63" spans="1:20" ht="17.100000000000001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</row>
    <row r="64" spans="1:20" ht="17.100000000000001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</row>
    <row r="65" spans="1:20" ht="17.100000000000001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</row>
    <row r="66" spans="1:20" ht="17.100000000000001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</row>
    <row r="67" spans="1:20" ht="17.100000000000001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</row>
    <row r="68" spans="1:20" ht="17.100000000000001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</row>
    <row r="69" spans="1:20" ht="17.100000000000001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</row>
    <row r="70" spans="1:20" ht="17.100000000000001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</row>
    <row r="71" spans="1:20" ht="17.100000000000001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</row>
    <row r="72" spans="1:20" ht="17.100000000000001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</row>
    <row r="73" spans="1:20" ht="17.100000000000001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</row>
    <row r="74" spans="1:20" ht="17.100000000000001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</row>
    <row r="75" spans="1:20" ht="17.100000000000001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</row>
    <row r="76" spans="1:20" ht="17.100000000000001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0" ht="17.100000000000001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0" ht="17.100000000000001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0" ht="17.100000000000001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0" ht="17.100000000000001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36" ht="17.100000000000001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36" ht="17.100000000000001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36" ht="17.100000000000001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36" ht="17.100000000000001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36" ht="17.100000000000001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36" ht="17.100000000000001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36" ht="17.100000000000001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36" ht="17.100000000000001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4.77734375" style="37" customWidth="1"/>
    <col min="5" max="5" width="11.77734375" style="37" customWidth="1"/>
    <col min="6" max="6" width="7.77734375" style="37" customWidth="1"/>
    <col min="7" max="7" width="18.77734375" style="37" customWidth="1"/>
    <col min="8" max="11" width="4.77734375" style="37" customWidth="1"/>
    <col min="12" max="16384" width="10.77734375" style="37"/>
  </cols>
  <sheetData>
    <row r="1" spans="1:11" s="47" customFormat="1" ht="33" customHeight="1">
      <c r="A1" s="368" t="s">
        <v>34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</row>
    <row r="2" spans="1:11" s="47" customFormat="1" ht="33" customHeight="1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</row>
    <row r="3" spans="1:11" s="47" customFormat="1" ht="12.75" customHeight="1">
      <c r="A3" s="48" t="s">
        <v>84</v>
      </c>
      <c r="B3" s="48"/>
      <c r="C3" s="48"/>
      <c r="D3" s="48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89"/>
      <c r="D4" s="89"/>
      <c r="E4" s="90"/>
      <c r="F4" s="277"/>
      <c r="G4" s="90"/>
      <c r="H4" s="90"/>
      <c r="I4" s="90"/>
      <c r="J4" s="99"/>
      <c r="K4" s="98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  <c r="F6" s="54"/>
    </row>
    <row r="7" spans="1:11" ht="15" customHeight="1">
      <c r="E7" s="54" t="str">
        <f>"○ 제작회사 : "&amp;기본정보!C$6</f>
        <v xml:space="preserve">○ 제작회사 : </v>
      </c>
      <c r="F7" s="54"/>
    </row>
    <row r="8" spans="1:11" ht="15" customHeight="1">
      <c r="E8" s="54" t="str">
        <f>"○ 형식 : "&amp;기본정보!C$7</f>
        <v xml:space="preserve">○ 형식 : </v>
      </c>
      <c r="F8" s="54"/>
    </row>
    <row r="9" spans="1:11" ht="15" customHeight="1">
      <c r="E9" s="54" t="str">
        <f>"○ 기기번호 : "&amp;기본정보!C$8</f>
        <v xml:space="preserve">○ 기기번호 : </v>
      </c>
      <c r="F9" s="54"/>
    </row>
    <row r="11" spans="1:11" ht="15" customHeight="1">
      <c r="E11" s="38" t="s">
        <v>85</v>
      </c>
      <c r="F11" s="38"/>
    </row>
    <row r="12" spans="1:11" ht="15" customHeight="1">
      <c r="E12" s="54" t="str">
        <f>"○ 교정범위 : ("&amp;Calcu!K3&amp;" ~ "&amp;Calcu!M3&amp;") mm"</f>
        <v>○ 교정범위 : (0 ~ 0) mm</v>
      </c>
      <c r="F12" s="54"/>
    </row>
    <row r="13" spans="1:11" ht="15" customHeight="1">
      <c r="A13" s="44"/>
      <c r="B13" s="44"/>
      <c r="C13" s="44"/>
      <c r="D13" s="44"/>
      <c r="E13" s="54" t="str">
        <f ca="1">"○ 최소눈금 : "&amp;Calcu!O3&amp;" mm"</f>
        <v>○ 최소눈금 : 0 mm</v>
      </c>
      <c r="F13" s="54"/>
    </row>
    <row r="14" spans="1:11" ht="15" customHeight="1">
      <c r="A14" s="44"/>
      <c r="B14" s="44"/>
      <c r="C14" s="44"/>
      <c r="D14" s="44"/>
    </row>
    <row r="15" spans="1:11" ht="15" customHeight="1">
      <c r="A15" s="44"/>
      <c r="B15" s="44"/>
      <c r="C15" s="44"/>
      <c r="D15" s="44"/>
      <c r="E15" s="371" t="s">
        <v>133</v>
      </c>
      <c r="F15" s="372"/>
      <c r="G15" s="369" t="s">
        <v>154</v>
      </c>
    </row>
    <row r="16" spans="1:11" ht="15" customHeight="1">
      <c r="A16" s="44"/>
      <c r="B16" s="43"/>
      <c r="C16" s="43"/>
      <c r="D16" s="43"/>
      <c r="E16" s="373"/>
      <c r="F16" s="374"/>
      <c r="G16" s="370"/>
    </row>
    <row r="17" spans="1:7" ht="15" customHeight="1">
      <c r="A17" s="44" t="str">
        <f>IF(Calcu!B9=TRUE,"","삭제")</f>
        <v>삭제</v>
      </c>
      <c r="B17" s="43"/>
      <c r="C17" s="43"/>
      <c r="D17" s="43"/>
      <c r="E17" s="366" t="str">
        <f ca="1">Calcu!AA9</f>
        <v/>
      </c>
      <c r="F17" s="367"/>
      <c r="G17" s="137" t="str">
        <f ca="1">Calcu!AB9</f>
        <v/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366" t="str">
        <f ca="1">Calcu!AA10</f>
        <v/>
      </c>
      <c r="F18" s="367"/>
      <c r="G18" s="278" t="str">
        <f ca="1">Calcu!AB10</f>
        <v/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366" t="str">
        <f ca="1">Calcu!AA11</f>
        <v/>
      </c>
      <c r="F19" s="367"/>
      <c r="G19" s="278" t="str">
        <f ca="1">Calcu!AB11</f>
        <v/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366" t="str">
        <f ca="1">Calcu!AA12</f>
        <v/>
      </c>
      <c r="F20" s="367"/>
      <c r="G20" s="278" t="str">
        <f ca="1">Calcu!AB12</f>
        <v/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366" t="str">
        <f ca="1">Calcu!AA13</f>
        <v/>
      </c>
      <c r="F21" s="367"/>
      <c r="G21" s="278" t="str">
        <f ca="1">Calcu!AB13</f>
        <v/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366" t="str">
        <f ca="1">Calcu!AA14</f>
        <v/>
      </c>
      <c r="F22" s="367"/>
      <c r="G22" s="278" t="str">
        <f ca="1">Calcu!AB14</f>
        <v/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366" t="str">
        <f ca="1">Calcu!AA15</f>
        <v/>
      </c>
      <c r="F23" s="367"/>
      <c r="G23" s="278" t="str">
        <f ca="1">Calcu!AB15</f>
        <v/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366" t="str">
        <f ca="1">Calcu!AA16</f>
        <v/>
      </c>
      <c r="F24" s="367"/>
      <c r="G24" s="278" t="str">
        <f ca="1">Calcu!AB16</f>
        <v/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366" t="str">
        <f ca="1">Calcu!AA17</f>
        <v/>
      </c>
      <c r="F25" s="367"/>
      <c r="G25" s="278" t="str">
        <f ca="1">Calcu!AB17</f>
        <v/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366" t="str">
        <f ca="1">Calcu!AA18</f>
        <v/>
      </c>
      <c r="F26" s="367"/>
      <c r="G26" s="278" t="str">
        <f ca="1">Calcu!AB18</f>
        <v/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366" t="str">
        <f ca="1">Calcu!AA19</f>
        <v/>
      </c>
      <c r="F27" s="367"/>
      <c r="G27" s="278" t="str">
        <f ca="1">Calcu!AB19</f>
        <v/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366" t="str">
        <f ca="1">Calcu!AA20</f>
        <v/>
      </c>
      <c r="F28" s="367"/>
      <c r="G28" s="278" t="str">
        <f ca="1">Calcu!AB20</f>
        <v/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366" t="str">
        <f ca="1">Calcu!AA21</f>
        <v/>
      </c>
      <c r="F29" s="367"/>
      <c r="G29" s="278" t="str">
        <f ca="1">Calcu!AB21</f>
        <v/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366" t="str">
        <f ca="1">Calcu!AA22</f>
        <v/>
      </c>
      <c r="F30" s="367"/>
      <c r="G30" s="278" t="str">
        <f ca="1">Calcu!AB22</f>
        <v/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366" t="str">
        <f ca="1">Calcu!AA23</f>
        <v/>
      </c>
      <c r="F31" s="367"/>
      <c r="G31" s="278" t="str">
        <f ca="1">Calcu!AB23</f>
        <v/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366" t="str">
        <f ca="1">Calcu!AA24</f>
        <v/>
      </c>
      <c r="F32" s="367"/>
      <c r="G32" s="278" t="str">
        <f ca="1">Calcu!AB24</f>
        <v/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366" t="str">
        <f ca="1">Calcu!AA25</f>
        <v/>
      </c>
      <c r="F33" s="367"/>
      <c r="G33" s="278" t="str">
        <f ca="1">Calcu!AB25</f>
        <v/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366" t="str">
        <f ca="1">Calcu!AA26</f>
        <v/>
      </c>
      <c r="F34" s="367"/>
      <c r="G34" s="278" t="str">
        <f ca="1">Calcu!AB26</f>
        <v/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366" t="str">
        <f ca="1">Calcu!AA27</f>
        <v/>
      </c>
      <c r="F35" s="367"/>
      <c r="G35" s="278" t="str">
        <f ca="1">Calcu!AB27</f>
        <v/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366" t="str">
        <f ca="1">Calcu!AA28</f>
        <v/>
      </c>
      <c r="F36" s="367"/>
      <c r="G36" s="278" t="str">
        <f ca="1">Calcu!AB28</f>
        <v/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366" t="str">
        <f ca="1">Calcu!AA29</f>
        <v/>
      </c>
      <c r="F37" s="367"/>
      <c r="G37" s="278" t="str">
        <f ca="1">Calcu!AB29</f>
        <v/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366" t="str">
        <f ca="1">Calcu!AA30</f>
        <v/>
      </c>
      <c r="F38" s="367"/>
      <c r="G38" s="278" t="str">
        <f ca="1">Calcu!AB30</f>
        <v/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366" t="str">
        <f ca="1">Calcu!AA31</f>
        <v/>
      </c>
      <c r="F39" s="367"/>
      <c r="G39" s="278" t="str">
        <f ca="1">Calcu!AB31</f>
        <v/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366" t="str">
        <f ca="1">Calcu!AA32</f>
        <v/>
      </c>
      <c r="F40" s="367"/>
      <c r="G40" s="278" t="str">
        <f ca="1">Calcu!AB32</f>
        <v/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366" t="str">
        <f ca="1">Calcu!AA33</f>
        <v/>
      </c>
      <c r="F41" s="367"/>
      <c r="G41" s="278" t="str">
        <f ca="1">Calcu!AB33</f>
        <v/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366" t="str">
        <f ca="1">Calcu!AA34</f>
        <v/>
      </c>
      <c r="F42" s="367"/>
      <c r="G42" s="278" t="str">
        <f ca="1">Calcu!AB34</f>
        <v/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366" t="str">
        <f ca="1">Calcu!AA35</f>
        <v/>
      </c>
      <c r="F43" s="367"/>
      <c r="G43" s="278" t="str">
        <f ca="1">Calcu!AB35</f>
        <v/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366" t="str">
        <f ca="1">Calcu!AA36</f>
        <v/>
      </c>
      <c r="F44" s="367"/>
      <c r="G44" s="278" t="str">
        <f ca="1">Calcu!AB36</f>
        <v/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366" t="str">
        <f ca="1">Calcu!AA37</f>
        <v/>
      </c>
      <c r="F45" s="367"/>
      <c r="G45" s="278" t="str">
        <f ca="1">Calcu!AB37</f>
        <v/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366" t="str">
        <f ca="1">Calcu!AA38</f>
        <v/>
      </c>
      <c r="F46" s="367"/>
      <c r="G46" s="278" t="str">
        <f ca="1">Calcu!AB38</f>
        <v/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366" t="str">
        <f ca="1">Calcu!AA39</f>
        <v/>
      </c>
      <c r="F47" s="367"/>
      <c r="G47" s="278" t="str">
        <f ca="1">Calcu!AB39</f>
        <v/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366" t="str">
        <f ca="1">Calcu!AA40</f>
        <v/>
      </c>
      <c r="F48" s="367"/>
      <c r="G48" s="278" t="str">
        <f ca="1">Calcu!AB40</f>
        <v/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E49" s="366" t="str">
        <f ca="1">Calcu!AA41</f>
        <v/>
      </c>
      <c r="F49" s="367"/>
      <c r="G49" s="278" t="str">
        <f ca="1">Calcu!AB41</f>
        <v/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E50" s="366" t="str">
        <f ca="1">Calcu!AA42</f>
        <v/>
      </c>
      <c r="F50" s="367"/>
      <c r="G50" s="278" t="str">
        <f ca="1">Calcu!AB42</f>
        <v/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E51" s="366" t="str">
        <f ca="1">Calcu!AA43</f>
        <v/>
      </c>
      <c r="F51" s="367"/>
      <c r="G51" s="278" t="str">
        <f ca="1">Calcu!AB43</f>
        <v/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E52" s="366" t="str">
        <f ca="1">Calcu!AA44</f>
        <v/>
      </c>
      <c r="F52" s="367"/>
      <c r="G52" s="278" t="str">
        <f ca="1">Calcu!AB44</f>
        <v/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E53" s="366" t="str">
        <f ca="1">Calcu!AA45</f>
        <v/>
      </c>
      <c r="F53" s="367"/>
      <c r="G53" s="278" t="str">
        <f ca="1">Calcu!AB45</f>
        <v/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E54" s="366" t="str">
        <f ca="1">Calcu!AA46</f>
        <v/>
      </c>
      <c r="F54" s="367"/>
      <c r="G54" s="278" t="str">
        <f ca="1">Calcu!AB46</f>
        <v/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E55" s="366" t="str">
        <f ca="1">Calcu!AA47</f>
        <v/>
      </c>
      <c r="F55" s="367"/>
      <c r="G55" s="278" t="str">
        <f ca="1">Calcu!AB47</f>
        <v/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E56" s="366" t="str">
        <f ca="1">Calcu!AA48</f>
        <v/>
      </c>
      <c r="F56" s="367"/>
      <c r="G56" s="278" t="str">
        <f ca="1">Calcu!AB48</f>
        <v/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E57" s="366" t="str">
        <f ca="1">Calcu!AA49</f>
        <v/>
      </c>
      <c r="F57" s="367"/>
      <c r="G57" s="278" t="str">
        <f ca="1">Calcu!AB49</f>
        <v/>
      </c>
    </row>
    <row r="58" spans="1:10" ht="15" customHeight="1">
      <c r="A58" s="44"/>
      <c r="E58" s="174"/>
      <c r="F58" s="174"/>
      <c r="G58" s="174"/>
    </row>
    <row r="59" spans="1:10" ht="15" customHeight="1">
      <c r="A59" s="44" t="e">
        <f ca="1">IF(OR(Calcu!H67&gt;10,기본정보!A46=1234),"삭제","")</f>
        <v>#N/A</v>
      </c>
      <c r="E59" s="38" t="s">
        <v>546</v>
      </c>
      <c r="F59" s="317" t="e">
        <f ca="1">Calcu!T67</f>
        <v>#N/A</v>
      </c>
      <c r="G59" s="316" t="e">
        <f ca="1">Calcu!U67</f>
        <v>#N/A</v>
      </c>
    </row>
    <row r="60" spans="1:10" ht="15" customHeight="1">
      <c r="A60" s="44" t="e">
        <f ca="1">A59</f>
        <v>#N/A</v>
      </c>
      <c r="E60" s="38" t="s">
        <v>612</v>
      </c>
      <c r="F60" s="317"/>
      <c r="G60" s="316"/>
    </row>
    <row r="61" spans="1:10" ht="15" customHeight="1">
      <c r="A61" s="44" t="e">
        <f ca="1">IF(OR(Calcu!H67&gt;10,기본정보!A46=1234),"","삭제")</f>
        <v>#N/A</v>
      </c>
      <c r="E61" s="38" t="e">
        <f ca="1">"● 측정불확도 : "&amp;Calcu!S66&amp;" mm"</f>
        <v>#N/A</v>
      </c>
      <c r="F61" s="38"/>
      <c r="G61" s="212"/>
    </row>
    <row r="62" spans="1:10" ht="15" customHeight="1">
      <c r="A62" s="44"/>
      <c r="F62" s="318" t="e">
        <f ca="1">IF(Calcu!E76="사다리꼴","(신뢰수준 95 %,","(신뢰수준 약 95 %,")</f>
        <v>#N/A</v>
      </c>
      <c r="G62" s="50" t="e">
        <f ca="1">Calcu!E77&amp;IF(Calcu!E76="사다리꼴",", 사다리꼴 확률분포)",")")</f>
        <v>#N/A</v>
      </c>
      <c r="J62" s="50"/>
    </row>
    <row r="63" spans="1:10" ht="15" customHeight="1">
      <c r="E63" s="73"/>
      <c r="F63" s="73"/>
      <c r="G63" s="73"/>
      <c r="H63" s="74"/>
    </row>
  </sheetData>
  <mergeCells count="44">
    <mergeCell ref="E18:F18"/>
    <mergeCell ref="E17:F17"/>
    <mergeCell ref="A1:K2"/>
    <mergeCell ref="G15:G16"/>
    <mergeCell ref="E15:F16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54:F54"/>
    <mergeCell ref="E55:F55"/>
    <mergeCell ref="E56:F56"/>
    <mergeCell ref="E57:F57"/>
    <mergeCell ref="E49:F49"/>
    <mergeCell ref="E50:F50"/>
    <mergeCell ref="E51:F51"/>
    <mergeCell ref="E52:F52"/>
    <mergeCell ref="E53:F5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4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77734375" style="37" customWidth="1"/>
    <col min="4" max="4" width="4.77734375" style="37" customWidth="1"/>
    <col min="5" max="5" width="21.77734375" style="37" customWidth="1"/>
    <col min="6" max="6" width="3.77734375" style="37" customWidth="1"/>
    <col min="7" max="7" width="18.77734375" style="37" customWidth="1"/>
    <col min="8" max="8" width="4.77734375" style="37" customWidth="1"/>
    <col min="9" max="11" width="3.77734375" style="37" customWidth="1"/>
    <col min="12" max="16384" width="10.77734375" style="37"/>
  </cols>
  <sheetData>
    <row r="1" spans="1:11" s="79" customFormat="1" ht="33" customHeight="1">
      <c r="A1" s="375" t="s">
        <v>58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1" s="79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s="47" customFormat="1" ht="12.75" customHeight="1">
      <c r="A3" s="48" t="s">
        <v>57</v>
      </c>
      <c r="B3" s="48"/>
      <c r="C3" s="48"/>
      <c r="D3" s="48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78" t="str">
        <f>" 교   정   번   호(Calibration No) : "&amp;기본정보!H3</f>
        <v xml:space="preserve"> 교   정   번   호(Calibration No) : </v>
      </c>
      <c r="B4" s="78"/>
      <c r="C4" s="89"/>
      <c r="D4" s="89"/>
      <c r="E4" s="77"/>
      <c r="F4" s="277"/>
      <c r="G4" s="77"/>
      <c r="H4" s="77"/>
      <c r="I4" s="76"/>
      <c r="J4" s="91"/>
      <c r="K4" s="75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  <c r="F6" s="54"/>
    </row>
    <row r="7" spans="1:11" ht="15" customHeight="1">
      <c r="E7" s="54" t="str">
        <f>"○ Manufacturer  : "&amp;기본정보!C$6</f>
        <v xml:space="preserve">○ Manufacturer  : </v>
      </c>
      <c r="F7" s="54"/>
    </row>
    <row r="8" spans="1:11" ht="15" customHeight="1">
      <c r="E8" s="54" t="str">
        <f>"○ Model Name : "&amp;기본정보!C$7</f>
        <v xml:space="preserve">○ Model Name : </v>
      </c>
      <c r="F8" s="54"/>
    </row>
    <row r="9" spans="1:11" ht="15" customHeight="1">
      <c r="E9" s="54" t="str">
        <f>"○ Serial Number : "&amp;기본정보!C$8</f>
        <v xml:space="preserve">○ Serial Number : </v>
      </c>
      <c r="F9" s="54"/>
    </row>
    <row r="11" spans="1:11" ht="15" customHeight="1">
      <c r="E11" s="38" t="s">
        <v>83</v>
      </c>
      <c r="F11" s="38"/>
    </row>
    <row r="12" spans="1:11" ht="15" customHeight="1">
      <c r="E12" s="54" t="str">
        <f>"○ Range : ("&amp;Calcu!K3&amp;" ~ "&amp;Calcu!M3&amp;") mm"</f>
        <v>○ Range : (0 ~ 0) mm</v>
      </c>
      <c r="F12" s="54"/>
    </row>
    <row r="13" spans="1:11" ht="15" customHeight="1">
      <c r="A13" s="44"/>
      <c r="B13" s="44"/>
      <c r="C13" s="44"/>
      <c r="E13" s="54" t="str">
        <f ca="1">"○ Resolution : "&amp;Calcu!O3&amp;" mm"</f>
        <v>○ Resolution : 0 mm</v>
      </c>
      <c r="F13" s="54"/>
    </row>
    <row r="14" spans="1:11" ht="15" customHeight="1">
      <c r="A14" s="44"/>
      <c r="B14" s="44"/>
      <c r="C14" s="44"/>
      <c r="E14" s="44"/>
      <c r="F14" s="44"/>
    </row>
    <row r="15" spans="1:11" ht="15" customHeight="1">
      <c r="A15" s="44"/>
      <c r="B15" s="43"/>
      <c r="C15" s="43"/>
      <c r="E15" s="376" t="s">
        <v>134</v>
      </c>
      <c r="F15" s="371" t="s">
        <v>155</v>
      </c>
      <c r="G15" s="372"/>
    </row>
    <row r="16" spans="1:11" ht="15" customHeight="1">
      <c r="A16" s="44"/>
      <c r="B16" s="43"/>
      <c r="C16" s="43"/>
      <c r="E16" s="377"/>
      <c r="F16" s="373"/>
      <c r="G16" s="374"/>
    </row>
    <row r="17" spans="1:7" ht="15" customHeight="1">
      <c r="A17" s="44" t="str">
        <f>IF(Calcu!B9=TRUE,"","삭제")</f>
        <v>삭제</v>
      </c>
      <c r="B17" s="43"/>
      <c r="C17" s="43"/>
      <c r="D17" s="43"/>
      <c r="E17" s="137" t="str">
        <f ca="1">Calcu!AA9</f>
        <v/>
      </c>
      <c r="F17" s="366" t="str">
        <f ca="1">Calcu!AB9</f>
        <v/>
      </c>
      <c r="G17" s="367"/>
    </row>
    <row r="18" spans="1:7" ht="15" customHeight="1">
      <c r="A18" s="44" t="str">
        <f>IF(Calcu!B10=TRUE,"","삭제")</f>
        <v>삭제</v>
      </c>
      <c r="B18" s="43"/>
      <c r="C18" s="43"/>
      <c r="D18" s="43"/>
      <c r="E18" s="278" t="str">
        <f ca="1">Calcu!AA10</f>
        <v/>
      </c>
      <c r="F18" s="366" t="str">
        <f ca="1">Calcu!AB10</f>
        <v/>
      </c>
      <c r="G18" s="367"/>
    </row>
    <row r="19" spans="1:7" ht="15" customHeight="1">
      <c r="A19" s="44" t="str">
        <f>IF(Calcu!B11=TRUE,"","삭제")</f>
        <v>삭제</v>
      </c>
      <c r="B19" s="43"/>
      <c r="C19" s="43"/>
      <c r="D19" s="43"/>
      <c r="E19" s="278" t="str">
        <f ca="1">Calcu!AA11</f>
        <v/>
      </c>
      <c r="F19" s="366" t="str">
        <f ca="1">Calcu!AB11</f>
        <v/>
      </c>
      <c r="G19" s="367"/>
    </row>
    <row r="20" spans="1:7" ht="15" customHeight="1">
      <c r="A20" s="44" t="str">
        <f>IF(Calcu!B12=TRUE,"","삭제")</f>
        <v>삭제</v>
      </c>
      <c r="B20" s="43"/>
      <c r="C20" s="43"/>
      <c r="D20" s="43"/>
      <c r="E20" s="278" t="str">
        <f ca="1">Calcu!AA12</f>
        <v/>
      </c>
      <c r="F20" s="366" t="str">
        <f ca="1">Calcu!AB12</f>
        <v/>
      </c>
      <c r="G20" s="367"/>
    </row>
    <row r="21" spans="1:7" ht="15" customHeight="1">
      <c r="A21" s="44" t="str">
        <f>IF(Calcu!B13=TRUE,"","삭제")</f>
        <v>삭제</v>
      </c>
      <c r="B21" s="43"/>
      <c r="C21" s="43"/>
      <c r="D21" s="43"/>
      <c r="E21" s="278" t="str">
        <f ca="1">Calcu!AA13</f>
        <v/>
      </c>
      <c r="F21" s="366" t="str">
        <f ca="1">Calcu!AB13</f>
        <v/>
      </c>
      <c r="G21" s="367"/>
    </row>
    <row r="22" spans="1:7" ht="15" customHeight="1">
      <c r="A22" s="44" t="str">
        <f>IF(Calcu!B14=TRUE,"","삭제")</f>
        <v>삭제</v>
      </c>
      <c r="B22" s="43"/>
      <c r="C22" s="43"/>
      <c r="D22" s="43"/>
      <c r="E22" s="278" t="str">
        <f ca="1">Calcu!AA14</f>
        <v/>
      </c>
      <c r="F22" s="366" t="str">
        <f ca="1">Calcu!AB14</f>
        <v/>
      </c>
      <c r="G22" s="367"/>
    </row>
    <row r="23" spans="1:7" ht="15" customHeight="1">
      <c r="A23" s="44" t="str">
        <f>IF(Calcu!B15=TRUE,"","삭제")</f>
        <v>삭제</v>
      </c>
      <c r="B23" s="43"/>
      <c r="C23" s="43"/>
      <c r="D23" s="43"/>
      <c r="E23" s="278" t="str">
        <f ca="1">Calcu!AA15</f>
        <v/>
      </c>
      <c r="F23" s="366" t="str">
        <f ca="1">Calcu!AB15</f>
        <v/>
      </c>
      <c r="G23" s="367"/>
    </row>
    <row r="24" spans="1:7" ht="15" customHeight="1">
      <c r="A24" s="44" t="str">
        <f>IF(Calcu!B16=TRUE,"","삭제")</f>
        <v>삭제</v>
      </c>
      <c r="B24" s="43"/>
      <c r="C24" s="43"/>
      <c r="D24" s="43"/>
      <c r="E24" s="278" t="str">
        <f ca="1">Calcu!AA16</f>
        <v/>
      </c>
      <c r="F24" s="366" t="str">
        <f ca="1">Calcu!AB16</f>
        <v/>
      </c>
      <c r="G24" s="367"/>
    </row>
    <row r="25" spans="1:7" ht="15" customHeight="1">
      <c r="A25" s="44" t="str">
        <f>IF(Calcu!B17=TRUE,"","삭제")</f>
        <v>삭제</v>
      </c>
      <c r="B25" s="43"/>
      <c r="C25" s="43"/>
      <c r="D25" s="43"/>
      <c r="E25" s="278" t="str">
        <f ca="1">Calcu!AA17</f>
        <v/>
      </c>
      <c r="F25" s="366" t="str">
        <f ca="1">Calcu!AB17</f>
        <v/>
      </c>
      <c r="G25" s="367"/>
    </row>
    <row r="26" spans="1:7" ht="15" customHeight="1">
      <c r="A26" s="44" t="str">
        <f>IF(Calcu!B18=TRUE,"","삭제")</f>
        <v>삭제</v>
      </c>
      <c r="B26" s="43"/>
      <c r="C26" s="43"/>
      <c r="D26" s="43"/>
      <c r="E26" s="278" t="str">
        <f ca="1">Calcu!AA18</f>
        <v/>
      </c>
      <c r="F26" s="366" t="str">
        <f ca="1">Calcu!AB18</f>
        <v/>
      </c>
      <c r="G26" s="367"/>
    </row>
    <row r="27" spans="1:7" ht="15" customHeight="1">
      <c r="A27" s="44" t="str">
        <f>IF(Calcu!B19=TRUE,"","삭제")</f>
        <v>삭제</v>
      </c>
      <c r="B27" s="43"/>
      <c r="C27" s="43"/>
      <c r="D27" s="43"/>
      <c r="E27" s="278" t="str">
        <f ca="1">Calcu!AA19</f>
        <v/>
      </c>
      <c r="F27" s="366" t="str">
        <f ca="1">Calcu!AB19</f>
        <v/>
      </c>
      <c r="G27" s="367"/>
    </row>
    <row r="28" spans="1:7" ht="15" customHeight="1">
      <c r="A28" s="44" t="str">
        <f>IF(Calcu!B20=TRUE,"","삭제")</f>
        <v>삭제</v>
      </c>
      <c r="B28" s="43"/>
      <c r="C28" s="43"/>
      <c r="D28" s="43"/>
      <c r="E28" s="278" t="str">
        <f ca="1">Calcu!AA20</f>
        <v/>
      </c>
      <c r="F28" s="366" t="str">
        <f ca="1">Calcu!AB20</f>
        <v/>
      </c>
      <c r="G28" s="367"/>
    </row>
    <row r="29" spans="1:7" ht="15" customHeight="1">
      <c r="A29" s="44" t="str">
        <f>IF(Calcu!B21=TRUE,"","삭제")</f>
        <v>삭제</v>
      </c>
      <c r="B29" s="43"/>
      <c r="C29" s="43"/>
      <c r="D29" s="43"/>
      <c r="E29" s="278" t="str">
        <f ca="1">Calcu!AA21</f>
        <v/>
      </c>
      <c r="F29" s="366" t="str">
        <f ca="1">Calcu!AB21</f>
        <v/>
      </c>
      <c r="G29" s="367"/>
    </row>
    <row r="30" spans="1:7" ht="15" customHeight="1">
      <c r="A30" s="44" t="str">
        <f>IF(Calcu!B22=TRUE,"","삭제")</f>
        <v>삭제</v>
      </c>
      <c r="B30" s="43"/>
      <c r="C30" s="43"/>
      <c r="D30" s="43"/>
      <c r="E30" s="278" t="str">
        <f ca="1">Calcu!AA22</f>
        <v/>
      </c>
      <c r="F30" s="366" t="str">
        <f ca="1">Calcu!AB22</f>
        <v/>
      </c>
      <c r="G30" s="367"/>
    </row>
    <row r="31" spans="1:7" ht="15" customHeight="1">
      <c r="A31" s="44" t="str">
        <f>IF(Calcu!B23=TRUE,"","삭제")</f>
        <v>삭제</v>
      </c>
      <c r="B31" s="43"/>
      <c r="C31" s="43"/>
      <c r="D31" s="43"/>
      <c r="E31" s="278" t="str">
        <f ca="1">Calcu!AA23</f>
        <v/>
      </c>
      <c r="F31" s="366" t="str">
        <f ca="1">Calcu!AB23</f>
        <v/>
      </c>
      <c r="G31" s="367"/>
    </row>
    <row r="32" spans="1:7" ht="15" customHeight="1">
      <c r="A32" s="44" t="str">
        <f>IF(Calcu!B24=TRUE,"","삭제")</f>
        <v>삭제</v>
      </c>
      <c r="B32" s="43"/>
      <c r="C32" s="43"/>
      <c r="D32" s="43"/>
      <c r="E32" s="278" t="str">
        <f ca="1">Calcu!AA24</f>
        <v/>
      </c>
      <c r="F32" s="366" t="str">
        <f ca="1">Calcu!AB24</f>
        <v/>
      </c>
      <c r="G32" s="367"/>
    </row>
    <row r="33" spans="1:7" ht="15" customHeight="1">
      <c r="A33" s="44" t="str">
        <f>IF(Calcu!B25=TRUE,"","삭제")</f>
        <v>삭제</v>
      </c>
      <c r="B33" s="43"/>
      <c r="C33" s="43"/>
      <c r="D33" s="43"/>
      <c r="E33" s="278" t="str">
        <f ca="1">Calcu!AA25</f>
        <v/>
      </c>
      <c r="F33" s="366" t="str">
        <f ca="1">Calcu!AB25</f>
        <v/>
      </c>
      <c r="G33" s="367"/>
    </row>
    <row r="34" spans="1:7" ht="15" customHeight="1">
      <c r="A34" s="44" t="str">
        <f>IF(Calcu!B26=TRUE,"","삭제")</f>
        <v>삭제</v>
      </c>
      <c r="B34" s="43"/>
      <c r="C34" s="43"/>
      <c r="D34" s="43"/>
      <c r="E34" s="278" t="str">
        <f ca="1">Calcu!AA26</f>
        <v/>
      </c>
      <c r="F34" s="366" t="str">
        <f ca="1">Calcu!AB26</f>
        <v/>
      </c>
      <c r="G34" s="367"/>
    </row>
    <row r="35" spans="1:7" ht="15" customHeight="1">
      <c r="A35" s="44" t="str">
        <f>IF(Calcu!B27=TRUE,"","삭제")</f>
        <v>삭제</v>
      </c>
      <c r="B35" s="43"/>
      <c r="C35" s="43"/>
      <c r="D35" s="43"/>
      <c r="E35" s="278" t="str">
        <f ca="1">Calcu!AA27</f>
        <v/>
      </c>
      <c r="F35" s="366" t="str">
        <f ca="1">Calcu!AB27</f>
        <v/>
      </c>
      <c r="G35" s="367"/>
    </row>
    <row r="36" spans="1:7" ht="15" customHeight="1">
      <c r="A36" s="44" t="str">
        <f>IF(Calcu!B28=TRUE,"","삭제")</f>
        <v>삭제</v>
      </c>
      <c r="B36" s="43"/>
      <c r="C36" s="43"/>
      <c r="D36" s="43"/>
      <c r="E36" s="278" t="str">
        <f ca="1">Calcu!AA28</f>
        <v/>
      </c>
      <c r="F36" s="366" t="str">
        <f ca="1">Calcu!AB28</f>
        <v/>
      </c>
      <c r="G36" s="367"/>
    </row>
    <row r="37" spans="1:7" ht="15" customHeight="1">
      <c r="A37" s="44" t="str">
        <f>IF(Calcu!B29=TRUE,"","삭제")</f>
        <v>삭제</v>
      </c>
      <c r="B37" s="43"/>
      <c r="C37" s="43"/>
      <c r="D37" s="43"/>
      <c r="E37" s="278" t="str">
        <f ca="1">Calcu!AA29</f>
        <v/>
      </c>
      <c r="F37" s="366" t="str">
        <f ca="1">Calcu!AB29</f>
        <v/>
      </c>
      <c r="G37" s="367"/>
    </row>
    <row r="38" spans="1:7" ht="15" customHeight="1">
      <c r="A38" s="44" t="str">
        <f>IF(Calcu!B30=TRUE,"","삭제")</f>
        <v>삭제</v>
      </c>
      <c r="B38" s="43"/>
      <c r="C38" s="43"/>
      <c r="D38" s="43"/>
      <c r="E38" s="278" t="str">
        <f ca="1">Calcu!AA30</f>
        <v/>
      </c>
      <c r="F38" s="366" t="str">
        <f ca="1">Calcu!AB30</f>
        <v/>
      </c>
      <c r="G38" s="367"/>
    </row>
    <row r="39" spans="1:7" ht="15" customHeight="1">
      <c r="A39" s="44" t="str">
        <f>IF(Calcu!B31=TRUE,"","삭제")</f>
        <v>삭제</v>
      </c>
      <c r="B39" s="43"/>
      <c r="C39" s="43"/>
      <c r="D39" s="43"/>
      <c r="E39" s="278" t="str">
        <f ca="1">Calcu!AA31</f>
        <v/>
      </c>
      <c r="F39" s="366" t="str">
        <f ca="1">Calcu!AB31</f>
        <v/>
      </c>
      <c r="G39" s="367"/>
    </row>
    <row r="40" spans="1:7" ht="15" customHeight="1">
      <c r="A40" s="44" t="str">
        <f>IF(Calcu!B32=TRUE,"","삭제")</f>
        <v>삭제</v>
      </c>
      <c r="B40" s="43"/>
      <c r="C40" s="43"/>
      <c r="D40" s="43"/>
      <c r="E40" s="278" t="str">
        <f ca="1">Calcu!AA32</f>
        <v/>
      </c>
      <c r="F40" s="366" t="str">
        <f ca="1">Calcu!AB32</f>
        <v/>
      </c>
      <c r="G40" s="367"/>
    </row>
    <row r="41" spans="1:7" ht="15" customHeight="1">
      <c r="A41" s="44" t="str">
        <f>IF(Calcu!B33=TRUE,"","삭제")</f>
        <v>삭제</v>
      </c>
      <c r="B41" s="43"/>
      <c r="C41" s="43"/>
      <c r="D41" s="43"/>
      <c r="E41" s="278" t="str">
        <f ca="1">Calcu!AA33</f>
        <v/>
      </c>
      <c r="F41" s="366" t="str">
        <f ca="1">Calcu!AB33</f>
        <v/>
      </c>
      <c r="G41" s="367"/>
    </row>
    <row r="42" spans="1:7" ht="15" customHeight="1">
      <c r="A42" s="44" t="str">
        <f>IF(Calcu!B34=TRUE,"","삭제")</f>
        <v>삭제</v>
      </c>
      <c r="B42" s="43"/>
      <c r="C42" s="43"/>
      <c r="D42" s="43"/>
      <c r="E42" s="278" t="str">
        <f ca="1">Calcu!AA34</f>
        <v/>
      </c>
      <c r="F42" s="366" t="str">
        <f ca="1">Calcu!AB34</f>
        <v/>
      </c>
      <c r="G42" s="367"/>
    </row>
    <row r="43" spans="1:7" ht="15" customHeight="1">
      <c r="A43" s="44" t="str">
        <f>IF(Calcu!B35=TRUE,"","삭제")</f>
        <v>삭제</v>
      </c>
      <c r="B43" s="43"/>
      <c r="C43" s="43"/>
      <c r="D43" s="43"/>
      <c r="E43" s="278" t="str">
        <f ca="1">Calcu!AA35</f>
        <v/>
      </c>
      <c r="F43" s="366" t="str">
        <f ca="1">Calcu!AB35</f>
        <v/>
      </c>
      <c r="G43" s="367"/>
    </row>
    <row r="44" spans="1:7" ht="15" customHeight="1">
      <c r="A44" s="44" t="str">
        <f>IF(Calcu!B36=TRUE,"","삭제")</f>
        <v>삭제</v>
      </c>
      <c r="B44" s="43"/>
      <c r="C44" s="43"/>
      <c r="D44" s="43"/>
      <c r="E44" s="278" t="str">
        <f ca="1">Calcu!AA36</f>
        <v/>
      </c>
      <c r="F44" s="366" t="str">
        <f ca="1">Calcu!AB36</f>
        <v/>
      </c>
      <c r="G44" s="367"/>
    </row>
    <row r="45" spans="1:7" ht="15" customHeight="1">
      <c r="A45" s="44" t="str">
        <f>IF(Calcu!B37=TRUE,"","삭제")</f>
        <v>삭제</v>
      </c>
      <c r="B45" s="43"/>
      <c r="C45" s="43"/>
      <c r="D45" s="43"/>
      <c r="E45" s="278" t="str">
        <f ca="1">Calcu!AA37</f>
        <v/>
      </c>
      <c r="F45" s="366" t="str">
        <f ca="1">Calcu!AB37</f>
        <v/>
      </c>
      <c r="G45" s="367"/>
    </row>
    <row r="46" spans="1:7" ht="15" customHeight="1">
      <c r="A46" s="44" t="str">
        <f>IF(Calcu!B38=TRUE,"","삭제")</f>
        <v>삭제</v>
      </c>
      <c r="B46" s="43"/>
      <c r="C46" s="43"/>
      <c r="D46" s="43"/>
      <c r="E46" s="278" t="str">
        <f ca="1">Calcu!AA38</f>
        <v/>
      </c>
      <c r="F46" s="366" t="str">
        <f ca="1">Calcu!AB38</f>
        <v/>
      </c>
      <c r="G46" s="367"/>
    </row>
    <row r="47" spans="1:7" ht="15" customHeight="1">
      <c r="A47" s="44" t="str">
        <f>IF(Calcu!B39=TRUE,"","삭제")</f>
        <v>삭제</v>
      </c>
      <c r="B47" s="43"/>
      <c r="C47" s="43"/>
      <c r="D47" s="43"/>
      <c r="E47" s="278" t="str">
        <f ca="1">Calcu!AA39</f>
        <v/>
      </c>
      <c r="F47" s="366" t="str">
        <f ca="1">Calcu!AB39</f>
        <v/>
      </c>
      <c r="G47" s="367"/>
    </row>
    <row r="48" spans="1:7" ht="15" customHeight="1">
      <c r="A48" s="44" t="str">
        <f>IF(Calcu!B40=TRUE,"","삭제")</f>
        <v>삭제</v>
      </c>
      <c r="B48" s="43"/>
      <c r="C48" s="43"/>
      <c r="D48" s="43"/>
      <c r="E48" s="278" t="str">
        <f ca="1">Calcu!AA40</f>
        <v/>
      </c>
      <c r="F48" s="366" t="str">
        <f ca="1">Calcu!AB40</f>
        <v/>
      </c>
      <c r="G48" s="367"/>
    </row>
    <row r="49" spans="1:11" ht="15" customHeight="1">
      <c r="A49" s="44" t="str">
        <f>IF(Calcu!B41=TRUE,"","삭제")</f>
        <v>삭제</v>
      </c>
      <c r="B49" s="43"/>
      <c r="C49" s="43"/>
      <c r="D49" s="43"/>
      <c r="E49" s="278" t="str">
        <f ca="1">Calcu!AA41</f>
        <v/>
      </c>
      <c r="F49" s="366" t="str">
        <f ca="1">Calcu!AB41</f>
        <v/>
      </c>
      <c r="G49" s="367"/>
    </row>
    <row r="50" spans="1:11" ht="15" customHeight="1">
      <c r="A50" s="44" t="str">
        <f>IF(Calcu!B42=TRUE,"","삭제")</f>
        <v>삭제</v>
      </c>
      <c r="B50" s="43"/>
      <c r="C50" s="43"/>
      <c r="D50" s="43"/>
      <c r="E50" s="278" t="str">
        <f ca="1">Calcu!AA42</f>
        <v/>
      </c>
      <c r="F50" s="366" t="str">
        <f ca="1">Calcu!AB42</f>
        <v/>
      </c>
      <c r="G50" s="367"/>
    </row>
    <row r="51" spans="1:11" ht="15" customHeight="1">
      <c r="A51" s="44" t="str">
        <f>IF(Calcu!B43=TRUE,"","삭제")</f>
        <v>삭제</v>
      </c>
      <c r="B51" s="43"/>
      <c r="C51" s="43"/>
      <c r="D51" s="43"/>
      <c r="E51" s="278" t="str">
        <f ca="1">Calcu!AA43</f>
        <v/>
      </c>
      <c r="F51" s="366" t="str">
        <f ca="1">Calcu!AB43</f>
        <v/>
      </c>
      <c r="G51" s="367"/>
    </row>
    <row r="52" spans="1:11" ht="15" customHeight="1">
      <c r="A52" s="44" t="str">
        <f>IF(Calcu!B44=TRUE,"","삭제")</f>
        <v>삭제</v>
      </c>
      <c r="B52" s="43"/>
      <c r="C52" s="43"/>
      <c r="D52" s="43"/>
      <c r="E52" s="278" t="str">
        <f ca="1">Calcu!AA44</f>
        <v/>
      </c>
      <c r="F52" s="366" t="str">
        <f ca="1">Calcu!AB44</f>
        <v/>
      </c>
      <c r="G52" s="367"/>
    </row>
    <row r="53" spans="1:11" ht="15" customHeight="1">
      <c r="A53" s="44" t="str">
        <f>IF(Calcu!B45=TRUE,"","삭제")</f>
        <v>삭제</v>
      </c>
      <c r="B53" s="43"/>
      <c r="C53" s="43"/>
      <c r="D53" s="43"/>
      <c r="E53" s="278" t="str">
        <f ca="1">Calcu!AA45</f>
        <v/>
      </c>
      <c r="F53" s="366" t="str">
        <f ca="1">Calcu!AB45</f>
        <v/>
      </c>
      <c r="G53" s="367"/>
    </row>
    <row r="54" spans="1:11" ht="15" customHeight="1">
      <c r="A54" s="44" t="str">
        <f>IF(Calcu!B46=TRUE,"","삭제")</f>
        <v>삭제</v>
      </c>
      <c r="B54" s="43"/>
      <c r="C54" s="43"/>
      <c r="D54" s="43"/>
      <c r="E54" s="278" t="str">
        <f ca="1">Calcu!AA46</f>
        <v/>
      </c>
      <c r="F54" s="366" t="str">
        <f ca="1">Calcu!AB46</f>
        <v/>
      </c>
      <c r="G54" s="367"/>
    </row>
    <row r="55" spans="1:11" ht="15" customHeight="1">
      <c r="A55" s="44" t="str">
        <f>IF(Calcu!B47=TRUE,"","삭제")</f>
        <v>삭제</v>
      </c>
      <c r="B55" s="43"/>
      <c r="C55" s="43"/>
      <c r="D55" s="43"/>
      <c r="E55" s="278" t="str">
        <f ca="1">Calcu!AA47</f>
        <v/>
      </c>
      <c r="F55" s="366" t="str">
        <f ca="1">Calcu!AB47</f>
        <v/>
      </c>
      <c r="G55" s="367"/>
    </row>
    <row r="56" spans="1:11" ht="15" customHeight="1">
      <c r="A56" s="44" t="str">
        <f>IF(Calcu!B48=TRUE,"","삭제")</f>
        <v>삭제</v>
      </c>
      <c r="B56" s="43"/>
      <c r="C56" s="43"/>
      <c r="D56" s="43"/>
      <c r="E56" s="278" t="str">
        <f ca="1">Calcu!AA48</f>
        <v/>
      </c>
      <c r="F56" s="366" t="str">
        <f ca="1">Calcu!AB48</f>
        <v/>
      </c>
      <c r="G56" s="367"/>
    </row>
    <row r="57" spans="1:11" ht="15" customHeight="1">
      <c r="A57" s="44" t="str">
        <f>IF(Calcu!B49=TRUE,"","삭제")</f>
        <v>삭제</v>
      </c>
      <c r="B57" s="43"/>
      <c r="C57" s="43"/>
      <c r="D57" s="43"/>
      <c r="E57" s="278" t="str">
        <f ca="1">Calcu!AA49</f>
        <v/>
      </c>
      <c r="F57" s="366" t="str">
        <f ca="1">Calcu!AB49</f>
        <v/>
      </c>
      <c r="G57" s="367"/>
    </row>
    <row r="58" spans="1:11" ht="15" customHeight="1">
      <c r="A58" s="44"/>
      <c r="H58" s="38"/>
      <c r="K58" s="50"/>
    </row>
    <row r="59" spans="1:11" ht="15" customHeight="1">
      <c r="A59" s="44" t="e">
        <f ca="1">IF(Calcu!H67&lt;=10,"","삭제")</f>
        <v>#N/A</v>
      </c>
      <c r="E59" s="38" t="s">
        <v>547</v>
      </c>
      <c r="F59" s="53" t="e">
        <f ca="1">Calcu!T67</f>
        <v>#N/A</v>
      </c>
      <c r="G59" s="212" t="e">
        <f ca="1">Calcu!U67</f>
        <v>#N/A</v>
      </c>
      <c r="H59" s="38"/>
      <c r="K59" s="50"/>
    </row>
    <row r="60" spans="1:11" ht="15" customHeight="1">
      <c r="A60" s="44" t="e">
        <f ca="1">A59</f>
        <v>#N/A</v>
      </c>
      <c r="E60" s="38" t="s">
        <v>613</v>
      </c>
      <c r="F60" s="53"/>
      <c r="G60" s="212"/>
      <c r="H60" s="38"/>
      <c r="K60" s="50"/>
    </row>
    <row r="61" spans="1:11" ht="15" customHeight="1">
      <c r="A61" s="44" t="e">
        <f ca="1">IF(Calcu!H67&lt;=10,"삭제","")</f>
        <v>#N/A</v>
      </c>
      <c r="E61" s="38" t="e">
        <f ca="1">"● Measurement uncertainty : "&amp;Calcu!S66&amp;" mm"</f>
        <v>#N/A</v>
      </c>
      <c r="F61" s="53"/>
      <c r="G61" s="212"/>
      <c r="H61" s="38"/>
      <c r="K61" s="50"/>
    </row>
    <row r="62" spans="1:11" ht="15" customHeight="1">
      <c r="A62" s="44"/>
      <c r="F62" s="53" t="e">
        <f ca="1">IF(Calcu!E76="사다리꼴","(Confidence level 95 %,","(Confidence level about 95 %,")</f>
        <v>#N/A</v>
      </c>
      <c r="G62" s="212" t="e">
        <f ca="1">Calcu!E77&amp;")"</f>
        <v>#N/A</v>
      </c>
      <c r="J62" s="53"/>
      <c r="K62" s="50"/>
    </row>
    <row r="63" spans="1:11" ht="15" customHeight="1">
      <c r="A63" s="44" t="e">
        <f ca="1">IF(Calcu!E76="사다리꼴","","삭제")</f>
        <v>#N/A</v>
      </c>
      <c r="E63" s="50" t="e">
        <f ca="1">IF(Calcu!E76="사다리꼴","※ Trapezoid probability distribution.","")</f>
        <v>#N/A</v>
      </c>
      <c r="F63" s="50"/>
      <c r="J63" s="53"/>
      <c r="K63" s="50"/>
    </row>
    <row r="64" spans="1:11" ht="15" customHeight="1">
      <c r="E64" s="73"/>
      <c r="F64" s="73"/>
      <c r="G64" s="73"/>
      <c r="H64" s="74"/>
    </row>
  </sheetData>
  <mergeCells count="44">
    <mergeCell ref="A1:K2"/>
    <mergeCell ref="E15:E16"/>
    <mergeCell ref="F15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54:G54"/>
    <mergeCell ref="F55:G55"/>
    <mergeCell ref="F56:G56"/>
    <mergeCell ref="F57:G57"/>
    <mergeCell ref="F49:G49"/>
    <mergeCell ref="F50:G50"/>
    <mergeCell ref="F51:G51"/>
    <mergeCell ref="F52:G52"/>
    <mergeCell ref="F53:G5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68" t="s">
        <v>34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17" s="47" customFormat="1" ht="33" customHeight="1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89"/>
      <c r="D4" s="89"/>
      <c r="E4" s="89"/>
      <c r="F4" s="90"/>
      <c r="G4" s="277"/>
      <c r="H4" s="90"/>
      <c r="I4" s="90"/>
      <c r="J4" s="90"/>
      <c r="K4" s="99"/>
      <c r="L4" s="91"/>
      <c r="M4" s="98"/>
      <c r="N4" s="98"/>
      <c r="O4" s="98"/>
      <c r="P4" s="98"/>
      <c r="Q4" s="98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85</v>
      </c>
      <c r="G11" s="38"/>
    </row>
    <row r="12" spans="1:17" ht="15" customHeight="1">
      <c r="F12" s="54" t="str">
        <f>"○ 교정범위 : ("&amp;Calcu!K3&amp;" ~ "&amp;Calcu!M3&amp;")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"&amp;Calcu!O3&amp;"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87" customFormat="1" ht="15" customHeight="1">
      <c r="B15" s="382"/>
      <c r="C15" s="384"/>
      <c r="D15" s="384"/>
      <c r="E15" s="384"/>
      <c r="F15" s="386" t="s">
        <v>564</v>
      </c>
      <c r="G15" s="388" t="s">
        <v>556</v>
      </c>
      <c r="H15" s="390" t="s">
        <v>557</v>
      </c>
      <c r="I15" s="392"/>
      <c r="J15" s="393" t="s">
        <v>558</v>
      </c>
      <c r="K15" s="393"/>
      <c r="L15" s="393"/>
      <c r="M15" s="394" t="s">
        <v>559</v>
      </c>
      <c r="N15" s="394"/>
      <c r="O15" s="394"/>
      <c r="P15" s="378"/>
      <c r="Q15" s="380" t="s">
        <v>561</v>
      </c>
    </row>
    <row r="16" spans="1:17" s="286" customFormat="1" ht="22.5">
      <c r="B16" s="383"/>
      <c r="C16" s="385"/>
      <c r="D16" s="385"/>
      <c r="E16" s="385"/>
      <c r="F16" s="387"/>
      <c r="G16" s="389"/>
      <c r="H16" s="391"/>
      <c r="I16" s="385"/>
      <c r="J16" s="289" t="s">
        <v>566</v>
      </c>
      <c r="K16" s="290" t="s">
        <v>567</v>
      </c>
      <c r="L16" s="290" t="s">
        <v>568</v>
      </c>
      <c r="M16" s="289" t="s">
        <v>566</v>
      </c>
      <c r="N16" s="290" t="s">
        <v>567</v>
      </c>
      <c r="O16" s="290" t="s">
        <v>568</v>
      </c>
      <c r="P16" s="379"/>
      <c r="Q16" s="381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str">
        <f ca="1">Calcu!AA9</f>
        <v/>
      </c>
      <c r="G17" s="51" t="s">
        <v>193</v>
      </c>
      <c r="H17" s="51" t="e">
        <f ca="1">Calcu!AD9</f>
        <v>#VALUE!</v>
      </c>
      <c r="J17" s="37" t="str">
        <f ca="1">Calcu!AC9</f>
        <v/>
      </c>
      <c r="K17" s="37" t="str">
        <f ca="1">Calcu!AB9</f>
        <v/>
      </c>
      <c r="L17" s="37" t="str">
        <f>LEFT(Calcu!AE9,1)</f>
        <v/>
      </c>
      <c r="M17" s="37" t="s">
        <v>560</v>
      </c>
      <c r="N17" s="37" t="s">
        <v>562</v>
      </c>
      <c r="O17" s="37" t="s">
        <v>563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str">
        <f ca="1">Calcu!AA10</f>
        <v/>
      </c>
      <c r="G18" s="51" t="s">
        <v>193</v>
      </c>
      <c r="H18" s="51" t="e">
        <f ca="1">Calcu!AD10</f>
        <v>#VALUE!</v>
      </c>
      <c r="J18" s="37" t="str">
        <f ca="1">Calcu!AC10</f>
        <v/>
      </c>
      <c r="K18" s="37" t="str">
        <f ca="1">Calcu!AB10</f>
        <v/>
      </c>
      <c r="L18" s="37" t="str">
        <f>LEFT(Calcu!AE10,1)</f>
        <v/>
      </c>
      <c r="M18" s="37" t="s">
        <v>560</v>
      </c>
      <c r="N18" s="37" t="s">
        <v>562</v>
      </c>
      <c r="O18" s="37" t="s">
        <v>563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str">
        <f ca="1">Calcu!AA11</f>
        <v/>
      </c>
      <c r="G19" s="51" t="s">
        <v>193</v>
      </c>
      <c r="H19" s="51" t="e">
        <f ca="1">Calcu!AD11</f>
        <v>#VALUE!</v>
      </c>
      <c r="J19" s="37" t="str">
        <f ca="1">Calcu!AC11</f>
        <v/>
      </c>
      <c r="K19" s="37" t="str">
        <f ca="1">Calcu!AB11</f>
        <v/>
      </c>
      <c r="L19" s="37" t="str">
        <f>LEFT(Calcu!AE11,1)</f>
        <v/>
      </c>
      <c r="M19" s="37" t="s">
        <v>560</v>
      </c>
      <c r="N19" s="37" t="s">
        <v>562</v>
      </c>
      <c r="O19" s="37" t="s">
        <v>563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str">
        <f ca="1">Calcu!AA12</f>
        <v/>
      </c>
      <c r="G20" s="51" t="s">
        <v>193</v>
      </c>
      <c r="H20" s="51" t="e">
        <f ca="1">Calcu!AD12</f>
        <v>#VALUE!</v>
      </c>
      <c r="J20" s="37" t="str">
        <f ca="1">Calcu!AC12</f>
        <v/>
      </c>
      <c r="K20" s="37" t="str">
        <f ca="1">Calcu!AB12</f>
        <v/>
      </c>
      <c r="L20" s="37" t="str">
        <f>LEFT(Calcu!AE12,1)</f>
        <v/>
      </c>
      <c r="M20" s="37" t="s">
        <v>560</v>
      </c>
      <c r="N20" s="37" t="s">
        <v>562</v>
      </c>
      <c r="O20" s="37" t="s">
        <v>563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str">
        <f ca="1">Calcu!AA13</f>
        <v/>
      </c>
      <c r="G21" s="51" t="s">
        <v>193</v>
      </c>
      <c r="H21" s="51" t="e">
        <f ca="1">Calcu!AD13</f>
        <v>#VALUE!</v>
      </c>
      <c r="J21" s="37" t="str">
        <f ca="1">Calcu!AC13</f>
        <v/>
      </c>
      <c r="K21" s="37" t="str">
        <f ca="1">Calcu!AB13</f>
        <v/>
      </c>
      <c r="L21" s="37" t="str">
        <f>LEFT(Calcu!AE13,1)</f>
        <v/>
      </c>
      <c r="M21" s="37" t="s">
        <v>560</v>
      </c>
      <c r="N21" s="37" t="s">
        <v>562</v>
      </c>
      <c r="O21" s="37" t="s">
        <v>563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str">
        <f ca="1">Calcu!AA14</f>
        <v/>
      </c>
      <c r="G22" s="51" t="s">
        <v>193</v>
      </c>
      <c r="H22" s="51" t="e">
        <f ca="1">Calcu!AD14</f>
        <v>#VALUE!</v>
      </c>
      <c r="J22" s="37" t="str">
        <f ca="1">Calcu!AC14</f>
        <v/>
      </c>
      <c r="K22" s="37" t="str">
        <f ca="1">Calcu!AB14</f>
        <v/>
      </c>
      <c r="L22" s="37" t="str">
        <f>LEFT(Calcu!AE14,1)</f>
        <v/>
      </c>
      <c r="M22" s="37" t="s">
        <v>560</v>
      </c>
      <c r="N22" s="37" t="s">
        <v>562</v>
      </c>
      <c r="O22" s="37" t="s">
        <v>563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str">
        <f ca="1">Calcu!AA15</f>
        <v/>
      </c>
      <c r="G23" s="51" t="s">
        <v>193</v>
      </c>
      <c r="H23" s="51" t="e">
        <f ca="1">Calcu!AD15</f>
        <v>#VALUE!</v>
      </c>
      <c r="J23" s="37" t="str">
        <f ca="1">Calcu!AC15</f>
        <v/>
      </c>
      <c r="K23" s="37" t="str">
        <f ca="1">Calcu!AB15</f>
        <v/>
      </c>
      <c r="L23" s="37" t="str">
        <f>LEFT(Calcu!AE15,1)</f>
        <v/>
      </c>
      <c r="M23" s="37" t="s">
        <v>560</v>
      </c>
      <c r="N23" s="37" t="s">
        <v>562</v>
      </c>
      <c r="O23" s="37" t="s">
        <v>563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str">
        <f ca="1">Calcu!AA16</f>
        <v/>
      </c>
      <c r="G24" s="51" t="s">
        <v>193</v>
      </c>
      <c r="H24" s="51" t="e">
        <f ca="1">Calcu!AD16</f>
        <v>#VALUE!</v>
      </c>
      <c r="J24" s="37" t="str">
        <f ca="1">Calcu!AC16</f>
        <v/>
      </c>
      <c r="K24" s="37" t="str">
        <f ca="1">Calcu!AB16</f>
        <v/>
      </c>
      <c r="L24" s="37" t="str">
        <f>LEFT(Calcu!AE16,1)</f>
        <v/>
      </c>
      <c r="M24" s="37" t="s">
        <v>560</v>
      </c>
      <c r="N24" s="37" t="s">
        <v>562</v>
      </c>
      <c r="O24" s="37" t="s">
        <v>563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str">
        <f ca="1">Calcu!AA17</f>
        <v/>
      </c>
      <c r="G25" s="51" t="s">
        <v>193</v>
      </c>
      <c r="H25" s="51" t="e">
        <f ca="1">Calcu!AD17</f>
        <v>#VALUE!</v>
      </c>
      <c r="J25" s="37" t="str">
        <f ca="1">Calcu!AC17</f>
        <v/>
      </c>
      <c r="K25" s="37" t="str">
        <f ca="1">Calcu!AB17</f>
        <v/>
      </c>
      <c r="L25" s="37" t="str">
        <f>LEFT(Calcu!AE17,1)</f>
        <v/>
      </c>
      <c r="M25" s="37" t="s">
        <v>560</v>
      </c>
      <c r="N25" s="37" t="s">
        <v>562</v>
      </c>
      <c r="O25" s="37" t="s">
        <v>563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str">
        <f ca="1">Calcu!AA18</f>
        <v/>
      </c>
      <c r="G26" s="51" t="s">
        <v>193</v>
      </c>
      <c r="H26" s="51" t="e">
        <f ca="1">Calcu!AD18</f>
        <v>#VALUE!</v>
      </c>
      <c r="J26" s="37" t="str">
        <f ca="1">Calcu!AC18</f>
        <v/>
      </c>
      <c r="K26" s="37" t="str">
        <f ca="1">Calcu!AB18</f>
        <v/>
      </c>
      <c r="L26" s="37" t="str">
        <f>LEFT(Calcu!AE18,1)</f>
        <v/>
      </c>
      <c r="M26" s="37" t="s">
        <v>560</v>
      </c>
      <c r="N26" s="37" t="s">
        <v>562</v>
      </c>
      <c r="O26" s="37" t="s">
        <v>563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str">
        <f ca="1">Calcu!AA19</f>
        <v/>
      </c>
      <c r="G27" s="51" t="s">
        <v>193</v>
      </c>
      <c r="H27" s="51" t="e">
        <f ca="1">Calcu!AD19</f>
        <v>#VALUE!</v>
      </c>
      <c r="J27" s="37" t="str">
        <f ca="1">Calcu!AC19</f>
        <v/>
      </c>
      <c r="K27" s="37" t="str">
        <f ca="1">Calcu!AB19</f>
        <v/>
      </c>
      <c r="L27" s="37" t="str">
        <f>LEFT(Calcu!AE19,1)</f>
        <v/>
      </c>
      <c r="M27" s="37" t="s">
        <v>560</v>
      </c>
      <c r="N27" s="37" t="s">
        <v>562</v>
      </c>
      <c r="O27" s="37" t="s">
        <v>563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str">
        <f ca="1">Calcu!AA20</f>
        <v/>
      </c>
      <c r="G28" s="51" t="s">
        <v>193</v>
      </c>
      <c r="H28" s="51" t="e">
        <f ca="1">Calcu!AD20</f>
        <v>#VALUE!</v>
      </c>
      <c r="J28" s="37" t="str">
        <f ca="1">Calcu!AC20</f>
        <v/>
      </c>
      <c r="K28" s="37" t="str">
        <f ca="1">Calcu!AB20</f>
        <v/>
      </c>
      <c r="L28" s="37" t="str">
        <f>LEFT(Calcu!AE20,1)</f>
        <v/>
      </c>
      <c r="M28" s="37" t="s">
        <v>560</v>
      </c>
      <c r="N28" s="37" t="s">
        <v>562</v>
      </c>
      <c r="O28" s="37" t="s">
        <v>563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str">
        <f ca="1">Calcu!AA21</f>
        <v/>
      </c>
      <c r="G29" s="51" t="s">
        <v>193</v>
      </c>
      <c r="H29" s="51" t="e">
        <f ca="1">Calcu!AD21</f>
        <v>#VALUE!</v>
      </c>
      <c r="J29" s="37" t="str">
        <f ca="1">Calcu!AC21</f>
        <v/>
      </c>
      <c r="K29" s="37" t="str">
        <f ca="1">Calcu!AB21</f>
        <v/>
      </c>
      <c r="L29" s="37" t="str">
        <f>LEFT(Calcu!AE21,1)</f>
        <v/>
      </c>
      <c r="M29" s="37" t="s">
        <v>560</v>
      </c>
      <c r="N29" s="37" t="s">
        <v>562</v>
      </c>
      <c r="O29" s="37" t="s">
        <v>563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str">
        <f ca="1">Calcu!AA22</f>
        <v/>
      </c>
      <c r="G30" s="51" t="s">
        <v>193</v>
      </c>
      <c r="H30" s="51" t="e">
        <f ca="1">Calcu!AD22</f>
        <v>#VALUE!</v>
      </c>
      <c r="J30" s="37" t="str">
        <f ca="1">Calcu!AC22</f>
        <v/>
      </c>
      <c r="K30" s="37" t="str">
        <f ca="1">Calcu!AB22</f>
        <v/>
      </c>
      <c r="L30" s="37" t="str">
        <f>LEFT(Calcu!AE22,1)</f>
        <v/>
      </c>
      <c r="M30" s="37" t="s">
        <v>560</v>
      </c>
      <c r="N30" s="37" t="s">
        <v>562</v>
      </c>
      <c r="O30" s="37" t="s">
        <v>563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str">
        <f ca="1">Calcu!AA23</f>
        <v/>
      </c>
      <c r="G31" s="51" t="s">
        <v>193</v>
      </c>
      <c r="H31" s="51" t="e">
        <f ca="1">Calcu!AD23</f>
        <v>#VALUE!</v>
      </c>
      <c r="J31" s="37" t="str">
        <f ca="1">Calcu!AC23</f>
        <v/>
      </c>
      <c r="K31" s="37" t="str">
        <f ca="1">Calcu!AB23</f>
        <v/>
      </c>
      <c r="L31" s="37" t="str">
        <f>LEFT(Calcu!AE23,1)</f>
        <v/>
      </c>
      <c r="M31" s="37" t="s">
        <v>560</v>
      </c>
      <c r="N31" s="37" t="s">
        <v>562</v>
      </c>
      <c r="O31" s="37" t="s">
        <v>563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str">
        <f ca="1">Calcu!AA24</f>
        <v/>
      </c>
      <c r="G32" s="51" t="s">
        <v>193</v>
      </c>
      <c r="H32" s="51" t="e">
        <f ca="1">Calcu!AD24</f>
        <v>#VALUE!</v>
      </c>
      <c r="J32" s="37" t="str">
        <f ca="1">Calcu!AC24</f>
        <v/>
      </c>
      <c r="K32" s="37" t="str">
        <f ca="1">Calcu!AB24</f>
        <v/>
      </c>
      <c r="L32" s="37" t="str">
        <f>LEFT(Calcu!AE24,1)</f>
        <v/>
      </c>
      <c r="M32" s="37" t="s">
        <v>560</v>
      </c>
      <c r="N32" s="37" t="s">
        <v>562</v>
      </c>
      <c r="O32" s="37" t="s">
        <v>563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str">
        <f ca="1">Calcu!AA25</f>
        <v/>
      </c>
      <c r="G33" s="51" t="s">
        <v>193</v>
      </c>
      <c r="H33" s="51" t="e">
        <f ca="1">Calcu!AD25</f>
        <v>#VALUE!</v>
      </c>
      <c r="J33" s="37" t="str">
        <f ca="1">Calcu!AC25</f>
        <v/>
      </c>
      <c r="K33" s="37" t="str">
        <f ca="1">Calcu!AB25</f>
        <v/>
      </c>
      <c r="L33" s="37" t="str">
        <f>LEFT(Calcu!AE25,1)</f>
        <v/>
      </c>
      <c r="M33" s="37" t="s">
        <v>560</v>
      </c>
      <c r="N33" s="37" t="s">
        <v>562</v>
      </c>
      <c r="O33" s="37" t="s">
        <v>563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str">
        <f ca="1">Calcu!AA26</f>
        <v/>
      </c>
      <c r="G34" s="51" t="s">
        <v>193</v>
      </c>
      <c r="H34" s="51" t="e">
        <f ca="1">Calcu!AD26</f>
        <v>#VALUE!</v>
      </c>
      <c r="J34" s="37" t="str">
        <f ca="1">Calcu!AC26</f>
        <v/>
      </c>
      <c r="K34" s="37" t="str">
        <f ca="1">Calcu!AB26</f>
        <v/>
      </c>
      <c r="L34" s="37" t="str">
        <f>LEFT(Calcu!AE26,1)</f>
        <v/>
      </c>
      <c r="M34" s="37" t="s">
        <v>560</v>
      </c>
      <c r="N34" s="37" t="s">
        <v>562</v>
      </c>
      <c r="O34" s="37" t="s">
        <v>563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str">
        <f ca="1">Calcu!AA27</f>
        <v/>
      </c>
      <c r="G35" s="51" t="s">
        <v>193</v>
      </c>
      <c r="H35" s="51" t="e">
        <f ca="1">Calcu!AD27</f>
        <v>#VALUE!</v>
      </c>
      <c r="J35" s="37" t="str">
        <f ca="1">Calcu!AC27</f>
        <v/>
      </c>
      <c r="K35" s="37" t="str">
        <f ca="1">Calcu!AB27</f>
        <v/>
      </c>
      <c r="L35" s="37" t="str">
        <f>LEFT(Calcu!AE27,1)</f>
        <v/>
      </c>
      <c r="M35" s="37" t="s">
        <v>560</v>
      </c>
      <c r="N35" s="37" t="s">
        <v>562</v>
      </c>
      <c r="O35" s="37" t="s">
        <v>563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str">
        <f ca="1">Calcu!AA28</f>
        <v/>
      </c>
      <c r="G36" s="51" t="s">
        <v>193</v>
      </c>
      <c r="H36" s="51" t="e">
        <f ca="1">Calcu!AD28</f>
        <v>#VALUE!</v>
      </c>
      <c r="J36" s="37" t="str">
        <f ca="1">Calcu!AC28</f>
        <v/>
      </c>
      <c r="K36" s="37" t="str">
        <f ca="1">Calcu!AB28</f>
        <v/>
      </c>
      <c r="L36" s="37" t="str">
        <f>LEFT(Calcu!AE28,1)</f>
        <v/>
      </c>
      <c r="M36" s="37" t="s">
        <v>560</v>
      </c>
      <c r="N36" s="37" t="s">
        <v>562</v>
      </c>
      <c r="O36" s="37" t="s">
        <v>563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str">
        <f ca="1">Calcu!AA29</f>
        <v/>
      </c>
      <c r="G37" s="51" t="s">
        <v>193</v>
      </c>
      <c r="H37" s="51" t="e">
        <f ca="1">Calcu!AD29</f>
        <v>#VALUE!</v>
      </c>
      <c r="J37" s="37" t="str">
        <f ca="1">Calcu!AC29</f>
        <v/>
      </c>
      <c r="K37" s="37" t="str">
        <f ca="1">Calcu!AB29</f>
        <v/>
      </c>
      <c r="L37" s="37" t="str">
        <f>LEFT(Calcu!AE29,1)</f>
        <v/>
      </c>
      <c r="M37" s="37" t="s">
        <v>560</v>
      </c>
      <c r="N37" s="37" t="s">
        <v>562</v>
      </c>
      <c r="O37" s="37" t="s">
        <v>563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str">
        <f ca="1">Calcu!AA30</f>
        <v/>
      </c>
      <c r="G38" s="51" t="s">
        <v>193</v>
      </c>
      <c r="H38" s="51" t="e">
        <f ca="1">Calcu!AD30</f>
        <v>#VALUE!</v>
      </c>
      <c r="J38" s="37" t="str">
        <f ca="1">Calcu!AC30</f>
        <v/>
      </c>
      <c r="K38" s="37" t="str">
        <f ca="1">Calcu!AB30</f>
        <v/>
      </c>
      <c r="L38" s="37" t="str">
        <f>LEFT(Calcu!AE30,1)</f>
        <v/>
      </c>
      <c r="M38" s="37" t="s">
        <v>560</v>
      </c>
      <c r="N38" s="37" t="s">
        <v>562</v>
      </c>
      <c r="O38" s="37" t="s">
        <v>563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str">
        <f ca="1">Calcu!AA31</f>
        <v/>
      </c>
      <c r="G39" s="51" t="s">
        <v>193</v>
      </c>
      <c r="H39" s="51" t="e">
        <f ca="1">Calcu!AD31</f>
        <v>#VALUE!</v>
      </c>
      <c r="J39" s="37" t="str">
        <f ca="1">Calcu!AC31</f>
        <v/>
      </c>
      <c r="K39" s="37" t="str">
        <f ca="1">Calcu!AB31</f>
        <v/>
      </c>
      <c r="L39" s="37" t="str">
        <f>LEFT(Calcu!AE31,1)</f>
        <v/>
      </c>
      <c r="M39" s="37" t="s">
        <v>560</v>
      </c>
      <c r="N39" s="37" t="s">
        <v>562</v>
      </c>
      <c r="O39" s="37" t="s">
        <v>563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str">
        <f ca="1">Calcu!AA32</f>
        <v/>
      </c>
      <c r="G40" s="51" t="s">
        <v>193</v>
      </c>
      <c r="H40" s="51" t="e">
        <f ca="1">Calcu!AD32</f>
        <v>#VALUE!</v>
      </c>
      <c r="J40" s="37" t="str">
        <f ca="1">Calcu!AC32</f>
        <v/>
      </c>
      <c r="K40" s="37" t="str">
        <f ca="1">Calcu!AB32</f>
        <v/>
      </c>
      <c r="L40" s="37" t="str">
        <f>LEFT(Calcu!AE32,1)</f>
        <v/>
      </c>
      <c r="M40" s="37" t="s">
        <v>560</v>
      </c>
      <c r="N40" s="37" t="s">
        <v>562</v>
      </c>
      <c r="O40" s="37" t="s">
        <v>563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str">
        <f ca="1">Calcu!AA33</f>
        <v/>
      </c>
      <c r="G41" s="51" t="s">
        <v>193</v>
      </c>
      <c r="H41" s="51" t="e">
        <f ca="1">Calcu!AD33</f>
        <v>#VALUE!</v>
      </c>
      <c r="J41" s="37" t="str">
        <f ca="1">Calcu!AC33</f>
        <v/>
      </c>
      <c r="K41" s="37" t="str">
        <f ca="1">Calcu!AB33</f>
        <v/>
      </c>
      <c r="L41" s="37" t="str">
        <f>LEFT(Calcu!AE33,1)</f>
        <v/>
      </c>
      <c r="M41" s="37" t="s">
        <v>560</v>
      </c>
      <c r="N41" s="37" t="s">
        <v>562</v>
      </c>
      <c r="O41" s="37" t="s">
        <v>563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str">
        <f ca="1">Calcu!AA34</f>
        <v/>
      </c>
      <c r="G42" s="51" t="s">
        <v>193</v>
      </c>
      <c r="H42" s="51" t="e">
        <f ca="1">Calcu!AD34</f>
        <v>#VALUE!</v>
      </c>
      <c r="J42" s="37" t="str">
        <f ca="1">Calcu!AC34</f>
        <v/>
      </c>
      <c r="K42" s="37" t="str">
        <f ca="1">Calcu!AB34</f>
        <v/>
      </c>
      <c r="L42" s="37" t="str">
        <f>LEFT(Calcu!AE34,1)</f>
        <v/>
      </c>
      <c r="M42" s="37" t="s">
        <v>560</v>
      </c>
      <c r="N42" s="37" t="s">
        <v>562</v>
      </c>
      <c r="O42" s="37" t="s">
        <v>563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str">
        <f ca="1">Calcu!AA35</f>
        <v/>
      </c>
      <c r="G43" s="51" t="s">
        <v>193</v>
      </c>
      <c r="H43" s="51" t="e">
        <f ca="1">Calcu!AD35</f>
        <v>#VALUE!</v>
      </c>
      <c r="J43" s="37" t="str">
        <f ca="1">Calcu!AC35</f>
        <v/>
      </c>
      <c r="K43" s="37" t="str">
        <f ca="1">Calcu!AB35</f>
        <v/>
      </c>
      <c r="L43" s="37" t="str">
        <f>LEFT(Calcu!AE35,1)</f>
        <v/>
      </c>
      <c r="M43" s="37" t="s">
        <v>560</v>
      </c>
      <c r="N43" s="37" t="s">
        <v>562</v>
      </c>
      <c r="O43" s="37" t="s">
        <v>563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str">
        <f ca="1">Calcu!AA36</f>
        <v/>
      </c>
      <c r="G44" s="51" t="s">
        <v>193</v>
      </c>
      <c r="H44" s="51" t="e">
        <f ca="1">Calcu!AD36</f>
        <v>#VALUE!</v>
      </c>
      <c r="J44" s="37" t="str">
        <f ca="1">Calcu!AC36</f>
        <v/>
      </c>
      <c r="K44" s="37" t="str">
        <f ca="1">Calcu!AB36</f>
        <v/>
      </c>
      <c r="L44" s="37" t="str">
        <f>LEFT(Calcu!AE36,1)</f>
        <v/>
      </c>
      <c r="M44" s="37" t="s">
        <v>560</v>
      </c>
      <c r="N44" s="37" t="s">
        <v>562</v>
      </c>
      <c r="O44" s="37" t="s">
        <v>563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str">
        <f ca="1">Calcu!AA37</f>
        <v/>
      </c>
      <c r="G45" s="51" t="s">
        <v>193</v>
      </c>
      <c r="H45" s="51" t="e">
        <f ca="1">Calcu!AD37</f>
        <v>#VALUE!</v>
      </c>
      <c r="J45" s="37" t="str">
        <f ca="1">Calcu!AC37</f>
        <v/>
      </c>
      <c r="K45" s="37" t="str">
        <f ca="1">Calcu!AB37</f>
        <v/>
      </c>
      <c r="L45" s="37" t="str">
        <f>LEFT(Calcu!AE37,1)</f>
        <v/>
      </c>
      <c r="M45" s="37" t="s">
        <v>560</v>
      </c>
      <c r="N45" s="37" t="s">
        <v>562</v>
      </c>
      <c r="O45" s="37" t="s">
        <v>563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str">
        <f ca="1">Calcu!AA38</f>
        <v/>
      </c>
      <c r="G46" s="51" t="s">
        <v>193</v>
      </c>
      <c r="H46" s="51" t="e">
        <f ca="1">Calcu!AD38</f>
        <v>#VALUE!</v>
      </c>
      <c r="J46" s="37" t="str">
        <f ca="1">Calcu!AC38</f>
        <v/>
      </c>
      <c r="K46" s="37" t="str">
        <f ca="1">Calcu!AB38</f>
        <v/>
      </c>
      <c r="L46" s="37" t="str">
        <f>LEFT(Calcu!AE38,1)</f>
        <v/>
      </c>
      <c r="M46" s="37" t="s">
        <v>560</v>
      </c>
      <c r="N46" s="37" t="s">
        <v>562</v>
      </c>
      <c r="O46" s="37" t="s">
        <v>563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str">
        <f ca="1">Calcu!AA39</f>
        <v/>
      </c>
      <c r="G47" s="51" t="s">
        <v>193</v>
      </c>
      <c r="H47" s="51" t="e">
        <f ca="1">Calcu!AD39</f>
        <v>#VALUE!</v>
      </c>
      <c r="J47" s="37" t="str">
        <f ca="1">Calcu!AC39</f>
        <v/>
      </c>
      <c r="K47" s="37" t="str">
        <f ca="1">Calcu!AB39</f>
        <v/>
      </c>
      <c r="L47" s="37" t="str">
        <f>LEFT(Calcu!AE39,1)</f>
        <v/>
      </c>
      <c r="M47" s="37" t="s">
        <v>560</v>
      </c>
      <c r="N47" s="37" t="s">
        <v>562</v>
      </c>
      <c r="O47" s="37" t="s">
        <v>563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str">
        <f ca="1">Calcu!AA40</f>
        <v/>
      </c>
      <c r="G48" s="51" t="s">
        <v>193</v>
      </c>
      <c r="H48" s="51" t="e">
        <f ca="1">Calcu!AD40</f>
        <v>#VALUE!</v>
      </c>
      <c r="J48" s="37" t="str">
        <f ca="1">Calcu!AC40</f>
        <v/>
      </c>
      <c r="K48" s="37" t="str">
        <f ca="1">Calcu!AB40</f>
        <v/>
      </c>
      <c r="L48" s="37" t="str">
        <f>LEFT(Calcu!AE40,1)</f>
        <v/>
      </c>
      <c r="M48" s="37" t="s">
        <v>560</v>
      </c>
      <c r="N48" s="37" t="s">
        <v>562</v>
      </c>
      <c r="O48" s="37" t="s">
        <v>563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str">
        <f ca="1">Calcu!AA41</f>
        <v/>
      </c>
      <c r="G49" s="51" t="s">
        <v>193</v>
      </c>
      <c r="H49" s="51" t="e">
        <f ca="1">Calcu!AD41</f>
        <v>#VALUE!</v>
      </c>
      <c r="J49" s="37" t="str">
        <f ca="1">Calcu!AC41</f>
        <v/>
      </c>
      <c r="K49" s="37" t="str">
        <f ca="1">Calcu!AB41</f>
        <v/>
      </c>
      <c r="L49" s="37" t="str">
        <f>LEFT(Calcu!AE41,1)</f>
        <v/>
      </c>
      <c r="M49" s="37" t="s">
        <v>560</v>
      </c>
      <c r="N49" s="37" t="s">
        <v>562</v>
      </c>
      <c r="O49" s="37" t="s">
        <v>563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str">
        <f ca="1">Calcu!AA42</f>
        <v/>
      </c>
      <c r="G50" s="51" t="s">
        <v>193</v>
      </c>
      <c r="H50" s="51" t="e">
        <f ca="1">Calcu!AD42</f>
        <v>#VALUE!</v>
      </c>
      <c r="J50" s="37" t="str">
        <f ca="1">Calcu!AC42</f>
        <v/>
      </c>
      <c r="K50" s="37" t="str">
        <f ca="1">Calcu!AB42</f>
        <v/>
      </c>
      <c r="L50" s="37" t="str">
        <f>LEFT(Calcu!AE42,1)</f>
        <v/>
      </c>
      <c r="M50" s="37" t="s">
        <v>560</v>
      </c>
      <c r="N50" s="37" t="s">
        <v>562</v>
      </c>
      <c r="O50" s="37" t="s">
        <v>563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str">
        <f ca="1">Calcu!AA43</f>
        <v/>
      </c>
      <c r="G51" s="51" t="s">
        <v>193</v>
      </c>
      <c r="H51" s="51" t="e">
        <f ca="1">Calcu!AD43</f>
        <v>#VALUE!</v>
      </c>
      <c r="J51" s="37" t="str">
        <f ca="1">Calcu!AC43</f>
        <v/>
      </c>
      <c r="K51" s="37" t="str">
        <f ca="1">Calcu!AB43</f>
        <v/>
      </c>
      <c r="L51" s="37" t="str">
        <f>LEFT(Calcu!AE43,1)</f>
        <v/>
      </c>
      <c r="M51" s="37" t="s">
        <v>560</v>
      </c>
      <c r="N51" s="37" t="s">
        <v>562</v>
      </c>
      <c r="O51" s="37" t="s">
        <v>563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str">
        <f ca="1">Calcu!AA44</f>
        <v/>
      </c>
      <c r="G52" s="51" t="s">
        <v>193</v>
      </c>
      <c r="H52" s="51" t="e">
        <f ca="1">Calcu!AD44</f>
        <v>#VALUE!</v>
      </c>
      <c r="J52" s="37" t="str">
        <f ca="1">Calcu!AC44</f>
        <v/>
      </c>
      <c r="K52" s="37" t="str">
        <f ca="1">Calcu!AB44</f>
        <v/>
      </c>
      <c r="L52" s="37" t="str">
        <f>LEFT(Calcu!AE44,1)</f>
        <v/>
      </c>
      <c r="M52" s="37" t="s">
        <v>560</v>
      </c>
      <c r="N52" s="37" t="s">
        <v>562</v>
      </c>
      <c r="O52" s="37" t="s">
        <v>563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str">
        <f ca="1">Calcu!AA45</f>
        <v/>
      </c>
      <c r="G53" s="51" t="s">
        <v>193</v>
      </c>
      <c r="H53" s="51" t="e">
        <f ca="1">Calcu!AD45</f>
        <v>#VALUE!</v>
      </c>
      <c r="J53" s="37" t="str">
        <f ca="1">Calcu!AC45</f>
        <v/>
      </c>
      <c r="K53" s="37" t="str">
        <f ca="1">Calcu!AB45</f>
        <v/>
      </c>
      <c r="L53" s="37" t="str">
        <f>LEFT(Calcu!AE45,1)</f>
        <v/>
      </c>
      <c r="M53" s="37" t="s">
        <v>560</v>
      </c>
      <c r="N53" s="37" t="s">
        <v>562</v>
      </c>
      <c r="O53" s="37" t="s">
        <v>563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str">
        <f ca="1">Calcu!AA46</f>
        <v/>
      </c>
      <c r="G54" s="51" t="s">
        <v>193</v>
      </c>
      <c r="H54" s="51" t="e">
        <f ca="1">Calcu!AD46</f>
        <v>#VALUE!</v>
      </c>
      <c r="J54" s="37" t="str">
        <f ca="1">Calcu!AC46</f>
        <v/>
      </c>
      <c r="K54" s="37" t="str">
        <f ca="1">Calcu!AB46</f>
        <v/>
      </c>
      <c r="L54" s="37" t="str">
        <f>LEFT(Calcu!AE46,1)</f>
        <v/>
      </c>
      <c r="M54" s="37" t="s">
        <v>560</v>
      </c>
      <c r="N54" s="37" t="s">
        <v>562</v>
      </c>
      <c r="O54" s="37" t="s">
        <v>563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str">
        <f ca="1">Calcu!AA47</f>
        <v/>
      </c>
      <c r="G55" s="51" t="s">
        <v>193</v>
      </c>
      <c r="H55" s="51" t="e">
        <f ca="1">Calcu!AD47</f>
        <v>#VALUE!</v>
      </c>
      <c r="J55" s="37" t="str">
        <f ca="1">Calcu!AC47</f>
        <v/>
      </c>
      <c r="K55" s="37" t="str">
        <f ca="1">Calcu!AB47</f>
        <v/>
      </c>
      <c r="L55" s="37" t="str">
        <f>LEFT(Calcu!AE47,1)</f>
        <v/>
      </c>
      <c r="M55" s="37" t="s">
        <v>560</v>
      </c>
      <c r="N55" s="37" t="s">
        <v>562</v>
      </c>
      <c r="O55" s="37" t="s">
        <v>563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str">
        <f ca="1">Calcu!AA48</f>
        <v/>
      </c>
      <c r="G56" s="51" t="s">
        <v>193</v>
      </c>
      <c r="H56" s="51" t="e">
        <f ca="1">Calcu!AD48</f>
        <v>#VALUE!</v>
      </c>
      <c r="J56" s="37" t="str">
        <f ca="1">Calcu!AC48</f>
        <v/>
      </c>
      <c r="K56" s="37" t="str">
        <f ca="1">Calcu!AB48</f>
        <v/>
      </c>
      <c r="L56" s="37" t="str">
        <f>LEFT(Calcu!AE48,1)</f>
        <v/>
      </c>
      <c r="M56" s="37" t="s">
        <v>560</v>
      </c>
      <c r="N56" s="37" t="s">
        <v>562</v>
      </c>
      <c r="O56" s="37" t="s">
        <v>563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str">
        <f ca="1">Calcu!AA49</f>
        <v/>
      </c>
      <c r="G57" s="51" t="s">
        <v>193</v>
      </c>
      <c r="H57" s="51" t="e">
        <f ca="1">Calcu!AD49</f>
        <v>#VALUE!</v>
      </c>
      <c r="J57" s="37" t="str">
        <f ca="1">Calcu!AC49</f>
        <v/>
      </c>
      <c r="K57" s="37" t="str">
        <f ca="1">Calcu!AB49</f>
        <v/>
      </c>
      <c r="L57" s="37" t="str">
        <f>LEFT(Calcu!AE49,1)</f>
        <v/>
      </c>
      <c r="M57" s="37" t="s">
        <v>560</v>
      </c>
      <c r="N57" s="37" t="s">
        <v>562</v>
      </c>
      <c r="O57" s="37" t="s">
        <v>563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12" t="e">
        <f ca="1">Calcu!E77&amp;IF(Calcu!E76="사다리꼴",", 사다리꼴 확률분포","")</f>
        <v>#N/A</v>
      </c>
      <c r="K59" s="50"/>
      <c r="Q59" s="53"/>
    </row>
    <row r="60" spans="1:17" ht="15" customHeight="1"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4"/>
    </row>
  </sheetData>
  <mergeCells count="13"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  <mergeCell ref="M15:O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2" customWidth="1"/>
    <col min="13" max="13" width="6.77734375" style="107" customWidth="1"/>
    <col min="14" max="16384" width="10.77734375" style="92"/>
  </cols>
  <sheetData>
    <row r="1" spans="1:13" s="79" customFormat="1" ht="33" customHeight="1">
      <c r="A1" s="396" t="s">
        <v>74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81"/>
    </row>
    <row r="2" spans="1:13" s="79" customFormat="1" ht="33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81"/>
    </row>
    <row r="3" spans="1:13" s="79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0"/>
      <c r="M3" s="106"/>
    </row>
    <row r="4" spans="1:13" s="81" customFormat="1" ht="13.5" customHeight="1">
      <c r="A4" s="89"/>
      <c r="B4" s="89"/>
      <c r="C4" s="89"/>
      <c r="D4" s="90"/>
      <c r="E4" s="90"/>
      <c r="F4" s="98"/>
      <c r="G4" s="90"/>
      <c r="H4" s="90"/>
      <c r="I4" s="99"/>
      <c r="J4" s="91"/>
      <c r="K4" s="98"/>
      <c r="L4" s="89"/>
      <c r="M4" s="36"/>
    </row>
    <row r="5" spans="1:13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4" customFormat="1" ht="15" customHeight="1">
      <c r="A6" s="43"/>
      <c r="D6" s="43"/>
      <c r="E6" s="38" t="s">
        <v>127</v>
      </c>
      <c r="F6" s="37"/>
      <c r="G6" s="52"/>
      <c r="H6" s="52"/>
      <c r="I6" s="52"/>
      <c r="J6" s="51"/>
      <c r="K6" s="37"/>
      <c r="L6" s="93"/>
    </row>
    <row r="7" spans="1:13" s="84" customFormat="1" ht="15" customHeight="1">
      <c r="A7" s="43"/>
      <c r="D7" s="43"/>
      <c r="E7" s="136" t="s">
        <v>122</v>
      </c>
      <c r="F7" s="136" t="s">
        <v>92</v>
      </c>
      <c r="G7" s="173" t="s">
        <v>91</v>
      </c>
      <c r="H7" s="395" t="s">
        <v>93</v>
      </c>
      <c r="I7" s="51"/>
    </row>
    <row r="8" spans="1:13" s="84" customFormat="1" ht="15" customHeight="1">
      <c r="A8" s="43"/>
      <c r="D8" s="43"/>
      <c r="E8" s="135" t="s">
        <v>128</v>
      </c>
      <c r="F8" s="135" t="s">
        <v>128</v>
      </c>
      <c r="G8" s="135" t="s">
        <v>126</v>
      </c>
      <c r="H8" s="377"/>
      <c r="I8" s="51"/>
    </row>
    <row r="9" spans="1:13" s="84" customFormat="1" ht="15" customHeight="1">
      <c r="A9" s="43" t="str">
        <f>IF(Calcu!B9=TRUE,"","삭제")</f>
        <v>삭제</v>
      </c>
      <c r="D9" s="43"/>
      <c r="E9" s="203" t="str">
        <f ca="1">Calcu!AA9</f>
        <v/>
      </c>
      <c r="F9" s="203" t="str">
        <f ca="1">Calcu!AC9</f>
        <v/>
      </c>
      <c r="G9" s="203" t="e">
        <f ca="1">Calcu!AD9</f>
        <v>#VALUE!</v>
      </c>
      <c r="H9" s="203" t="str">
        <f>Calcu!AE9</f>
        <v/>
      </c>
      <c r="I9" s="51"/>
    </row>
    <row r="10" spans="1:13" s="84" customFormat="1" ht="15" customHeight="1">
      <c r="A10" s="43" t="str">
        <f>IF(Calcu!B10=TRUE,"","삭제")</f>
        <v>삭제</v>
      </c>
      <c r="D10" s="43"/>
      <c r="E10" s="203" t="str">
        <f ca="1">Calcu!AA10</f>
        <v/>
      </c>
      <c r="F10" s="203" t="str">
        <f ca="1">Calcu!AC10</f>
        <v/>
      </c>
      <c r="G10" s="203" t="e">
        <f ca="1">Calcu!AD10</f>
        <v>#VALUE!</v>
      </c>
      <c r="H10" s="203" t="str">
        <f>Calcu!AE10</f>
        <v/>
      </c>
      <c r="I10" s="51"/>
    </row>
    <row r="11" spans="1:13" s="84" customFormat="1" ht="15" customHeight="1">
      <c r="A11" s="43" t="str">
        <f>IF(Calcu!B11=TRUE,"","삭제")</f>
        <v>삭제</v>
      </c>
      <c r="D11" s="43"/>
      <c r="E11" s="203" t="str">
        <f ca="1">Calcu!AA11</f>
        <v/>
      </c>
      <c r="F11" s="203" t="str">
        <f ca="1">Calcu!AC11</f>
        <v/>
      </c>
      <c r="G11" s="203" t="e">
        <f ca="1">Calcu!AD11</f>
        <v>#VALUE!</v>
      </c>
      <c r="H11" s="203" t="str">
        <f>Calcu!AE11</f>
        <v/>
      </c>
      <c r="I11" s="51"/>
    </row>
    <row r="12" spans="1:13" s="84" customFormat="1" ht="15" customHeight="1">
      <c r="A12" s="43" t="str">
        <f>IF(Calcu!B12=TRUE,"","삭제")</f>
        <v>삭제</v>
      </c>
      <c r="D12" s="43"/>
      <c r="E12" s="203" t="str">
        <f ca="1">Calcu!AA12</f>
        <v/>
      </c>
      <c r="F12" s="203" t="str">
        <f ca="1">Calcu!AC12</f>
        <v/>
      </c>
      <c r="G12" s="203" t="e">
        <f ca="1">Calcu!AD12</f>
        <v>#VALUE!</v>
      </c>
      <c r="H12" s="203" t="str">
        <f>Calcu!AE12</f>
        <v/>
      </c>
      <c r="I12" s="51"/>
    </row>
    <row r="13" spans="1:13" s="84" customFormat="1" ht="15" customHeight="1">
      <c r="A13" s="43" t="str">
        <f>IF(Calcu!B13=TRUE,"","삭제")</f>
        <v>삭제</v>
      </c>
      <c r="D13" s="43"/>
      <c r="E13" s="203" t="str">
        <f ca="1">Calcu!AA13</f>
        <v/>
      </c>
      <c r="F13" s="203" t="str">
        <f ca="1">Calcu!AC13</f>
        <v/>
      </c>
      <c r="G13" s="203" t="e">
        <f ca="1">Calcu!AD13</f>
        <v>#VALUE!</v>
      </c>
      <c r="H13" s="203" t="str">
        <f>Calcu!AE13</f>
        <v/>
      </c>
      <c r="I13" s="51"/>
    </row>
    <row r="14" spans="1:13" s="84" customFormat="1" ht="15" customHeight="1">
      <c r="A14" s="43" t="str">
        <f>IF(Calcu!B14=TRUE,"","삭제")</f>
        <v>삭제</v>
      </c>
      <c r="D14" s="43"/>
      <c r="E14" s="203" t="str">
        <f ca="1">Calcu!AA14</f>
        <v/>
      </c>
      <c r="F14" s="203" t="str">
        <f ca="1">Calcu!AC14</f>
        <v/>
      </c>
      <c r="G14" s="203" t="e">
        <f ca="1">Calcu!AD14</f>
        <v>#VALUE!</v>
      </c>
      <c r="H14" s="203" t="str">
        <f>Calcu!AE14</f>
        <v/>
      </c>
      <c r="I14" s="51"/>
    </row>
    <row r="15" spans="1:13" s="84" customFormat="1" ht="15" customHeight="1">
      <c r="A15" s="43" t="str">
        <f>IF(Calcu!B15=TRUE,"","삭제")</f>
        <v>삭제</v>
      </c>
      <c r="D15" s="43"/>
      <c r="E15" s="203" t="str">
        <f ca="1">Calcu!AA15</f>
        <v/>
      </c>
      <c r="F15" s="203" t="str">
        <f ca="1">Calcu!AC15</f>
        <v/>
      </c>
      <c r="G15" s="203" t="e">
        <f ca="1">Calcu!AD15</f>
        <v>#VALUE!</v>
      </c>
      <c r="H15" s="203" t="str">
        <f>Calcu!AE15</f>
        <v/>
      </c>
      <c r="I15" s="51"/>
    </row>
    <row r="16" spans="1:13" s="84" customFormat="1" ht="15" customHeight="1">
      <c r="A16" s="43" t="str">
        <f>IF(Calcu!B16=TRUE,"","삭제")</f>
        <v>삭제</v>
      </c>
      <c r="D16" s="43"/>
      <c r="E16" s="203" t="str">
        <f ca="1">Calcu!AA16</f>
        <v/>
      </c>
      <c r="F16" s="203" t="str">
        <f ca="1">Calcu!AC16</f>
        <v/>
      </c>
      <c r="G16" s="203" t="e">
        <f ca="1">Calcu!AD16</f>
        <v>#VALUE!</v>
      </c>
      <c r="H16" s="203" t="str">
        <f>Calcu!AE16</f>
        <v/>
      </c>
      <c r="I16" s="51"/>
    </row>
    <row r="17" spans="1:9" s="84" customFormat="1" ht="15" customHeight="1">
      <c r="A17" s="43" t="str">
        <f>IF(Calcu!B17=TRUE,"","삭제")</f>
        <v>삭제</v>
      </c>
      <c r="D17" s="43"/>
      <c r="E17" s="203" t="str">
        <f ca="1">Calcu!AA17</f>
        <v/>
      </c>
      <c r="F17" s="203" t="str">
        <f ca="1">Calcu!AC17</f>
        <v/>
      </c>
      <c r="G17" s="203" t="e">
        <f ca="1">Calcu!AD17</f>
        <v>#VALUE!</v>
      </c>
      <c r="H17" s="203" t="str">
        <f>Calcu!AE17</f>
        <v/>
      </c>
      <c r="I17" s="51"/>
    </row>
    <row r="18" spans="1:9" s="84" customFormat="1" ht="15" customHeight="1">
      <c r="A18" s="43" t="str">
        <f>IF(Calcu!B18=TRUE,"","삭제")</f>
        <v>삭제</v>
      </c>
      <c r="D18" s="43"/>
      <c r="E18" s="203" t="str">
        <f ca="1">Calcu!AA18</f>
        <v/>
      </c>
      <c r="F18" s="203" t="str">
        <f ca="1">Calcu!AC18</f>
        <v/>
      </c>
      <c r="G18" s="203" t="e">
        <f ca="1">Calcu!AD18</f>
        <v>#VALUE!</v>
      </c>
      <c r="H18" s="203" t="str">
        <f>Calcu!AE18</f>
        <v/>
      </c>
      <c r="I18" s="51"/>
    </row>
    <row r="19" spans="1:9" s="84" customFormat="1" ht="15" customHeight="1">
      <c r="A19" s="43" t="str">
        <f>IF(Calcu!B19=TRUE,"","삭제")</f>
        <v>삭제</v>
      </c>
      <c r="D19" s="43"/>
      <c r="E19" s="203" t="str">
        <f ca="1">Calcu!AA19</f>
        <v/>
      </c>
      <c r="F19" s="203" t="str">
        <f ca="1">Calcu!AC19</f>
        <v/>
      </c>
      <c r="G19" s="203" t="e">
        <f ca="1">Calcu!AD19</f>
        <v>#VALUE!</v>
      </c>
      <c r="H19" s="203" t="str">
        <f>Calcu!AE19</f>
        <v/>
      </c>
      <c r="I19" s="51"/>
    </row>
    <row r="20" spans="1:9" s="84" customFormat="1" ht="15" customHeight="1">
      <c r="A20" s="43" t="str">
        <f>IF(Calcu!B20=TRUE,"","삭제")</f>
        <v>삭제</v>
      </c>
      <c r="D20" s="43"/>
      <c r="E20" s="203" t="str">
        <f ca="1">Calcu!AA20</f>
        <v/>
      </c>
      <c r="F20" s="203" t="str">
        <f ca="1">Calcu!AC20</f>
        <v/>
      </c>
      <c r="G20" s="203" t="e">
        <f ca="1">Calcu!AD20</f>
        <v>#VALUE!</v>
      </c>
      <c r="H20" s="203" t="str">
        <f>Calcu!AE20</f>
        <v/>
      </c>
      <c r="I20" s="51"/>
    </row>
    <row r="21" spans="1:9" s="84" customFormat="1" ht="15" customHeight="1">
      <c r="A21" s="43" t="str">
        <f>IF(Calcu!B21=TRUE,"","삭제")</f>
        <v>삭제</v>
      </c>
      <c r="D21" s="43"/>
      <c r="E21" s="203" t="str">
        <f ca="1">Calcu!AA21</f>
        <v/>
      </c>
      <c r="F21" s="203" t="str">
        <f ca="1">Calcu!AC21</f>
        <v/>
      </c>
      <c r="G21" s="203" t="e">
        <f ca="1">Calcu!AD21</f>
        <v>#VALUE!</v>
      </c>
      <c r="H21" s="203" t="str">
        <f>Calcu!AE21</f>
        <v/>
      </c>
      <c r="I21" s="51"/>
    </row>
    <row r="22" spans="1:9" s="84" customFormat="1" ht="15" customHeight="1">
      <c r="A22" s="43" t="str">
        <f>IF(Calcu!B22=TRUE,"","삭제")</f>
        <v>삭제</v>
      </c>
      <c r="D22" s="43"/>
      <c r="E22" s="203" t="str">
        <f ca="1">Calcu!AA22</f>
        <v/>
      </c>
      <c r="F22" s="203" t="str">
        <f ca="1">Calcu!AC22</f>
        <v/>
      </c>
      <c r="G22" s="203" t="e">
        <f ca="1">Calcu!AD22</f>
        <v>#VALUE!</v>
      </c>
      <c r="H22" s="203" t="str">
        <f>Calcu!AE22</f>
        <v/>
      </c>
      <c r="I22" s="51"/>
    </row>
    <row r="23" spans="1:9" s="84" customFormat="1" ht="15" customHeight="1">
      <c r="A23" s="43" t="str">
        <f>IF(Calcu!B23=TRUE,"","삭제")</f>
        <v>삭제</v>
      </c>
      <c r="D23" s="43"/>
      <c r="E23" s="203" t="str">
        <f ca="1">Calcu!AA23</f>
        <v/>
      </c>
      <c r="F23" s="203" t="str">
        <f ca="1">Calcu!AC23</f>
        <v/>
      </c>
      <c r="G23" s="203" t="e">
        <f ca="1">Calcu!AD23</f>
        <v>#VALUE!</v>
      </c>
      <c r="H23" s="203" t="str">
        <f>Calcu!AE23</f>
        <v/>
      </c>
      <c r="I23" s="51"/>
    </row>
    <row r="24" spans="1:9" s="84" customFormat="1" ht="15" customHeight="1">
      <c r="A24" s="43" t="str">
        <f>IF(Calcu!B24=TRUE,"","삭제")</f>
        <v>삭제</v>
      </c>
      <c r="D24" s="43"/>
      <c r="E24" s="203" t="str">
        <f ca="1">Calcu!AA24</f>
        <v/>
      </c>
      <c r="F24" s="203" t="str">
        <f ca="1">Calcu!AC24</f>
        <v/>
      </c>
      <c r="G24" s="203" t="e">
        <f ca="1">Calcu!AD24</f>
        <v>#VALUE!</v>
      </c>
      <c r="H24" s="203" t="str">
        <f>Calcu!AE24</f>
        <v/>
      </c>
      <c r="I24" s="51"/>
    </row>
    <row r="25" spans="1:9" s="84" customFormat="1" ht="15" customHeight="1">
      <c r="A25" s="43" t="str">
        <f>IF(Calcu!B25=TRUE,"","삭제")</f>
        <v>삭제</v>
      </c>
      <c r="D25" s="43"/>
      <c r="E25" s="203" t="str">
        <f ca="1">Calcu!AA25</f>
        <v/>
      </c>
      <c r="F25" s="203" t="str">
        <f ca="1">Calcu!AC25</f>
        <v/>
      </c>
      <c r="G25" s="203" t="e">
        <f ca="1">Calcu!AD25</f>
        <v>#VALUE!</v>
      </c>
      <c r="H25" s="203" t="str">
        <f>Calcu!AE25</f>
        <v/>
      </c>
      <c r="I25" s="51"/>
    </row>
    <row r="26" spans="1:9" s="84" customFormat="1" ht="15" customHeight="1">
      <c r="A26" s="43" t="str">
        <f>IF(Calcu!B26=TRUE,"","삭제")</f>
        <v>삭제</v>
      </c>
      <c r="D26" s="43"/>
      <c r="E26" s="203" t="str">
        <f ca="1">Calcu!AA26</f>
        <v/>
      </c>
      <c r="F26" s="203" t="str">
        <f ca="1">Calcu!AC26</f>
        <v/>
      </c>
      <c r="G26" s="203" t="e">
        <f ca="1">Calcu!AD26</f>
        <v>#VALUE!</v>
      </c>
      <c r="H26" s="203" t="str">
        <f>Calcu!AE26</f>
        <v/>
      </c>
      <c r="I26" s="51"/>
    </row>
    <row r="27" spans="1:9" s="84" customFormat="1" ht="15" customHeight="1">
      <c r="A27" s="43" t="str">
        <f>IF(Calcu!B27=TRUE,"","삭제")</f>
        <v>삭제</v>
      </c>
      <c r="D27" s="43"/>
      <c r="E27" s="203" t="str">
        <f ca="1">Calcu!AA27</f>
        <v/>
      </c>
      <c r="F27" s="203" t="str">
        <f ca="1">Calcu!AC27</f>
        <v/>
      </c>
      <c r="G27" s="203" t="e">
        <f ca="1">Calcu!AD27</f>
        <v>#VALUE!</v>
      </c>
      <c r="H27" s="203" t="str">
        <f>Calcu!AE27</f>
        <v/>
      </c>
      <c r="I27" s="51"/>
    </row>
    <row r="28" spans="1:9" s="84" customFormat="1" ht="15" customHeight="1">
      <c r="A28" s="43" t="str">
        <f>IF(Calcu!B28=TRUE,"","삭제")</f>
        <v>삭제</v>
      </c>
      <c r="D28" s="43"/>
      <c r="E28" s="203" t="str">
        <f ca="1">Calcu!AA28</f>
        <v/>
      </c>
      <c r="F28" s="203" t="str">
        <f ca="1">Calcu!AC28</f>
        <v/>
      </c>
      <c r="G28" s="203" t="e">
        <f ca="1">Calcu!AD28</f>
        <v>#VALUE!</v>
      </c>
      <c r="H28" s="203" t="str">
        <f>Calcu!AE28</f>
        <v/>
      </c>
    </row>
    <row r="29" spans="1:9" s="84" customFormat="1" ht="15" customHeight="1">
      <c r="A29" s="43" t="str">
        <f>IF(Calcu!B29=TRUE,"","삭제")</f>
        <v>삭제</v>
      </c>
      <c r="D29" s="43"/>
      <c r="E29" s="203" t="str">
        <f ca="1">Calcu!AA29</f>
        <v/>
      </c>
      <c r="F29" s="203" t="str">
        <f ca="1">Calcu!AC29</f>
        <v/>
      </c>
      <c r="G29" s="203" t="e">
        <f ca="1">Calcu!AD29</f>
        <v>#VALUE!</v>
      </c>
      <c r="H29" s="203" t="str">
        <f>Calcu!AE29</f>
        <v/>
      </c>
    </row>
    <row r="30" spans="1:9" s="84" customFormat="1" ht="15" customHeight="1">
      <c r="A30" s="43" t="str">
        <f>IF(Calcu!B30=TRUE,"","삭제")</f>
        <v>삭제</v>
      </c>
      <c r="D30" s="43"/>
      <c r="E30" s="203" t="str">
        <f ca="1">Calcu!AA30</f>
        <v/>
      </c>
      <c r="F30" s="203" t="str">
        <f ca="1">Calcu!AC30</f>
        <v/>
      </c>
      <c r="G30" s="203" t="e">
        <f ca="1">Calcu!AD30</f>
        <v>#VALUE!</v>
      </c>
      <c r="H30" s="203" t="str">
        <f>Calcu!AE30</f>
        <v/>
      </c>
    </row>
    <row r="31" spans="1:9" s="84" customFormat="1" ht="15" customHeight="1">
      <c r="A31" s="43" t="str">
        <f>IF(Calcu!B31=TRUE,"","삭제")</f>
        <v>삭제</v>
      </c>
      <c r="D31" s="43"/>
      <c r="E31" s="203" t="str">
        <f ca="1">Calcu!AA31</f>
        <v/>
      </c>
      <c r="F31" s="203" t="str">
        <f ca="1">Calcu!AC31</f>
        <v/>
      </c>
      <c r="G31" s="203" t="e">
        <f ca="1">Calcu!AD31</f>
        <v>#VALUE!</v>
      </c>
      <c r="H31" s="203" t="str">
        <f>Calcu!AE31</f>
        <v/>
      </c>
    </row>
    <row r="32" spans="1:9" s="84" customFormat="1" ht="15" customHeight="1">
      <c r="A32" s="43" t="str">
        <f>IF(Calcu!B32=TRUE,"","삭제")</f>
        <v>삭제</v>
      </c>
      <c r="D32" s="43"/>
      <c r="E32" s="203" t="str">
        <f ca="1">Calcu!AA32</f>
        <v/>
      </c>
      <c r="F32" s="203" t="str">
        <f ca="1">Calcu!AC32</f>
        <v/>
      </c>
      <c r="G32" s="203" t="e">
        <f ca="1">Calcu!AD32</f>
        <v>#VALUE!</v>
      </c>
      <c r="H32" s="203" t="str">
        <f>Calcu!AE32</f>
        <v/>
      </c>
      <c r="I32" s="51"/>
    </row>
    <row r="33" spans="1:9" s="84" customFormat="1" ht="15" customHeight="1">
      <c r="A33" s="43" t="str">
        <f>IF(Calcu!B33=TRUE,"","삭제")</f>
        <v>삭제</v>
      </c>
      <c r="D33" s="43"/>
      <c r="E33" s="203" t="str">
        <f ca="1">Calcu!AA33</f>
        <v/>
      </c>
      <c r="F33" s="203" t="str">
        <f ca="1">Calcu!AC33</f>
        <v/>
      </c>
      <c r="G33" s="203" t="e">
        <f ca="1">Calcu!AD33</f>
        <v>#VALUE!</v>
      </c>
      <c r="H33" s="203" t="str">
        <f>Calcu!AE33</f>
        <v/>
      </c>
      <c r="I33" s="51"/>
    </row>
    <row r="34" spans="1:9" s="84" customFormat="1" ht="15" customHeight="1">
      <c r="A34" s="43" t="str">
        <f>IF(Calcu!B34=TRUE,"","삭제")</f>
        <v>삭제</v>
      </c>
      <c r="D34" s="43"/>
      <c r="E34" s="203" t="str">
        <f ca="1">Calcu!AA34</f>
        <v/>
      </c>
      <c r="F34" s="203" t="str">
        <f ca="1">Calcu!AC34</f>
        <v/>
      </c>
      <c r="G34" s="203" t="e">
        <f ca="1">Calcu!AD34</f>
        <v>#VALUE!</v>
      </c>
      <c r="H34" s="203" t="str">
        <f>Calcu!AE34</f>
        <v/>
      </c>
      <c r="I34" s="51"/>
    </row>
    <row r="35" spans="1:9" s="84" customFormat="1" ht="15" customHeight="1">
      <c r="A35" s="43" t="str">
        <f>IF(Calcu!B35=TRUE,"","삭제")</f>
        <v>삭제</v>
      </c>
      <c r="D35" s="43"/>
      <c r="E35" s="203" t="str">
        <f ca="1">Calcu!AA35</f>
        <v/>
      </c>
      <c r="F35" s="203" t="str">
        <f ca="1">Calcu!AC35</f>
        <v/>
      </c>
      <c r="G35" s="203" t="e">
        <f ca="1">Calcu!AD35</f>
        <v>#VALUE!</v>
      </c>
      <c r="H35" s="203" t="str">
        <f>Calcu!AE35</f>
        <v/>
      </c>
      <c r="I35" s="51"/>
    </row>
    <row r="36" spans="1:9" s="84" customFormat="1" ht="15" customHeight="1">
      <c r="A36" s="43" t="str">
        <f>IF(Calcu!B36=TRUE,"","삭제")</f>
        <v>삭제</v>
      </c>
      <c r="D36" s="43"/>
      <c r="E36" s="203" t="str">
        <f ca="1">Calcu!AA36</f>
        <v/>
      </c>
      <c r="F36" s="203" t="str">
        <f ca="1">Calcu!AC36</f>
        <v/>
      </c>
      <c r="G36" s="203" t="e">
        <f ca="1">Calcu!AD36</f>
        <v>#VALUE!</v>
      </c>
      <c r="H36" s="203" t="str">
        <f>Calcu!AE36</f>
        <v/>
      </c>
      <c r="I36" s="51"/>
    </row>
    <row r="37" spans="1:9" s="84" customFormat="1" ht="15" customHeight="1">
      <c r="A37" s="43" t="str">
        <f>IF(Calcu!B37=TRUE,"","삭제")</f>
        <v>삭제</v>
      </c>
      <c r="D37" s="43"/>
      <c r="E37" s="203" t="str">
        <f ca="1">Calcu!AA37</f>
        <v/>
      </c>
      <c r="F37" s="203" t="str">
        <f ca="1">Calcu!AC37</f>
        <v/>
      </c>
      <c r="G37" s="203" t="e">
        <f ca="1">Calcu!AD37</f>
        <v>#VALUE!</v>
      </c>
      <c r="H37" s="203" t="str">
        <f>Calcu!AE37</f>
        <v/>
      </c>
      <c r="I37" s="51"/>
    </row>
    <row r="38" spans="1:9" s="84" customFormat="1" ht="15" customHeight="1">
      <c r="A38" s="43" t="str">
        <f>IF(Calcu!B38=TRUE,"","삭제")</f>
        <v>삭제</v>
      </c>
      <c r="D38" s="43"/>
      <c r="E38" s="203" t="str">
        <f ca="1">Calcu!AA38</f>
        <v/>
      </c>
      <c r="F38" s="203" t="str">
        <f ca="1">Calcu!AC38</f>
        <v/>
      </c>
      <c r="G38" s="203" t="e">
        <f ca="1">Calcu!AD38</f>
        <v>#VALUE!</v>
      </c>
      <c r="H38" s="203" t="str">
        <f>Calcu!AE38</f>
        <v/>
      </c>
      <c r="I38" s="51"/>
    </row>
    <row r="39" spans="1:9" s="84" customFormat="1" ht="15" customHeight="1">
      <c r="A39" s="43" t="str">
        <f>IF(Calcu!B39=TRUE,"","삭제")</f>
        <v>삭제</v>
      </c>
      <c r="D39" s="43"/>
      <c r="E39" s="203" t="str">
        <f ca="1">Calcu!AA39</f>
        <v/>
      </c>
      <c r="F39" s="203" t="str">
        <f ca="1">Calcu!AC39</f>
        <v/>
      </c>
      <c r="G39" s="203" t="e">
        <f ca="1">Calcu!AD39</f>
        <v>#VALUE!</v>
      </c>
      <c r="H39" s="203" t="str">
        <f>Calcu!AE39</f>
        <v/>
      </c>
      <c r="I39" s="51"/>
    </row>
    <row r="40" spans="1:9" s="84" customFormat="1" ht="15" customHeight="1">
      <c r="A40" s="43" t="str">
        <f>IF(Calcu!B40=TRUE,"","삭제")</f>
        <v>삭제</v>
      </c>
      <c r="D40" s="43"/>
      <c r="E40" s="203" t="str">
        <f ca="1">Calcu!AA40</f>
        <v/>
      </c>
      <c r="F40" s="203" t="str">
        <f ca="1">Calcu!AC40</f>
        <v/>
      </c>
      <c r="G40" s="203" t="e">
        <f ca="1">Calcu!AD40</f>
        <v>#VALUE!</v>
      </c>
      <c r="H40" s="203" t="str">
        <f>Calcu!AE40</f>
        <v/>
      </c>
      <c r="I40" s="51"/>
    </row>
    <row r="41" spans="1:9" s="84" customFormat="1" ht="15" customHeight="1">
      <c r="A41" s="43" t="str">
        <f>IF(Calcu!B41=TRUE,"","삭제")</f>
        <v>삭제</v>
      </c>
      <c r="D41" s="43"/>
      <c r="E41" s="203" t="str">
        <f ca="1">Calcu!AA41</f>
        <v/>
      </c>
      <c r="F41" s="203" t="str">
        <f ca="1">Calcu!AC41</f>
        <v/>
      </c>
      <c r="G41" s="203" t="e">
        <f ca="1">Calcu!AD41</f>
        <v>#VALUE!</v>
      </c>
      <c r="H41" s="203" t="str">
        <f>Calcu!AE41</f>
        <v/>
      </c>
      <c r="I41" s="51"/>
    </row>
    <row r="42" spans="1:9" s="84" customFormat="1" ht="15" customHeight="1">
      <c r="A42" s="43" t="str">
        <f>IF(Calcu!B42=TRUE,"","삭제")</f>
        <v>삭제</v>
      </c>
      <c r="D42" s="43"/>
      <c r="E42" s="203" t="str">
        <f ca="1">Calcu!AA42</f>
        <v/>
      </c>
      <c r="F42" s="203" t="str">
        <f ca="1">Calcu!AC42</f>
        <v/>
      </c>
      <c r="G42" s="203" t="e">
        <f ca="1">Calcu!AD42</f>
        <v>#VALUE!</v>
      </c>
      <c r="H42" s="203" t="str">
        <f>Calcu!AE42</f>
        <v/>
      </c>
      <c r="I42" s="51"/>
    </row>
    <row r="43" spans="1:9" s="84" customFormat="1" ht="15" customHeight="1">
      <c r="A43" s="43" t="str">
        <f>IF(Calcu!B43=TRUE,"","삭제")</f>
        <v>삭제</v>
      </c>
      <c r="D43" s="43"/>
      <c r="E43" s="203" t="str">
        <f ca="1">Calcu!AA43</f>
        <v/>
      </c>
      <c r="F43" s="203" t="str">
        <f ca="1">Calcu!AC43</f>
        <v/>
      </c>
      <c r="G43" s="203" t="e">
        <f ca="1">Calcu!AD43</f>
        <v>#VALUE!</v>
      </c>
      <c r="H43" s="203" t="str">
        <f>Calcu!AE43</f>
        <v/>
      </c>
      <c r="I43" s="51"/>
    </row>
    <row r="44" spans="1:9" s="84" customFormat="1" ht="15" customHeight="1">
      <c r="A44" s="43" t="str">
        <f>IF(Calcu!B44=TRUE,"","삭제")</f>
        <v>삭제</v>
      </c>
      <c r="D44" s="43"/>
      <c r="E44" s="203" t="str">
        <f ca="1">Calcu!AA44</f>
        <v/>
      </c>
      <c r="F44" s="203" t="str">
        <f ca="1">Calcu!AC44</f>
        <v/>
      </c>
      <c r="G44" s="203" t="e">
        <f ca="1">Calcu!AD44</f>
        <v>#VALUE!</v>
      </c>
      <c r="H44" s="203" t="str">
        <f>Calcu!AE44</f>
        <v/>
      </c>
      <c r="I44" s="51"/>
    </row>
    <row r="45" spans="1:9" s="84" customFormat="1" ht="15" customHeight="1">
      <c r="A45" s="43" t="str">
        <f>IF(Calcu!B45=TRUE,"","삭제")</f>
        <v>삭제</v>
      </c>
      <c r="D45" s="43"/>
      <c r="E45" s="203" t="str">
        <f ca="1">Calcu!AA45</f>
        <v/>
      </c>
      <c r="F45" s="203" t="str">
        <f ca="1">Calcu!AC45</f>
        <v/>
      </c>
      <c r="G45" s="203" t="e">
        <f ca="1">Calcu!AD45</f>
        <v>#VALUE!</v>
      </c>
      <c r="H45" s="203" t="str">
        <f>Calcu!AE45</f>
        <v/>
      </c>
      <c r="I45" s="51"/>
    </row>
    <row r="46" spans="1:9" s="84" customFormat="1" ht="15" customHeight="1">
      <c r="A46" s="43" t="str">
        <f>IF(Calcu!B46=TRUE,"","삭제")</f>
        <v>삭제</v>
      </c>
      <c r="D46" s="43"/>
      <c r="E46" s="203" t="str">
        <f ca="1">Calcu!AA46</f>
        <v/>
      </c>
      <c r="F46" s="203" t="str">
        <f ca="1">Calcu!AC46</f>
        <v/>
      </c>
      <c r="G46" s="203" t="e">
        <f ca="1">Calcu!AD46</f>
        <v>#VALUE!</v>
      </c>
      <c r="H46" s="203" t="str">
        <f>Calcu!AE46</f>
        <v/>
      </c>
      <c r="I46" s="51"/>
    </row>
    <row r="47" spans="1:9" s="84" customFormat="1" ht="15" customHeight="1">
      <c r="A47" s="43" t="str">
        <f>IF(Calcu!B47=TRUE,"","삭제")</f>
        <v>삭제</v>
      </c>
      <c r="D47" s="43"/>
      <c r="E47" s="203" t="str">
        <f ca="1">Calcu!AA47</f>
        <v/>
      </c>
      <c r="F47" s="203" t="str">
        <f ca="1">Calcu!AC47</f>
        <v/>
      </c>
      <c r="G47" s="203" t="e">
        <f ca="1">Calcu!AD47</f>
        <v>#VALUE!</v>
      </c>
      <c r="H47" s="203" t="str">
        <f>Calcu!AE47</f>
        <v/>
      </c>
      <c r="I47" s="51"/>
    </row>
    <row r="48" spans="1:9" s="84" customFormat="1" ht="15" customHeight="1">
      <c r="A48" s="43" t="str">
        <f>IF(Calcu!B48=TRUE,"","삭제")</f>
        <v>삭제</v>
      </c>
      <c r="D48" s="43"/>
      <c r="E48" s="203" t="str">
        <f ca="1">Calcu!AA48</f>
        <v/>
      </c>
      <c r="F48" s="203" t="str">
        <f ca="1">Calcu!AC48</f>
        <v/>
      </c>
      <c r="G48" s="203" t="e">
        <f ca="1">Calcu!AD48</f>
        <v>#VALUE!</v>
      </c>
      <c r="H48" s="203" t="str">
        <f>Calcu!AE48</f>
        <v/>
      </c>
      <c r="I48" s="51"/>
    </row>
    <row r="49" spans="1:13" s="84" customFormat="1" ht="15" customHeight="1">
      <c r="A49" s="43" t="str">
        <f>IF(Calcu!B49=TRUE,"","삭제")</f>
        <v>삭제</v>
      </c>
      <c r="D49" s="43"/>
      <c r="E49" s="203" t="str">
        <f ca="1">Calcu!AA49</f>
        <v/>
      </c>
      <c r="F49" s="203" t="str">
        <f ca="1">Calcu!AC49</f>
        <v/>
      </c>
      <c r="G49" s="203" t="e">
        <f ca="1">Calcu!AD49</f>
        <v>#VALUE!</v>
      </c>
      <c r="H49" s="203" t="str">
        <f>Calcu!AE49</f>
        <v/>
      </c>
      <c r="I49" s="51"/>
    </row>
    <row r="50" spans="1:13" ht="15" customHeight="1">
      <c r="B50" s="92"/>
      <c r="C50" s="92"/>
      <c r="E50" s="73"/>
      <c r="F50" s="108"/>
      <c r="G50" s="108"/>
      <c r="H50" s="108"/>
      <c r="I50" s="73"/>
      <c r="K50" s="107"/>
      <c r="M50" s="92"/>
    </row>
    <row r="51" spans="1:13" ht="15" customHeight="1">
      <c r="J51" s="92"/>
      <c r="K51" s="107"/>
      <c r="M51" s="92"/>
    </row>
    <row r="52" spans="1:13" ht="15" customHeight="1">
      <c r="J52" s="92"/>
      <c r="K52" s="107"/>
      <c r="M52" s="92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2" customWidth="1"/>
    <col min="13" max="16384" width="10.77734375" style="84"/>
  </cols>
  <sheetData>
    <row r="1" spans="1:12" s="79" customFormat="1" ht="33" customHeight="1">
      <c r="A1" s="396" t="s">
        <v>59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2" spans="1:12" s="79" customFormat="1" ht="33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</row>
    <row r="3" spans="1:12" s="79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0"/>
    </row>
    <row r="4" spans="1:12" s="81" customFormat="1" ht="13.5" customHeight="1">
      <c r="A4" s="89"/>
      <c r="B4" s="89"/>
      <c r="C4" s="90"/>
      <c r="D4" s="90"/>
      <c r="E4" s="98"/>
      <c r="F4" s="90"/>
      <c r="G4" s="90"/>
      <c r="H4" s="99"/>
      <c r="I4" s="91"/>
      <c r="J4" s="98"/>
      <c r="K4" s="98"/>
      <c r="L4" s="89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2"/>
    </row>
    <row r="6" spans="1:12" s="37" customFormat="1" ht="15" customHeight="1">
      <c r="C6" s="54" t="str">
        <f>"○ 품명 : "&amp;기본정보!C$5</f>
        <v xml:space="preserve">○ 품명 : </v>
      </c>
      <c r="L6" s="92"/>
    </row>
    <row r="7" spans="1:12" s="37" customFormat="1" ht="15" customHeight="1">
      <c r="C7" s="54" t="str">
        <f>"○ 제작회사 : "&amp;기본정보!C$6</f>
        <v xml:space="preserve">○ 제작회사 : </v>
      </c>
      <c r="L7" s="92"/>
    </row>
    <row r="8" spans="1:12" s="37" customFormat="1" ht="15" customHeight="1">
      <c r="C8" s="54" t="str">
        <f>"○ 형식 : "&amp;기본정보!C$7</f>
        <v xml:space="preserve">○ 형식 : </v>
      </c>
      <c r="L8" s="92"/>
    </row>
    <row r="9" spans="1:12" s="37" customFormat="1" ht="15" customHeight="1">
      <c r="C9" s="54" t="str">
        <f>"○ 기기번호 : "&amp;기본정보!C$8</f>
        <v xml:space="preserve">○ 기기번호 : </v>
      </c>
      <c r="L9" s="92"/>
    </row>
    <row r="10" spans="1:12" s="37" customFormat="1" ht="15" customHeight="1">
      <c r="L10" s="92"/>
    </row>
    <row r="11" spans="1:12" ht="15" customHeight="1">
      <c r="B11" s="73"/>
      <c r="C11" s="108"/>
      <c r="D11" s="108"/>
      <c r="E11" s="108"/>
      <c r="F11" s="108"/>
      <c r="G11" s="108"/>
      <c r="H11" s="109"/>
      <c r="I11" s="109"/>
      <c r="J11" s="108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6" customFormat="1" ht="25.5">
      <c r="A1" s="62" t="s">
        <v>61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0" t="s">
        <v>2</v>
      </c>
      <c r="C3" s="101">
        <f>기본정보!C3</f>
        <v>0</v>
      </c>
      <c r="D3" s="100" t="s">
        <v>86</v>
      </c>
      <c r="E3" s="404">
        <f>기본정보!H3</f>
        <v>0</v>
      </c>
      <c r="F3" s="405"/>
      <c r="G3" s="100" t="s">
        <v>90</v>
      </c>
      <c r="H3" s="103">
        <f>기본정보!H8</f>
        <v>0</v>
      </c>
      <c r="I3" s="25"/>
    </row>
    <row r="4" spans="1:30" s="28" customFormat="1" ht="15" customHeight="1">
      <c r="A4" s="46"/>
      <c r="B4" s="100" t="s">
        <v>32</v>
      </c>
      <c r="C4" s="102">
        <f>기본정보!C8</f>
        <v>0</v>
      </c>
      <c r="D4" s="100" t="s">
        <v>87</v>
      </c>
      <c r="E4" s="402">
        <f>기본정보!H4</f>
        <v>0</v>
      </c>
      <c r="F4" s="403"/>
      <c r="G4" s="100" t="s">
        <v>14</v>
      </c>
      <c r="H4" s="103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88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0" t="s">
        <v>111</v>
      </c>
      <c r="C7" s="100" t="s">
        <v>62</v>
      </c>
      <c r="D7" s="100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1">
        <f>Calcu!F3</f>
        <v>0</v>
      </c>
      <c r="C8" s="101">
        <f>Calcu!G3</f>
        <v>0</v>
      </c>
      <c r="D8" s="101">
        <f>Calcu!I3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4" t="s">
        <v>89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5" t="s">
        <v>123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97" t="s">
        <v>129</v>
      </c>
      <c r="C12" s="399" t="str">
        <f>Calcu!E6</f>
        <v>높이 게이지/측정기 지시값</v>
      </c>
      <c r="D12" s="400"/>
      <c r="E12" s="400"/>
      <c r="F12" s="400"/>
      <c r="G12" s="401"/>
      <c r="H12" s="25"/>
      <c r="I12" s="25"/>
      <c r="J12" s="28"/>
      <c r="K12" s="28"/>
      <c r="L12" s="28"/>
      <c r="M12" s="28"/>
    </row>
    <row r="13" spans="1:30" ht="13.5" customHeight="1">
      <c r="B13" s="398"/>
      <c r="C13" s="100" t="s">
        <v>82</v>
      </c>
      <c r="D13" s="100" t="s">
        <v>77</v>
      </c>
      <c r="E13" s="100" t="s">
        <v>78</v>
      </c>
      <c r="F13" s="100" t="s">
        <v>124</v>
      </c>
      <c r="G13" s="100" t="s">
        <v>125</v>
      </c>
      <c r="H13" s="25"/>
      <c r="I13" s="25"/>
      <c r="J13" s="28"/>
      <c r="K13" s="28"/>
      <c r="L13" s="28"/>
      <c r="M13" s="28"/>
    </row>
    <row r="14" spans="1:30" ht="13.5" customHeight="1">
      <c r="B14" s="100">
        <f>D8</f>
        <v>0</v>
      </c>
      <c r="C14" s="100">
        <f t="shared" ref="C14:G14" si="0">B14</f>
        <v>0</v>
      </c>
      <c r="D14" s="100">
        <f t="shared" si="0"/>
        <v>0</v>
      </c>
      <c r="E14" s="100">
        <f t="shared" si="0"/>
        <v>0</v>
      </c>
      <c r="F14" s="100">
        <f t="shared" si="0"/>
        <v>0</v>
      </c>
      <c r="G14" s="100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1" t="str">
        <f>Calcu!C9</f>
        <v/>
      </c>
      <c r="C15" s="101" t="str">
        <f>IF(Calcu!$B9=FALSE,"",TEXT(Calcu!E9,Calcu!$Q$66))</f>
        <v/>
      </c>
      <c r="D15" s="101" t="str">
        <f>IF(Calcu!$B9=FALSE,"",TEXT(Calcu!F9,Calcu!$Q$66))</f>
        <v/>
      </c>
      <c r="E15" s="101" t="str">
        <f>IF(Calcu!$B9=FALSE,"",TEXT(Calcu!G9,Calcu!$Q$66))</f>
        <v/>
      </c>
      <c r="F15" s="101" t="str">
        <f>IF(Calcu!$B9=FALSE,"",TEXT(Calcu!H9,Calcu!$Q$66))</f>
        <v/>
      </c>
      <c r="G15" s="101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101" t="str">
        <f>Calcu!C10</f>
        <v/>
      </c>
      <c r="C16" s="101" t="str">
        <f>IF(Calcu!$B10=FALSE,"",TEXT(Calcu!E10,Calcu!$Q$66))</f>
        <v/>
      </c>
      <c r="D16" s="101" t="str">
        <f>IF(Calcu!$B10=FALSE,"",TEXT(Calcu!F10,Calcu!$Q$66))</f>
        <v/>
      </c>
      <c r="E16" s="101" t="str">
        <f>IF(Calcu!$B10=FALSE,"",TEXT(Calcu!G10,Calcu!$Q$66))</f>
        <v/>
      </c>
      <c r="F16" s="101" t="str">
        <f>IF(Calcu!$B10=FALSE,"",TEXT(Calcu!H10,Calcu!$Q$66))</f>
        <v/>
      </c>
      <c r="G16" s="101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101" t="str">
        <f>Calcu!C11</f>
        <v/>
      </c>
      <c r="C17" s="101" t="str">
        <f>IF(Calcu!$B11=FALSE,"",TEXT(Calcu!E11,Calcu!$Q$66))</f>
        <v/>
      </c>
      <c r="D17" s="101" t="str">
        <f>IF(Calcu!$B11=FALSE,"",TEXT(Calcu!F11,Calcu!$Q$66))</f>
        <v/>
      </c>
      <c r="E17" s="101" t="str">
        <f>IF(Calcu!$B11=FALSE,"",TEXT(Calcu!G11,Calcu!$Q$66))</f>
        <v/>
      </c>
      <c r="F17" s="101" t="str">
        <f>IF(Calcu!$B11=FALSE,"",TEXT(Calcu!H11,Calcu!$Q$66))</f>
        <v/>
      </c>
      <c r="G17" s="101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101" t="str">
        <f>Calcu!C12</f>
        <v/>
      </c>
      <c r="C18" s="101" t="str">
        <f>IF(Calcu!$B12=FALSE,"",TEXT(Calcu!E12,Calcu!$Q$66))</f>
        <v/>
      </c>
      <c r="D18" s="101" t="str">
        <f>IF(Calcu!$B12=FALSE,"",TEXT(Calcu!F12,Calcu!$Q$66))</f>
        <v/>
      </c>
      <c r="E18" s="101" t="str">
        <f>IF(Calcu!$B12=FALSE,"",TEXT(Calcu!G12,Calcu!$Q$66))</f>
        <v/>
      </c>
      <c r="F18" s="101" t="str">
        <f>IF(Calcu!$B12=FALSE,"",TEXT(Calcu!H12,Calcu!$Q$66))</f>
        <v/>
      </c>
      <c r="G18" s="101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101" t="str">
        <f>Calcu!C13</f>
        <v/>
      </c>
      <c r="C19" s="101" t="str">
        <f>IF(Calcu!$B13=FALSE,"",TEXT(Calcu!E13,Calcu!$Q$66))</f>
        <v/>
      </c>
      <c r="D19" s="101" t="str">
        <f>IF(Calcu!$B13=FALSE,"",TEXT(Calcu!F13,Calcu!$Q$66))</f>
        <v/>
      </c>
      <c r="E19" s="101" t="str">
        <f>IF(Calcu!$B13=FALSE,"",TEXT(Calcu!G13,Calcu!$Q$66))</f>
        <v/>
      </c>
      <c r="F19" s="101" t="str">
        <f>IF(Calcu!$B13=FALSE,"",TEXT(Calcu!H13,Calcu!$Q$66))</f>
        <v/>
      </c>
      <c r="G19" s="101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101" t="str">
        <f>Calcu!C14</f>
        <v/>
      </c>
      <c r="C20" s="101" t="str">
        <f>IF(Calcu!$B14=FALSE,"",TEXT(Calcu!E14,Calcu!$Q$66))</f>
        <v/>
      </c>
      <c r="D20" s="101" t="str">
        <f>IF(Calcu!$B14=FALSE,"",TEXT(Calcu!F14,Calcu!$Q$66))</f>
        <v/>
      </c>
      <c r="E20" s="101" t="str">
        <f>IF(Calcu!$B14=FALSE,"",TEXT(Calcu!G14,Calcu!$Q$66))</f>
        <v/>
      </c>
      <c r="F20" s="101" t="str">
        <f>IF(Calcu!$B14=FALSE,"",TEXT(Calcu!H14,Calcu!$Q$66))</f>
        <v/>
      </c>
      <c r="G20" s="101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101" t="str">
        <f>Calcu!C15</f>
        <v/>
      </c>
      <c r="C21" s="101" t="str">
        <f>IF(Calcu!$B15=FALSE,"",TEXT(Calcu!E15,Calcu!$Q$66))</f>
        <v/>
      </c>
      <c r="D21" s="101" t="str">
        <f>IF(Calcu!$B15=FALSE,"",TEXT(Calcu!F15,Calcu!$Q$66))</f>
        <v/>
      </c>
      <c r="E21" s="101" t="str">
        <f>IF(Calcu!$B15=FALSE,"",TEXT(Calcu!G15,Calcu!$Q$66))</f>
        <v/>
      </c>
      <c r="F21" s="101" t="str">
        <f>IF(Calcu!$B15=FALSE,"",TEXT(Calcu!H15,Calcu!$Q$66))</f>
        <v/>
      </c>
      <c r="G21" s="101" t="str">
        <f>IF(Calcu!$B15=FALSE,"",TEXT(Calcu!I15,Calcu!$Q$66))</f>
        <v/>
      </c>
    </row>
    <row r="22" spans="2:13" ht="13.5" customHeight="1">
      <c r="B22" s="101" t="str">
        <f>Calcu!C16</f>
        <v/>
      </c>
      <c r="C22" s="101" t="str">
        <f>IF(Calcu!$B16=FALSE,"",TEXT(Calcu!E16,Calcu!$Q$66))</f>
        <v/>
      </c>
      <c r="D22" s="101" t="str">
        <f>IF(Calcu!$B16=FALSE,"",TEXT(Calcu!F16,Calcu!$Q$66))</f>
        <v/>
      </c>
      <c r="E22" s="101" t="str">
        <f>IF(Calcu!$B16=FALSE,"",TEXT(Calcu!G16,Calcu!$Q$66))</f>
        <v/>
      </c>
      <c r="F22" s="101" t="str">
        <f>IF(Calcu!$B16=FALSE,"",TEXT(Calcu!H16,Calcu!$Q$66))</f>
        <v/>
      </c>
      <c r="G22" s="101" t="str">
        <f>IF(Calcu!$B16=FALSE,"",TEXT(Calcu!I16,Calcu!$Q$66))</f>
        <v/>
      </c>
    </row>
    <row r="23" spans="2:13" ht="13.5" customHeight="1">
      <c r="B23" s="101" t="str">
        <f>Calcu!C17</f>
        <v/>
      </c>
      <c r="C23" s="101" t="str">
        <f>IF(Calcu!$B17=FALSE,"",TEXT(Calcu!E17,Calcu!$Q$66))</f>
        <v/>
      </c>
      <c r="D23" s="101" t="str">
        <f>IF(Calcu!$B17=FALSE,"",TEXT(Calcu!F17,Calcu!$Q$66))</f>
        <v/>
      </c>
      <c r="E23" s="101" t="str">
        <f>IF(Calcu!$B17=FALSE,"",TEXT(Calcu!G17,Calcu!$Q$66))</f>
        <v/>
      </c>
      <c r="F23" s="101" t="str">
        <f>IF(Calcu!$B17=FALSE,"",TEXT(Calcu!H17,Calcu!$Q$66))</f>
        <v/>
      </c>
      <c r="G23" s="101" t="str">
        <f>IF(Calcu!$B17=FALSE,"",TEXT(Calcu!I17,Calcu!$Q$66))</f>
        <v/>
      </c>
    </row>
    <row r="24" spans="2:13" ht="13.5" customHeight="1">
      <c r="B24" s="101" t="str">
        <f>Calcu!C18</f>
        <v/>
      </c>
      <c r="C24" s="101" t="str">
        <f>IF(Calcu!$B18=FALSE,"",TEXT(Calcu!E18,Calcu!$Q$66))</f>
        <v/>
      </c>
      <c r="D24" s="101" t="str">
        <f>IF(Calcu!$B18=FALSE,"",TEXT(Calcu!F18,Calcu!$Q$66))</f>
        <v/>
      </c>
      <c r="E24" s="101" t="str">
        <f>IF(Calcu!$B18=FALSE,"",TEXT(Calcu!G18,Calcu!$Q$66))</f>
        <v/>
      </c>
      <c r="F24" s="101" t="str">
        <f>IF(Calcu!$B18=FALSE,"",TEXT(Calcu!H18,Calcu!$Q$66))</f>
        <v/>
      </c>
      <c r="G24" s="101" t="str">
        <f>IF(Calcu!$B18=FALSE,"",TEXT(Calcu!I18,Calcu!$Q$66))</f>
        <v/>
      </c>
    </row>
    <row r="25" spans="2:13" ht="13.5" customHeight="1">
      <c r="B25" s="101" t="str">
        <f>Calcu!C19</f>
        <v/>
      </c>
      <c r="C25" s="101" t="str">
        <f>IF(Calcu!$B19=FALSE,"",TEXT(Calcu!E19,Calcu!$Q$66))</f>
        <v/>
      </c>
      <c r="D25" s="101" t="str">
        <f>IF(Calcu!$B19=FALSE,"",TEXT(Calcu!F19,Calcu!$Q$66))</f>
        <v/>
      </c>
      <c r="E25" s="101" t="str">
        <f>IF(Calcu!$B19=FALSE,"",TEXT(Calcu!G19,Calcu!$Q$66))</f>
        <v/>
      </c>
      <c r="F25" s="101" t="str">
        <f>IF(Calcu!$B19=FALSE,"",TEXT(Calcu!H19,Calcu!$Q$66))</f>
        <v/>
      </c>
      <c r="G25" s="101" t="str">
        <f>IF(Calcu!$B19=FALSE,"",TEXT(Calcu!I19,Calcu!$Q$66))</f>
        <v/>
      </c>
    </row>
    <row r="26" spans="2:13" ht="13.5" customHeight="1">
      <c r="B26" s="101" t="str">
        <f>Calcu!C20</f>
        <v/>
      </c>
      <c r="C26" s="101" t="str">
        <f>IF(Calcu!$B20=FALSE,"",TEXT(Calcu!E20,Calcu!$Q$66))</f>
        <v/>
      </c>
      <c r="D26" s="101" t="str">
        <f>IF(Calcu!$B20=FALSE,"",TEXT(Calcu!F20,Calcu!$Q$66))</f>
        <v/>
      </c>
      <c r="E26" s="101" t="str">
        <f>IF(Calcu!$B20=FALSE,"",TEXT(Calcu!G20,Calcu!$Q$66))</f>
        <v/>
      </c>
      <c r="F26" s="101" t="str">
        <f>IF(Calcu!$B20=FALSE,"",TEXT(Calcu!H20,Calcu!$Q$66))</f>
        <v/>
      </c>
      <c r="G26" s="101" t="str">
        <f>IF(Calcu!$B20=FALSE,"",TEXT(Calcu!I20,Calcu!$Q$66))</f>
        <v/>
      </c>
    </row>
    <row r="27" spans="2:13" ht="13.5" customHeight="1">
      <c r="B27" s="101" t="str">
        <f>Calcu!C21</f>
        <v/>
      </c>
      <c r="C27" s="101" t="str">
        <f>IF(Calcu!$B21=FALSE,"",TEXT(Calcu!E21,Calcu!$Q$66))</f>
        <v/>
      </c>
      <c r="D27" s="101" t="str">
        <f>IF(Calcu!$B21=FALSE,"",TEXT(Calcu!F21,Calcu!$Q$66))</f>
        <v/>
      </c>
      <c r="E27" s="101" t="str">
        <f>IF(Calcu!$B21=FALSE,"",TEXT(Calcu!G21,Calcu!$Q$66))</f>
        <v/>
      </c>
      <c r="F27" s="101" t="str">
        <f>IF(Calcu!$B21=FALSE,"",TEXT(Calcu!H21,Calcu!$Q$66))</f>
        <v/>
      </c>
      <c r="G27" s="101" t="str">
        <f>IF(Calcu!$B21=FALSE,"",TEXT(Calcu!I21,Calcu!$Q$66))</f>
        <v/>
      </c>
    </row>
    <row r="28" spans="2:13" ht="13.5" customHeight="1">
      <c r="B28" s="101" t="str">
        <f>Calcu!C22</f>
        <v/>
      </c>
      <c r="C28" s="101" t="str">
        <f>IF(Calcu!$B22=FALSE,"",TEXT(Calcu!E22,Calcu!$Q$66))</f>
        <v/>
      </c>
      <c r="D28" s="101" t="str">
        <f>IF(Calcu!$B22=FALSE,"",TEXT(Calcu!F22,Calcu!$Q$66))</f>
        <v/>
      </c>
      <c r="E28" s="101" t="str">
        <f>IF(Calcu!$B22=FALSE,"",TEXT(Calcu!G22,Calcu!$Q$66))</f>
        <v/>
      </c>
      <c r="F28" s="101" t="str">
        <f>IF(Calcu!$B22=FALSE,"",TEXT(Calcu!H22,Calcu!$Q$66))</f>
        <v/>
      </c>
      <c r="G28" s="101" t="str">
        <f>IF(Calcu!$B22=FALSE,"",TEXT(Calcu!I22,Calcu!$Q$66))</f>
        <v/>
      </c>
    </row>
    <row r="29" spans="2:13" ht="13.5" customHeight="1">
      <c r="B29" s="101" t="str">
        <f>Calcu!C23</f>
        <v/>
      </c>
      <c r="C29" s="101" t="str">
        <f>IF(Calcu!$B23=FALSE,"",TEXT(Calcu!E23,Calcu!$Q$66))</f>
        <v/>
      </c>
      <c r="D29" s="101" t="str">
        <f>IF(Calcu!$B23=FALSE,"",TEXT(Calcu!F23,Calcu!$Q$66))</f>
        <v/>
      </c>
      <c r="E29" s="101" t="str">
        <f>IF(Calcu!$B23=FALSE,"",TEXT(Calcu!G23,Calcu!$Q$66))</f>
        <v/>
      </c>
      <c r="F29" s="101" t="str">
        <f>IF(Calcu!$B23=FALSE,"",TEXT(Calcu!H23,Calcu!$Q$66))</f>
        <v/>
      </c>
      <c r="G29" s="101" t="str">
        <f>IF(Calcu!$B23=FALSE,"",TEXT(Calcu!I23,Calcu!$Q$66))</f>
        <v/>
      </c>
    </row>
    <row r="30" spans="2:13" ht="13.5" customHeight="1">
      <c r="B30" s="101" t="str">
        <f>Calcu!C24</f>
        <v/>
      </c>
      <c r="C30" s="101" t="str">
        <f>IF(Calcu!$B24=FALSE,"",TEXT(Calcu!E24,Calcu!$Q$66))</f>
        <v/>
      </c>
      <c r="D30" s="101" t="str">
        <f>IF(Calcu!$B24=FALSE,"",TEXT(Calcu!F24,Calcu!$Q$66))</f>
        <v/>
      </c>
      <c r="E30" s="101" t="str">
        <f>IF(Calcu!$B24=FALSE,"",TEXT(Calcu!G24,Calcu!$Q$66))</f>
        <v/>
      </c>
      <c r="F30" s="101" t="str">
        <f>IF(Calcu!$B24=FALSE,"",TEXT(Calcu!H24,Calcu!$Q$66))</f>
        <v/>
      </c>
      <c r="G30" s="101" t="str">
        <f>IF(Calcu!$B24=FALSE,"",TEXT(Calcu!I24,Calcu!$Q$66))</f>
        <v/>
      </c>
    </row>
    <row r="31" spans="2:13" ht="13.5" customHeight="1">
      <c r="B31" s="101" t="str">
        <f>Calcu!C25</f>
        <v/>
      </c>
      <c r="C31" s="101" t="str">
        <f>IF(Calcu!$B25=FALSE,"",TEXT(Calcu!E25,Calcu!$Q$66))</f>
        <v/>
      </c>
      <c r="D31" s="101" t="str">
        <f>IF(Calcu!$B25=FALSE,"",TEXT(Calcu!F25,Calcu!$Q$66))</f>
        <v/>
      </c>
      <c r="E31" s="101" t="str">
        <f>IF(Calcu!$B25=FALSE,"",TEXT(Calcu!G25,Calcu!$Q$66))</f>
        <v/>
      </c>
      <c r="F31" s="101" t="str">
        <f>IF(Calcu!$B25=FALSE,"",TEXT(Calcu!H25,Calcu!$Q$66))</f>
        <v/>
      </c>
      <c r="G31" s="101" t="str">
        <f>IF(Calcu!$B25=FALSE,"",TEXT(Calcu!I25,Calcu!$Q$66))</f>
        <v/>
      </c>
    </row>
    <row r="32" spans="2:13" ht="13.5" customHeight="1">
      <c r="B32" s="101" t="str">
        <f>Calcu!C26</f>
        <v/>
      </c>
      <c r="C32" s="101" t="str">
        <f>IF(Calcu!$B26=FALSE,"",TEXT(Calcu!E26,Calcu!$Q$66))</f>
        <v/>
      </c>
      <c r="D32" s="101" t="str">
        <f>IF(Calcu!$B26=FALSE,"",TEXT(Calcu!F26,Calcu!$Q$66))</f>
        <v/>
      </c>
      <c r="E32" s="101" t="str">
        <f>IF(Calcu!$B26=FALSE,"",TEXT(Calcu!G26,Calcu!$Q$66))</f>
        <v/>
      </c>
      <c r="F32" s="101" t="str">
        <f>IF(Calcu!$B26=FALSE,"",TEXT(Calcu!H26,Calcu!$Q$66))</f>
        <v/>
      </c>
      <c r="G32" s="101" t="str">
        <f>IF(Calcu!$B26=FALSE,"",TEXT(Calcu!I26,Calcu!$Q$66))</f>
        <v/>
      </c>
    </row>
    <row r="33" spans="2:7" ht="13.5" customHeight="1">
      <c r="B33" s="101" t="str">
        <f>Calcu!C27</f>
        <v/>
      </c>
      <c r="C33" s="101" t="str">
        <f>IF(Calcu!$B27=FALSE,"",TEXT(Calcu!E27,Calcu!$Q$66))</f>
        <v/>
      </c>
      <c r="D33" s="101" t="str">
        <f>IF(Calcu!$B27=FALSE,"",TEXT(Calcu!F27,Calcu!$Q$66))</f>
        <v/>
      </c>
      <c r="E33" s="101" t="str">
        <f>IF(Calcu!$B27=FALSE,"",TEXT(Calcu!G27,Calcu!$Q$66))</f>
        <v/>
      </c>
      <c r="F33" s="101" t="str">
        <f>IF(Calcu!$B27=FALSE,"",TEXT(Calcu!H27,Calcu!$Q$66))</f>
        <v/>
      </c>
      <c r="G33" s="101" t="str">
        <f>IF(Calcu!$B27=FALSE,"",TEXT(Calcu!I27,Calcu!$Q$66))</f>
        <v/>
      </c>
    </row>
    <row r="34" spans="2:7" ht="13.5" customHeight="1">
      <c r="B34" s="101" t="str">
        <f>Calcu!C28</f>
        <v/>
      </c>
      <c r="C34" s="101" t="str">
        <f>IF(Calcu!$B28=FALSE,"",TEXT(Calcu!E28,Calcu!$Q$66))</f>
        <v/>
      </c>
      <c r="D34" s="101" t="str">
        <f>IF(Calcu!$B28=FALSE,"",TEXT(Calcu!F28,Calcu!$Q$66))</f>
        <v/>
      </c>
      <c r="E34" s="101" t="str">
        <f>IF(Calcu!$B28=FALSE,"",TEXT(Calcu!G28,Calcu!$Q$66))</f>
        <v/>
      </c>
      <c r="F34" s="101" t="str">
        <f>IF(Calcu!$B28=FALSE,"",TEXT(Calcu!H28,Calcu!$Q$66))</f>
        <v/>
      </c>
      <c r="G34" s="101" t="str">
        <f>IF(Calcu!$B28=FALSE,"",TEXT(Calcu!I28,Calcu!$Q$66))</f>
        <v/>
      </c>
    </row>
    <row r="35" spans="2:7" ht="13.5" customHeight="1">
      <c r="B35" s="101" t="str">
        <f>Calcu!C29</f>
        <v/>
      </c>
      <c r="C35" s="101" t="str">
        <f>IF(Calcu!$B29=FALSE,"",TEXT(Calcu!E29,Calcu!$Q$66))</f>
        <v/>
      </c>
      <c r="D35" s="101" t="str">
        <f>IF(Calcu!$B29=FALSE,"",TEXT(Calcu!F29,Calcu!$Q$66))</f>
        <v/>
      </c>
      <c r="E35" s="101" t="str">
        <f>IF(Calcu!$B29=FALSE,"",TEXT(Calcu!G29,Calcu!$Q$66))</f>
        <v/>
      </c>
      <c r="F35" s="101" t="str">
        <f>IF(Calcu!$B29=FALSE,"",TEXT(Calcu!H29,Calcu!$Q$66))</f>
        <v/>
      </c>
      <c r="G35" s="101" t="str">
        <f>IF(Calcu!$B29=FALSE,"",TEXT(Calcu!I29,Calcu!$Q$66))</f>
        <v/>
      </c>
    </row>
    <row r="36" spans="2:7" ht="13.5" customHeight="1">
      <c r="B36" s="101" t="str">
        <f>Calcu!C30</f>
        <v/>
      </c>
      <c r="C36" s="101" t="str">
        <f>IF(Calcu!$B30=FALSE,"",TEXT(Calcu!E30,Calcu!$Q$66))</f>
        <v/>
      </c>
      <c r="D36" s="101" t="str">
        <f>IF(Calcu!$B30=FALSE,"",TEXT(Calcu!F30,Calcu!$Q$66))</f>
        <v/>
      </c>
      <c r="E36" s="101" t="str">
        <f>IF(Calcu!$B30=FALSE,"",TEXT(Calcu!G30,Calcu!$Q$66))</f>
        <v/>
      </c>
      <c r="F36" s="101" t="str">
        <f>IF(Calcu!$B30=FALSE,"",TEXT(Calcu!H30,Calcu!$Q$66))</f>
        <v/>
      </c>
      <c r="G36" s="101" t="str">
        <f>IF(Calcu!$B30=FALSE,"",TEXT(Calcu!I30,Calcu!$Q$66))</f>
        <v/>
      </c>
    </row>
    <row r="37" spans="2:7" ht="13.5" customHeight="1">
      <c r="B37" s="101" t="str">
        <f>Calcu!C31</f>
        <v/>
      </c>
      <c r="C37" s="101" t="str">
        <f>IF(Calcu!$B31=FALSE,"",TEXT(Calcu!E31,Calcu!$Q$66))</f>
        <v/>
      </c>
      <c r="D37" s="101" t="str">
        <f>IF(Calcu!$B31=FALSE,"",TEXT(Calcu!F31,Calcu!$Q$66))</f>
        <v/>
      </c>
      <c r="E37" s="101" t="str">
        <f>IF(Calcu!$B31=FALSE,"",TEXT(Calcu!G31,Calcu!$Q$66))</f>
        <v/>
      </c>
      <c r="F37" s="101" t="str">
        <f>IF(Calcu!$B31=FALSE,"",TEXT(Calcu!H31,Calcu!$Q$66))</f>
        <v/>
      </c>
      <c r="G37" s="101" t="str">
        <f>IF(Calcu!$B31=FALSE,"",TEXT(Calcu!I31,Calcu!$Q$66))</f>
        <v/>
      </c>
    </row>
    <row r="38" spans="2:7" ht="13.5" customHeight="1">
      <c r="B38" s="101" t="str">
        <f>Calcu!C32</f>
        <v/>
      </c>
      <c r="C38" s="101" t="str">
        <f>IF(Calcu!$B32=FALSE,"",TEXT(Calcu!E32,Calcu!$Q$66))</f>
        <v/>
      </c>
      <c r="D38" s="101" t="str">
        <f>IF(Calcu!$B32=FALSE,"",TEXT(Calcu!F32,Calcu!$Q$66))</f>
        <v/>
      </c>
      <c r="E38" s="101" t="str">
        <f>IF(Calcu!$B32=FALSE,"",TEXT(Calcu!G32,Calcu!$Q$66))</f>
        <v/>
      </c>
      <c r="F38" s="101" t="str">
        <f>IF(Calcu!$B32=FALSE,"",TEXT(Calcu!H32,Calcu!$Q$66))</f>
        <v/>
      </c>
      <c r="G38" s="101" t="str">
        <f>IF(Calcu!$B32=FALSE,"",TEXT(Calcu!I32,Calcu!$Q$66))</f>
        <v/>
      </c>
    </row>
    <row r="39" spans="2:7" ht="13.5" customHeight="1">
      <c r="B39" s="101" t="str">
        <f>Calcu!C33</f>
        <v/>
      </c>
      <c r="C39" s="101" t="str">
        <f>IF(Calcu!$B33=FALSE,"",TEXT(Calcu!E33,Calcu!$Q$66))</f>
        <v/>
      </c>
      <c r="D39" s="101" t="str">
        <f>IF(Calcu!$B33=FALSE,"",TEXT(Calcu!F33,Calcu!$Q$66))</f>
        <v/>
      </c>
      <c r="E39" s="101" t="str">
        <f>IF(Calcu!$B33=FALSE,"",TEXT(Calcu!G33,Calcu!$Q$66))</f>
        <v/>
      </c>
      <c r="F39" s="101" t="str">
        <f>IF(Calcu!$B33=FALSE,"",TEXT(Calcu!H33,Calcu!$Q$66))</f>
        <v/>
      </c>
      <c r="G39" s="101" t="str">
        <f>IF(Calcu!$B33=FALSE,"",TEXT(Calcu!I33,Calcu!$Q$66))</f>
        <v/>
      </c>
    </row>
    <row r="40" spans="2:7" ht="13.5" customHeight="1">
      <c r="B40" s="101" t="str">
        <f>Calcu!C34</f>
        <v/>
      </c>
      <c r="C40" s="101" t="str">
        <f>IF(Calcu!$B34=FALSE,"",TEXT(Calcu!E34,Calcu!$Q$66))</f>
        <v/>
      </c>
      <c r="D40" s="101" t="str">
        <f>IF(Calcu!$B34=FALSE,"",TEXT(Calcu!F34,Calcu!$Q$66))</f>
        <v/>
      </c>
      <c r="E40" s="101" t="str">
        <f>IF(Calcu!$B34=FALSE,"",TEXT(Calcu!G34,Calcu!$Q$66))</f>
        <v/>
      </c>
      <c r="F40" s="101" t="str">
        <f>IF(Calcu!$B34=FALSE,"",TEXT(Calcu!H34,Calcu!$Q$66))</f>
        <v/>
      </c>
      <c r="G40" s="101" t="str">
        <f>IF(Calcu!$B34=FALSE,"",TEXT(Calcu!I34,Calcu!$Q$66))</f>
        <v/>
      </c>
    </row>
    <row r="41" spans="2:7" ht="13.5" customHeight="1">
      <c r="B41" s="101" t="str">
        <f>Calcu!C35</f>
        <v/>
      </c>
      <c r="C41" s="101" t="str">
        <f>IF(Calcu!$B35=FALSE,"",TEXT(Calcu!E35,Calcu!$Q$66))</f>
        <v/>
      </c>
      <c r="D41" s="101" t="str">
        <f>IF(Calcu!$B35=FALSE,"",TEXT(Calcu!F35,Calcu!$Q$66))</f>
        <v/>
      </c>
      <c r="E41" s="101" t="str">
        <f>IF(Calcu!$B35=FALSE,"",TEXT(Calcu!G35,Calcu!$Q$66))</f>
        <v/>
      </c>
      <c r="F41" s="101" t="str">
        <f>IF(Calcu!$B35=FALSE,"",TEXT(Calcu!H35,Calcu!$Q$66))</f>
        <v/>
      </c>
      <c r="G41" s="101" t="str">
        <f>IF(Calcu!$B35=FALSE,"",TEXT(Calcu!I35,Calcu!$Q$66))</f>
        <v/>
      </c>
    </row>
    <row r="42" spans="2:7" ht="13.5" customHeight="1">
      <c r="B42" s="101" t="str">
        <f>Calcu!C36</f>
        <v/>
      </c>
      <c r="C42" s="101" t="str">
        <f>IF(Calcu!$B36=FALSE,"",TEXT(Calcu!E36,Calcu!$Q$66))</f>
        <v/>
      </c>
      <c r="D42" s="101" t="str">
        <f>IF(Calcu!$B36=FALSE,"",TEXT(Calcu!F36,Calcu!$Q$66))</f>
        <v/>
      </c>
      <c r="E42" s="101" t="str">
        <f>IF(Calcu!$B36=FALSE,"",TEXT(Calcu!G36,Calcu!$Q$66))</f>
        <v/>
      </c>
      <c r="F42" s="101" t="str">
        <f>IF(Calcu!$B36=FALSE,"",TEXT(Calcu!H36,Calcu!$Q$66))</f>
        <v/>
      </c>
      <c r="G42" s="101" t="str">
        <f>IF(Calcu!$B36=FALSE,"",TEXT(Calcu!I36,Calcu!$Q$66))</f>
        <v/>
      </c>
    </row>
    <row r="43" spans="2:7" ht="13.5" customHeight="1">
      <c r="B43" s="101" t="str">
        <f>Calcu!C37</f>
        <v/>
      </c>
      <c r="C43" s="101" t="str">
        <f>IF(Calcu!$B37=FALSE,"",TEXT(Calcu!E37,Calcu!$Q$66))</f>
        <v/>
      </c>
      <c r="D43" s="101" t="str">
        <f>IF(Calcu!$B37=FALSE,"",TEXT(Calcu!F37,Calcu!$Q$66))</f>
        <v/>
      </c>
      <c r="E43" s="101" t="str">
        <f>IF(Calcu!$B37=FALSE,"",TEXT(Calcu!G37,Calcu!$Q$66))</f>
        <v/>
      </c>
      <c r="F43" s="101" t="str">
        <f>IF(Calcu!$B37=FALSE,"",TEXT(Calcu!H37,Calcu!$Q$66))</f>
        <v/>
      </c>
      <c r="G43" s="101" t="str">
        <f>IF(Calcu!$B37=FALSE,"",TEXT(Calcu!I37,Calcu!$Q$66))</f>
        <v/>
      </c>
    </row>
    <row r="44" spans="2:7" ht="13.5" customHeight="1">
      <c r="B44" s="101" t="str">
        <f>Calcu!C38</f>
        <v/>
      </c>
      <c r="C44" s="101" t="str">
        <f>IF(Calcu!$B38=FALSE,"",TEXT(Calcu!E38,Calcu!$Q$66))</f>
        <v/>
      </c>
      <c r="D44" s="101" t="str">
        <f>IF(Calcu!$B38=FALSE,"",TEXT(Calcu!F38,Calcu!$Q$66))</f>
        <v/>
      </c>
      <c r="E44" s="101" t="str">
        <f>IF(Calcu!$B38=FALSE,"",TEXT(Calcu!G38,Calcu!$Q$66))</f>
        <v/>
      </c>
      <c r="F44" s="101" t="str">
        <f>IF(Calcu!$B38=FALSE,"",TEXT(Calcu!H38,Calcu!$Q$66))</f>
        <v/>
      </c>
      <c r="G44" s="101" t="str">
        <f>IF(Calcu!$B38=FALSE,"",TEXT(Calcu!I38,Calcu!$Q$66))</f>
        <v/>
      </c>
    </row>
    <row r="45" spans="2:7" ht="13.5" customHeight="1">
      <c r="B45" s="101" t="str">
        <f>Calcu!C39</f>
        <v/>
      </c>
      <c r="C45" s="101" t="str">
        <f>IF(Calcu!$B39=FALSE,"",TEXT(Calcu!E39,Calcu!$Q$66))</f>
        <v/>
      </c>
      <c r="D45" s="101" t="str">
        <f>IF(Calcu!$B39=FALSE,"",TEXT(Calcu!F39,Calcu!$Q$66))</f>
        <v/>
      </c>
      <c r="E45" s="101" t="str">
        <f>IF(Calcu!$B39=FALSE,"",TEXT(Calcu!G39,Calcu!$Q$66))</f>
        <v/>
      </c>
      <c r="F45" s="101" t="str">
        <f>IF(Calcu!$B39=FALSE,"",TEXT(Calcu!H39,Calcu!$Q$66))</f>
        <v/>
      </c>
      <c r="G45" s="101" t="str">
        <f>IF(Calcu!$B39=FALSE,"",TEXT(Calcu!I39,Calcu!$Q$66))</f>
        <v/>
      </c>
    </row>
    <row r="46" spans="2:7" ht="13.5" customHeight="1">
      <c r="B46" s="101" t="str">
        <f>Calcu!C40</f>
        <v/>
      </c>
      <c r="C46" s="101" t="str">
        <f>IF(Calcu!$B40=FALSE,"",TEXT(Calcu!E40,Calcu!$Q$66))</f>
        <v/>
      </c>
      <c r="D46" s="101" t="str">
        <f>IF(Calcu!$B40=FALSE,"",TEXT(Calcu!F40,Calcu!$Q$66))</f>
        <v/>
      </c>
      <c r="E46" s="101" t="str">
        <f>IF(Calcu!$B40=FALSE,"",TEXT(Calcu!G40,Calcu!$Q$66))</f>
        <v/>
      </c>
      <c r="F46" s="101" t="str">
        <f>IF(Calcu!$B40=FALSE,"",TEXT(Calcu!H40,Calcu!$Q$66))</f>
        <v/>
      </c>
      <c r="G46" s="101" t="str">
        <f>IF(Calcu!$B40=FALSE,"",TEXT(Calcu!I40,Calcu!$Q$66))</f>
        <v/>
      </c>
    </row>
    <row r="47" spans="2:7" ht="13.5" customHeight="1">
      <c r="B47" s="101" t="str">
        <f>Calcu!C41</f>
        <v/>
      </c>
      <c r="C47" s="101" t="str">
        <f>IF(Calcu!$B41=FALSE,"",TEXT(Calcu!E41,Calcu!$Q$66))</f>
        <v/>
      </c>
      <c r="D47" s="101" t="str">
        <f>IF(Calcu!$B41=FALSE,"",TEXT(Calcu!F41,Calcu!$Q$66))</f>
        <v/>
      </c>
      <c r="E47" s="101" t="str">
        <f>IF(Calcu!$B41=FALSE,"",TEXT(Calcu!G41,Calcu!$Q$66))</f>
        <v/>
      </c>
      <c r="F47" s="101" t="str">
        <f>IF(Calcu!$B41=FALSE,"",TEXT(Calcu!H41,Calcu!$Q$66))</f>
        <v/>
      </c>
      <c r="G47" s="101" t="str">
        <f>IF(Calcu!$B41=FALSE,"",TEXT(Calcu!I41,Calcu!$Q$66))</f>
        <v/>
      </c>
    </row>
    <row r="48" spans="2:7" ht="13.5" customHeight="1">
      <c r="B48" s="101" t="str">
        <f>Calcu!C42</f>
        <v/>
      </c>
      <c r="C48" s="101" t="str">
        <f>IF(Calcu!$B42=FALSE,"",TEXT(Calcu!E42,Calcu!$Q$66))</f>
        <v/>
      </c>
      <c r="D48" s="101" t="str">
        <f>IF(Calcu!$B42=FALSE,"",TEXT(Calcu!F42,Calcu!$Q$66))</f>
        <v/>
      </c>
      <c r="E48" s="101" t="str">
        <f>IF(Calcu!$B42=FALSE,"",TEXT(Calcu!G42,Calcu!$Q$66))</f>
        <v/>
      </c>
      <c r="F48" s="101" t="str">
        <f>IF(Calcu!$B42=FALSE,"",TEXT(Calcu!H42,Calcu!$Q$66))</f>
        <v/>
      </c>
      <c r="G48" s="101" t="str">
        <f>IF(Calcu!$B42=FALSE,"",TEXT(Calcu!I42,Calcu!$Q$66))</f>
        <v/>
      </c>
    </row>
    <row r="49" spans="2:7" ht="13.5" customHeight="1">
      <c r="B49" s="101" t="str">
        <f>Calcu!C43</f>
        <v/>
      </c>
      <c r="C49" s="101" t="str">
        <f>IF(Calcu!$B43=FALSE,"",TEXT(Calcu!E43,Calcu!$Q$66))</f>
        <v/>
      </c>
      <c r="D49" s="101" t="str">
        <f>IF(Calcu!$B43=FALSE,"",TEXT(Calcu!F43,Calcu!$Q$66))</f>
        <v/>
      </c>
      <c r="E49" s="101" t="str">
        <f>IF(Calcu!$B43=FALSE,"",TEXT(Calcu!G43,Calcu!$Q$66))</f>
        <v/>
      </c>
      <c r="F49" s="101" t="str">
        <f>IF(Calcu!$B43=FALSE,"",TEXT(Calcu!H43,Calcu!$Q$66))</f>
        <v/>
      </c>
      <c r="G49" s="101" t="str">
        <f>IF(Calcu!$B43=FALSE,"",TEXT(Calcu!I43,Calcu!$Q$66))</f>
        <v/>
      </c>
    </row>
    <row r="50" spans="2:7" ht="13.5" customHeight="1">
      <c r="B50" s="101" t="str">
        <f>Calcu!C44</f>
        <v/>
      </c>
      <c r="C50" s="101" t="str">
        <f>IF(Calcu!$B44=FALSE,"",TEXT(Calcu!E44,Calcu!$Q$66))</f>
        <v/>
      </c>
      <c r="D50" s="101" t="str">
        <f>IF(Calcu!$B44=FALSE,"",TEXT(Calcu!F44,Calcu!$Q$66))</f>
        <v/>
      </c>
      <c r="E50" s="101" t="str">
        <f>IF(Calcu!$B44=FALSE,"",TEXT(Calcu!G44,Calcu!$Q$66))</f>
        <v/>
      </c>
      <c r="F50" s="101" t="str">
        <f>IF(Calcu!$B44=FALSE,"",TEXT(Calcu!H44,Calcu!$Q$66))</f>
        <v/>
      </c>
      <c r="G50" s="101" t="str">
        <f>IF(Calcu!$B44=FALSE,"",TEXT(Calcu!I44,Calcu!$Q$66))</f>
        <v/>
      </c>
    </row>
    <row r="51" spans="2:7" ht="13.5" customHeight="1">
      <c r="B51" s="101" t="str">
        <f>Calcu!C45</f>
        <v/>
      </c>
      <c r="C51" s="101" t="str">
        <f>IF(Calcu!$B45=FALSE,"",TEXT(Calcu!E45,Calcu!$Q$66))</f>
        <v/>
      </c>
      <c r="D51" s="101" t="str">
        <f>IF(Calcu!$B45=FALSE,"",TEXT(Calcu!F45,Calcu!$Q$66))</f>
        <v/>
      </c>
      <c r="E51" s="101" t="str">
        <f>IF(Calcu!$B45=FALSE,"",TEXT(Calcu!G45,Calcu!$Q$66))</f>
        <v/>
      </c>
      <c r="F51" s="101" t="str">
        <f>IF(Calcu!$B45=FALSE,"",TEXT(Calcu!H45,Calcu!$Q$66))</f>
        <v/>
      </c>
      <c r="G51" s="101" t="str">
        <f>IF(Calcu!$B45=FALSE,"",TEXT(Calcu!I45,Calcu!$Q$66))</f>
        <v/>
      </c>
    </row>
    <row r="52" spans="2:7" ht="13.5" customHeight="1">
      <c r="B52" s="101" t="str">
        <f>Calcu!C46</f>
        <v/>
      </c>
      <c r="C52" s="101" t="str">
        <f>IF(Calcu!$B46=FALSE,"",TEXT(Calcu!E46,Calcu!$Q$66))</f>
        <v/>
      </c>
      <c r="D52" s="101" t="str">
        <f>IF(Calcu!$B46=FALSE,"",TEXT(Calcu!F46,Calcu!$Q$66))</f>
        <v/>
      </c>
      <c r="E52" s="101" t="str">
        <f>IF(Calcu!$B46=FALSE,"",TEXT(Calcu!G46,Calcu!$Q$66))</f>
        <v/>
      </c>
      <c r="F52" s="101" t="str">
        <f>IF(Calcu!$B46=FALSE,"",TEXT(Calcu!H46,Calcu!$Q$66))</f>
        <v/>
      </c>
      <c r="G52" s="101" t="str">
        <f>IF(Calcu!$B46=FALSE,"",TEXT(Calcu!I46,Calcu!$Q$66))</f>
        <v/>
      </c>
    </row>
    <row r="53" spans="2:7" ht="13.5" customHeight="1">
      <c r="B53" s="101" t="str">
        <f>Calcu!C47</f>
        <v/>
      </c>
      <c r="C53" s="101" t="str">
        <f>IF(Calcu!$B47=FALSE,"",TEXT(Calcu!E47,Calcu!$Q$66))</f>
        <v/>
      </c>
      <c r="D53" s="101" t="str">
        <f>IF(Calcu!$B47=FALSE,"",TEXT(Calcu!F47,Calcu!$Q$66))</f>
        <v/>
      </c>
      <c r="E53" s="101" t="str">
        <f>IF(Calcu!$B47=FALSE,"",TEXT(Calcu!G47,Calcu!$Q$66))</f>
        <v/>
      </c>
      <c r="F53" s="101" t="str">
        <f>IF(Calcu!$B47=FALSE,"",TEXT(Calcu!H47,Calcu!$Q$66))</f>
        <v/>
      </c>
      <c r="G53" s="101" t="str">
        <f>IF(Calcu!$B47=FALSE,"",TEXT(Calcu!I47,Calcu!$Q$66))</f>
        <v/>
      </c>
    </row>
    <row r="54" spans="2:7" ht="13.5" customHeight="1">
      <c r="B54" s="101" t="str">
        <f>Calcu!C48</f>
        <v/>
      </c>
      <c r="C54" s="101" t="str">
        <f>IF(Calcu!$B48=FALSE,"",TEXT(Calcu!E48,Calcu!$Q$66))</f>
        <v/>
      </c>
      <c r="D54" s="101" t="str">
        <f>IF(Calcu!$B48=FALSE,"",TEXT(Calcu!F48,Calcu!$Q$66))</f>
        <v/>
      </c>
      <c r="E54" s="101" t="str">
        <f>IF(Calcu!$B48=FALSE,"",TEXT(Calcu!G48,Calcu!$Q$66))</f>
        <v/>
      </c>
      <c r="F54" s="101" t="str">
        <f>IF(Calcu!$B48=FALSE,"",TEXT(Calcu!H48,Calcu!$Q$66))</f>
        <v/>
      </c>
      <c r="G54" s="101" t="str">
        <f>IF(Calcu!$B48=FALSE,"",TEXT(Calcu!I48,Calcu!$Q$66))</f>
        <v/>
      </c>
    </row>
    <row r="55" spans="2:7" ht="13.5" customHeight="1">
      <c r="B55" s="101" t="str">
        <f>Calcu!C49</f>
        <v/>
      </c>
      <c r="C55" s="101" t="str">
        <f>IF(Calcu!$B49=FALSE,"",TEXT(Calcu!E49,Calcu!$Q$66))</f>
        <v/>
      </c>
      <c r="D55" s="101" t="str">
        <f>IF(Calcu!$B49=FALSE,"",TEXT(Calcu!F49,Calcu!$Q$66))</f>
        <v/>
      </c>
      <c r="E55" s="101" t="str">
        <f>IF(Calcu!$B49=FALSE,"",TEXT(Calcu!G49,Calcu!$Q$66))</f>
        <v/>
      </c>
      <c r="F55" s="101" t="str">
        <f>IF(Calcu!$B49=FALSE,"",TEXT(Calcu!H49,Calcu!$Q$66))</f>
        <v/>
      </c>
      <c r="G55" s="101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44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19" width="1.77734375" style="56"/>
    <col min="20" max="20" width="1.77734375" style="56" customWidth="1"/>
    <col min="21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68" customFormat="1" ht="31.5">
      <c r="A1" s="67" t="s">
        <v>79</v>
      </c>
    </row>
    <row r="2" spans="1:44" s="68" customFormat="1" ht="18.75" customHeight="1"/>
    <row r="3" spans="1:44" s="68" customFormat="1" ht="18.75" customHeight="1">
      <c r="A3" s="69" t="s">
        <v>324</v>
      </c>
    </row>
    <row r="4" spans="1:44" s="68" customFormat="1" ht="18.75" customHeight="1">
      <c r="B4" s="455" t="s">
        <v>60</v>
      </c>
      <c r="C4" s="455"/>
      <c r="D4" s="455"/>
      <c r="E4" s="455"/>
      <c r="F4" s="455"/>
      <c r="G4" s="455"/>
      <c r="H4" s="456" t="s">
        <v>325</v>
      </c>
      <c r="I4" s="456"/>
      <c r="J4" s="456"/>
      <c r="K4" s="456"/>
      <c r="L4" s="456"/>
      <c r="M4" s="456"/>
      <c r="N4" s="455" t="s">
        <v>326</v>
      </c>
      <c r="O4" s="455"/>
      <c r="P4" s="455"/>
      <c r="Q4" s="455"/>
      <c r="R4" s="455"/>
      <c r="S4" s="455"/>
      <c r="T4" s="455" t="s">
        <v>327</v>
      </c>
      <c r="U4" s="455"/>
      <c r="V4" s="455"/>
      <c r="W4" s="455"/>
      <c r="X4" s="455"/>
      <c r="Y4" s="455"/>
      <c r="Z4" s="455" t="s">
        <v>549</v>
      </c>
      <c r="AA4" s="455"/>
      <c r="AB4" s="455"/>
      <c r="AC4" s="455"/>
      <c r="AD4" s="455"/>
      <c r="AE4" s="455"/>
    </row>
    <row r="5" spans="1:44" s="68" customFormat="1" ht="18.75" customHeight="1">
      <c r="B5" s="457">
        <f>Calcu!I3</f>
        <v>0</v>
      </c>
      <c r="C5" s="457"/>
      <c r="D5" s="457"/>
      <c r="E5" s="457"/>
      <c r="F5" s="457"/>
      <c r="G5" s="457"/>
      <c r="H5" s="458">
        <f>Calcu!J3</f>
        <v>1</v>
      </c>
      <c r="I5" s="458"/>
      <c r="J5" s="458"/>
      <c r="K5" s="458"/>
      <c r="L5" s="458"/>
      <c r="M5" s="458"/>
      <c r="N5" s="457" t="s">
        <v>328</v>
      </c>
      <c r="O5" s="457"/>
      <c r="P5" s="457"/>
      <c r="Q5" s="457"/>
      <c r="R5" s="457"/>
      <c r="S5" s="457"/>
      <c r="T5" s="457" t="e">
        <f ca="1">Calcu!B3</f>
        <v>#N/A</v>
      </c>
      <c r="U5" s="457"/>
      <c r="V5" s="457"/>
      <c r="W5" s="457"/>
      <c r="X5" s="457"/>
      <c r="Y5" s="457"/>
      <c r="Z5" s="457" t="str">
        <f>Calcu!G60</f>
        <v>높이 게이지/측정기</v>
      </c>
      <c r="AA5" s="457"/>
      <c r="AB5" s="457"/>
      <c r="AC5" s="457"/>
      <c r="AD5" s="457"/>
      <c r="AE5" s="457"/>
    </row>
    <row r="6" spans="1:44" s="68" customFormat="1" ht="18.75" customHeight="1"/>
    <row r="7" spans="1:44" ht="18.75" customHeight="1">
      <c r="A7" s="57" t="s">
        <v>329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</row>
    <row r="8" spans="1:44" ht="18.75" customHeight="1">
      <c r="A8" s="57"/>
      <c r="B8" s="446" t="s">
        <v>330</v>
      </c>
      <c r="C8" s="447"/>
      <c r="D8" s="447"/>
      <c r="E8" s="447"/>
      <c r="F8" s="448"/>
      <c r="G8" s="452" t="str">
        <f>N5&amp;" 지시값"</f>
        <v>높이 게이지/측정기 지시값</v>
      </c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  <c r="X8" s="453"/>
      <c r="Y8" s="453"/>
      <c r="Z8" s="453"/>
      <c r="AA8" s="453"/>
      <c r="AB8" s="453"/>
      <c r="AC8" s="453"/>
      <c r="AD8" s="453"/>
      <c r="AE8" s="454"/>
      <c r="AF8" s="446" t="s">
        <v>331</v>
      </c>
      <c r="AG8" s="447"/>
      <c r="AH8" s="447"/>
      <c r="AI8" s="447"/>
      <c r="AJ8" s="448"/>
      <c r="AK8" s="446" t="s">
        <v>244</v>
      </c>
      <c r="AL8" s="447"/>
      <c r="AM8" s="447"/>
      <c r="AN8" s="447"/>
      <c r="AO8" s="448"/>
    </row>
    <row r="9" spans="1:44" ht="18.75" customHeight="1">
      <c r="A9" s="57"/>
      <c r="B9" s="449"/>
      <c r="C9" s="450"/>
      <c r="D9" s="450"/>
      <c r="E9" s="450"/>
      <c r="F9" s="451"/>
      <c r="G9" s="452" t="s">
        <v>332</v>
      </c>
      <c r="H9" s="453"/>
      <c r="I9" s="453"/>
      <c r="J9" s="453"/>
      <c r="K9" s="454"/>
      <c r="L9" s="452" t="s">
        <v>333</v>
      </c>
      <c r="M9" s="453"/>
      <c r="N9" s="453"/>
      <c r="O9" s="453"/>
      <c r="P9" s="454"/>
      <c r="Q9" s="452" t="s">
        <v>334</v>
      </c>
      <c r="R9" s="453"/>
      <c r="S9" s="453"/>
      <c r="T9" s="453"/>
      <c r="U9" s="454"/>
      <c r="V9" s="452" t="s">
        <v>335</v>
      </c>
      <c r="W9" s="453"/>
      <c r="X9" s="453"/>
      <c r="Y9" s="453"/>
      <c r="Z9" s="454"/>
      <c r="AA9" s="452" t="s">
        <v>336</v>
      </c>
      <c r="AB9" s="453"/>
      <c r="AC9" s="453"/>
      <c r="AD9" s="453"/>
      <c r="AE9" s="454"/>
      <c r="AF9" s="449"/>
      <c r="AG9" s="450"/>
      <c r="AH9" s="450"/>
      <c r="AI9" s="450"/>
      <c r="AJ9" s="451"/>
      <c r="AK9" s="449"/>
      <c r="AL9" s="450"/>
      <c r="AM9" s="450"/>
      <c r="AN9" s="450"/>
      <c r="AO9" s="451"/>
    </row>
    <row r="10" spans="1:44" ht="18.75" customHeight="1">
      <c r="A10" s="57"/>
      <c r="B10" s="452" t="s">
        <v>338</v>
      </c>
      <c r="C10" s="453"/>
      <c r="D10" s="453"/>
      <c r="E10" s="453"/>
      <c r="F10" s="454"/>
      <c r="G10" s="452" t="str">
        <f>B10</f>
        <v>mm</v>
      </c>
      <c r="H10" s="453"/>
      <c r="I10" s="453"/>
      <c r="J10" s="453"/>
      <c r="K10" s="454"/>
      <c r="L10" s="452" t="str">
        <f>G10</f>
        <v>mm</v>
      </c>
      <c r="M10" s="453"/>
      <c r="N10" s="453"/>
      <c r="O10" s="453"/>
      <c r="P10" s="454"/>
      <c r="Q10" s="452" t="str">
        <f>L10</f>
        <v>mm</v>
      </c>
      <c r="R10" s="453"/>
      <c r="S10" s="453"/>
      <c r="T10" s="453"/>
      <c r="U10" s="454"/>
      <c r="V10" s="452" t="str">
        <f>Q10</f>
        <v>mm</v>
      </c>
      <c r="W10" s="453"/>
      <c r="X10" s="453"/>
      <c r="Y10" s="453"/>
      <c r="Z10" s="454"/>
      <c r="AA10" s="452" t="str">
        <f>V10</f>
        <v>mm</v>
      </c>
      <c r="AB10" s="453"/>
      <c r="AC10" s="453"/>
      <c r="AD10" s="453"/>
      <c r="AE10" s="454"/>
      <c r="AF10" s="452" t="s">
        <v>337</v>
      </c>
      <c r="AG10" s="453"/>
      <c r="AH10" s="453"/>
      <c r="AI10" s="453"/>
      <c r="AJ10" s="454"/>
      <c r="AK10" s="452" t="s">
        <v>338</v>
      </c>
      <c r="AL10" s="453"/>
      <c r="AM10" s="453"/>
      <c r="AN10" s="453"/>
      <c r="AO10" s="454"/>
    </row>
    <row r="11" spans="1:44" ht="18.75" customHeight="1">
      <c r="A11" s="57"/>
      <c r="B11" s="407" t="str">
        <f>Calcu!T9</f>
        <v/>
      </c>
      <c r="C11" s="408"/>
      <c r="D11" s="408"/>
      <c r="E11" s="408"/>
      <c r="F11" s="409"/>
      <c r="G11" s="407" t="str">
        <f>IF(Calcu!B9=TRUE,Calcu!E9*$H$5,"")</f>
        <v/>
      </c>
      <c r="H11" s="408"/>
      <c r="I11" s="408"/>
      <c r="J11" s="408"/>
      <c r="K11" s="409"/>
      <c r="L11" s="407" t="str">
        <f>IF(Calcu!B9=TRUE,Calcu!F9*H$5,"")</f>
        <v/>
      </c>
      <c r="M11" s="408"/>
      <c r="N11" s="408"/>
      <c r="O11" s="408"/>
      <c r="P11" s="409"/>
      <c r="Q11" s="407" t="str">
        <f>IF(Calcu!B9=TRUE,Calcu!G9*H$5,"")</f>
        <v/>
      </c>
      <c r="R11" s="408"/>
      <c r="S11" s="408"/>
      <c r="T11" s="408"/>
      <c r="U11" s="409"/>
      <c r="V11" s="407" t="str">
        <f>IF(Calcu!B9=TRUE,Calcu!H9*H$5,"")</f>
        <v/>
      </c>
      <c r="W11" s="408"/>
      <c r="X11" s="408"/>
      <c r="Y11" s="408"/>
      <c r="Z11" s="409"/>
      <c r="AA11" s="407" t="str">
        <f>IF(Calcu!B9=TRUE,Calcu!I9*H$5,"")</f>
        <v/>
      </c>
      <c r="AB11" s="408"/>
      <c r="AC11" s="408"/>
      <c r="AD11" s="408"/>
      <c r="AE11" s="409"/>
      <c r="AF11" s="407" t="str">
        <f>Calcu!M9</f>
        <v/>
      </c>
      <c r="AG11" s="408"/>
      <c r="AH11" s="408"/>
      <c r="AI11" s="408"/>
      <c r="AJ11" s="409"/>
      <c r="AK11" s="407" t="str">
        <f>Calcu!K9</f>
        <v/>
      </c>
      <c r="AL11" s="408"/>
      <c r="AM11" s="408"/>
      <c r="AN11" s="408"/>
      <c r="AO11" s="409"/>
    </row>
    <row r="12" spans="1:44" ht="18.75" customHeight="1">
      <c r="A12" s="57"/>
      <c r="B12" s="407" t="str">
        <f>Calcu!T10</f>
        <v/>
      </c>
      <c r="C12" s="408"/>
      <c r="D12" s="408"/>
      <c r="E12" s="408"/>
      <c r="F12" s="409"/>
      <c r="G12" s="407" t="str">
        <f>IF(Calcu!B10=TRUE,Calcu!E10*$H$5,"")</f>
        <v/>
      </c>
      <c r="H12" s="408"/>
      <c r="I12" s="408"/>
      <c r="J12" s="408"/>
      <c r="K12" s="409"/>
      <c r="L12" s="407" t="str">
        <f>IF(Calcu!B10=TRUE,Calcu!F10*H$5,"")</f>
        <v/>
      </c>
      <c r="M12" s="408"/>
      <c r="N12" s="408"/>
      <c r="O12" s="408"/>
      <c r="P12" s="409"/>
      <c r="Q12" s="407" t="str">
        <f>IF(Calcu!B10=TRUE,Calcu!G10*H$5,"")</f>
        <v/>
      </c>
      <c r="R12" s="408"/>
      <c r="S12" s="408"/>
      <c r="T12" s="408"/>
      <c r="U12" s="409"/>
      <c r="V12" s="407" t="str">
        <f>IF(Calcu!B10=TRUE,Calcu!H10*H$5,"")</f>
        <v/>
      </c>
      <c r="W12" s="408"/>
      <c r="X12" s="408"/>
      <c r="Y12" s="408"/>
      <c r="Z12" s="409"/>
      <c r="AA12" s="407" t="str">
        <f>IF(Calcu!B10=TRUE,Calcu!I10*H$5,"")</f>
        <v/>
      </c>
      <c r="AB12" s="408"/>
      <c r="AC12" s="408"/>
      <c r="AD12" s="408"/>
      <c r="AE12" s="409"/>
      <c r="AF12" s="407" t="str">
        <f>Calcu!M10</f>
        <v/>
      </c>
      <c r="AG12" s="408"/>
      <c r="AH12" s="408"/>
      <c r="AI12" s="408"/>
      <c r="AJ12" s="409"/>
      <c r="AK12" s="407" t="str">
        <f>Calcu!K10</f>
        <v/>
      </c>
      <c r="AL12" s="408"/>
      <c r="AM12" s="408"/>
      <c r="AN12" s="408"/>
      <c r="AO12" s="409"/>
    </row>
    <row r="13" spans="1:44" ht="18.75" customHeight="1">
      <c r="A13" s="57"/>
      <c r="B13" s="407" t="str">
        <f>Calcu!T11</f>
        <v/>
      </c>
      <c r="C13" s="408"/>
      <c r="D13" s="408"/>
      <c r="E13" s="408"/>
      <c r="F13" s="409"/>
      <c r="G13" s="407" t="str">
        <f>IF(Calcu!B11=TRUE,Calcu!E11*$H$5,"")</f>
        <v/>
      </c>
      <c r="H13" s="408"/>
      <c r="I13" s="408"/>
      <c r="J13" s="408"/>
      <c r="K13" s="409"/>
      <c r="L13" s="407" t="str">
        <f>IF(Calcu!B11=TRUE,Calcu!F11*H$5,"")</f>
        <v/>
      </c>
      <c r="M13" s="408"/>
      <c r="N13" s="408"/>
      <c r="O13" s="408"/>
      <c r="P13" s="409"/>
      <c r="Q13" s="407" t="str">
        <f>IF(Calcu!B11=TRUE,Calcu!G11*H$5,"")</f>
        <v/>
      </c>
      <c r="R13" s="408"/>
      <c r="S13" s="408"/>
      <c r="T13" s="408"/>
      <c r="U13" s="409"/>
      <c r="V13" s="407" t="str">
        <f>IF(Calcu!B11=TRUE,Calcu!H11*H$5,"")</f>
        <v/>
      </c>
      <c r="W13" s="408"/>
      <c r="X13" s="408"/>
      <c r="Y13" s="408"/>
      <c r="Z13" s="409"/>
      <c r="AA13" s="407" t="str">
        <f>IF(Calcu!B11=TRUE,Calcu!I11*H$5,"")</f>
        <v/>
      </c>
      <c r="AB13" s="408"/>
      <c r="AC13" s="408"/>
      <c r="AD13" s="408"/>
      <c r="AE13" s="409"/>
      <c r="AF13" s="407" t="str">
        <f>Calcu!M11</f>
        <v/>
      </c>
      <c r="AG13" s="408"/>
      <c r="AH13" s="408"/>
      <c r="AI13" s="408"/>
      <c r="AJ13" s="409"/>
      <c r="AK13" s="407" t="str">
        <f>Calcu!K11</f>
        <v/>
      </c>
      <c r="AL13" s="408"/>
      <c r="AM13" s="408"/>
      <c r="AN13" s="408"/>
      <c r="AO13" s="409"/>
    </row>
    <row r="14" spans="1:44" ht="18.75" customHeight="1">
      <c r="A14" s="57"/>
      <c r="B14" s="407" t="str">
        <f>Calcu!T12</f>
        <v/>
      </c>
      <c r="C14" s="408"/>
      <c r="D14" s="408"/>
      <c r="E14" s="408"/>
      <c r="F14" s="409"/>
      <c r="G14" s="407" t="str">
        <f>IF(Calcu!B12=TRUE,Calcu!E12*$H$5,"")</f>
        <v/>
      </c>
      <c r="H14" s="408"/>
      <c r="I14" s="408"/>
      <c r="J14" s="408"/>
      <c r="K14" s="409"/>
      <c r="L14" s="407" t="str">
        <f>IF(Calcu!B12=TRUE,Calcu!F12*H$5,"")</f>
        <v/>
      </c>
      <c r="M14" s="408"/>
      <c r="N14" s="408"/>
      <c r="O14" s="408"/>
      <c r="P14" s="409"/>
      <c r="Q14" s="407" t="str">
        <f>IF(Calcu!B12=TRUE,Calcu!G12*H$5,"")</f>
        <v/>
      </c>
      <c r="R14" s="408"/>
      <c r="S14" s="408"/>
      <c r="T14" s="408"/>
      <c r="U14" s="409"/>
      <c r="V14" s="407" t="str">
        <f>IF(Calcu!B12=TRUE,Calcu!H12*H$5,"")</f>
        <v/>
      </c>
      <c r="W14" s="408"/>
      <c r="X14" s="408"/>
      <c r="Y14" s="408"/>
      <c r="Z14" s="409"/>
      <c r="AA14" s="407" t="str">
        <f>IF(Calcu!B12=TRUE,Calcu!I12*H$5,"")</f>
        <v/>
      </c>
      <c r="AB14" s="408"/>
      <c r="AC14" s="408"/>
      <c r="AD14" s="408"/>
      <c r="AE14" s="409"/>
      <c r="AF14" s="407" t="str">
        <f>Calcu!M12</f>
        <v/>
      </c>
      <c r="AG14" s="408"/>
      <c r="AH14" s="408"/>
      <c r="AI14" s="408"/>
      <c r="AJ14" s="409"/>
      <c r="AK14" s="407" t="str">
        <f>Calcu!K12</f>
        <v/>
      </c>
      <c r="AL14" s="408"/>
      <c r="AM14" s="408"/>
      <c r="AN14" s="408"/>
      <c r="AO14" s="409"/>
    </row>
    <row r="15" spans="1:44" ht="18.75" customHeight="1">
      <c r="A15" s="57"/>
      <c r="B15" s="407" t="str">
        <f>Calcu!T13</f>
        <v/>
      </c>
      <c r="C15" s="408"/>
      <c r="D15" s="408"/>
      <c r="E15" s="408"/>
      <c r="F15" s="409"/>
      <c r="G15" s="407" t="str">
        <f>IF(Calcu!B13=TRUE,Calcu!E13*$H$5,"")</f>
        <v/>
      </c>
      <c r="H15" s="408"/>
      <c r="I15" s="408"/>
      <c r="J15" s="408"/>
      <c r="K15" s="409"/>
      <c r="L15" s="407" t="str">
        <f>IF(Calcu!B13=TRUE,Calcu!F13*H$5,"")</f>
        <v/>
      </c>
      <c r="M15" s="408"/>
      <c r="N15" s="408"/>
      <c r="O15" s="408"/>
      <c r="P15" s="409"/>
      <c r="Q15" s="407" t="str">
        <f>IF(Calcu!B13=TRUE,Calcu!G13*H$5,"")</f>
        <v/>
      </c>
      <c r="R15" s="408"/>
      <c r="S15" s="408"/>
      <c r="T15" s="408"/>
      <c r="U15" s="409"/>
      <c r="V15" s="407" t="str">
        <f>IF(Calcu!B13=TRUE,Calcu!H13*H$5,"")</f>
        <v/>
      </c>
      <c r="W15" s="408"/>
      <c r="X15" s="408"/>
      <c r="Y15" s="408"/>
      <c r="Z15" s="409"/>
      <c r="AA15" s="407" t="str">
        <f>IF(Calcu!B13=TRUE,Calcu!I13*H$5,"")</f>
        <v/>
      </c>
      <c r="AB15" s="408"/>
      <c r="AC15" s="408"/>
      <c r="AD15" s="408"/>
      <c r="AE15" s="409"/>
      <c r="AF15" s="407" t="str">
        <f>Calcu!M13</f>
        <v/>
      </c>
      <c r="AG15" s="408"/>
      <c r="AH15" s="408"/>
      <c r="AI15" s="408"/>
      <c r="AJ15" s="409"/>
      <c r="AK15" s="407" t="str">
        <f>Calcu!K13</f>
        <v/>
      </c>
      <c r="AL15" s="408"/>
      <c r="AM15" s="408"/>
      <c r="AN15" s="408"/>
      <c r="AO15" s="409"/>
    </row>
    <row r="16" spans="1:44" ht="18.75" customHeight="1">
      <c r="A16" s="57"/>
      <c r="B16" s="407" t="str">
        <f>Calcu!T14</f>
        <v/>
      </c>
      <c r="C16" s="408"/>
      <c r="D16" s="408"/>
      <c r="E16" s="408"/>
      <c r="F16" s="409"/>
      <c r="G16" s="407" t="str">
        <f>IF(Calcu!B14=TRUE,Calcu!E14*$H$5,"")</f>
        <v/>
      </c>
      <c r="H16" s="408"/>
      <c r="I16" s="408"/>
      <c r="J16" s="408"/>
      <c r="K16" s="409"/>
      <c r="L16" s="407" t="str">
        <f>IF(Calcu!B14=TRUE,Calcu!F14*H$5,"")</f>
        <v/>
      </c>
      <c r="M16" s="408"/>
      <c r="N16" s="408"/>
      <c r="O16" s="408"/>
      <c r="P16" s="409"/>
      <c r="Q16" s="407" t="str">
        <f>IF(Calcu!B14=TRUE,Calcu!G14*H$5,"")</f>
        <v/>
      </c>
      <c r="R16" s="408"/>
      <c r="S16" s="408"/>
      <c r="T16" s="408"/>
      <c r="U16" s="409"/>
      <c r="V16" s="407" t="str">
        <f>IF(Calcu!B14=TRUE,Calcu!H14*H$5,"")</f>
        <v/>
      </c>
      <c r="W16" s="408"/>
      <c r="X16" s="408"/>
      <c r="Y16" s="408"/>
      <c r="Z16" s="409"/>
      <c r="AA16" s="407" t="str">
        <f>IF(Calcu!B14=TRUE,Calcu!I14*H$5,"")</f>
        <v/>
      </c>
      <c r="AB16" s="408"/>
      <c r="AC16" s="408"/>
      <c r="AD16" s="408"/>
      <c r="AE16" s="409"/>
      <c r="AF16" s="407" t="str">
        <f>Calcu!M14</f>
        <v/>
      </c>
      <c r="AG16" s="408"/>
      <c r="AH16" s="408"/>
      <c r="AI16" s="408"/>
      <c r="AJ16" s="409"/>
      <c r="AK16" s="407" t="str">
        <f>Calcu!K14</f>
        <v/>
      </c>
      <c r="AL16" s="408"/>
      <c r="AM16" s="408"/>
      <c r="AN16" s="408"/>
      <c r="AO16" s="409"/>
    </row>
    <row r="17" spans="1:41" ht="18.75" customHeight="1">
      <c r="A17" s="57"/>
      <c r="B17" s="407" t="str">
        <f>Calcu!T15</f>
        <v/>
      </c>
      <c r="C17" s="408"/>
      <c r="D17" s="408"/>
      <c r="E17" s="408"/>
      <c r="F17" s="409"/>
      <c r="G17" s="407" t="str">
        <f>IF(Calcu!B15=TRUE,Calcu!E15*$H$5,"")</f>
        <v/>
      </c>
      <c r="H17" s="408"/>
      <c r="I17" s="408"/>
      <c r="J17" s="408"/>
      <c r="K17" s="409"/>
      <c r="L17" s="407" t="str">
        <f>IF(Calcu!B15=TRUE,Calcu!F15*H$5,"")</f>
        <v/>
      </c>
      <c r="M17" s="408"/>
      <c r="N17" s="408"/>
      <c r="O17" s="408"/>
      <c r="P17" s="409"/>
      <c r="Q17" s="407" t="str">
        <f>IF(Calcu!B15=TRUE,Calcu!G15*H$5,"")</f>
        <v/>
      </c>
      <c r="R17" s="408"/>
      <c r="S17" s="408"/>
      <c r="T17" s="408"/>
      <c r="U17" s="409"/>
      <c r="V17" s="407" t="str">
        <f>IF(Calcu!B15=TRUE,Calcu!H15*H$5,"")</f>
        <v/>
      </c>
      <c r="W17" s="408"/>
      <c r="X17" s="408"/>
      <c r="Y17" s="408"/>
      <c r="Z17" s="409"/>
      <c r="AA17" s="407" t="str">
        <f>IF(Calcu!B15=TRUE,Calcu!I15*H$5,"")</f>
        <v/>
      </c>
      <c r="AB17" s="408"/>
      <c r="AC17" s="408"/>
      <c r="AD17" s="408"/>
      <c r="AE17" s="409"/>
      <c r="AF17" s="407" t="str">
        <f>Calcu!M15</f>
        <v/>
      </c>
      <c r="AG17" s="408"/>
      <c r="AH17" s="408"/>
      <c r="AI17" s="408"/>
      <c r="AJ17" s="409"/>
      <c r="AK17" s="407" t="str">
        <f>Calcu!K15</f>
        <v/>
      </c>
      <c r="AL17" s="408"/>
      <c r="AM17" s="408"/>
      <c r="AN17" s="408"/>
      <c r="AO17" s="409"/>
    </row>
    <row r="18" spans="1:41" ht="18.75" customHeight="1">
      <c r="A18" s="57"/>
      <c r="B18" s="407" t="str">
        <f>Calcu!T16</f>
        <v/>
      </c>
      <c r="C18" s="408"/>
      <c r="D18" s="408"/>
      <c r="E18" s="408"/>
      <c r="F18" s="409"/>
      <c r="G18" s="407" t="str">
        <f>IF(Calcu!B16=TRUE,Calcu!E16*$H$5,"")</f>
        <v/>
      </c>
      <c r="H18" s="408"/>
      <c r="I18" s="408"/>
      <c r="J18" s="408"/>
      <c r="K18" s="409"/>
      <c r="L18" s="407" t="str">
        <f>IF(Calcu!B16=TRUE,Calcu!F16*H$5,"")</f>
        <v/>
      </c>
      <c r="M18" s="408"/>
      <c r="N18" s="408"/>
      <c r="O18" s="408"/>
      <c r="P18" s="409"/>
      <c r="Q18" s="407" t="str">
        <f>IF(Calcu!B16=TRUE,Calcu!G16*H$5,"")</f>
        <v/>
      </c>
      <c r="R18" s="408"/>
      <c r="S18" s="408"/>
      <c r="T18" s="408"/>
      <c r="U18" s="409"/>
      <c r="V18" s="407" t="str">
        <f>IF(Calcu!B16=TRUE,Calcu!H16*H$5,"")</f>
        <v/>
      </c>
      <c r="W18" s="408"/>
      <c r="X18" s="408"/>
      <c r="Y18" s="408"/>
      <c r="Z18" s="409"/>
      <c r="AA18" s="407" t="str">
        <f>IF(Calcu!B16=TRUE,Calcu!I16*H$5,"")</f>
        <v/>
      </c>
      <c r="AB18" s="408"/>
      <c r="AC18" s="408"/>
      <c r="AD18" s="408"/>
      <c r="AE18" s="409"/>
      <c r="AF18" s="407" t="str">
        <f>Calcu!M16</f>
        <v/>
      </c>
      <c r="AG18" s="408"/>
      <c r="AH18" s="408"/>
      <c r="AI18" s="408"/>
      <c r="AJ18" s="409"/>
      <c r="AK18" s="407" t="str">
        <f>Calcu!K16</f>
        <v/>
      </c>
      <c r="AL18" s="408"/>
      <c r="AM18" s="408"/>
      <c r="AN18" s="408"/>
      <c r="AO18" s="409"/>
    </row>
    <row r="19" spans="1:41" ht="18.75" customHeight="1">
      <c r="A19" s="57"/>
      <c r="B19" s="407" t="str">
        <f>Calcu!T17</f>
        <v/>
      </c>
      <c r="C19" s="408"/>
      <c r="D19" s="408"/>
      <c r="E19" s="408"/>
      <c r="F19" s="409"/>
      <c r="G19" s="407" t="str">
        <f>IF(Calcu!B17=TRUE,Calcu!E17*$H$5,"")</f>
        <v/>
      </c>
      <c r="H19" s="408"/>
      <c r="I19" s="408"/>
      <c r="J19" s="408"/>
      <c r="K19" s="409"/>
      <c r="L19" s="407" t="str">
        <f>IF(Calcu!B17=TRUE,Calcu!F17*H$5,"")</f>
        <v/>
      </c>
      <c r="M19" s="408"/>
      <c r="N19" s="408"/>
      <c r="O19" s="408"/>
      <c r="P19" s="409"/>
      <c r="Q19" s="407" t="str">
        <f>IF(Calcu!B17=TRUE,Calcu!G17*H$5,"")</f>
        <v/>
      </c>
      <c r="R19" s="408"/>
      <c r="S19" s="408"/>
      <c r="T19" s="408"/>
      <c r="U19" s="409"/>
      <c r="V19" s="407" t="str">
        <f>IF(Calcu!B17=TRUE,Calcu!H17*H$5,"")</f>
        <v/>
      </c>
      <c r="W19" s="408"/>
      <c r="X19" s="408"/>
      <c r="Y19" s="408"/>
      <c r="Z19" s="409"/>
      <c r="AA19" s="407" t="str">
        <f>IF(Calcu!B17=TRUE,Calcu!I17*H$5,"")</f>
        <v/>
      </c>
      <c r="AB19" s="408"/>
      <c r="AC19" s="408"/>
      <c r="AD19" s="408"/>
      <c r="AE19" s="409"/>
      <c r="AF19" s="407" t="str">
        <f>Calcu!M17</f>
        <v/>
      </c>
      <c r="AG19" s="408"/>
      <c r="AH19" s="408"/>
      <c r="AI19" s="408"/>
      <c r="AJ19" s="409"/>
      <c r="AK19" s="407" t="str">
        <f>Calcu!K17</f>
        <v/>
      </c>
      <c r="AL19" s="408"/>
      <c r="AM19" s="408"/>
      <c r="AN19" s="408"/>
      <c r="AO19" s="409"/>
    </row>
    <row r="20" spans="1:41" ht="18.75" customHeight="1">
      <c r="A20" s="57"/>
      <c r="B20" s="407" t="str">
        <f>Calcu!T18</f>
        <v/>
      </c>
      <c r="C20" s="408"/>
      <c r="D20" s="408"/>
      <c r="E20" s="408"/>
      <c r="F20" s="409"/>
      <c r="G20" s="407" t="str">
        <f>IF(Calcu!B18=TRUE,Calcu!E18*$H$5,"")</f>
        <v/>
      </c>
      <c r="H20" s="408"/>
      <c r="I20" s="408"/>
      <c r="J20" s="408"/>
      <c r="K20" s="409"/>
      <c r="L20" s="407" t="str">
        <f>IF(Calcu!B18=TRUE,Calcu!F18*H$5,"")</f>
        <v/>
      </c>
      <c r="M20" s="408"/>
      <c r="N20" s="408"/>
      <c r="O20" s="408"/>
      <c r="P20" s="409"/>
      <c r="Q20" s="407" t="str">
        <f>IF(Calcu!B18=TRUE,Calcu!G18*H$5,"")</f>
        <v/>
      </c>
      <c r="R20" s="408"/>
      <c r="S20" s="408"/>
      <c r="T20" s="408"/>
      <c r="U20" s="409"/>
      <c r="V20" s="407" t="str">
        <f>IF(Calcu!B18=TRUE,Calcu!H18*H$5,"")</f>
        <v/>
      </c>
      <c r="W20" s="408"/>
      <c r="X20" s="408"/>
      <c r="Y20" s="408"/>
      <c r="Z20" s="409"/>
      <c r="AA20" s="407" t="str">
        <f>IF(Calcu!B18=TRUE,Calcu!I18*H$5,"")</f>
        <v/>
      </c>
      <c r="AB20" s="408"/>
      <c r="AC20" s="408"/>
      <c r="AD20" s="408"/>
      <c r="AE20" s="409"/>
      <c r="AF20" s="407" t="str">
        <f>Calcu!M18</f>
        <v/>
      </c>
      <c r="AG20" s="408"/>
      <c r="AH20" s="408"/>
      <c r="AI20" s="408"/>
      <c r="AJ20" s="409"/>
      <c r="AK20" s="407" t="str">
        <f>Calcu!K18</f>
        <v/>
      </c>
      <c r="AL20" s="408"/>
      <c r="AM20" s="408"/>
      <c r="AN20" s="408"/>
      <c r="AO20" s="409"/>
    </row>
    <row r="21" spans="1:41" ht="18.75" customHeight="1">
      <c r="A21" s="57"/>
      <c r="B21" s="407" t="str">
        <f>Calcu!T19</f>
        <v/>
      </c>
      <c r="C21" s="408"/>
      <c r="D21" s="408"/>
      <c r="E21" s="408"/>
      <c r="F21" s="409"/>
      <c r="G21" s="407" t="str">
        <f>IF(Calcu!B19=TRUE,Calcu!E19*$H$5,"")</f>
        <v/>
      </c>
      <c r="H21" s="408"/>
      <c r="I21" s="408"/>
      <c r="J21" s="408"/>
      <c r="K21" s="409"/>
      <c r="L21" s="407" t="str">
        <f>IF(Calcu!B19=TRUE,Calcu!F19*H$5,"")</f>
        <v/>
      </c>
      <c r="M21" s="408"/>
      <c r="N21" s="408"/>
      <c r="O21" s="408"/>
      <c r="P21" s="409"/>
      <c r="Q21" s="407" t="str">
        <f>IF(Calcu!B19=TRUE,Calcu!G19*H$5,"")</f>
        <v/>
      </c>
      <c r="R21" s="408"/>
      <c r="S21" s="408"/>
      <c r="T21" s="408"/>
      <c r="U21" s="409"/>
      <c r="V21" s="407" t="str">
        <f>IF(Calcu!B19=TRUE,Calcu!H19*H$5,"")</f>
        <v/>
      </c>
      <c r="W21" s="408"/>
      <c r="X21" s="408"/>
      <c r="Y21" s="408"/>
      <c r="Z21" s="409"/>
      <c r="AA21" s="407" t="str">
        <f>IF(Calcu!B19=TRUE,Calcu!I19*H$5,"")</f>
        <v/>
      </c>
      <c r="AB21" s="408"/>
      <c r="AC21" s="408"/>
      <c r="AD21" s="408"/>
      <c r="AE21" s="409"/>
      <c r="AF21" s="407" t="str">
        <f>Calcu!M19</f>
        <v/>
      </c>
      <c r="AG21" s="408"/>
      <c r="AH21" s="408"/>
      <c r="AI21" s="408"/>
      <c r="AJ21" s="409"/>
      <c r="AK21" s="407" t="str">
        <f>Calcu!K19</f>
        <v/>
      </c>
      <c r="AL21" s="408"/>
      <c r="AM21" s="408"/>
      <c r="AN21" s="408"/>
      <c r="AO21" s="409"/>
    </row>
    <row r="22" spans="1:41" ht="18.75" customHeight="1">
      <c r="A22" s="57"/>
      <c r="B22" s="407" t="str">
        <f>Calcu!T20</f>
        <v/>
      </c>
      <c r="C22" s="408"/>
      <c r="D22" s="408"/>
      <c r="E22" s="408"/>
      <c r="F22" s="409"/>
      <c r="G22" s="407" t="str">
        <f>IF(Calcu!B20=TRUE,Calcu!E20*$H$5,"")</f>
        <v/>
      </c>
      <c r="H22" s="408"/>
      <c r="I22" s="408"/>
      <c r="J22" s="408"/>
      <c r="K22" s="409"/>
      <c r="L22" s="407" t="str">
        <f>IF(Calcu!B20=TRUE,Calcu!F20*H$5,"")</f>
        <v/>
      </c>
      <c r="M22" s="408"/>
      <c r="N22" s="408"/>
      <c r="O22" s="408"/>
      <c r="P22" s="409"/>
      <c r="Q22" s="407" t="str">
        <f>IF(Calcu!B20=TRUE,Calcu!G20*H$5,"")</f>
        <v/>
      </c>
      <c r="R22" s="408"/>
      <c r="S22" s="408"/>
      <c r="T22" s="408"/>
      <c r="U22" s="409"/>
      <c r="V22" s="407" t="str">
        <f>IF(Calcu!B20=TRUE,Calcu!H20*H$5,"")</f>
        <v/>
      </c>
      <c r="W22" s="408"/>
      <c r="X22" s="408"/>
      <c r="Y22" s="408"/>
      <c r="Z22" s="409"/>
      <c r="AA22" s="407" t="str">
        <f>IF(Calcu!B20=TRUE,Calcu!I20*H$5,"")</f>
        <v/>
      </c>
      <c r="AB22" s="408"/>
      <c r="AC22" s="408"/>
      <c r="AD22" s="408"/>
      <c r="AE22" s="409"/>
      <c r="AF22" s="407" t="str">
        <f>Calcu!M20</f>
        <v/>
      </c>
      <c r="AG22" s="408"/>
      <c r="AH22" s="408"/>
      <c r="AI22" s="408"/>
      <c r="AJ22" s="409"/>
      <c r="AK22" s="407" t="str">
        <f>Calcu!K20</f>
        <v/>
      </c>
      <c r="AL22" s="408"/>
      <c r="AM22" s="408"/>
      <c r="AN22" s="408"/>
      <c r="AO22" s="409"/>
    </row>
    <row r="23" spans="1:41" ht="18.75" customHeight="1">
      <c r="A23" s="57"/>
      <c r="B23" s="407" t="str">
        <f>Calcu!T21</f>
        <v/>
      </c>
      <c r="C23" s="408"/>
      <c r="D23" s="408"/>
      <c r="E23" s="408"/>
      <c r="F23" s="409"/>
      <c r="G23" s="407" t="str">
        <f>IF(Calcu!B21=TRUE,Calcu!E21*$H$5,"")</f>
        <v/>
      </c>
      <c r="H23" s="408"/>
      <c r="I23" s="408"/>
      <c r="J23" s="408"/>
      <c r="K23" s="409"/>
      <c r="L23" s="407" t="str">
        <f>IF(Calcu!B21=TRUE,Calcu!F21*H$5,"")</f>
        <v/>
      </c>
      <c r="M23" s="408"/>
      <c r="N23" s="408"/>
      <c r="O23" s="408"/>
      <c r="P23" s="409"/>
      <c r="Q23" s="407" t="str">
        <f>IF(Calcu!B21=TRUE,Calcu!G21*H$5,"")</f>
        <v/>
      </c>
      <c r="R23" s="408"/>
      <c r="S23" s="408"/>
      <c r="T23" s="408"/>
      <c r="U23" s="409"/>
      <c r="V23" s="407" t="str">
        <f>IF(Calcu!B21=TRUE,Calcu!H21*H$5,"")</f>
        <v/>
      </c>
      <c r="W23" s="408"/>
      <c r="X23" s="408"/>
      <c r="Y23" s="408"/>
      <c r="Z23" s="409"/>
      <c r="AA23" s="407" t="str">
        <f>IF(Calcu!B21=TRUE,Calcu!I21*H$5,"")</f>
        <v/>
      </c>
      <c r="AB23" s="408"/>
      <c r="AC23" s="408"/>
      <c r="AD23" s="408"/>
      <c r="AE23" s="409"/>
      <c r="AF23" s="407" t="str">
        <f>Calcu!M21</f>
        <v/>
      </c>
      <c r="AG23" s="408"/>
      <c r="AH23" s="408"/>
      <c r="AI23" s="408"/>
      <c r="AJ23" s="409"/>
      <c r="AK23" s="407" t="str">
        <f>Calcu!K21</f>
        <v/>
      </c>
      <c r="AL23" s="408"/>
      <c r="AM23" s="408"/>
      <c r="AN23" s="408"/>
      <c r="AO23" s="409"/>
    </row>
    <row r="24" spans="1:41" ht="18.75" customHeight="1">
      <c r="A24" s="57"/>
      <c r="B24" s="407" t="str">
        <f>Calcu!T22</f>
        <v/>
      </c>
      <c r="C24" s="408"/>
      <c r="D24" s="408"/>
      <c r="E24" s="408"/>
      <c r="F24" s="409"/>
      <c r="G24" s="407" t="str">
        <f>IF(Calcu!B22=TRUE,Calcu!E22*$H$5,"")</f>
        <v/>
      </c>
      <c r="H24" s="408"/>
      <c r="I24" s="408"/>
      <c r="J24" s="408"/>
      <c r="K24" s="409"/>
      <c r="L24" s="407" t="str">
        <f>IF(Calcu!B22=TRUE,Calcu!F22*H$5,"")</f>
        <v/>
      </c>
      <c r="M24" s="408"/>
      <c r="N24" s="408"/>
      <c r="O24" s="408"/>
      <c r="P24" s="409"/>
      <c r="Q24" s="407" t="str">
        <f>IF(Calcu!B22=TRUE,Calcu!G22*H$5,"")</f>
        <v/>
      </c>
      <c r="R24" s="408"/>
      <c r="S24" s="408"/>
      <c r="T24" s="408"/>
      <c r="U24" s="409"/>
      <c r="V24" s="407" t="str">
        <f>IF(Calcu!B22=TRUE,Calcu!H22*H$5,"")</f>
        <v/>
      </c>
      <c r="W24" s="408"/>
      <c r="X24" s="408"/>
      <c r="Y24" s="408"/>
      <c r="Z24" s="409"/>
      <c r="AA24" s="407" t="str">
        <f>IF(Calcu!B22=TRUE,Calcu!I22*H$5,"")</f>
        <v/>
      </c>
      <c r="AB24" s="408"/>
      <c r="AC24" s="408"/>
      <c r="AD24" s="408"/>
      <c r="AE24" s="409"/>
      <c r="AF24" s="407" t="str">
        <f>Calcu!M22</f>
        <v/>
      </c>
      <c r="AG24" s="408"/>
      <c r="AH24" s="408"/>
      <c r="AI24" s="408"/>
      <c r="AJ24" s="409"/>
      <c r="AK24" s="407" t="str">
        <f>Calcu!K22</f>
        <v/>
      </c>
      <c r="AL24" s="408"/>
      <c r="AM24" s="408"/>
      <c r="AN24" s="408"/>
      <c r="AO24" s="409"/>
    </row>
    <row r="25" spans="1:41" ht="18.75" customHeight="1">
      <c r="A25" s="57"/>
      <c r="B25" s="407" t="str">
        <f>Calcu!T23</f>
        <v/>
      </c>
      <c r="C25" s="408"/>
      <c r="D25" s="408"/>
      <c r="E25" s="408"/>
      <c r="F25" s="409"/>
      <c r="G25" s="407" t="str">
        <f>IF(Calcu!B23=TRUE,Calcu!E23*$H$5,"")</f>
        <v/>
      </c>
      <c r="H25" s="408"/>
      <c r="I25" s="408"/>
      <c r="J25" s="408"/>
      <c r="K25" s="409"/>
      <c r="L25" s="407" t="str">
        <f>IF(Calcu!B23=TRUE,Calcu!F23*H$5,"")</f>
        <v/>
      </c>
      <c r="M25" s="408"/>
      <c r="N25" s="408"/>
      <c r="O25" s="408"/>
      <c r="P25" s="409"/>
      <c r="Q25" s="407" t="str">
        <f>IF(Calcu!B23=TRUE,Calcu!G23*H$5,"")</f>
        <v/>
      </c>
      <c r="R25" s="408"/>
      <c r="S25" s="408"/>
      <c r="T25" s="408"/>
      <c r="U25" s="409"/>
      <c r="V25" s="407" t="str">
        <f>IF(Calcu!B23=TRUE,Calcu!H23*H$5,"")</f>
        <v/>
      </c>
      <c r="W25" s="408"/>
      <c r="X25" s="408"/>
      <c r="Y25" s="408"/>
      <c r="Z25" s="409"/>
      <c r="AA25" s="407" t="str">
        <f>IF(Calcu!B23=TRUE,Calcu!I23*H$5,"")</f>
        <v/>
      </c>
      <c r="AB25" s="408"/>
      <c r="AC25" s="408"/>
      <c r="AD25" s="408"/>
      <c r="AE25" s="409"/>
      <c r="AF25" s="407" t="str">
        <f>Calcu!M23</f>
        <v/>
      </c>
      <c r="AG25" s="408"/>
      <c r="AH25" s="408"/>
      <c r="AI25" s="408"/>
      <c r="AJ25" s="409"/>
      <c r="AK25" s="407" t="str">
        <f>Calcu!K23</f>
        <v/>
      </c>
      <c r="AL25" s="408"/>
      <c r="AM25" s="408"/>
      <c r="AN25" s="408"/>
      <c r="AO25" s="409"/>
    </row>
    <row r="26" spans="1:41" ht="18.75" customHeight="1">
      <c r="A26" s="57"/>
      <c r="B26" s="407" t="str">
        <f>Calcu!T24</f>
        <v/>
      </c>
      <c r="C26" s="408"/>
      <c r="D26" s="408"/>
      <c r="E26" s="408"/>
      <c r="F26" s="409"/>
      <c r="G26" s="407" t="str">
        <f>IF(Calcu!B24=TRUE,Calcu!E24*$H$5,"")</f>
        <v/>
      </c>
      <c r="H26" s="408"/>
      <c r="I26" s="408"/>
      <c r="J26" s="408"/>
      <c r="K26" s="409"/>
      <c r="L26" s="407" t="str">
        <f>IF(Calcu!B24=TRUE,Calcu!F24*H$5,"")</f>
        <v/>
      </c>
      <c r="M26" s="408"/>
      <c r="N26" s="408"/>
      <c r="O26" s="408"/>
      <c r="P26" s="409"/>
      <c r="Q26" s="407" t="str">
        <f>IF(Calcu!B24=TRUE,Calcu!G24*H$5,"")</f>
        <v/>
      </c>
      <c r="R26" s="408"/>
      <c r="S26" s="408"/>
      <c r="T26" s="408"/>
      <c r="U26" s="409"/>
      <c r="V26" s="407" t="str">
        <f>IF(Calcu!B24=TRUE,Calcu!H24*H$5,"")</f>
        <v/>
      </c>
      <c r="W26" s="408"/>
      <c r="X26" s="408"/>
      <c r="Y26" s="408"/>
      <c r="Z26" s="409"/>
      <c r="AA26" s="407" t="str">
        <f>IF(Calcu!B24=TRUE,Calcu!I24*H$5,"")</f>
        <v/>
      </c>
      <c r="AB26" s="408"/>
      <c r="AC26" s="408"/>
      <c r="AD26" s="408"/>
      <c r="AE26" s="409"/>
      <c r="AF26" s="407" t="str">
        <f>Calcu!M24</f>
        <v/>
      </c>
      <c r="AG26" s="408"/>
      <c r="AH26" s="408"/>
      <c r="AI26" s="408"/>
      <c r="AJ26" s="409"/>
      <c r="AK26" s="407" t="str">
        <f>Calcu!K24</f>
        <v/>
      </c>
      <c r="AL26" s="408"/>
      <c r="AM26" s="408"/>
      <c r="AN26" s="408"/>
      <c r="AO26" s="409"/>
    </row>
    <row r="27" spans="1:41" ht="18.75" customHeight="1">
      <c r="A27" s="57"/>
      <c r="B27" s="407" t="str">
        <f>Calcu!T25</f>
        <v/>
      </c>
      <c r="C27" s="408"/>
      <c r="D27" s="408"/>
      <c r="E27" s="408"/>
      <c r="F27" s="409"/>
      <c r="G27" s="407" t="str">
        <f>IF(Calcu!B25=TRUE,Calcu!E25*$H$5,"")</f>
        <v/>
      </c>
      <c r="H27" s="408"/>
      <c r="I27" s="408"/>
      <c r="J27" s="408"/>
      <c r="K27" s="409"/>
      <c r="L27" s="407" t="str">
        <f>IF(Calcu!B25=TRUE,Calcu!F25*H$5,"")</f>
        <v/>
      </c>
      <c r="M27" s="408"/>
      <c r="N27" s="408"/>
      <c r="O27" s="408"/>
      <c r="P27" s="409"/>
      <c r="Q27" s="407" t="str">
        <f>IF(Calcu!B25=TRUE,Calcu!G25*H$5,"")</f>
        <v/>
      </c>
      <c r="R27" s="408"/>
      <c r="S27" s="408"/>
      <c r="T27" s="408"/>
      <c r="U27" s="409"/>
      <c r="V27" s="407" t="str">
        <f>IF(Calcu!B25=TRUE,Calcu!H25*H$5,"")</f>
        <v/>
      </c>
      <c r="W27" s="408"/>
      <c r="X27" s="408"/>
      <c r="Y27" s="408"/>
      <c r="Z27" s="409"/>
      <c r="AA27" s="407" t="str">
        <f>IF(Calcu!B25=TRUE,Calcu!I25*H$5,"")</f>
        <v/>
      </c>
      <c r="AB27" s="408"/>
      <c r="AC27" s="408"/>
      <c r="AD27" s="408"/>
      <c r="AE27" s="409"/>
      <c r="AF27" s="407" t="str">
        <f>Calcu!M25</f>
        <v/>
      </c>
      <c r="AG27" s="408"/>
      <c r="AH27" s="408"/>
      <c r="AI27" s="408"/>
      <c r="AJ27" s="409"/>
      <c r="AK27" s="407" t="str">
        <f>Calcu!K25</f>
        <v/>
      </c>
      <c r="AL27" s="408"/>
      <c r="AM27" s="408"/>
      <c r="AN27" s="408"/>
      <c r="AO27" s="409"/>
    </row>
    <row r="28" spans="1:41" ht="18.75" customHeight="1">
      <c r="A28" s="57"/>
      <c r="B28" s="407" t="str">
        <f>Calcu!T26</f>
        <v/>
      </c>
      <c r="C28" s="408"/>
      <c r="D28" s="408"/>
      <c r="E28" s="408"/>
      <c r="F28" s="409"/>
      <c r="G28" s="407" t="str">
        <f>IF(Calcu!B26=TRUE,Calcu!E26*$H$5,"")</f>
        <v/>
      </c>
      <c r="H28" s="408"/>
      <c r="I28" s="408"/>
      <c r="J28" s="408"/>
      <c r="K28" s="409"/>
      <c r="L28" s="407" t="str">
        <f>IF(Calcu!B26=TRUE,Calcu!F26*H$5,"")</f>
        <v/>
      </c>
      <c r="M28" s="408"/>
      <c r="N28" s="408"/>
      <c r="O28" s="408"/>
      <c r="P28" s="409"/>
      <c r="Q28" s="407" t="str">
        <f>IF(Calcu!B26=TRUE,Calcu!G26*H$5,"")</f>
        <v/>
      </c>
      <c r="R28" s="408"/>
      <c r="S28" s="408"/>
      <c r="T28" s="408"/>
      <c r="U28" s="409"/>
      <c r="V28" s="407" t="str">
        <f>IF(Calcu!B26=TRUE,Calcu!H26*H$5,"")</f>
        <v/>
      </c>
      <c r="W28" s="408"/>
      <c r="X28" s="408"/>
      <c r="Y28" s="408"/>
      <c r="Z28" s="409"/>
      <c r="AA28" s="407" t="str">
        <f>IF(Calcu!B26=TRUE,Calcu!I26*H$5,"")</f>
        <v/>
      </c>
      <c r="AB28" s="408"/>
      <c r="AC28" s="408"/>
      <c r="AD28" s="408"/>
      <c r="AE28" s="409"/>
      <c r="AF28" s="407" t="str">
        <f>Calcu!M26</f>
        <v/>
      </c>
      <c r="AG28" s="408"/>
      <c r="AH28" s="408"/>
      <c r="AI28" s="408"/>
      <c r="AJ28" s="409"/>
      <c r="AK28" s="407" t="str">
        <f>Calcu!K26</f>
        <v/>
      </c>
      <c r="AL28" s="408"/>
      <c r="AM28" s="408"/>
      <c r="AN28" s="408"/>
      <c r="AO28" s="409"/>
    </row>
    <row r="29" spans="1:41" ht="18.75" customHeight="1">
      <c r="A29" s="57"/>
      <c r="B29" s="407" t="str">
        <f>Calcu!T27</f>
        <v/>
      </c>
      <c r="C29" s="408"/>
      <c r="D29" s="408"/>
      <c r="E29" s="408"/>
      <c r="F29" s="409"/>
      <c r="G29" s="407" t="str">
        <f>IF(Calcu!B27=TRUE,Calcu!E27*$H$5,"")</f>
        <v/>
      </c>
      <c r="H29" s="408"/>
      <c r="I29" s="408"/>
      <c r="J29" s="408"/>
      <c r="K29" s="409"/>
      <c r="L29" s="407" t="str">
        <f>IF(Calcu!B27=TRUE,Calcu!F27*H$5,"")</f>
        <v/>
      </c>
      <c r="M29" s="408"/>
      <c r="N29" s="408"/>
      <c r="O29" s="408"/>
      <c r="P29" s="409"/>
      <c r="Q29" s="407" t="str">
        <f>IF(Calcu!B27=TRUE,Calcu!G27*H$5,"")</f>
        <v/>
      </c>
      <c r="R29" s="408"/>
      <c r="S29" s="408"/>
      <c r="T29" s="408"/>
      <c r="U29" s="409"/>
      <c r="V29" s="407" t="str">
        <f>IF(Calcu!B27=TRUE,Calcu!H27*H$5,"")</f>
        <v/>
      </c>
      <c r="W29" s="408"/>
      <c r="X29" s="408"/>
      <c r="Y29" s="408"/>
      <c r="Z29" s="409"/>
      <c r="AA29" s="407" t="str">
        <f>IF(Calcu!B27=TRUE,Calcu!I27*H$5,"")</f>
        <v/>
      </c>
      <c r="AB29" s="408"/>
      <c r="AC29" s="408"/>
      <c r="AD29" s="408"/>
      <c r="AE29" s="409"/>
      <c r="AF29" s="407" t="str">
        <f>Calcu!M27</f>
        <v/>
      </c>
      <c r="AG29" s="408"/>
      <c r="AH29" s="408"/>
      <c r="AI29" s="408"/>
      <c r="AJ29" s="409"/>
      <c r="AK29" s="407" t="str">
        <f>Calcu!K27</f>
        <v/>
      </c>
      <c r="AL29" s="408"/>
      <c r="AM29" s="408"/>
      <c r="AN29" s="408"/>
      <c r="AO29" s="409"/>
    </row>
    <row r="30" spans="1:41" ht="18.75" customHeight="1">
      <c r="A30" s="57"/>
      <c r="B30" s="407" t="str">
        <f>Calcu!T28</f>
        <v/>
      </c>
      <c r="C30" s="408"/>
      <c r="D30" s="408"/>
      <c r="E30" s="408"/>
      <c r="F30" s="409"/>
      <c r="G30" s="407" t="str">
        <f>IF(Calcu!B28=TRUE,Calcu!E28*$H$5,"")</f>
        <v/>
      </c>
      <c r="H30" s="408"/>
      <c r="I30" s="408"/>
      <c r="J30" s="408"/>
      <c r="K30" s="409"/>
      <c r="L30" s="407" t="str">
        <f>IF(Calcu!B28=TRUE,Calcu!F28*H$5,"")</f>
        <v/>
      </c>
      <c r="M30" s="408"/>
      <c r="N30" s="408"/>
      <c r="O30" s="408"/>
      <c r="P30" s="409"/>
      <c r="Q30" s="407" t="str">
        <f>IF(Calcu!B28=TRUE,Calcu!G28*H$5,"")</f>
        <v/>
      </c>
      <c r="R30" s="408"/>
      <c r="S30" s="408"/>
      <c r="T30" s="408"/>
      <c r="U30" s="409"/>
      <c r="V30" s="407" t="str">
        <f>IF(Calcu!B28=TRUE,Calcu!H28*H$5,"")</f>
        <v/>
      </c>
      <c r="W30" s="408"/>
      <c r="X30" s="408"/>
      <c r="Y30" s="408"/>
      <c r="Z30" s="409"/>
      <c r="AA30" s="407" t="str">
        <f>IF(Calcu!B28=TRUE,Calcu!I28*H$5,"")</f>
        <v/>
      </c>
      <c r="AB30" s="408"/>
      <c r="AC30" s="408"/>
      <c r="AD30" s="408"/>
      <c r="AE30" s="409"/>
      <c r="AF30" s="407" t="str">
        <f>Calcu!M28</f>
        <v/>
      </c>
      <c r="AG30" s="408"/>
      <c r="AH30" s="408"/>
      <c r="AI30" s="408"/>
      <c r="AJ30" s="409"/>
      <c r="AK30" s="407" t="str">
        <f>Calcu!K28</f>
        <v/>
      </c>
      <c r="AL30" s="408"/>
      <c r="AM30" s="408"/>
      <c r="AN30" s="408"/>
      <c r="AO30" s="409"/>
    </row>
    <row r="31" spans="1:41" ht="18.75" customHeight="1">
      <c r="A31" s="57"/>
      <c r="B31" s="407" t="str">
        <f>Calcu!T29</f>
        <v/>
      </c>
      <c r="C31" s="408"/>
      <c r="D31" s="408"/>
      <c r="E31" s="408"/>
      <c r="F31" s="409"/>
      <c r="G31" s="407" t="str">
        <f>IF(Calcu!B29=TRUE,Calcu!E29*$H$5,"")</f>
        <v/>
      </c>
      <c r="H31" s="408"/>
      <c r="I31" s="408"/>
      <c r="J31" s="408"/>
      <c r="K31" s="409"/>
      <c r="L31" s="407" t="str">
        <f>IF(Calcu!B29=TRUE,Calcu!F29*H$5,"")</f>
        <v/>
      </c>
      <c r="M31" s="408"/>
      <c r="N31" s="408"/>
      <c r="O31" s="408"/>
      <c r="P31" s="409"/>
      <c r="Q31" s="407" t="str">
        <f>IF(Calcu!B29=TRUE,Calcu!G29*H$5,"")</f>
        <v/>
      </c>
      <c r="R31" s="408"/>
      <c r="S31" s="408"/>
      <c r="T31" s="408"/>
      <c r="U31" s="409"/>
      <c r="V31" s="407" t="str">
        <f>IF(Calcu!B29=TRUE,Calcu!H29*H$5,"")</f>
        <v/>
      </c>
      <c r="W31" s="408"/>
      <c r="X31" s="408"/>
      <c r="Y31" s="408"/>
      <c r="Z31" s="409"/>
      <c r="AA31" s="407" t="str">
        <f>IF(Calcu!B29=TRUE,Calcu!I29*H$5,"")</f>
        <v/>
      </c>
      <c r="AB31" s="408"/>
      <c r="AC31" s="408"/>
      <c r="AD31" s="408"/>
      <c r="AE31" s="409"/>
      <c r="AF31" s="407" t="str">
        <f>Calcu!M29</f>
        <v/>
      </c>
      <c r="AG31" s="408"/>
      <c r="AH31" s="408"/>
      <c r="AI31" s="408"/>
      <c r="AJ31" s="409"/>
      <c r="AK31" s="407" t="str">
        <f>Calcu!K29</f>
        <v/>
      </c>
      <c r="AL31" s="408"/>
      <c r="AM31" s="408"/>
      <c r="AN31" s="408"/>
      <c r="AO31" s="409"/>
    </row>
    <row r="32" spans="1:41" ht="18.75" customHeight="1">
      <c r="A32" s="57"/>
      <c r="B32" s="407" t="str">
        <f>Calcu!T30</f>
        <v/>
      </c>
      <c r="C32" s="408"/>
      <c r="D32" s="408"/>
      <c r="E32" s="408"/>
      <c r="F32" s="409"/>
      <c r="G32" s="407" t="str">
        <f>IF(Calcu!B30=TRUE,Calcu!E30*$H$5,"")</f>
        <v/>
      </c>
      <c r="H32" s="408"/>
      <c r="I32" s="408"/>
      <c r="J32" s="408"/>
      <c r="K32" s="409"/>
      <c r="L32" s="407" t="str">
        <f>IF(Calcu!B30=TRUE,Calcu!F30*H$5,"")</f>
        <v/>
      </c>
      <c r="M32" s="408"/>
      <c r="N32" s="408"/>
      <c r="O32" s="408"/>
      <c r="P32" s="409"/>
      <c r="Q32" s="407" t="str">
        <f>IF(Calcu!B30=TRUE,Calcu!G30*H$5,"")</f>
        <v/>
      </c>
      <c r="R32" s="408"/>
      <c r="S32" s="408"/>
      <c r="T32" s="408"/>
      <c r="U32" s="409"/>
      <c r="V32" s="407" t="str">
        <f>IF(Calcu!B30=TRUE,Calcu!H30*H$5,"")</f>
        <v/>
      </c>
      <c r="W32" s="408"/>
      <c r="X32" s="408"/>
      <c r="Y32" s="408"/>
      <c r="Z32" s="409"/>
      <c r="AA32" s="407" t="str">
        <f>IF(Calcu!B30=TRUE,Calcu!I30*H$5,"")</f>
        <v/>
      </c>
      <c r="AB32" s="408"/>
      <c r="AC32" s="408"/>
      <c r="AD32" s="408"/>
      <c r="AE32" s="409"/>
      <c r="AF32" s="407" t="str">
        <f>Calcu!M30</f>
        <v/>
      </c>
      <c r="AG32" s="408"/>
      <c r="AH32" s="408"/>
      <c r="AI32" s="408"/>
      <c r="AJ32" s="409"/>
      <c r="AK32" s="407" t="str">
        <f>Calcu!K30</f>
        <v/>
      </c>
      <c r="AL32" s="408"/>
      <c r="AM32" s="408"/>
      <c r="AN32" s="408"/>
      <c r="AO32" s="409"/>
    </row>
    <row r="33" spans="1:41" ht="18.75" customHeight="1">
      <c r="A33" s="57"/>
      <c r="B33" s="407" t="str">
        <f>Calcu!T31</f>
        <v/>
      </c>
      <c r="C33" s="408"/>
      <c r="D33" s="408"/>
      <c r="E33" s="408"/>
      <c r="F33" s="409"/>
      <c r="G33" s="407" t="str">
        <f>IF(Calcu!B31=TRUE,Calcu!E31*$H$5,"")</f>
        <v/>
      </c>
      <c r="H33" s="408"/>
      <c r="I33" s="408"/>
      <c r="J33" s="408"/>
      <c r="K33" s="409"/>
      <c r="L33" s="407" t="str">
        <f>IF(Calcu!B31=TRUE,Calcu!F31*H$5,"")</f>
        <v/>
      </c>
      <c r="M33" s="408"/>
      <c r="N33" s="408"/>
      <c r="O33" s="408"/>
      <c r="P33" s="409"/>
      <c r="Q33" s="407" t="str">
        <f>IF(Calcu!B31=TRUE,Calcu!G31*H$5,"")</f>
        <v/>
      </c>
      <c r="R33" s="408"/>
      <c r="S33" s="408"/>
      <c r="T33" s="408"/>
      <c r="U33" s="409"/>
      <c r="V33" s="407" t="str">
        <f>IF(Calcu!B31=TRUE,Calcu!H31*H$5,"")</f>
        <v/>
      </c>
      <c r="W33" s="408"/>
      <c r="X33" s="408"/>
      <c r="Y33" s="408"/>
      <c r="Z33" s="409"/>
      <c r="AA33" s="407" t="str">
        <f>IF(Calcu!B31=TRUE,Calcu!I31*H$5,"")</f>
        <v/>
      </c>
      <c r="AB33" s="408"/>
      <c r="AC33" s="408"/>
      <c r="AD33" s="408"/>
      <c r="AE33" s="409"/>
      <c r="AF33" s="407" t="str">
        <f>Calcu!M31</f>
        <v/>
      </c>
      <c r="AG33" s="408"/>
      <c r="AH33" s="408"/>
      <c r="AI33" s="408"/>
      <c r="AJ33" s="409"/>
      <c r="AK33" s="407" t="str">
        <f>Calcu!K31</f>
        <v/>
      </c>
      <c r="AL33" s="408"/>
      <c r="AM33" s="408"/>
      <c r="AN33" s="408"/>
      <c r="AO33" s="409"/>
    </row>
    <row r="34" spans="1:41" ht="18.75" customHeight="1">
      <c r="A34" s="57"/>
      <c r="B34" s="407" t="str">
        <f>Calcu!T32</f>
        <v/>
      </c>
      <c r="C34" s="408"/>
      <c r="D34" s="408"/>
      <c r="E34" s="408"/>
      <c r="F34" s="409"/>
      <c r="G34" s="407" t="str">
        <f>IF(Calcu!B32=TRUE,Calcu!E32*$H$5,"")</f>
        <v/>
      </c>
      <c r="H34" s="408"/>
      <c r="I34" s="408"/>
      <c r="J34" s="408"/>
      <c r="K34" s="409"/>
      <c r="L34" s="407" t="str">
        <f>IF(Calcu!B32=TRUE,Calcu!F32*H$5,"")</f>
        <v/>
      </c>
      <c r="M34" s="408"/>
      <c r="N34" s="408"/>
      <c r="O34" s="408"/>
      <c r="P34" s="409"/>
      <c r="Q34" s="407" t="str">
        <f>IF(Calcu!B32=TRUE,Calcu!G32*H$5,"")</f>
        <v/>
      </c>
      <c r="R34" s="408"/>
      <c r="S34" s="408"/>
      <c r="T34" s="408"/>
      <c r="U34" s="409"/>
      <c r="V34" s="407" t="str">
        <f>IF(Calcu!B32=TRUE,Calcu!H32*H$5,"")</f>
        <v/>
      </c>
      <c r="W34" s="408"/>
      <c r="X34" s="408"/>
      <c r="Y34" s="408"/>
      <c r="Z34" s="409"/>
      <c r="AA34" s="407" t="str">
        <f>IF(Calcu!B32=TRUE,Calcu!I32*H$5,"")</f>
        <v/>
      </c>
      <c r="AB34" s="408"/>
      <c r="AC34" s="408"/>
      <c r="AD34" s="408"/>
      <c r="AE34" s="409"/>
      <c r="AF34" s="407" t="str">
        <f>Calcu!M32</f>
        <v/>
      </c>
      <c r="AG34" s="408"/>
      <c r="AH34" s="408"/>
      <c r="AI34" s="408"/>
      <c r="AJ34" s="409"/>
      <c r="AK34" s="407" t="str">
        <f>Calcu!K32</f>
        <v/>
      </c>
      <c r="AL34" s="408"/>
      <c r="AM34" s="408"/>
      <c r="AN34" s="408"/>
      <c r="AO34" s="409"/>
    </row>
    <row r="35" spans="1:41" ht="18.75" customHeight="1">
      <c r="A35" s="57"/>
      <c r="B35" s="407" t="str">
        <f>Calcu!T33</f>
        <v/>
      </c>
      <c r="C35" s="408"/>
      <c r="D35" s="408"/>
      <c r="E35" s="408"/>
      <c r="F35" s="409"/>
      <c r="G35" s="407" t="str">
        <f>IF(Calcu!B33=TRUE,Calcu!E33*$H$5,"")</f>
        <v/>
      </c>
      <c r="H35" s="408"/>
      <c r="I35" s="408"/>
      <c r="J35" s="408"/>
      <c r="K35" s="409"/>
      <c r="L35" s="407" t="str">
        <f>IF(Calcu!B33=TRUE,Calcu!F33*H$5,"")</f>
        <v/>
      </c>
      <c r="M35" s="408"/>
      <c r="N35" s="408"/>
      <c r="O35" s="408"/>
      <c r="P35" s="409"/>
      <c r="Q35" s="407" t="str">
        <f>IF(Calcu!B33=TRUE,Calcu!G33*H$5,"")</f>
        <v/>
      </c>
      <c r="R35" s="408"/>
      <c r="S35" s="408"/>
      <c r="T35" s="408"/>
      <c r="U35" s="409"/>
      <c r="V35" s="407" t="str">
        <f>IF(Calcu!B33=TRUE,Calcu!H33*H$5,"")</f>
        <v/>
      </c>
      <c r="W35" s="408"/>
      <c r="X35" s="408"/>
      <c r="Y35" s="408"/>
      <c r="Z35" s="409"/>
      <c r="AA35" s="407" t="str">
        <f>IF(Calcu!B33=TRUE,Calcu!I33*H$5,"")</f>
        <v/>
      </c>
      <c r="AB35" s="408"/>
      <c r="AC35" s="408"/>
      <c r="AD35" s="408"/>
      <c r="AE35" s="409"/>
      <c r="AF35" s="407" t="str">
        <f>Calcu!M33</f>
        <v/>
      </c>
      <c r="AG35" s="408"/>
      <c r="AH35" s="408"/>
      <c r="AI35" s="408"/>
      <c r="AJ35" s="409"/>
      <c r="AK35" s="407" t="str">
        <f>Calcu!K33</f>
        <v/>
      </c>
      <c r="AL35" s="408"/>
      <c r="AM35" s="408"/>
      <c r="AN35" s="408"/>
      <c r="AO35" s="409"/>
    </row>
    <row r="36" spans="1:41" ht="18.75" customHeight="1">
      <c r="A36" s="57"/>
      <c r="B36" s="407" t="str">
        <f>Calcu!T34</f>
        <v/>
      </c>
      <c r="C36" s="408"/>
      <c r="D36" s="408"/>
      <c r="E36" s="408"/>
      <c r="F36" s="409"/>
      <c r="G36" s="407" t="str">
        <f>IF(Calcu!B34=TRUE,Calcu!E34*$H$5,"")</f>
        <v/>
      </c>
      <c r="H36" s="408"/>
      <c r="I36" s="408"/>
      <c r="J36" s="408"/>
      <c r="K36" s="409"/>
      <c r="L36" s="407" t="str">
        <f>IF(Calcu!B34=TRUE,Calcu!F34*H$5,"")</f>
        <v/>
      </c>
      <c r="M36" s="408"/>
      <c r="N36" s="408"/>
      <c r="O36" s="408"/>
      <c r="P36" s="409"/>
      <c r="Q36" s="407" t="str">
        <f>IF(Calcu!B34=TRUE,Calcu!G34*H$5,"")</f>
        <v/>
      </c>
      <c r="R36" s="408"/>
      <c r="S36" s="408"/>
      <c r="T36" s="408"/>
      <c r="U36" s="409"/>
      <c r="V36" s="407" t="str">
        <f>IF(Calcu!B34=TRUE,Calcu!H34*H$5,"")</f>
        <v/>
      </c>
      <c r="W36" s="408"/>
      <c r="X36" s="408"/>
      <c r="Y36" s="408"/>
      <c r="Z36" s="409"/>
      <c r="AA36" s="407" t="str">
        <f>IF(Calcu!B34=TRUE,Calcu!I34*H$5,"")</f>
        <v/>
      </c>
      <c r="AB36" s="408"/>
      <c r="AC36" s="408"/>
      <c r="AD36" s="408"/>
      <c r="AE36" s="409"/>
      <c r="AF36" s="407" t="str">
        <f>Calcu!M34</f>
        <v/>
      </c>
      <c r="AG36" s="408"/>
      <c r="AH36" s="408"/>
      <c r="AI36" s="408"/>
      <c r="AJ36" s="409"/>
      <c r="AK36" s="407" t="str">
        <f>Calcu!K34</f>
        <v/>
      </c>
      <c r="AL36" s="408"/>
      <c r="AM36" s="408"/>
      <c r="AN36" s="408"/>
      <c r="AO36" s="409"/>
    </row>
    <row r="37" spans="1:41" ht="18.75" customHeight="1">
      <c r="A37" s="57"/>
      <c r="B37" s="407" t="str">
        <f>Calcu!T35</f>
        <v/>
      </c>
      <c r="C37" s="408"/>
      <c r="D37" s="408"/>
      <c r="E37" s="408"/>
      <c r="F37" s="409"/>
      <c r="G37" s="407" t="str">
        <f>IF(Calcu!B35=TRUE,Calcu!E35*$H$5,"")</f>
        <v/>
      </c>
      <c r="H37" s="408"/>
      <c r="I37" s="408"/>
      <c r="J37" s="408"/>
      <c r="K37" s="409"/>
      <c r="L37" s="407" t="str">
        <f>IF(Calcu!B35=TRUE,Calcu!F35*H$5,"")</f>
        <v/>
      </c>
      <c r="M37" s="408"/>
      <c r="N37" s="408"/>
      <c r="O37" s="408"/>
      <c r="P37" s="409"/>
      <c r="Q37" s="407" t="str">
        <f>IF(Calcu!B35=TRUE,Calcu!G35*H$5,"")</f>
        <v/>
      </c>
      <c r="R37" s="408"/>
      <c r="S37" s="408"/>
      <c r="T37" s="408"/>
      <c r="U37" s="409"/>
      <c r="V37" s="407" t="str">
        <f>IF(Calcu!B35=TRUE,Calcu!H35*H$5,"")</f>
        <v/>
      </c>
      <c r="W37" s="408"/>
      <c r="X37" s="408"/>
      <c r="Y37" s="408"/>
      <c r="Z37" s="409"/>
      <c r="AA37" s="407" t="str">
        <f>IF(Calcu!B35=TRUE,Calcu!I35*H$5,"")</f>
        <v/>
      </c>
      <c r="AB37" s="408"/>
      <c r="AC37" s="408"/>
      <c r="AD37" s="408"/>
      <c r="AE37" s="409"/>
      <c r="AF37" s="407" t="str">
        <f>Calcu!M35</f>
        <v/>
      </c>
      <c r="AG37" s="408"/>
      <c r="AH37" s="408"/>
      <c r="AI37" s="408"/>
      <c r="AJ37" s="409"/>
      <c r="AK37" s="407" t="str">
        <f>Calcu!K35</f>
        <v/>
      </c>
      <c r="AL37" s="408"/>
      <c r="AM37" s="408"/>
      <c r="AN37" s="408"/>
      <c r="AO37" s="409"/>
    </row>
    <row r="38" spans="1:41" ht="18.75" customHeight="1">
      <c r="A38" s="57"/>
      <c r="B38" s="407" t="str">
        <f>Calcu!T36</f>
        <v/>
      </c>
      <c r="C38" s="408"/>
      <c r="D38" s="408"/>
      <c r="E38" s="408"/>
      <c r="F38" s="409"/>
      <c r="G38" s="407" t="str">
        <f>IF(Calcu!B36=TRUE,Calcu!E36*$H$5,"")</f>
        <v/>
      </c>
      <c r="H38" s="408"/>
      <c r="I38" s="408"/>
      <c r="J38" s="408"/>
      <c r="K38" s="409"/>
      <c r="L38" s="407" t="str">
        <f>IF(Calcu!B36=TRUE,Calcu!F36*H$5,"")</f>
        <v/>
      </c>
      <c r="M38" s="408"/>
      <c r="N38" s="408"/>
      <c r="O38" s="408"/>
      <c r="P38" s="409"/>
      <c r="Q38" s="407" t="str">
        <f>IF(Calcu!B36=TRUE,Calcu!G36*H$5,"")</f>
        <v/>
      </c>
      <c r="R38" s="408"/>
      <c r="S38" s="408"/>
      <c r="T38" s="408"/>
      <c r="U38" s="409"/>
      <c r="V38" s="407" t="str">
        <f>IF(Calcu!B36=TRUE,Calcu!H36*H$5,"")</f>
        <v/>
      </c>
      <c r="W38" s="408"/>
      <c r="X38" s="408"/>
      <c r="Y38" s="408"/>
      <c r="Z38" s="409"/>
      <c r="AA38" s="407" t="str">
        <f>IF(Calcu!B36=TRUE,Calcu!I36*H$5,"")</f>
        <v/>
      </c>
      <c r="AB38" s="408"/>
      <c r="AC38" s="408"/>
      <c r="AD38" s="408"/>
      <c r="AE38" s="409"/>
      <c r="AF38" s="407" t="str">
        <f>Calcu!M36</f>
        <v/>
      </c>
      <c r="AG38" s="408"/>
      <c r="AH38" s="408"/>
      <c r="AI38" s="408"/>
      <c r="AJ38" s="409"/>
      <c r="AK38" s="407" t="str">
        <f>Calcu!K36</f>
        <v/>
      </c>
      <c r="AL38" s="408"/>
      <c r="AM38" s="408"/>
      <c r="AN38" s="408"/>
      <c r="AO38" s="409"/>
    </row>
    <row r="39" spans="1:41" ht="18.75" customHeight="1">
      <c r="A39" s="57"/>
      <c r="B39" s="407" t="str">
        <f>Calcu!T37</f>
        <v/>
      </c>
      <c r="C39" s="408"/>
      <c r="D39" s="408"/>
      <c r="E39" s="408"/>
      <c r="F39" s="409"/>
      <c r="G39" s="407" t="str">
        <f>IF(Calcu!B37=TRUE,Calcu!E37*$H$5,"")</f>
        <v/>
      </c>
      <c r="H39" s="408"/>
      <c r="I39" s="408"/>
      <c r="J39" s="408"/>
      <c r="K39" s="409"/>
      <c r="L39" s="407" t="str">
        <f>IF(Calcu!B37=TRUE,Calcu!F37*H$5,"")</f>
        <v/>
      </c>
      <c r="M39" s="408"/>
      <c r="N39" s="408"/>
      <c r="O39" s="408"/>
      <c r="P39" s="409"/>
      <c r="Q39" s="407" t="str">
        <f>IF(Calcu!B37=TRUE,Calcu!G37*H$5,"")</f>
        <v/>
      </c>
      <c r="R39" s="408"/>
      <c r="S39" s="408"/>
      <c r="T39" s="408"/>
      <c r="U39" s="409"/>
      <c r="V39" s="407" t="str">
        <f>IF(Calcu!B37=TRUE,Calcu!H37*H$5,"")</f>
        <v/>
      </c>
      <c r="W39" s="408"/>
      <c r="X39" s="408"/>
      <c r="Y39" s="408"/>
      <c r="Z39" s="409"/>
      <c r="AA39" s="407" t="str">
        <f>IF(Calcu!B37=TRUE,Calcu!I37*H$5,"")</f>
        <v/>
      </c>
      <c r="AB39" s="408"/>
      <c r="AC39" s="408"/>
      <c r="AD39" s="408"/>
      <c r="AE39" s="409"/>
      <c r="AF39" s="407" t="str">
        <f>Calcu!M37</f>
        <v/>
      </c>
      <c r="AG39" s="408"/>
      <c r="AH39" s="408"/>
      <c r="AI39" s="408"/>
      <c r="AJ39" s="409"/>
      <c r="AK39" s="407" t="str">
        <f>Calcu!K37</f>
        <v/>
      </c>
      <c r="AL39" s="408"/>
      <c r="AM39" s="408"/>
      <c r="AN39" s="408"/>
      <c r="AO39" s="409"/>
    </row>
    <row r="40" spans="1:41" ht="18.75" customHeight="1">
      <c r="A40" s="57"/>
      <c r="B40" s="407" t="str">
        <f>Calcu!T38</f>
        <v/>
      </c>
      <c r="C40" s="408"/>
      <c r="D40" s="408"/>
      <c r="E40" s="408"/>
      <c r="F40" s="409"/>
      <c r="G40" s="407" t="str">
        <f>IF(Calcu!B38=TRUE,Calcu!E38*$H$5,"")</f>
        <v/>
      </c>
      <c r="H40" s="408"/>
      <c r="I40" s="408"/>
      <c r="J40" s="408"/>
      <c r="K40" s="409"/>
      <c r="L40" s="407" t="str">
        <f>IF(Calcu!B38=TRUE,Calcu!F38*H$5,"")</f>
        <v/>
      </c>
      <c r="M40" s="408"/>
      <c r="N40" s="408"/>
      <c r="O40" s="408"/>
      <c r="P40" s="409"/>
      <c r="Q40" s="407" t="str">
        <f>IF(Calcu!B38=TRUE,Calcu!G38*H$5,"")</f>
        <v/>
      </c>
      <c r="R40" s="408"/>
      <c r="S40" s="408"/>
      <c r="T40" s="408"/>
      <c r="U40" s="409"/>
      <c r="V40" s="407" t="str">
        <f>IF(Calcu!B38=TRUE,Calcu!H38*H$5,"")</f>
        <v/>
      </c>
      <c r="W40" s="408"/>
      <c r="X40" s="408"/>
      <c r="Y40" s="408"/>
      <c r="Z40" s="409"/>
      <c r="AA40" s="407" t="str">
        <f>IF(Calcu!B38=TRUE,Calcu!I38*H$5,"")</f>
        <v/>
      </c>
      <c r="AB40" s="408"/>
      <c r="AC40" s="408"/>
      <c r="AD40" s="408"/>
      <c r="AE40" s="409"/>
      <c r="AF40" s="407" t="str">
        <f>Calcu!M38</f>
        <v/>
      </c>
      <c r="AG40" s="408"/>
      <c r="AH40" s="408"/>
      <c r="AI40" s="408"/>
      <c r="AJ40" s="409"/>
      <c r="AK40" s="407" t="str">
        <f>Calcu!K38</f>
        <v/>
      </c>
      <c r="AL40" s="408"/>
      <c r="AM40" s="408"/>
      <c r="AN40" s="408"/>
      <c r="AO40" s="409"/>
    </row>
    <row r="41" spans="1:41" ht="18.75" customHeight="1">
      <c r="A41" s="57"/>
      <c r="B41" s="407" t="str">
        <f>Calcu!T39</f>
        <v/>
      </c>
      <c r="C41" s="408"/>
      <c r="D41" s="408"/>
      <c r="E41" s="408"/>
      <c r="F41" s="409"/>
      <c r="G41" s="407" t="str">
        <f>IF(Calcu!B39=TRUE,Calcu!E39*$H$5,"")</f>
        <v/>
      </c>
      <c r="H41" s="408"/>
      <c r="I41" s="408"/>
      <c r="J41" s="408"/>
      <c r="K41" s="409"/>
      <c r="L41" s="407" t="str">
        <f>IF(Calcu!B39=TRUE,Calcu!F39*H$5,"")</f>
        <v/>
      </c>
      <c r="M41" s="408"/>
      <c r="N41" s="408"/>
      <c r="O41" s="408"/>
      <c r="P41" s="409"/>
      <c r="Q41" s="407" t="str">
        <f>IF(Calcu!B39=TRUE,Calcu!G39*H$5,"")</f>
        <v/>
      </c>
      <c r="R41" s="408"/>
      <c r="S41" s="408"/>
      <c r="T41" s="408"/>
      <c r="U41" s="409"/>
      <c r="V41" s="407" t="str">
        <f>IF(Calcu!B39=TRUE,Calcu!H39*H$5,"")</f>
        <v/>
      </c>
      <c r="W41" s="408"/>
      <c r="X41" s="408"/>
      <c r="Y41" s="408"/>
      <c r="Z41" s="409"/>
      <c r="AA41" s="407" t="str">
        <f>IF(Calcu!B39=TRUE,Calcu!I39*H$5,"")</f>
        <v/>
      </c>
      <c r="AB41" s="408"/>
      <c r="AC41" s="408"/>
      <c r="AD41" s="408"/>
      <c r="AE41" s="409"/>
      <c r="AF41" s="407" t="str">
        <f>Calcu!M39</f>
        <v/>
      </c>
      <c r="AG41" s="408"/>
      <c r="AH41" s="408"/>
      <c r="AI41" s="408"/>
      <c r="AJ41" s="409"/>
      <c r="AK41" s="407" t="str">
        <f>Calcu!K39</f>
        <v/>
      </c>
      <c r="AL41" s="408"/>
      <c r="AM41" s="408"/>
      <c r="AN41" s="408"/>
      <c r="AO41" s="409"/>
    </row>
    <row r="42" spans="1:41" ht="18.75" customHeight="1">
      <c r="A42" s="57"/>
      <c r="B42" s="407" t="str">
        <f>Calcu!T40</f>
        <v/>
      </c>
      <c r="C42" s="408"/>
      <c r="D42" s="408"/>
      <c r="E42" s="408"/>
      <c r="F42" s="409"/>
      <c r="G42" s="407" t="str">
        <f>IF(Calcu!B40=TRUE,Calcu!E40*$H$5,"")</f>
        <v/>
      </c>
      <c r="H42" s="408"/>
      <c r="I42" s="408"/>
      <c r="J42" s="408"/>
      <c r="K42" s="409"/>
      <c r="L42" s="407" t="str">
        <f>IF(Calcu!B40=TRUE,Calcu!F40*H$5,"")</f>
        <v/>
      </c>
      <c r="M42" s="408"/>
      <c r="N42" s="408"/>
      <c r="O42" s="408"/>
      <c r="P42" s="409"/>
      <c r="Q42" s="407" t="str">
        <f>IF(Calcu!B40=TRUE,Calcu!G40*H$5,"")</f>
        <v/>
      </c>
      <c r="R42" s="408"/>
      <c r="S42" s="408"/>
      <c r="T42" s="408"/>
      <c r="U42" s="409"/>
      <c r="V42" s="407" t="str">
        <f>IF(Calcu!B40=TRUE,Calcu!H40*H$5,"")</f>
        <v/>
      </c>
      <c r="W42" s="408"/>
      <c r="X42" s="408"/>
      <c r="Y42" s="408"/>
      <c r="Z42" s="409"/>
      <c r="AA42" s="407" t="str">
        <f>IF(Calcu!B40=TRUE,Calcu!I40*H$5,"")</f>
        <v/>
      </c>
      <c r="AB42" s="408"/>
      <c r="AC42" s="408"/>
      <c r="AD42" s="408"/>
      <c r="AE42" s="409"/>
      <c r="AF42" s="407" t="str">
        <f>Calcu!M40</f>
        <v/>
      </c>
      <c r="AG42" s="408"/>
      <c r="AH42" s="408"/>
      <c r="AI42" s="408"/>
      <c r="AJ42" s="409"/>
      <c r="AK42" s="407" t="str">
        <f>Calcu!K40</f>
        <v/>
      </c>
      <c r="AL42" s="408"/>
      <c r="AM42" s="408"/>
      <c r="AN42" s="408"/>
      <c r="AO42" s="409"/>
    </row>
    <row r="43" spans="1:41" ht="18.75" customHeight="1">
      <c r="A43" s="57"/>
      <c r="B43" s="407" t="str">
        <f>Calcu!T41</f>
        <v/>
      </c>
      <c r="C43" s="408"/>
      <c r="D43" s="408"/>
      <c r="E43" s="408"/>
      <c r="F43" s="409"/>
      <c r="G43" s="407" t="str">
        <f>IF(Calcu!B41=TRUE,Calcu!E41*$H$5,"")</f>
        <v/>
      </c>
      <c r="H43" s="408"/>
      <c r="I43" s="408"/>
      <c r="J43" s="408"/>
      <c r="K43" s="409"/>
      <c r="L43" s="407" t="str">
        <f>IF(Calcu!B41=TRUE,Calcu!F41*H$5,"")</f>
        <v/>
      </c>
      <c r="M43" s="408"/>
      <c r="N43" s="408"/>
      <c r="O43" s="408"/>
      <c r="P43" s="409"/>
      <c r="Q43" s="407" t="str">
        <f>IF(Calcu!B41=TRUE,Calcu!G41*H$5,"")</f>
        <v/>
      </c>
      <c r="R43" s="408"/>
      <c r="S43" s="408"/>
      <c r="T43" s="408"/>
      <c r="U43" s="409"/>
      <c r="V43" s="407" t="str">
        <f>IF(Calcu!B41=TRUE,Calcu!H41*H$5,"")</f>
        <v/>
      </c>
      <c r="W43" s="408"/>
      <c r="X43" s="408"/>
      <c r="Y43" s="408"/>
      <c r="Z43" s="409"/>
      <c r="AA43" s="407" t="str">
        <f>IF(Calcu!B41=TRUE,Calcu!I41*H$5,"")</f>
        <v/>
      </c>
      <c r="AB43" s="408"/>
      <c r="AC43" s="408"/>
      <c r="AD43" s="408"/>
      <c r="AE43" s="409"/>
      <c r="AF43" s="407" t="str">
        <f>Calcu!M41</f>
        <v/>
      </c>
      <c r="AG43" s="408"/>
      <c r="AH43" s="408"/>
      <c r="AI43" s="408"/>
      <c r="AJ43" s="409"/>
      <c r="AK43" s="407" t="str">
        <f>Calcu!K41</f>
        <v/>
      </c>
      <c r="AL43" s="408"/>
      <c r="AM43" s="408"/>
      <c r="AN43" s="408"/>
      <c r="AO43" s="409"/>
    </row>
    <row r="44" spans="1:41" ht="18.75" customHeight="1">
      <c r="A44" s="57"/>
      <c r="B44" s="407" t="str">
        <f>Calcu!T42</f>
        <v/>
      </c>
      <c r="C44" s="408"/>
      <c r="D44" s="408"/>
      <c r="E44" s="408"/>
      <c r="F44" s="409"/>
      <c r="G44" s="407" t="str">
        <f>IF(Calcu!B42=TRUE,Calcu!E42*$H$5,"")</f>
        <v/>
      </c>
      <c r="H44" s="408"/>
      <c r="I44" s="408"/>
      <c r="J44" s="408"/>
      <c r="K44" s="409"/>
      <c r="L44" s="407" t="str">
        <f>IF(Calcu!B42=TRUE,Calcu!F42*H$5,"")</f>
        <v/>
      </c>
      <c r="M44" s="408"/>
      <c r="N44" s="408"/>
      <c r="O44" s="408"/>
      <c r="P44" s="409"/>
      <c r="Q44" s="407" t="str">
        <f>IF(Calcu!B42=TRUE,Calcu!G42*H$5,"")</f>
        <v/>
      </c>
      <c r="R44" s="408"/>
      <c r="S44" s="408"/>
      <c r="T44" s="408"/>
      <c r="U44" s="409"/>
      <c r="V44" s="407" t="str">
        <f>IF(Calcu!B42=TRUE,Calcu!H42*H$5,"")</f>
        <v/>
      </c>
      <c r="W44" s="408"/>
      <c r="X44" s="408"/>
      <c r="Y44" s="408"/>
      <c r="Z44" s="409"/>
      <c r="AA44" s="407" t="str">
        <f>IF(Calcu!B42=TRUE,Calcu!I42*H$5,"")</f>
        <v/>
      </c>
      <c r="AB44" s="408"/>
      <c r="AC44" s="408"/>
      <c r="AD44" s="408"/>
      <c r="AE44" s="409"/>
      <c r="AF44" s="407" t="str">
        <f>Calcu!M42</f>
        <v/>
      </c>
      <c r="AG44" s="408"/>
      <c r="AH44" s="408"/>
      <c r="AI44" s="408"/>
      <c r="AJ44" s="409"/>
      <c r="AK44" s="407" t="str">
        <f>Calcu!K42</f>
        <v/>
      </c>
      <c r="AL44" s="408"/>
      <c r="AM44" s="408"/>
      <c r="AN44" s="408"/>
      <c r="AO44" s="409"/>
    </row>
    <row r="45" spans="1:41" ht="18.75" customHeight="1">
      <c r="A45" s="57"/>
      <c r="B45" s="407" t="str">
        <f>Calcu!T43</f>
        <v/>
      </c>
      <c r="C45" s="408"/>
      <c r="D45" s="408"/>
      <c r="E45" s="408"/>
      <c r="F45" s="409"/>
      <c r="G45" s="407" t="str">
        <f>IF(Calcu!B43=TRUE,Calcu!E43*$H$5,"")</f>
        <v/>
      </c>
      <c r="H45" s="408"/>
      <c r="I45" s="408"/>
      <c r="J45" s="408"/>
      <c r="K45" s="409"/>
      <c r="L45" s="407" t="str">
        <f>IF(Calcu!B43=TRUE,Calcu!F43*H$5,"")</f>
        <v/>
      </c>
      <c r="M45" s="408"/>
      <c r="N45" s="408"/>
      <c r="O45" s="408"/>
      <c r="P45" s="409"/>
      <c r="Q45" s="407" t="str">
        <f>IF(Calcu!B43=TRUE,Calcu!G43*H$5,"")</f>
        <v/>
      </c>
      <c r="R45" s="408"/>
      <c r="S45" s="408"/>
      <c r="T45" s="408"/>
      <c r="U45" s="409"/>
      <c r="V45" s="407" t="str">
        <f>IF(Calcu!B43=TRUE,Calcu!H43*H$5,"")</f>
        <v/>
      </c>
      <c r="W45" s="408"/>
      <c r="X45" s="408"/>
      <c r="Y45" s="408"/>
      <c r="Z45" s="409"/>
      <c r="AA45" s="407" t="str">
        <f>IF(Calcu!B43=TRUE,Calcu!I43*H$5,"")</f>
        <v/>
      </c>
      <c r="AB45" s="408"/>
      <c r="AC45" s="408"/>
      <c r="AD45" s="408"/>
      <c r="AE45" s="409"/>
      <c r="AF45" s="407" t="str">
        <f>Calcu!M43</f>
        <v/>
      </c>
      <c r="AG45" s="408"/>
      <c r="AH45" s="408"/>
      <c r="AI45" s="408"/>
      <c r="AJ45" s="409"/>
      <c r="AK45" s="407" t="str">
        <f>Calcu!K43</f>
        <v/>
      </c>
      <c r="AL45" s="408"/>
      <c r="AM45" s="408"/>
      <c r="AN45" s="408"/>
      <c r="AO45" s="409"/>
    </row>
    <row r="46" spans="1:41" ht="18.75" customHeight="1">
      <c r="A46" s="57"/>
      <c r="B46" s="407" t="str">
        <f>Calcu!T44</f>
        <v/>
      </c>
      <c r="C46" s="408"/>
      <c r="D46" s="408"/>
      <c r="E46" s="408"/>
      <c r="F46" s="409"/>
      <c r="G46" s="407" t="str">
        <f>IF(Calcu!B44=TRUE,Calcu!E44*$H$5,"")</f>
        <v/>
      </c>
      <c r="H46" s="408"/>
      <c r="I46" s="408"/>
      <c r="J46" s="408"/>
      <c r="K46" s="409"/>
      <c r="L46" s="407" t="str">
        <f>IF(Calcu!B44=TRUE,Calcu!F44*H$5,"")</f>
        <v/>
      </c>
      <c r="M46" s="408"/>
      <c r="N46" s="408"/>
      <c r="O46" s="408"/>
      <c r="P46" s="409"/>
      <c r="Q46" s="407" t="str">
        <f>IF(Calcu!B44=TRUE,Calcu!G44*H$5,"")</f>
        <v/>
      </c>
      <c r="R46" s="408"/>
      <c r="S46" s="408"/>
      <c r="T46" s="408"/>
      <c r="U46" s="409"/>
      <c r="V46" s="407" t="str">
        <f>IF(Calcu!B44=TRUE,Calcu!H44*H$5,"")</f>
        <v/>
      </c>
      <c r="W46" s="408"/>
      <c r="X46" s="408"/>
      <c r="Y46" s="408"/>
      <c r="Z46" s="409"/>
      <c r="AA46" s="407" t="str">
        <f>IF(Calcu!B44=TRUE,Calcu!I44*H$5,"")</f>
        <v/>
      </c>
      <c r="AB46" s="408"/>
      <c r="AC46" s="408"/>
      <c r="AD46" s="408"/>
      <c r="AE46" s="409"/>
      <c r="AF46" s="407" t="str">
        <f>Calcu!M44</f>
        <v/>
      </c>
      <c r="AG46" s="408"/>
      <c r="AH46" s="408"/>
      <c r="AI46" s="408"/>
      <c r="AJ46" s="409"/>
      <c r="AK46" s="407" t="str">
        <f>Calcu!K44</f>
        <v/>
      </c>
      <c r="AL46" s="408"/>
      <c r="AM46" s="408"/>
      <c r="AN46" s="408"/>
      <c r="AO46" s="409"/>
    </row>
    <row r="47" spans="1:41" ht="18.75" customHeight="1">
      <c r="A47" s="57"/>
      <c r="B47" s="407" t="str">
        <f>Calcu!T45</f>
        <v/>
      </c>
      <c r="C47" s="408"/>
      <c r="D47" s="408"/>
      <c r="E47" s="408"/>
      <c r="F47" s="409"/>
      <c r="G47" s="407" t="str">
        <f>IF(Calcu!B45=TRUE,Calcu!E45*$H$5,"")</f>
        <v/>
      </c>
      <c r="H47" s="408"/>
      <c r="I47" s="408"/>
      <c r="J47" s="408"/>
      <c r="K47" s="409"/>
      <c r="L47" s="407" t="str">
        <f>IF(Calcu!B45=TRUE,Calcu!F45*H$5,"")</f>
        <v/>
      </c>
      <c r="M47" s="408"/>
      <c r="N47" s="408"/>
      <c r="O47" s="408"/>
      <c r="P47" s="409"/>
      <c r="Q47" s="407" t="str">
        <f>IF(Calcu!B45=TRUE,Calcu!G45*H$5,"")</f>
        <v/>
      </c>
      <c r="R47" s="408"/>
      <c r="S47" s="408"/>
      <c r="T47" s="408"/>
      <c r="U47" s="409"/>
      <c r="V47" s="407" t="str">
        <f>IF(Calcu!B45=TRUE,Calcu!H45*H$5,"")</f>
        <v/>
      </c>
      <c r="W47" s="408"/>
      <c r="X47" s="408"/>
      <c r="Y47" s="408"/>
      <c r="Z47" s="409"/>
      <c r="AA47" s="407" t="str">
        <f>IF(Calcu!B45=TRUE,Calcu!I45*H$5,"")</f>
        <v/>
      </c>
      <c r="AB47" s="408"/>
      <c r="AC47" s="408"/>
      <c r="AD47" s="408"/>
      <c r="AE47" s="409"/>
      <c r="AF47" s="407" t="str">
        <f>Calcu!M45</f>
        <v/>
      </c>
      <c r="AG47" s="408"/>
      <c r="AH47" s="408"/>
      <c r="AI47" s="408"/>
      <c r="AJ47" s="409"/>
      <c r="AK47" s="407" t="str">
        <f>Calcu!K45</f>
        <v/>
      </c>
      <c r="AL47" s="408"/>
      <c r="AM47" s="408"/>
      <c r="AN47" s="408"/>
      <c r="AO47" s="409"/>
    </row>
    <row r="48" spans="1:41" ht="18.75" customHeight="1">
      <c r="A48" s="57"/>
      <c r="B48" s="407" t="str">
        <f>Calcu!T46</f>
        <v/>
      </c>
      <c r="C48" s="408"/>
      <c r="D48" s="408"/>
      <c r="E48" s="408"/>
      <c r="F48" s="409"/>
      <c r="G48" s="407" t="str">
        <f>IF(Calcu!B46=TRUE,Calcu!E46*$H$5,"")</f>
        <v/>
      </c>
      <c r="H48" s="408"/>
      <c r="I48" s="408"/>
      <c r="J48" s="408"/>
      <c r="K48" s="409"/>
      <c r="L48" s="407" t="str">
        <f>IF(Calcu!B46=TRUE,Calcu!F46*H$5,"")</f>
        <v/>
      </c>
      <c r="M48" s="408"/>
      <c r="N48" s="408"/>
      <c r="O48" s="408"/>
      <c r="P48" s="409"/>
      <c r="Q48" s="407" t="str">
        <f>IF(Calcu!B46=TRUE,Calcu!G46*H$5,"")</f>
        <v/>
      </c>
      <c r="R48" s="408"/>
      <c r="S48" s="408"/>
      <c r="T48" s="408"/>
      <c r="U48" s="409"/>
      <c r="V48" s="407" t="str">
        <f>IF(Calcu!B46=TRUE,Calcu!H46*H$5,"")</f>
        <v/>
      </c>
      <c r="W48" s="408"/>
      <c r="X48" s="408"/>
      <c r="Y48" s="408"/>
      <c r="Z48" s="409"/>
      <c r="AA48" s="407" t="str">
        <f>IF(Calcu!B46=TRUE,Calcu!I46*H$5,"")</f>
        <v/>
      </c>
      <c r="AB48" s="408"/>
      <c r="AC48" s="408"/>
      <c r="AD48" s="408"/>
      <c r="AE48" s="409"/>
      <c r="AF48" s="407" t="str">
        <f>Calcu!M46</f>
        <v/>
      </c>
      <c r="AG48" s="408"/>
      <c r="AH48" s="408"/>
      <c r="AI48" s="408"/>
      <c r="AJ48" s="409"/>
      <c r="AK48" s="407" t="str">
        <f>Calcu!K46</f>
        <v/>
      </c>
      <c r="AL48" s="408"/>
      <c r="AM48" s="408"/>
      <c r="AN48" s="408"/>
      <c r="AO48" s="409"/>
    </row>
    <row r="49" spans="1:54" ht="18.75" customHeight="1">
      <c r="A49" s="57"/>
      <c r="B49" s="407" t="str">
        <f>Calcu!T47</f>
        <v/>
      </c>
      <c r="C49" s="408"/>
      <c r="D49" s="408"/>
      <c r="E49" s="408"/>
      <c r="F49" s="409"/>
      <c r="G49" s="407" t="str">
        <f>IF(Calcu!B47=TRUE,Calcu!E47*$H$5,"")</f>
        <v/>
      </c>
      <c r="H49" s="408"/>
      <c r="I49" s="408"/>
      <c r="J49" s="408"/>
      <c r="K49" s="409"/>
      <c r="L49" s="407" t="str">
        <f>IF(Calcu!B47=TRUE,Calcu!F47*H$5,"")</f>
        <v/>
      </c>
      <c r="M49" s="408"/>
      <c r="N49" s="408"/>
      <c r="O49" s="408"/>
      <c r="P49" s="409"/>
      <c r="Q49" s="407" t="str">
        <f>IF(Calcu!B47=TRUE,Calcu!G47*H$5,"")</f>
        <v/>
      </c>
      <c r="R49" s="408"/>
      <c r="S49" s="408"/>
      <c r="T49" s="408"/>
      <c r="U49" s="409"/>
      <c r="V49" s="407" t="str">
        <f>IF(Calcu!B47=TRUE,Calcu!H47*H$5,"")</f>
        <v/>
      </c>
      <c r="W49" s="408"/>
      <c r="X49" s="408"/>
      <c r="Y49" s="408"/>
      <c r="Z49" s="409"/>
      <c r="AA49" s="407" t="str">
        <f>IF(Calcu!B47=TRUE,Calcu!I47*H$5,"")</f>
        <v/>
      </c>
      <c r="AB49" s="408"/>
      <c r="AC49" s="408"/>
      <c r="AD49" s="408"/>
      <c r="AE49" s="409"/>
      <c r="AF49" s="407" t="str">
        <f>Calcu!M47</f>
        <v/>
      </c>
      <c r="AG49" s="408"/>
      <c r="AH49" s="408"/>
      <c r="AI49" s="408"/>
      <c r="AJ49" s="409"/>
      <c r="AK49" s="407" t="str">
        <f>Calcu!K47</f>
        <v/>
      </c>
      <c r="AL49" s="408"/>
      <c r="AM49" s="408"/>
      <c r="AN49" s="408"/>
      <c r="AO49" s="409"/>
    </row>
    <row r="50" spans="1:54" ht="18.75" customHeight="1">
      <c r="A50" s="57"/>
      <c r="B50" s="407" t="str">
        <f>Calcu!T48</f>
        <v/>
      </c>
      <c r="C50" s="408"/>
      <c r="D50" s="408"/>
      <c r="E50" s="408"/>
      <c r="F50" s="409"/>
      <c r="G50" s="407" t="str">
        <f>IF(Calcu!B48=TRUE,Calcu!E48*$H$5,"")</f>
        <v/>
      </c>
      <c r="H50" s="408"/>
      <c r="I50" s="408"/>
      <c r="J50" s="408"/>
      <c r="K50" s="409"/>
      <c r="L50" s="407" t="str">
        <f>IF(Calcu!B48=TRUE,Calcu!F48*H$5,"")</f>
        <v/>
      </c>
      <c r="M50" s="408"/>
      <c r="N50" s="408"/>
      <c r="O50" s="408"/>
      <c r="P50" s="409"/>
      <c r="Q50" s="407" t="str">
        <f>IF(Calcu!B48=TRUE,Calcu!G48*H$5,"")</f>
        <v/>
      </c>
      <c r="R50" s="408"/>
      <c r="S50" s="408"/>
      <c r="T50" s="408"/>
      <c r="U50" s="409"/>
      <c r="V50" s="407" t="str">
        <f>IF(Calcu!B48=TRUE,Calcu!H48*H$5,"")</f>
        <v/>
      </c>
      <c r="W50" s="408"/>
      <c r="X50" s="408"/>
      <c r="Y50" s="408"/>
      <c r="Z50" s="409"/>
      <c r="AA50" s="407" t="str">
        <f>IF(Calcu!B48=TRUE,Calcu!I48*H$5,"")</f>
        <v/>
      </c>
      <c r="AB50" s="408"/>
      <c r="AC50" s="408"/>
      <c r="AD50" s="408"/>
      <c r="AE50" s="409"/>
      <c r="AF50" s="407" t="str">
        <f>Calcu!M48</f>
        <v/>
      </c>
      <c r="AG50" s="408"/>
      <c r="AH50" s="408"/>
      <c r="AI50" s="408"/>
      <c r="AJ50" s="409"/>
      <c r="AK50" s="407" t="str">
        <f>Calcu!K48</f>
        <v/>
      </c>
      <c r="AL50" s="408"/>
      <c r="AM50" s="408"/>
      <c r="AN50" s="408"/>
      <c r="AO50" s="409"/>
    </row>
    <row r="51" spans="1:54" ht="18.75" customHeight="1">
      <c r="A51" s="57"/>
      <c r="B51" s="407" t="str">
        <f>Calcu!T49</f>
        <v/>
      </c>
      <c r="C51" s="408"/>
      <c r="D51" s="408"/>
      <c r="E51" s="408"/>
      <c r="F51" s="409"/>
      <c r="G51" s="407" t="str">
        <f>IF(Calcu!B49=TRUE,Calcu!E49*$H$5,"")</f>
        <v/>
      </c>
      <c r="H51" s="408"/>
      <c r="I51" s="408"/>
      <c r="J51" s="408"/>
      <c r="K51" s="409"/>
      <c r="L51" s="407" t="str">
        <f>IF(Calcu!B49=TRUE,Calcu!F49*H$5,"")</f>
        <v/>
      </c>
      <c r="M51" s="408"/>
      <c r="N51" s="408"/>
      <c r="O51" s="408"/>
      <c r="P51" s="409"/>
      <c r="Q51" s="407" t="str">
        <f>IF(Calcu!B49=TRUE,Calcu!G49*H$5,"")</f>
        <v/>
      </c>
      <c r="R51" s="408"/>
      <c r="S51" s="408"/>
      <c r="T51" s="408"/>
      <c r="U51" s="409"/>
      <c r="V51" s="407" t="str">
        <f>IF(Calcu!B49=TRUE,Calcu!H49*H$5,"")</f>
        <v/>
      </c>
      <c r="W51" s="408"/>
      <c r="X51" s="408"/>
      <c r="Y51" s="408"/>
      <c r="Z51" s="409"/>
      <c r="AA51" s="407" t="str">
        <f>IF(Calcu!B49=TRUE,Calcu!I49*H$5,"")</f>
        <v/>
      </c>
      <c r="AB51" s="408"/>
      <c r="AC51" s="408"/>
      <c r="AD51" s="408"/>
      <c r="AE51" s="409"/>
      <c r="AF51" s="407" t="str">
        <f>Calcu!M49</f>
        <v/>
      </c>
      <c r="AG51" s="408"/>
      <c r="AH51" s="408"/>
      <c r="AI51" s="408"/>
      <c r="AJ51" s="409"/>
      <c r="AK51" s="407" t="str">
        <f>Calcu!K49</f>
        <v/>
      </c>
      <c r="AL51" s="408"/>
      <c r="AM51" s="408"/>
      <c r="AN51" s="408"/>
      <c r="AO51" s="409"/>
    </row>
    <row r="52" spans="1:54" ht="18.75" customHeight="1">
      <c r="A52" s="57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</row>
    <row r="53" spans="1:54" ht="18.75" customHeight="1">
      <c r="A53" s="57" t="s">
        <v>339</v>
      </c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</row>
    <row r="54" spans="1:54" ht="18.75" customHeight="1">
      <c r="A54" s="7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</row>
    <row r="55" spans="1:54" ht="18.75" customHeight="1">
      <c r="A55" s="7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40"/>
      <c r="AT55" s="240"/>
    </row>
    <row r="56" spans="1:54" ht="18.75" customHeight="1">
      <c r="A56" s="70"/>
      <c r="B56" s="240"/>
      <c r="C56" s="430" t="s">
        <v>340</v>
      </c>
      <c r="D56" s="430"/>
      <c r="E56" s="430"/>
      <c r="F56" s="230" t="s">
        <v>341</v>
      </c>
      <c r="G56" s="240" t="str">
        <f>"표준온도에서 "&amp;N5&amp;"의 보정값"</f>
        <v>표준온도에서 높이 게이지/측정기의 보정값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W56" s="59"/>
      <c r="X56" s="59"/>
      <c r="Y56" s="59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0"/>
      <c r="AR56" s="240"/>
      <c r="AS56" s="240"/>
      <c r="AT56" s="240"/>
    </row>
    <row r="57" spans="1:54" ht="18.75" customHeight="1">
      <c r="A57" s="70"/>
      <c r="B57" s="240"/>
      <c r="C57" s="430" t="s">
        <v>342</v>
      </c>
      <c r="D57" s="430"/>
      <c r="E57" s="430"/>
      <c r="F57" s="230" t="s">
        <v>343</v>
      </c>
      <c r="G57" s="240" t="e">
        <f ca="1">T5&amp;"의 교정값"</f>
        <v>#N/A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</row>
    <row r="58" spans="1:54" ht="18.75" customHeight="1">
      <c r="A58" s="70"/>
      <c r="B58" s="240"/>
      <c r="C58" s="430" t="s">
        <v>344</v>
      </c>
      <c r="D58" s="430"/>
      <c r="E58" s="430"/>
      <c r="F58" s="230" t="s">
        <v>345</v>
      </c>
      <c r="G58" s="240" t="str">
        <f>N5&amp;"의 지시값"</f>
        <v>높이 게이지/측정기의 지시값</v>
      </c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</row>
    <row r="59" spans="1:54" ht="18.75" customHeight="1">
      <c r="A59" s="70"/>
      <c r="B59" s="240"/>
      <c r="C59" s="430" t="s">
        <v>346</v>
      </c>
      <c r="D59" s="430"/>
      <c r="E59" s="430"/>
      <c r="F59" s="230" t="s">
        <v>341</v>
      </c>
      <c r="G59" s="240" t="e">
        <f ca="1">T5&amp;"의 명목값"</f>
        <v>#N/A</v>
      </c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</row>
    <row r="60" spans="1:54" ht="18.75" customHeight="1">
      <c r="A60" s="70"/>
      <c r="B60" s="240"/>
      <c r="C60" s="430"/>
      <c r="D60" s="430"/>
      <c r="E60" s="430"/>
      <c r="F60" s="230" t="s">
        <v>343</v>
      </c>
      <c r="G60" s="240" t="e">
        <f ca="1">N5&amp;"와 "&amp;T5&amp;"의 평균열팽창계수"</f>
        <v>#N/A</v>
      </c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</row>
    <row r="61" spans="1:54" ht="18.75" customHeight="1">
      <c r="A61" s="70"/>
      <c r="B61" s="240"/>
      <c r="C61" s="430" t="s">
        <v>347</v>
      </c>
      <c r="D61" s="430"/>
      <c r="E61" s="430"/>
      <c r="F61" s="230" t="s">
        <v>341</v>
      </c>
      <c r="G61" s="240" t="e">
        <f ca="1">N5&amp;"와 "&amp;T5&amp;"의 온도차이"</f>
        <v>#N/A</v>
      </c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</row>
    <row r="62" spans="1:54" ht="18.75" customHeight="1">
      <c r="A62" s="70"/>
      <c r="B62" s="240"/>
      <c r="C62" s="430" t="s">
        <v>348</v>
      </c>
      <c r="D62" s="430"/>
      <c r="E62" s="430"/>
      <c r="F62" s="230" t="s">
        <v>343</v>
      </c>
      <c r="G62" s="240" t="e">
        <f ca="1">N5&amp;"와 "&amp;T5&amp;"의 열팽창계수 차이"</f>
        <v>#N/A</v>
      </c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</row>
    <row r="63" spans="1:54" ht="18.75" customHeight="1">
      <c r="A63" s="70"/>
      <c r="B63" s="240"/>
      <c r="C63" s="430" t="s">
        <v>350</v>
      </c>
      <c r="D63" s="430"/>
      <c r="E63" s="430"/>
      <c r="F63" s="230" t="s">
        <v>343</v>
      </c>
      <c r="G63" s="240" t="e">
        <f ca="1">N5&amp;"와 "&amp;T5&amp;"의 평균 온도값과 기준온도와의 차"</f>
        <v>#N/A</v>
      </c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</row>
    <row r="64" spans="1:54" ht="18.75" customHeight="1">
      <c r="A64" s="70"/>
      <c r="B64" s="240"/>
      <c r="C64" s="430" t="s">
        <v>584</v>
      </c>
      <c r="D64" s="430"/>
      <c r="E64" s="430"/>
      <c r="F64" s="230" t="s">
        <v>343</v>
      </c>
      <c r="G64" s="240" t="str">
        <f>N5&amp;"의 분해능 한계에 대한 보정값 (기대값=0)"</f>
        <v>높이 게이지/측정기의 분해능 한계에 대한 보정값 (기대값=0)</v>
      </c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</row>
    <row r="65" spans="1:69" ht="18.75" customHeight="1">
      <c r="A65" s="70"/>
      <c r="B65" s="240"/>
      <c r="C65" s="430" t="s">
        <v>351</v>
      </c>
      <c r="D65" s="430"/>
      <c r="E65" s="430"/>
      <c r="F65" s="230" t="s">
        <v>343</v>
      </c>
      <c r="G65" s="240" t="s">
        <v>352</v>
      </c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</row>
    <row r="66" spans="1:69" ht="18.75" customHeight="1">
      <c r="A66" s="70"/>
      <c r="B66" s="240"/>
      <c r="C66" s="430"/>
      <c r="D66" s="430"/>
      <c r="E66" s="43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</row>
    <row r="67" spans="1:69" ht="18.75" customHeight="1">
      <c r="A67" s="57" t="s">
        <v>353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</row>
    <row r="68" spans="1:69" ht="18.75" customHeight="1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</row>
    <row r="69" spans="1:69" ht="18.75" customHeight="1">
      <c r="A69" s="240"/>
      <c r="B69" s="240"/>
      <c r="C69" s="240" t="s">
        <v>354</v>
      </c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</row>
    <row r="70" spans="1:69" ht="18.75" customHeight="1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</row>
    <row r="71" spans="1:69" ht="18.75" customHeigh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</row>
    <row r="72" spans="1:69" ht="18.75" customHeight="1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</row>
    <row r="73" spans="1:69" ht="18.75" customHeight="1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</row>
    <row r="74" spans="1:69" ht="18.75" customHeight="1">
      <c r="A74" s="60" t="s">
        <v>355</v>
      </c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</row>
    <row r="75" spans="1:69" ht="18.75" customHeight="1">
      <c r="A75" s="240"/>
      <c r="B75" s="431"/>
      <c r="C75" s="432"/>
      <c r="D75" s="437"/>
      <c r="E75" s="438"/>
      <c r="F75" s="438"/>
      <c r="G75" s="439"/>
      <c r="H75" s="423">
        <v>1</v>
      </c>
      <c r="I75" s="423"/>
      <c r="J75" s="423"/>
      <c r="K75" s="423"/>
      <c r="L75" s="423"/>
      <c r="M75" s="423"/>
      <c r="N75" s="423"/>
      <c r="O75" s="437">
        <v>2</v>
      </c>
      <c r="P75" s="438"/>
      <c r="Q75" s="438"/>
      <c r="R75" s="438"/>
      <c r="S75" s="438"/>
      <c r="T75" s="438"/>
      <c r="U75" s="438"/>
      <c r="V75" s="438"/>
      <c r="W75" s="438"/>
      <c r="X75" s="438"/>
      <c r="Y75" s="438"/>
      <c r="Z75" s="438"/>
      <c r="AA75" s="439"/>
      <c r="AB75" s="423">
        <v>3</v>
      </c>
      <c r="AC75" s="423"/>
      <c r="AD75" s="423"/>
      <c r="AE75" s="423"/>
      <c r="AF75" s="423"/>
      <c r="AG75" s="437">
        <v>4</v>
      </c>
      <c r="AH75" s="438"/>
      <c r="AI75" s="438"/>
      <c r="AJ75" s="438"/>
      <c r="AK75" s="438"/>
      <c r="AL75" s="438"/>
      <c r="AM75" s="438"/>
      <c r="AN75" s="438"/>
      <c r="AO75" s="439"/>
      <c r="AP75" s="437">
        <v>5</v>
      </c>
      <c r="AQ75" s="438"/>
      <c r="AR75" s="438"/>
      <c r="AS75" s="438"/>
      <c r="AT75" s="438"/>
      <c r="AU75" s="438"/>
      <c r="AV75" s="438"/>
      <c r="AW75" s="438"/>
      <c r="AX75" s="438"/>
      <c r="AY75" s="438"/>
      <c r="AZ75" s="438"/>
      <c r="BA75" s="438"/>
      <c r="BB75" s="439"/>
      <c r="BC75" s="423">
        <v>6</v>
      </c>
      <c r="BD75" s="423"/>
      <c r="BE75" s="423"/>
      <c r="BF75" s="423"/>
    </row>
    <row r="76" spans="1:69" ht="18.75" customHeight="1">
      <c r="A76" s="240"/>
      <c r="B76" s="433"/>
      <c r="C76" s="434"/>
      <c r="D76" s="431" t="s">
        <v>356</v>
      </c>
      <c r="E76" s="440"/>
      <c r="F76" s="440"/>
      <c r="G76" s="432"/>
      <c r="H76" s="441" t="s">
        <v>357</v>
      </c>
      <c r="I76" s="441"/>
      <c r="J76" s="441"/>
      <c r="K76" s="441"/>
      <c r="L76" s="441"/>
      <c r="M76" s="441"/>
      <c r="N76" s="441"/>
      <c r="O76" s="431" t="s">
        <v>358</v>
      </c>
      <c r="P76" s="440"/>
      <c r="Q76" s="440"/>
      <c r="R76" s="440"/>
      <c r="S76" s="440"/>
      <c r="T76" s="440"/>
      <c r="U76" s="440"/>
      <c r="V76" s="440"/>
      <c r="W76" s="440"/>
      <c r="X76" s="440"/>
      <c r="Y76" s="440"/>
      <c r="Z76" s="440"/>
      <c r="AA76" s="432"/>
      <c r="AB76" s="441" t="s">
        <v>359</v>
      </c>
      <c r="AC76" s="441"/>
      <c r="AD76" s="441"/>
      <c r="AE76" s="441"/>
      <c r="AF76" s="441"/>
      <c r="AG76" s="431" t="s">
        <v>360</v>
      </c>
      <c r="AH76" s="440"/>
      <c r="AI76" s="440"/>
      <c r="AJ76" s="440"/>
      <c r="AK76" s="440"/>
      <c r="AL76" s="440"/>
      <c r="AM76" s="440"/>
      <c r="AN76" s="440"/>
      <c r="AO76" s="432"/>
      <c r="AP76" s="431" t="s">
        <v>361</v>
      </c>
      <c r="AQ76" s="440"/>
      <c r="AR76" s="440"/>
      <c r="AS76" s="440"/>
      <c r="AT76" s="440"/>
      <c r="AU76" s="440"/>
      <c r="AV76" s="440"/>
      <c r="AW76" s="440"/>
      <c r="AX76" s="440"/>
      <c r="AY76" s="440"/>
      <c r="AZ76" s="440"/>
      <c r="BA76" s="440"/>
      <c r="BB76" s="432"/>
      <c r="BC76" s="441" t="s">
        <v>362</v>
      </c>
      <c r="BD76" s="441"/>
      <c r="BE76" s="441"/>
      <c r="BF76" s="441"/>
    </row>
    <row r="77" spans="1:69" ht="18.75" customHeight="1">
      <c r="A77" s="240"/>
      <c r="B77" s="435"/>
      <c r="C77" s="436"/>
      <c r="D77" s="442" t="s">
        <v>363</v>
      </c>
      <c r="E77" s="443"/>
      <c r="F77" s="443"/>
      <c r="G77" s="444"/>
      <c r="H77" s="445" t="s">
        <v>364</v>
      </c>
      <c r="I77" s="445"/>
      <c r="J77" s="445"/>
      <c r="K77" s="445"/>
      <c r="L77" s="445"/>
      <c r="M77" s="445"/>
      <c r="N77" s="445"/>
      <c r="O77" s="473" t="s">
        <v>365</v>
      </c>
      <c r="P77" s="474"/>
      <c r="Q77" s="474"/>
      <c r="R77" s="474"/>
      <c r="S77" s="474"/>
      <c r="T77" s="474"/>
      <c r="U77" s="474"/>
      <c r="V77" s="474"/>
      <c r="W77" s="474"/>
      <c r="X77" s="474"/>
      <c r="Y77" s="474"/>
      <c r="Z77" s="474"/>
      <c r="AA77" s="475"/>
      <c r="AB77" s="445"/>
      <c r="AC77" s="445"/>
      <c r="AD77" s="445"/>
      <c r="AE77" s="445"/>
      <c r="AF77" s="445"/>
      <c r="AG77" s="473" t="s">
        <v>366</v>
      </c>
      <c r="AH77" s="474"/>
      <c r="AI77" s="474"/>
      <c r="AJ77" s="474"/>
      <c r="AK77" s="474"/>
      <c r="AL77" s="474"/>
      <c r="AM77" s="474"/>
      <c r="AN77" s="474"/>
      <c r="AO77" s="475"/>
      <c r="AP77" s="473" t="s">
        <v>367</v>
      </c>
      <c r="AQ77" s="474"/>
      <c r="AR77" s="474"/>
      <c r="AS77" s="474"/>
      <c r="AT77" s="474"/>
      <c r="AU77" s="474"/>
      <c r="AV77" s="474"/>
      <c r="AW77" s="474"/>
      <c r="AX77" s="474"/>
      <c r="AY77" s="474"/>
      <c r="AZ77" s="474"/>
      <c r="BA77" s="474"/>
      <c r="BB77" s="475"/>
      <c r="BC77" s="445"/>
      <c r="BD77" s="445"/>
      <c r="BE77" s="445"/>
      <c r="BF77" s="445"/>
    </row>
    <row r="78" spans="1:69" ht="18.75" customHeight="1">
      <c r="A78" s="240"/>
      <c r="B78" s="423" t="s">
        <v>368</v>
      </c>
      <c r="C78" s="423"/>
      <c r="D78" s="418" t="s">
        <v>369</v>
      </c>
      <c r="E78" s="419"/>
      <c r="F78" s="419"/>
      <c r="G78" s="420"/>
      <c r="H78" s="421" t="e">
        <f ca="1">Calcu!E54</f>
        <v>#N/A</v>
      </c>
      <c r="I78" s="422"/>
      <c r="J78" s="422"/>
      <c r="K78" s="422"/>
      <c r="L78" s="422"/>
      <c r="M78" s="424" t="str">
        <f>Calcu!F54</f>
        <v>mm</v>
      </c>
      <c r="N78" s="425"/>
      <c r="O78" s="460">
        <f ca="1">Calcu!K54</f>
        <v>0</v>
      </c>
      <c r="P78" s="461"/>
      <c r="Q78" s="461"/>
      <c r="R78" s="259"/>
      <c r="S78" s="237"/>
      <c r="T78" s="408">
        <f ca="1">Calcu!L54</f>
        <v>0</v>
      </c>
      <c r="U78" s="408"/>
      <c r="V78" s="408"/>
      <c r="W78" s="260"/>
      <c r="X78" s="260"/>
      <c r="Y78" s="260"/>
      <c r="Z78" s="462" t="str">
        <f>Calcu!M54</f>
        <v>μm</v>
      </c>
      <c r="AA78" s="463"/>
      <c r="AB78" s="423" t="str">
        <f>Calcu!N54</f>
        <v>정규</v>
      </c>
      <c r="AC78" s="423"/>
      <c r="AD78" s="423"/>
      <c r="AE78" s="423"/>
      <c r="AF78" s="423"/>
      <c r="AG78" s="437">
        <f>Calcu!Q54</f>
        <v>1</v>
      </c>
      <c r="AH78" s="438"/>
      <c r="AI78" s="438"/>
      <c r="AJ78" s="438"/>
      <c r="AK78" s="438"/>
      <c r="AL78" s="438"/>
      <c r="AM78" s="438"/>
      <c r="AN78" s="438"/>
      <c r="AO78" s="439"/>
      <c r="AP78" s="460">
        <f ca="1">Calcu!S54</f>
        <v>0</v>
      </c>
      <c r="AQ78" s="461"/>
      <c r="AR78" s="461"/>
      <c r="AS78" s="259"/>
      <c r="AT78" s="237"/>
      <c r="AU78" s="408">
        <f ca="1">Calcu!T54</f>
        <v>0</v>
      </c>
      <c r="AV78" s="408"/>
      <c r="AW78" s="408"/>
      <c r="AX78" s="260"/>
      <c r="AY78" s="260"/>
      <c r="AZ78" s="260"/>
      <c r="BA78" s="462" t="str">
        <f>Calcu!U54</f>
        <v>μm</v>
      </c>
      <c r="BB78" s="463"/>
      <c r="BC78" s="423" t="str">
        <f>Calcu!V54</f>
        <v>∞</v>
      </c>
      <c r="BD78" s="423"/>
      <c r="BE78" s="423"/>
      <c r="BF78" s="423"/>
    </row>
    <row r="79" spans="1:69" ht="18.75" customHeight="1">
      <c r="A79" s="240"/>
      <c r="B79" s="423" t="s">
        <v>370</v>
      </c>
      <c r="C79" s="423"/>
      <c r="D79" s="418" t="s">
        <v>371</v>
      </c>
      <c r="E79" s="419"/>
      <c r="F79" s="419"/>
      <c r="G79" s="420"/>
      <c r="H79" s="421" t="e">
        <f ca="1">Calcu!E55</f>
        <v>#N/A</v>
      </c>
      <c r="I79" s="422"/>
      <c r="J79" s="422"/>
      <c r="K79" s="422"/>
      <c r="L79" s="422"/>
      <c r="M79" s="424" t="str">
        <f>Calcu!F55</f>
        <v>mm</v>
      </c>
      <c r="N79" s="425"/>
      <c r="O79" s="426">
        <f>Calcu!K55</f>
        <v>0</v>
      </c>
      <c r="P79" s="427"/>
      <c r="Q79" s="427"/>
      <c r="R79" s="427"/>
      <c r="S79" s="427"/>
      <c r="T79" s="427"/>
      <c r="U79" s="427"/>
      <c r="V79" s="428" t="str">
        <f>Calcu!M55</f>
        <v>μm</v>
      </c>
      <c r="W79" s="428"/>
      <c r="X79" s="428"/>
      <c r="Y79" s="428"/>
      <c r="Z79" s="428"/>
      <c r="AA79" s="429"/>
      <c r="AB79" s="423" t="str">
        <f>Calcu!N55</f>
        <v>t</v>
      </c>
      <c r="AC79" s="423"/>
      <c r="AD79" s="423"/>
      <c r="AE79" s="423"/>
      <c r="AF79" s="423"/>
      <c r="AG79" s="437">
        <f>Calcu!Q55</f>
        <v>-1</v>
      </c>
      <c r="AH79" s="438"/>
      <c r="AI79" s="438"/>
      <c r="AJ79" s="438"/>
      <c r="AK79" s="438"/>
      <c r="AL79" s="438"/>
      <c r="AM79" s="438"/>
      <c r="AN79" s="438"/>
      <c r="AO79" s="439"/>
      <c r="AP79" s="426">
        <f>Calcu!S55</f>
        <v>0</v>
      </c>
      <c r="AQ79" s="427"/>
      <c r="AR79" s="427"/>
      <c r="AS79" s="427"/>
      <c r="AT79" s="427"/>
      <c r="AU79" s="427">
        <v>0</v>
      </c>
      <c r="AV79" s="427"/>
      <c r="AW79" s="428" t="str">
        <f>Calcu!U55</f>
        <v>μm</v>
      </c>
      <c r="AX79" s="428"/>
      <c r="AY79" s="428"/>
      <c r="AZ79" s="428"/>
      <c r="BA79" s="428"/>
      <c r="BB79" s="429"/>
      <c r="BC79" s="423">
        <f>Calcu!V55</f>
        <v>4</v>
      </c>
      <c r="BD79" s="423"/>
      <c r="BE79" s="423"/>
      <c r="BF79" s="423"/>
    </row>
    <row r="80" spans="1:69" ht="18.75" customHeight="1">
      <c r="A80" s="240"/>
      <c r="B80" s="423" t="s">
        <v>372</v>
      </c>
      <c r="C80" s="423"/>
      <c r="D80" s="418"/>
      <c r="E80" s="419"/>
      <c r="F80" s="419"/>
      <c r="G80" s="420"/>
      <c r="H80" s="421" t="e">
        <f ca="1">Calcu!E56</f>
        <v>#N/A</v>
      </c>
      <c r="I80" s="422"/>
      <c r="J80" s="422"/>
      <c r="K80" s="422"/>
      <c r="L80" s="422"/>
      <c r="M80" s="424" t="str">
        <f>Calcu!F56</f>
        <v>/℃</v>
      </c>
      <c r="N80" s="425"/>
      <c r="O80" s="464">
        <f>Calcu!L56</f>
        <v>4.0824829046386305E-7</v>
      </c>
      <c r="P80" s="465"/>
      <c r="Q80" s="465"/>
      <c r="R80" s="465"/>
      <c r="S80" s="465"/>
      <c r="T80" s="465"/>
      <c r="U80" s="465"/>
      <c r="V80" s="465"/>
      <c r="W80" s="465"/>
      <c r="X80" s="462" t="str">
        <f>Calcu!M56</f>
        <v>/℃</v>
      </c>
      <c r="Y80" s="462"/>
      <c r="Z80" s="462"/>
      <c r="AA80" s="463"/>
      <c r="AB80" s="423" t="str">
        <f>Calcu!N56</f>
        <v>삼각형</v>
      </c>
      <c r="AC80" s="423"/>
      <c r="AD80" s="423"/>
      <c r="AE80" s="423"/>
      <c r="AF80" s="423"/>
      <c r="AG80" s="476">
        <f>Calcu!Q56</f>
        <v>-500</v>
      </c>
      <c r="AH80" s="462"/>
      <c r="AI80" s="462"/>
      <c r="AJ80" s="462"/>
      <c r="AK80" s="462" t="s">
        <v>373</v>
      </c>
      <c r="AL80" s="462"/>
      <c r="AM80" s="462"/>
      <c r="AN80" s="462"/>
      <c r="AO80" s="463"/>
      <c r="AP80" s="477">
        <f>Calcu!T56</f>
        <v>2.0412414523193151E-4</v>
      </c>
      <c r="AQ80" s="478"/>
      <c r="AR80" s="478"/>
      <c r="AS80" s="478"/>
      <c r="AT80" s="478"/>
      <c r="AU80" s="478" t="s">
        <v>548</v>
      </c>
      <c r="AV80" s="478"/>
      <c r="AW80" s="462" t="s">
        <v>374</v>
      </c>
      <c r="AX80" s="462"/>
      <c r="AY80" s="462"/>
      <c r="AZ80" s="462"/>
      <c r="BA80" s="462"/>
      <c r="BB80" s="463"/>
      <c r="BC80" s="423">
        <f>Calcu!V56</f>
        <v>100</v>
      </c>
      <c r="BD80" s="423"/>
      <c r="BE80" s="423"/>
      <c r="BF80" s="423"/>
    </row>
    <row r="81" spans="1:59" ht="18.75" customHeight="1">
      <c r="A81" s="240"/>
      <c r="B81" s="423" t="s">
        <v>375</v>
      </c>
      <c r="C81" s="423"/>
      <c r="D81" s="418" t="s">
        <v>376</v>
      </c>
      <c r="E81" s="419"/>
      <c r="F81" s="419"/>
      <c r="G81" s="420"/>
      <c r="H81" s="421" t="str">
        <f>Calcu!E57</f>
        <v/>
      </c>
      <c r="I81" s="422"/>
      <c r="J81" s="422"/>
      <c r="K81" s="422"/>
      <c r="L81" s="422"/>
      <c r="M81" s="424" t="str">
        <f>Calcu!F57</f>
        <v>℃</v>
      </c>
      <c r="N81" s="425"/>
      <c r="O81" s="426">
        <f>Calcu!K57</f>
        <v>0</v>
      </c>
      <c r="P81" s="427"/>
      <c r="Q81" s="427"/>
      <c r="R81" s="427"/>
      <c r="S81" s="427"/>
      <c r="T81" s="427"/>
      <c r="U81" s="427"/>
      <c r="V81" s="428" t="str">
        <f>Calcu!M57</f>
        <v>℃</v>
      </c>
      <c r="W81" s="428"/>
      <c r="X81" s="428"/>
      <c r="Y81" s="428"/>
      <c r="Z81" s="428"/>
      <c r="AA81" s="429"/>
      <c r="AB81" s="423" t="str">
        <f>Calcu!N57</f>
        <v>직사각형</v>
      </c>
      <c r="AC81" s="423"/>
      <c r="AD81" s="423"/>
      <c r="AE81" s="423"/>
      <c r="AF81" s="423"/>
      <c r="AG81" s="476" t="e">
        <f ca="1">Calcu!Q57</f>
        <v>#N/A</v>
      </c>
      <c r="AH81" s="462"/>
      <c r="AI81" s="462"/>
      <c r="AJ81" s="462"/>
      <c r="AK81" s="462" t="s">
        <v>377</v>
      </c>
      <c r="AL81" s="462"/>
      <c r="AM81" s="462"/>
      <c r="AN81" s="462"/>
      <c r="AO81" s="463"/>
      <c r="AP81" s="477" t="e">
        <f ca="1">Calcu!T57</f>
        <v>#N/A</v>
      </c>
      <c r="AQ81" s="478"/>
      <c r="AR81" s="478"/>
      <c r="AS81" s="478"/>
      <c r="AT81" s="478"/>
      <c r="AU81" s="478" t="s">
        <v>548</v>
      </c>
      <c r="AV81" s="478"/>
      <c r="AW81" s="462" t="s">
        <v>378</v>
      </c>
      <c r="AX81" s="462"/>
      <c r="AY81" s="462"/>
      <c r="AZ81" s="462"/>
      <c r="BA81" s="462"/>
      <c r="BB81" s="463"/>
      <c r="BC81" s="423">
        <f>Calcu!V57</f>
        <v>12</v>
      </c>
      <c r="BD81" s="423"/>
      <c r="BE81" s="423"/>
      <c r="BF81" s="423"/>
    </row>
    <row r="82" spans="1:59" ht="18.75" customHeight="1">
      <c r="A82" s="240"/>
      <c r="B82" s="423" t="s">
        <v>379</v>
      </c>
      <c r="C82" s="423"/>
      <c r="D82" s="418" t="s">
        <v>348</v>
      </c>
      <c r="E82" s="419"/>
      <c r="F82" s="419"/>
      <c r="G82" s="420"/>
      <c r="H82" s="421" t="e">
        <f ca="1">Calcu!E58</f>
        <v>#N/A</v>
      </c>
      <c r="I82" s="422"/>
      <c r="J82" s="422"/>
      <c r="K82" s="422"/>
      <c r="L82" s="422"/>
      <c r="M82" s="424" t="str">
        <f>Calcu!F58</f>
        <v>/℃</v>
      </c>
      <c r="N82" s="425"/>
      <c r="O82" s="464">
        <f>Calcu!L58</f>
        <v>8.1649658092772609E-7</v>
      </c>
      <c r="P82" s="465"/>
      <c r="Q82" s="465"/>
      <c r="R82" s="465"/>
      <c r="S82" s="465"/>
      <c r="T82" s="465"/>
      <c r="U82" s="465"/>
      <c r="V82" s="465"/>
      <c r="W82" s="465"/>
      <c r="X82" s="462" t="str">
        <f>Calcu!M58</f>
        <v>/℃</v>
      </c>
      <c r="Y82" s="462"/>
      <c r="Z82" s="462"/>
      <c r="AA82" s="463"/>
      <c r="AB82" s="423" t="str">
        <f>Calcu!N58</f>
        <v>삼각형</v>
      </c>
      <c r="AC82" s="423"/>
      <c r="AD82" s="423"/>
      <c r="AE82" s="423"/>
      <c r="AF82" s="423"/>
      <c r="AG82" s="476">
        <f>Calcu!Q58</f>
        <v>-100</v>
      </c>
      <c r="AH82" s="462"/>
      <c r="AI82" s="462"/>
      <c r="AJ82" s="462"/>
      <c r="AK82" s="462" t="s">
        <v>380</v>
      </c>
      <c r="AL82" s="462"/>
      <c r="AM82" s="462"/>
      <c r="AN82" s="462"/>
      <c r="AO82" s="463"/>
      <c r="AP82" s="477">
        <f>Calcu!T58</f>
        <v>8.1649658092772609E-5</v>
      </c>
      <c r="AQ82" s="478"/>
      <c r="AR82" s="478"/>
      <c r="AS82" s="478"/>
      <c r="AT82" s="478"/>
      <c r="AU82" s="478" t="s">
        <v>548</v>
      </c>
      <c r="AV82" s="478"/>
      <c r="AW82" s="462" t="s">
        <v>378</v>
      </c>
      <c r="AX82" s="462"/>
      <c r="AY82" s="462"/>
      <c r="AZ82" s="462"/>
      <c r="BA82" s="462"/>
      <c r="BB82" s="463"/>
      <c r="BC82" s="423">
        <f>Calcu!V58</f>
        <v>100</v>
      </c>
      <c r="BD82" s="423"/>
      <c r="BE82" s="423"/>
      <c r="BF82" s="423"/>
    </row>
    <row r="83" spans="1:59" ht="18.75" customHeight="1">
      <c r="A83" s="240"/>
      <c r="B83" s="423" t="s">
        <v>381</v>
      </c>
      <c r="C83" s="423"/>
      <c r="D83" s="418" t="s">
        <v>349</v>
      </c>
      <c r="E83" s="419"/>
      <c r="F83" s="419"/>
      <c r="G83" s="420"/>
      <c r="H83" s="421">
        <f>Calcu!E59</f>
        <v>0.1</v>
      </c>
      <c r="I83" s="422"/>
      <c r="J83" s="422"/>
      <c r="K83" s="422"/>
      <c r="L83" s="422"/>
      <c r="M83" s="424" t="str">
        <f>Calcu!F59</f>
        <v>℃</v>
      </c>
      <c r="N83" s="425"/>
      <c r="O83" s="426">
        <f>Calcu!K59</f>
        <v>0</v>
      </c>
      <c r="P83" s="427"/>
      <c r="Q83" s="427"/>
      <c r="R83" s="427"/>
      <c r="S83" s="427"/>
      <c r="T83" s="427"/>
      <c r="U83" s="427"/>
      <c r="V83" s="428" t="str">
        <f>Calcu!M59</f>
        <v>℃</v>
      </c>
      <c r="W83" s="428"/>
      <c r="X83" s="428"/>
      <c r="Y83" s="428"/>
      <c r="Z83" s="428"/>
      <c r="AA83" s="429"/>
      <c r="AB83" s="423" t="str">
        <f>Calcu!N59</f>
        <v>직사각형</v>
      </c>
      <c r="AC83" s="423"/>
      <c r="AD83" s="423"/>
      <c r="AE83" s="423"/>
      <c r="AF83" s="423"/>
      <c r="AG83" s="476" t="e">
        <f ca="1">Calcu!Q59</f>
        <v>#N/A</v>
      </c>
      <c r="AH83" s="462"/>
      <c r="AI83" s="462"/>
      <c r="AJ83" s="462"/>
      <c r="AK83" s="462" t="s">
        <v>382</v>
      </c>
      <c r="AL83" s="462"/>
      <c r="AM83" s="462"/>
      <c r="AN83" s="462"/>
      <c r="AO83" s="463"/>
      <c r="AP83" s="477" t="e">
        <f ca="1">Calcu!T59</f>
        <v>#N/A</v>
      </c>
      <c r="AQ83" s="478"/>
      <c r="AR83" s="478"/>
      <c r="AS83" s="478"/>
      <c r="AT83" s="478"/>
      <c r="AU83" s="478" t="s">
        <v>548</v>
      </c>
      <c r="AV83" s="478"/>
      <c r="AW83" s="462" t="s">
        <v>383</v>
      </c>
      <c r="AX83" s="462"/>
      <c r="AY83" s="462"/>
      <c r="AZ83" s="462"/>
      <c r="BA83" s="462"/>
      <c r="BB83" s="463"/>
      <c r="BC83" s="423">
        <f>Calcu!V59</f>
        <v>12</v>
      </c>
      <c r="BD83" s="423"/>
      <c r="BE83" s="423"/>
      <c r="BF83" s="423"/>
    </row>
    <row r="84" spans="1:59" ht="18.75" customHeight="1">
      <c r="A84" s="240"/>
      <c r="B84" s="423" t="s">
        <v>384</v>
      </c>
      <c r="C84" s="423"/>
      <c r="D84" s="418" t="s">
        <v>584</v>
      </c>
      <c r="E84" s="419"/>
      <c r="F84" s="419"/>
      <c r="G84" s="420"/>
      <c r="H84" s="421">
        <f>Calcu!E60</f>
        <v>0</v>
      </c>
      <c r="I84" s="422"/>
      <c r="J84" s="422"/>
      <c r="K84" s="422"/>
      <c r="L84" s="422"/>
      <c r="M84" s="424" t="str">
        <f>Calcu!F60</f>
        <v>mm</v>
      </c>
      <c r="N84" s="425"/>
      <c r="O84" s="426">
        <f>Calcu!K60</f>
        <v>0</v>
      </c>
      <c r="P84" s="427"/>
      <c r="Q84" s="427"/>
      <c r="R84" s="427"/>
      <c r="S84" s="427"/>
      <c r="T84" s="427"/>
      <c r="U84" s="427"/>
      <c r="V84" s="428" t="str">
        <f>Calcu!M60</f>
        <v>μm</v>
      </c>
      <c r="W84" s="428"/>
      <c r="X84" s="428"/>
      <c r="Y84" s="428"/>
      <c r="Z84" s="428"/>
      <c r="AA84" s="429"/>
      <c r="AB84" s="423" t="str">
        <f>Calcu!N60</f>
        <v>직사각형</v>
      </c>
      <c r="AC84" s="423"/>
      <c r="AD84" s="423"/>
      <c r="AE84" s="423"/>
      <c r="AF84" s="423"/>
      <c r="AG84" s="437">
        <f>Calcu!Q60</f>
        <v>1</v>
      </c>
      <c r="AH84" s="438"/>
      <c r="AI84" s="438"/>
      <c r="AJ84" s="438"/>
      <c r="AK84" s="438"/>
      <c r="AL84" s="438"/>
      <c r="AM84" s="438"/>
      <c r="AN84" s="438"/>
      <c r="AO84" s="439"/>
      <c r="AP84" s="426">
        <f>Calcu!S60</f>
        <v>0</v>
      </c>
      <c r="AQ84" s="427"/>
      <c r="AR84" s="427"/>
      <c r="AS84" s="427"/>
      <c r="AT84" s="427"/>
      <c r="AU84" s="427">
        <v>0</v>
      </c>
      <c r="AV84" s="427"/>
      <c r="AW84" s="428" t="str">
        <f>Calcu!U60</f>
        <v>μm</v>
      </c>
      <c r="AX84" s="428"/>
      <c r="AY84" s="428"/>
      <c r="AZ84" s="428"/>
      <c r="BA84" s="428"/>
      <c r="BB84" s="429"/>
      <c r="BC84" s="423" t="str">
        <f>Calcu!V60</f>
        <v>∞</v>
      </c>
      <c r="BD84" s="423"/>
      <c r="BE84" s="423"/>
      <c r="BF84" s="423"/>
    </row>
    <row r="85" spans="1:59" ht="18.75" customHeight="1">
      <c r="A85" s="240"/>
      <c r="B85" s="423" t="s">
        <v>385</v>
      </c>
      <c r="C85" s="423"/>
      <c r="D85" s="418" t="s">
        <v>386</v>
      </c>
      <c r="E85" s="419"/>
      <c r="F85" s="419"/>
      <c r="G85" s="420"/>
      <c r="H85" s="421">
        <f>Calcu!E61</f>
        <v>0</v>
      </c>
      <c r="I85" s="422"/>
      <c r="J85" s="422"/>
      <c r="K85" s="422"/>
      <c r="L85" s="422"/>
      <c r="M85" s="424" t="str">
        <f>Calcu!F61</f>
        <v>mm</v>
      </c>
      <c r="N85" s="425"/>
      <c r="O85" s="426">
        <f>Calcu!K61</f>
        <v>7.2168783648703227</v>
      </c>
      <c r="P85" s="427"/>
      <c r="Q85" s="427"/>
      <c r="R85" s="427"/>
      <c r="S85" s="427"/>
      <c r="T85" s="427"/>
      <c r="U85" s="427"/>
      <c r="V85" s="428" t="str">
        <f>Calcu!M61</f>
        <v>μm</v>
      </c>
      <c r="W85" s="428"/>
      <c r="X85" s="428"/>
      <c r="Y85" s="428"/>
      <c r="Z85" s="428"/>
      <c r="AA85" s="429"/>
      <c r="AB85" s="423" t="str">
        <f>Calcu!N61</f>
        <v>직사각형</v>
      </c>
      <c r="AC85" s="423"/>
      <c r="AD85" s="423"/>
      <c r="AE85" s="423"/>
      <c r="AF85" s="423"/>
      <c r="AG85" s="437">
        <f>Calcu!Q61</f>
        <v>1</v>
      </c>
      <c r="AH85" s="438"/>
      <c r="AI85" s="438"/>
      <c r="AJ85" s="438"/>
      <c r="AK85" s="438"/>
      <c r="AL85" s="438"/>
      <c r="AM85" s="438"/>
      <c r="AN85" s="438"/>
      <c r="AO85" s="439"/>
      <c r="AP85" s="426">
        <f>Calcu!S61</f>
        <v>7.2168783648703227</v>
      </c>
      <c r="AQ85" s="427"/>
      <c r="AR85" s="427"/>
      <c r="AS85" s="427"/>
      <c r="AT85" s="427"/>
      <c r="AU85" s="427">
        <v>0</v>
      </c>
      <c r="AV85" s="427"/>
      <c r="AW85" s="428" t="str">
        <f>Calcu!U61</f>
        <v>μm</v>
      </c>
      <c r="AX85" s="428"/>
      <c r="AY85" s="428"/>
      <c r="AZ85" s="428"/>
      <c r="BA85" s="428"/>
      <c r="BB85" s="429"/>
      <c r="BC85" s="423">
        <f>Calcu!V61</f>
        <v>50</v>
      </c>
      <c r="BD85" s="423"/>
      <c r="BE85" s="423"/>
      <c r="BF85" s="423"/>
    </row>
    <row r="86" spans="1:59" ht="18.75" customHeight="1">
      <c r="A86" s="240"/>
      <c r="B86" s="423" t="s">
        <v>387</v>
      </c>
      <c r="C86" s="423"/>
      <c r="D86" s="418" t="s">
        <v>388</v>
      </c>
      <c r="E86" s="419"/>
      <c r="F86" s="419"/>
      <c r="G86" s="420"/>
      <c r="H86" s="421" t="e">
        <f ca="1">Calcu!E62</f>
        <v>#N/A</v>
      </c>
      <c r="I86" s="422"/>
      <c r="J86" s="422"/>
      <c r="K86" s="422"/>
      <c r="L86" s="422"/>
      <c r="M86" s="424" t="str">
        <f>Calcu!F62</f>
        <v>mm</v>
      </c>
      <c r="N86" s="425"/>
      <c r="O86" s="437"/>
      <c r="P86" s="438"/>
      <c r="Q86" s="438"/>
      <c r="R86" s="438"/>
      <c r="S86" s="438"/>
      <c r="T86" s="438"/>
      <c r="U86" s="438"/>
      <c r="V86" s="438"/>
      <c r="W86" s="438"/>
      <c r="X86" s="438"/>
      <c r="Y86" s="438"/>
      <c r="Z86" s="438"/>
      <c r="AA86" s="439"/>
      <c r="AB86" s="423"/>
      <c r="AC86" s="423"/>
      <c r="AD86" s="423"/>
      <c r="AE86" s="423"/>
      <c r="AF86" s="423"/>
      <c r="AG86" s="437"/>
      <c r="AH86" s="438"/>
      <c r="AI86" s="438"/>
      <c r="AJ86" s="438"/>
      <c r="AK86" s="438"/>
      <c r="AL86" s="438"/>
      <c r="AM86" s="438"/>
      <c r="AN86" s="438"/>
      <c r="AO86" s="439"/>
      <c r="AP86" s="460" t="e">
        <f ca="1">Calcu!S62</f>
        <v>#N/A</v>
      </c>
      <c r="AQ86" s="461"/>
      <c r="AR86" s="461"/>
      <c r="AS86" s="259"/>
      <c r="AT86" s="237"/>
      <c r="AU86" s="408" t="e">
        <f ca="1">Calcu!T62</f>
        <v>#N/A</v>
      </c>
      <c r="AV86" s="408"/>
      <c r="AW86" s="408"/>
      <c r="AX86" s="260"/>
      <c r="AY86" s="260"/>
      <c r="AZ86" s="260"/>
      <c r="BA86" s="462" t="str">
        <f>Calcu!U62</f>
        <v>μm</v>
      </c>
      <c r="BB86" s="463"/>
      <c r="BC86" s="423" t="e">
        <f ca="1">Calcu!V62</f>
        <v>#N/A</v>
      </c>
      <c r="BD86" s="423"/>
      <c r="BE86" s="423"/>
      <c r="BF86" s="423"/>
    </row>
    <row r="87" spans="1:59" ht="18.75" customHeight="1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61" t="s">
        <v>389</v>
      </c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</row>
    <row r="88" spans="1:59" ht="18.75" customHeight="1">
      <c r="A88" s="57" t="s">
        <v>390</v>
      </c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40"/>
      <c r="AT88" s="240"/>
    </row>
    <row r="89" spans="1:59" ht="18.75" customHeight="1">
      <c r="A89" s="240"/>
      <c r="B89" s="213" t="e">
        <f ca="1">"1. "&amp;T5&amp;"의 표준불확도,"</f>
        <v>#N/A</v>
      </c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14" t="s">
        <v>391</v>
      </c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40"/>
      <c r="AT89" s="240"/>
    </row>
    <row r="90" spans="1:59" ht="18.75" customHeight="1">
      <c r="A90" s="240"/>
      <c r="B90" s="240"/>
      <c r="C90" s="240" t="s">
        <v>392</v>
      </c>
      <c r="D90" s="240"/>
      <c r="E90" s="240"/>
      <c r="F90" s="240"/>
      <c r="G90" s="240"/>
      <c r="H90" s="240"/>
      <c r="I90" s="410" t="e">
        <f ca="1">H78</f>
        <v>#N/A</v>
      </c>
      <c r="J90" s="410"/>
      <c r="K90" s="410"/>
      <c r="L90" s="410"/>
      <c r="M90" s="410"/>
      <c r="N90" s="411" t="str">
        <f>M78</f>
        <v>mm</v>
      </c>
      <c r="O90" s="411"/>
      <c r="P90" s="229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0"/>
      <c r="AR90" s="240"/>
      <c r="AS90" s="240"/>
      <c r="AT90" s="240"/>
    </row>
    <row r="91" spans="1:59" ht="18.75" customHeight="1">
      <c r="C91" s="262" t="s">
        <v>393</v>
      </c>
    </row>
    <row r="92" spans="1:59" s="68" customFormat="1" ht="18.75" customHeight="1">
      <c r="B92" s="57"/>
      <c r="C92" s="263" t="s">
        <v>394</v>
      </c>
      <c r="D92" s="263"/>
      <c r="E92" s="263"/>
      <c r="F92" s="263"/>
      <c r="G92" s="263"/>
      <c r="H92" s="263"/>
      <c r="I92" s="263"/>
      <c r="J92" s="263" t="s">
        <v>395</v>
      </c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414">
        <f ca="1">Calcu!H54</f>
        <v>0</v>
      </c>
      <c r="Z92" s="414"/>
      <c r="AB92" s="466">
        <f ca="1">Calcu!I54</f>
        <v>0</v>
      </c>
      <c r="AC92" s="466"/>
      <c r="AD92" s="279"/>
      <c r="AE92" s="263"/>
      <c r="AF92" s="263"/>
      <c r="AH92" s="263" t="s">
        <v>396</v>
      </c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BB92" s="263"/>
      <c r="BC92" s="263"/>
      <c r="BD92" s="263"/>
      <c r="BE92" s="263"/>
      <c r="BF92" s="263"/>
      <c r="BG92" s="263"/>
    </row>
    <row r="93" spans="1:59" s="68" customFormat="1" ht="18.75" customHeight="1">
      <c r="B93" s="57"/>
      <c r="D93" s="263"/>
      <c r="E93" s="263"/>
      <c r="F93" s="263"/>
      <c r="G93" s="263"/>
      <c r="H93" s="263"/>
      <c r="I93" s="263"/>
      <c r="J93" s="263"/>
      <c r="K93" s="263" t="s">
        <v>397</v>
      </c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</row>
    <row r="94" spans="1:59" s="68" customFormat="1" ht="18.75" customHeight="1">
      <c r="B94" s="57"/>
      <c r="C94" s="263"/>
      <c r="D94" s="263"/>
      <c r="E94" s="263"/>
      <c r="F94" s="263"/>
      <c r="G94" s="263"/>
      <c r="H94" s="263"/>
      <c r="I94" s="263"/>
      <c r="J94" s="263"/>
      <c r="K94" s="485" t="s">
        <v>398</v>
      </c>
      <c r="L94" s="485"/>
      <c r="M94" s="485"/>
      <c r="N94" s="414" t="s">
        <v>157</v>
      </c>
      <c r="O94" s="264"/>
      <c r="P94" s="486">
        <f ca="1">Y92</f>
        <v>0</v>
      </c>
      <c r="Q94" s="486"/>
      <c r="R94" s="264"/>
      <c r="S94" s="483">
        <f ca="1">AB92</f>
        <v>0</v>
      </c>
      <c r="T94" s="483"/>
      <c r="U94" s="264"/>
      <c r="V94" s="265"/>
      <c r="W94" s="265"/>
      <c r="X94" s="265" t="s">
        <v>399</v>
      </c>
      <c r="Z94" s="487" t="s">
        <v>157</v>
      </c>
      <c r="AA94" s="266"/>
      <c r="AB94" s="488" t="e">
        <f ca="1">P94/P95</f>
        <v>#N/A</v>
      </c>
      <c r="AC94" s="488"/>
      <c r="AE94" s="489" t="e">
        <f ca="1">S94/P95</f>
        <v>#N/A</v>
      </c>
      <c r="AF94" s="489"/>
      <c r="AG94" s="489"/>
      <c r="AH94" s="267"/>
      <c r="AI94" s="263"/>
      <c r="AK94" s="479" t="s">
        <v>400</v>
      </c>
      <c r="AL94" s="479"/>
      <c r="AM94" s="414" t="s">
        <v>157</v>
      </c>
      <c r="AN94" s="466" t="e">
        <f ca="1">AB94/1000</f>
        <v>#N/A</v>
      </c>
      <c r="AO94" s="466"/>
      <c r="AP94" s="466"/>
      <c r="AQ94" s="267"/>
      <c r="AR94" s="480" t="e">
        <f ca="1">AE94/1000</f>
        <v>#N/A</v>
      </c>
      <c r="AS94" s="480"/>
      <c r="AT94" s="480"/>
      <c r="AU94" s="480"/>
      <c r="AV94" s="269"/>
      <c r="AW94" s="263"/>
      <c r="AX94" s="466" t="s">
        <v>156</v>
      </c>
      <c r="AY94" s="466"/>
      <c r="BB94" s="263"/>
      <c r="BC94" s="263"/>
      <c r="BD94" s="263"/>
      <c r="BE94" s="263"/>
      <c r="BF94" s="263"/>
      <c r="BG94" s="263"/>
    </row>
    <row r="95" spans="1:59" s="68" customFormat="1" ht="18.75" customHeight="1">
      <c r="B95" s="57"/>
      <c r="C95" s="263"/>
      <c r="D95" s="263"/>
      <c r="E95" s="263"/>
      <c r="F95" s="263"/>
      <c r="G95" s="263"/>
      <c r="H95" s="263"/>
      <c r="I95" s="263"/>
      <c r="J95" s="263"/>
      <c r="K95" s="485"/>
      <c r="L95" s="485"/>
      <c r="M95" s="485"/>
      <c r="N95" s="414"/>
      <c r="O95" s="263"/>
      <c r="P95" s="484" t="e">
        <f ca="1">Calcu!J54</f>
        <v>#N/A</v>
      </c>
      <c r="Q95" s="484"/>
      <c r="R95" s="484"/>
      <c r="S95" s="484"/>
      <c r="T95" s="484"/>
      <c r="U95" s="484"/>
      <c r="V95" s="484"/>
      <c r="W95" s="484"/>
      <c r="X95" s="484"/>
      <c r="Y95" s="484"/>
      <c r="Z95" s="487"/>
      <c r="AA95" s="266"/>
      <c r="AB95" s="488"/>
      <c r="AC95" s="488"/>
      <c r="AD95" s="263"/>
      <c r="AE95" s="489"/>
      <c r="AF95" s="489"/>
      <c r="AG95" s="489"/>
      <c r="AH95" s="267"/>
      <c r="AI95" s="263"/>
      <c r="AK95" s="479"/>
      <c r="AL95" s="479"/>
      <c r="AM95" s="414"/>
      <c r="AN95" s="466"/>
      <c r="AO95" s="466"/>
      <c r="AP95" s="466"/>
      <c r="AQ95" s="267"/>
      <c r="AR95" s="480"/>
      <c r="AS95" s="480"/>
      <c r="AT95" s="480"/>
      <c r="AU95" s="480"/>
      <c r="AV95" s="269"/>
      <c r="AW95" s="263"/>
      <c r="AX95" s="466"/>
      <c r="AY95" s="466"/>
      <c r="BB95" s="263"/>
      <c r="BC95" s="263"/>
      <c r="BD95" s="263"/>
      <c r="BE95" s="263"/>
      <c r="BF95" s="263"/>
      <c r="BG95" s="263"/>
    </row>
    <row r="96" spans="1:59" s="68" customFormat="1" ht="18.75" customHeight="1">
      <c r="B96" s="57"/>
      <c r="C96" s="263"/>
      <c r="D96" s="263"/>
      <c r="E96" s="263"/>
      <c r="F96" s="263"/>
      <c r="G96" s="263"/>
      <c r="H96" s="263"/>
      <c r="I96" s="263"/>
      <c r="J96" s="263" t="s">
        <v>402</v>
      </c>
      <c r="K96" s="263"/>
      <c r="L96" s="263"/>
      <c r="M96" s="263"/>
      <c r="N96" s="263"/>
      <c r="O96" s="33"/>
      <c r="P96" s="263"/>
      <c r="Q96" s="33"/>
      <c r="R96" s="33"/>
      <c r="S96" s="33"/>
      <c r="T96" s="33"/>
      <c r="U96" s="33"/>
      <c r="V96" s="33"/>
      <c r="W96" s="33"/>
      <c r="X96" s="33"/>
      <c r="Y96" s="33"/>
      <c r="Z96" s="270"/>
      <c r="AA96" s="271"/>
      <c r="AB96" s="266"/>
      <c r="AC96" s="272"/>
      <c r="AD96" s="272"/>
      <c r="AE96" s="33"/>
      <c r="AF96" s="33"/>
      <c r="AG96" s="33"/>
      <c r="AH96" s="33"/>
      <c r="AI96" s="267"/>
      <c r="AJ96" s="263"/>
      <c r="AK96" s="263"/>
      <c r="AL96" s="263"/>
      <c r="AM96" s="33"/>
      <c r="AN96" s="273"/>
      <c r="AO96" s="273"/>
      <c r="AP96" s="273"/>
      <c r="AQ96" s="263"/>
      <c r="AR96" s="274"/>
      <c r="AS96" s="274"/>
      <c r="AT96" s="274"/>
      <c r="AU96" s="274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</row>
    <row r="97" spans="1:60" s="68" customFormat="1" ht="18.75" customHeight="1">
      <c r="B97" s="57"/>
      <c r="C97" s="263"/>
      <c r="D97" s="263"/>
      <c r="E97" s="263"/>
      <c r="F97" s="263"/>
      <c r="G97" s="263"/>
      <c r="H97" s="263"/>
      <c r="I97" s="263"/>
      <c r="J97" s="263"/>
      <c r="K97" s="481">
        <f>Calcu!L3</f>
        <v>0</v>
      </c>
      <c r="L97" s="481"/>
      <c r="M97" s="481"/>
      <c r="N97" s="275" t="s">
        <v>403</v>
      </c>
      <c r="O97" s="263"/>
      <c r="P97" s="263"/>
      <c r="Q97" s="33"/>
      <c r="R97" s="33"/>
      <c r="S97" s="33"/>
      <c r="T97" s="33"/>
      <c r="U97" s="33"/>
      <c r="V97" s="33"/>
      <c r="W97" s="33"/>
      <c r="X97" s="33"/>
      <c r="Y97" s="33"/>
      <c r="Z97" s="270"/>
      <c r="AA97" s="271"/>
      <c r="AB97" s="263"/>
      <c r="AC97" s="482" t="e">
        <f>VLOOKUP($K$97,Calcu!$AH$9:$AZ$49,2,FALSE)</f>
        <v>#N/A</v>
      </c>
      <c r="AD97" s="482"/>
      <c r="AE97" s="482"/>
      <c r="AF97" s="482"/>
      <c r="AG97" s="33" t="s">
        <v>405</v>
      </c>
      <c r="AH97" s="482" t="e">
        <f>VLOOKUP($K$97,Calcu!$AH$9:$AZ$49,3,FALSE)</f>
        <v>#N/A</v>
      </c>
      <c r="AI97" s="482"/>
      <c r="AJ97" s="482"/>
      <c r="AK97" s="482"/>
      <c r="AL97" s="263" t="s">
        <v>404</v>
      </c>
      <c r="AM97" s="482" t="e">
        <f>VLOOKUP($K$97,Calcu!$AH$9:$AZ$49,4,FALSE)</f>
        <v>#N/A</v>
      </c>
      <c r="AN97" s="482"/>
      <c r="AO97" s="482"/>
      <c r="AP97" s="482"/>
      <c r="AQ97" s="263" t="s">
        <v>406</v>
      </c>
      <c r="AR97" s="482" t="e">
        <f>VLOOKUP($K$97,Calcu!$AH$9:$AZ$49,5,FALSE)</f>
        <v>#N/A</v>
      </c>
      <c r="AS97" s="482"/>
      <c r="AT97" s="482"/>
      <c r="AU97" s="482"/>
      <c r="AV97" s="263" t="s">
        <v>406</v>
      </c>
      <c r="AW97" s="482" t="e">
        <f>VLOOKUP($K$97,Calcu!$AH$9:$AZ$49,6,FALSE)</f>
        <v>#N/A</v>
      </c>
      <c r="AX97" s="482"/>
      <c r="AY97" s="482"/>
      <c r="AZ97" s="482"/>
      <c r="BA97" s="275" t="s">
        <v>408</v>
      </c>
      <c r="BB97" s="263"/>
    </row>
    <row r="98" spans="1:60" s="68" customFormat="1" ht="18.75" customHeight="1">
      <c r="B98" s="57"/>
      <c r="C98" s="263"/>
      <c r="D98" s="263"/>
      <c r="E98" s="263"/>
      <c r="F98" s="263"/>
      <c r="G98" s="263"/>
      <c r="H98" s="263"/>
      <c r="I98" s="263"/>
      <c r="J98" s="263"/>
      <c r="K98" s="263" t="s">
        <v>409</v>
      </c>
      <c r="L98" s="263"/>
      <c r="M98" s="263"/>
      <c r="N98" s="263"/>
      <c r="O98" s="33"/>
      <c r="P98" s="263"/>
      <c r="Q98" s="33"/>
      <c r="R98" s="33"/>
      <c r="S98" s="33"/>
      <c r="T98" s="33"/>
      <c r="U98" s="33"/>
      <c r="V98" s="33"/>
      <c r="W98" s="33"/>
      <c r="X98" s="413" t="e">
        <f>VLOOKUP($K$97,Calcu!$AH$9:$AZ$49,12,FALSE)</f>
        <v>#N/A</v>
      </c>
      <c r="Y98" s="413"/>
      <c r="Z98" s="413"/>
      <c r="AA98" s="413"/>
      <c r="AB98" s="33" t="s">
        <v>404</v>
      </c>
      <c r="AC98" s="413" t="e">
        <f>VLOOKUP($K$97,Calcu!$AH$9:$AZ$49,13,FALSE)</f>
        <v>#N/A</v>
      </c>
      <c r="AD98" s="413"/>
      <c r="AE98" s="413"/>
      <c r="AF98" s="413"/>
      <c r="AG98" s="263" t="s">
        <v>406</v>
      </c>
      <c r="AH98" s="413" t="e">
        <f>VLOOKUP($K$97,Calcu!$AH$9:$AZ$49,14,FALSE)</f>
        <v>#N/A</v>
      </c>
      <c r="AI98" s="413"/>
      <c r="AJ98" s="413"/>
      <c r="AK98" s="413"/>
      <c r="AL98" s="263" t="s">
        <v>404</v>
      </c>
      <c r="AM98" s="413" t="e">
        <f>VLOOKUP($K$97,Calcu!$AH$9:$AZ$49,15,FALSE)</f>
        <v>#N/A</v>
      </c>
      <c r="AN98" s="413"/>
      <c r="AO98" s="413"/>
      <c r="AP98" s="413"/>
      <c r="AQ98" s="263" t="s">
        <v>404</v>
      </c>
      <c r="AR98" s="413" t="e">
        <f>VLOOKUP($K$97,Calcu!$AH$9:$AZ$49,16,FALSE)</f>
        <v>#N/A</v>
      </c>
      <c r="AS98" s="413"/>
      <c r="AT98" s="413"/>
      <c r="AU98" s="413"/>
      <c r="AV98" s="275" t="s">
        <v>407</v>
      </c>
      <c r="AW98" s="263"/>
      <c r="AX98" s="263"/>
      <c r="AY98" s="275" t="s">
        <v>410</v>
      </c>
      <c r="AZ98" s="263"/>
      <c r="BA98" s="263"/>
      <c r="BB98" s="263"/>
    </row>
    <row r="99" spans="1:60" s="68" customFormat="1" ht="18.75" customHeight="1">
      <c r="B99" s="57"/>
      <c r="C99" s="263"/>
      <c r="D99" s="263"/>
      <c r="E99" s="263"/>
      <c r="F99" s="263"/>
      <c r="G99" s="263"/>
      <c r="H99" s="263"/>
      <c r="I99" s="263"/>
      <c r="J99" s="263"/>
      <c r="K99" s="263" t="s">
        <v>411</v>
      </c>
      <c r="L99" s="263"/>
      <c r="M99" s="263"/>
      <c r="N99" s="263"/>
      <c r="O99" s="33"/>
      <c r="P99" s="263"/>
      <c r="Q99" s="33"/>
      <c r="R99" s="33"/>
      <c r="S99" s="33"/>
      <c r="T99" s="33"/>
      <c r="U99" s="33"/>
      <c r="V99" s="33"/>
      <c r="W99" s="33"/>
      <c r="X99" s="33"/>
      <c r="Y99" s="33"/>
      <c r="Z99" s="270"/>
      <c r="AA99" s="271"/>
      <c r="AB99" s="266"/>
      <c r="AC99" s="272"/>
      <c r="AD99" s="272"/>
      <c r="AE99" s="33"/>
      <c r="AF99" s="33"/>
      <c r="AG99" s="33"/>
      <c r="AH99" s="33"/>
      <c r="AI99" s="267"/>
      <c r="AJ99" s="263"/>
      <c r="AK99" s="263"/>
      <c r="AL99" s="263"/>
      <c r="AM99" s="263"/>
      <c r="AN99" s="263"/>
      <c r="AO99" s="263"/>
      <c r="AP99" s="273"/>
      <c r="AQ99" s="269"/>
      <c r="AR99" s="274"/>
      <c r="AS99" s="274"/>
      <c r="AT99" s="274"/>
      <c r="AU99" s="274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</row>
    <row r="100" spans="1:60" s="68" customFormat="1" ht="18.75" customHeight="1">
      <c r="B100" s="57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33"/>
      <c r="P100" s="263"/>
      <c r="Q100" s="33"/>
      <c r="R100" s="33"/>
      <c r="S100" s="33"/>
      <c r="T100" s="33"/>
      <c r="U100" s="33"/>
      <c r="V100" s="33"/>
      <c r="W100" s="33"/>
      <c r="X100" s="33"/>
      <c r="Y100" s="33"/>
      <c r="Z100" s="270"/>
      <c r="AA100" s="271"/>
      <c r="AB100" s="266"/>
      <c r="AC100" s="272"/>
      <c r="AD100" s="272"/>
      <c r="AE100" s="33"/>
      <c r="AG100" s="414" t="s">
        <v>412</v>
      </c>
      <c r="AH100" s="490" t="e">
        <f>VLOOKUP($K$97,Calcu!$AH$9:$AZ$49,17,FALSE)</f>
        <v>#N/A</v>
      </c>
      <c r="AI100" s="490"/>
      <c r="AJ100" s="490"/>
      <c r="AK100" s="490"/>
      <c r="AL100" s="490"/>
      <c r="AS100" s="274"/>
      <c r="AT100" s="274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</row>
    <row r="101" spans="1:60" s="68" customFormat="1" ht="18.75" customHeight="1">
      <c r="B101" s="57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33"/>
      <c r="P101" s="263"/>
      <c r="Q101" s="33"/>
      <c r="R101" s="33"/>
      <c r="S101" s="33"/>
      <c r="T101" s="33"/>
      <c r="U101" s="33"/>
      <c r="V101" s="33"/>
      <c r="W101" s="33"/>
      <c r="X101" s="33"/>
      <c r="Y101" s="33"/>
      <c r="Z101" s="270"/>
      <c r="AA101" s="271"/>
      <c r="AB101" s="266"/>
      <c r="AC101" s="272"/>
      <c r="AD101" s="272"/>
      <c r="AE101" s="33"/>
      <c r="AG101" s="414"/>
      <c r="AH101" s="490"/>
      <c r="AI101" s="490"/>
      <c r="AJ101" s="490"/>
      <c r="AK101" s="490"/>
      <c r="AL101" s="490"/>
      <c r="AS101" s="274"/>
      <c r="AT101" s="274"/>
      <c r="AU101" s="274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</row>
    <row r="102" spans="1:60" s="68" customFormat="1" ht="18.75" customHeight="1">
      <c r="B102" s="57"/>
      <c r="C102" s="263"/>
      <c r="D102" s="263"/>
      <c r="E102" s="263"/>
      <c r="F102" s="263"/>
      <c r="G102" s="263"/>
      <c r="H102" s="263"/>
      <c r="I102" s="263"/>
      <c r="J102" s="263"/>
      <c r="K102" s="489" t="s">
        <v>413</v>
      </c>
      <c r="L102" s="489"/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91"/>
      <c r="X102" s="492" t="e">
        <f>VLOOKUP($K$97,Calcu!$AH$9:$AZ$49,18,FALSE)</f>
        <v>#N/A</v>
      </c>
      <c r="Y102" s="492"/>
      <c r="Z102" s="492"/>
      <c r="AA102" s="263"/>
      <c r="AB102" s="480" t="e">
        <f>VLOOKUP($K$97,Calcu!$AH$9:$AZ$49,19,FALSE)</f>
        <v>#N/A</v>
      </c>
      <c r="AC102" s="480"/>
      <c r="AD102" s="480"/>
      <c r="AE102" s="480"/>
      <c r="AF102" s="263"/>
      <c r="AG102" s="263"/>
      <c r="AH102" s="263"/>
      <c r="AI102" s="479" t="s">
        <v>414</v>
      </c>
      <c r="AJ102" s="479"/>
      <c r="AK102" s="263"/>
      <c r="AL102" s="263"/>
      <c r="AM102" s="33"/>
      <c r="AN102" s="273"/>
      <c r="AO102" s="273"/>
      <c r="AP102" s="273"/>
      <c r="AQ102" s="269"/>
      <c r="AR102" s="274"/>
      <c r="AS102" s="274"/>
      <c r="AT102" s="274"/>
      <c r="AU102" s="274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</row>
    <row r="103" spans="1:60" ht="18.75" customHeight="1">
      <c r="C103" s="262" t="s">
        <v>415</v>
      </c>
    </row>
    <row r="104" spans="1:60" s="68" customFormat="1" ht="18.75" customHeight="1">
      <c r="B104" s="57"/>
      <c r="C104" s="263" t="s">
        <v>416</v>
      </c>
      <c r="D104" s="263"/>
      <c r="E104" s="263"/>
      <c r="F104" s="263"/>
      <c r="G104" s="263"/>
      <c r="H104" s="263"/>
      <c r="I104" s="263"/>
      <c r="J104" s="263" t="e">
        <f ca="1">"※ "&amp;T5&amp;"의 측정불확도가 "</f>
        <v>#N/A</v>
      </c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414">
        <f ca="1">Calcu!H54</f>
        <v>0</v>
      </c>
      <c r="Z104" s="414"/>
      <c r="AB104" s="466">
        <f ca="1">Calcu!I54</f>
        <v>0</v>
      </c>
      <c r="AC104" s="466"/>
      <c r="AD104" s="466"/>
      <c r="AE104" s="263"/>
      <c r="AF104" s="263"/>
      <c r="AH104" s="263" t="s">
        <v>417</v>
      </c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BB104" s="263"/>
      <c r="BC104" s="263"/>
      <c r="BD104" s="263"/>
      <c r="BE104" s="263"/>
      <c r="BF104" s="263"/>
      <c r="BG104" s="263"/>
    </row>
    <row r="105" spans="1:60" s="68" customFormat="1" ht="18.75" customHeight="1">
      <c r="B105" s="57"/>
      <c r="D105" s="263"/>
      <c r="E105" s="263"/>
      <c r="F105" s="263"/>
      <c r="G105" s="263"/>
      <c r="H105" s="263"/>
      <c r="I105" s="263"/>
      <c r="J105" s="263"/>
      <c r="K105" s="263" t="s">
        <v>418</v>
      </c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</row>
    <row r="106" spans="1:60" s="68" customFormat="1" ht="18.75" customHeight="1">
      <c r="B106" s="57"/>
      <c r="C106" s="263"/>
      <c r="D106" s="263"/>
      <c r="E106" s="263"/>
      <c r="F106" s="263"/>
      <c r="G106" s="263"/>
      <c r="H106" s="263"/>
      <c r="I106" s="263"/>
      <c r="J106" s="263"/>
      <c r="K106" s="485" t="s">
        <v>398</v>
      </c>
      <c r="L106" s="485"/>
      <c r="M106" s="485"/>
      <c r="N106" s="414" t="s">
        <v>157</v>
      </c>
      <c r="O106" s="264"/>
      <c r="P106" s="493">
        <f ca="1">Y104</f>
        <v>0</v>
      </c>
      <c r="Q106" s="493"/>
      <c r="R106" s="264"/>
      <c r="S106" s="493">
        <f ca="1">AB104</f>
        <v>0</v>
      </c>
      <c r="T106" s="493"/>
      <c r="U106" s="493"/>
      <c r="V106" s="265"/>
      <c r="W106" s="265"/>
      <c r="X106" s="265"/>
      <c r="Y106" s="494" t="s">
        <v>400</v>
      </c>
      <c r="Z106" s="494"/>
      <c r="AA106" s="487" t="s">
        <v>157</v>
      </c>
      <c r="AB106" s="266"/>
      <c r="AC106" s="495" t="e">
        <f ca="1">P106/P107</f>
        <v>#N/A</v>
      </c>
      <c r="AD106" s="495"/>
      <c r="AF106" s="496" t="e">
        <f ca="1">S106/P107</f>
        <v>#N/A</v>
      </c>
      <c r="AG106" s="496"/>
      <c r="AH106" s="496"/>
      <c r="AI106" s="496"/>
      <c r="AJ106" s="263"/>
      <c r="AM106" s="479" t="s">
        <v>414</v>
      </c>
      <c r="AN106" s="479"/>
      <c r="AO106" s="268"/>
      <c r="AP106" s="263"/>
      <c r="AQ106" s="263"/>
      <c r="AR106" s="267"/>
      <c r="AS106" s="269"/>
      <c r="AT106" s="269"/>
      <c r="AU106" s="269"/>
      <c r="AV106" s="269"/>
      <c r="AY106" s="263"/>
      <c r="AZ106" s="263"/>
      <c r="BC106" s="263"/>
      <c r="BD106" s="263"/>
      <c r="BE106" s="263"/>
      <c r="BF106" s="263"/>
      <c r="BG106" s="263"/>
      <c r="BH106" s="263"/>
    </row>
    <row r="107" spans="1:60" s="68" customFormat="1" ht="18.75" customHeight="1">
      <c r="B107" s="57"/>
      <c r="C107" s="263"/>
      <c r="D107" s="263"/>
      <c r="E107" s="263"/>
      <c r="F107" s="263"/>
      <c r="G107" s="263"/>
      <c r="H107" s="263"/>
      <c r="I107" s="263"/>
      <c r="J107" s="263"/>
      <c r="K107" s="485"/>
      <c r="L107" s="485"/>
      <c r="M107" s="485"/>
      <c r="N107" s="414"/>
      <c r="O107" s="263"/>
      <c r="P107" s="484" t="e">
        <f ca="1">Calcu!J54</f>
        <v>#N/A</v>
      </c>
      <c r="Q107" s="484"/>
      <c r="R107" s="484"/>
      <c r="S107" s="484"/>
      <c r="T107" s="484"/>
      <c r="U107" s="484"/>
      <c r="V107" s="484"/>
      <c r="W107" s="484"/>
      <c r="X107" s="484"/>
      <c r="Y107" s="484"/>
      <c r="Z107" s="484"/>
      <c r="AA107" s="487"/>
      <c r="AB107" s="266"/>
      <c r="AC107" s="495"/>
      <c r="AD107" s="495"/>
      <c r="AE107" s="263"/>
      <c r="AF107" s="496"/>
      <c r="AG107" s="496"/>
      <c r="AH107" s="496"/>
      <c r="AI107" s="496"/>
      <c r="AJ107" s="263"/>
      <c r="AM107" s="479"/>
      <c r="AN107" s="479"/>
      <c r="AO107" s="268"/>
      <c r="AP107" s="263"/>
      <c r="AQ107" s="263"/>
      <c r="AR107" s="267"/>
      <c r="AS107" s="269"/>
      <c r="AT107" s="269"/>
      <c r="AU107" s="269"/>
      <c r="AV107" s="269"/>
      <c r="AY107" s="263"/>
      <c r="AZ107" s="263"/>
      <c r="BC107" s="263"/>
      <c r="BD107" s="263"/>
      <c r="BE107" s="263"/>
      <c r="BF107" s="263"/>
      <c r="BG107" s="263"/>
      <c r="BH107" s="263"/>
    </row>
    <row r="108" spans="1:60" s="68" customFormat="1" ht="18.75" customHeight="1">
      <c r="B108" s="57"/>
      <c r="C108" s="263" t="s">
        <v>419</v>
      </c>
      <c r="D108" s="263"/>
      <c r="E108" s="263"/>
      <c r="F108" s="263"/>
      <c r="G108" s="263"/>
      <c r="H108" s="263"/>
      <c r="I108" s="479" t="str">
        <f>AB78</f>
        <v>정규</v>
      </c>
      <c r="J108" s="479"/>
      <c r="K108" s="479"/>
      <c r="L108" s="479"/>
      <c r="M108" s="479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</row>
    <row r="109" spans="1:60" s="68" customFormat="1" ht="18.75" customHeight="1">
      <c r="B109" s="57"/>
      <c r="C109" s="479" t="s">
        <v>420</v>
      </c>
      <c r="D109" s="479"/>
      <c r="E109" s="479"/>
      <c r="F109" s="479"/>
      <c r="G109" s="479"/>
      <c r="H109" s="479"/>
      <c r="I109" s="233"/>
      <c r="J109" s="233"/>
      <c r="K109" s="240"/>
      <c r="L109" s="240"/>
      <c r="M109" s="56"/>
      <c r="N109" s="417">
        <f>AG78</f>
        <v>1</v>
      </c>
      <c r="O109" s="417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</row>
    <row r="110" spans="1:60" s="68" customFormat="1" ht="18.75" customHeight="1">
      <c r="B110" s="57"/>
      <c r="C110" s="479"/>
      <c r="D110" s="479"/>
      <c r="E110" s="479"/>
      <c r="F110" s="479"/>
      <c r="G110" s="479"/>
      <c r="H110" s="479"/>
      <c r="I110" s="236"/>
      <c r="J110" s="236"/>
      <c r="K110" s="240"/>
      <c r="L110" s="240"/>
      <c r="M110" s="56"/>
      <c r="N110" s="417"/>
      <c r="O110" s="417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</row>
    <row r="111" spans="1:60" s="240" customFormat="1" ht="18.75" customHeight="1">
      <c r="C111" s="240" t="s">
        <v>421</v>
      </c>
      <c r="K111" s="238" t="s">
        <v>422</v>
      </c>
      <c r="L111" s="472">
        <f>N109</f>
        <v>1</v>
      </c>
      <c r="M111" s="472"/>
      <c r="N111" s="233" t="s">
        <v>81</v>
      </c>
      <c r="O111" s="497">
        <f ca="1">AP78</f>
        <v>0</v>
      </c>
      <c r="P111" s="497"/>
      <c r="Q111" s="497"/>
      <c r="R111" s="154"/>
      <c r="S111" s="229"/>
      <c r="T111" s="472">
        <f ca="1">AU78</f>
        <v>0</v>
      </c>
      <c r="U111" s="472"/>
      <c r="V111" s="472"/>
      <c r="Z111" s="406" t="str">
        <f>BA78</f>
        <v>μm</v>
      </c>
      <c r="AA111" s="406"/>
      <c r="AB111" s="230" t="s">
        <v>423</v>
      </c>
      <c r="AC111" s="230" t="s">
        <v>424</v>
      </c>
      <c r="AD111" s="497">
        <f ca="1">O111</f>
        <v>0</v>
      </c>
      <c r="AE111" s="497"/>
      <c r="AF111" s="497"/>
      <c r="AG111" s="154"/>
      <c r="AH111" s="229"/>
      <c r="AI111" s="472">
        <f ca="1">T111</f>
        <v>0</v>
      </c>
      <c r="AJ111" s="472"/>
      <c r="AK111" s="472"/>
      <c r="AO111" s="406" t="str">
        <f>Z111</f>
        <v>μm</v>
      </c>
      <c r="AP111" s="406"/>
    </row>
    <row r="112" spans="1:60" ht="18.75" customHeight="1">
      <c r="A112" s="240"/>
      <c r="B112" s="240"/>
      <c r="C112" s="233" t="s">
        <v>425</v>
      </c>
      <c r="D112" s="233"/>
      <c r="E112" s="233"/>
      <c r="F112" s="233"/>
      <c r="G112" s="233"/>
      <c r="I112" s="110" t="s">
        <v>426</v>
      </c>
      <c r="J112" s="240"/>
      <c r="K112" s="240"/>
      <c r="L112" s="240"/>
      <c r="M112" s="240"/>
      <c r="N112" s="240"/>
      <c r="O112" s="240"/>
      <c r="P112" s="240"/>
      <c r="Q112" s="240"/>
      <c r="R112" s="240"/>
      <c r="S112" s="180"/>
      <c r="T112" s="180"/>
      <c r="U112" s="240"/>
      <c r="V112" s="240"/>
      <c r="W112" s="240"/>
      <c r="X112" s="240"/>
      <c r="Y112" s="240"/>
      <c r="Z112" s="240"/>
      <c r="AA112" s="240"/>
      <c r="AB112" s="240"/>
      <c r="AC112" s="240"/>
      <c r="AD112" s="240"/>
      <c r="AG112" s="240"/>
      <c r="AH112" s="240"/>
      <c r="AI112" s="240"/>
      <c r="AJ112" s="240"/>
      <c r="AK112" s="240"/>
      <c r="AL112" s="240"/>
      <c r="AM112" s="240"/>
      <c r="AN112" s="240"/>
      <c r="AO112" s="240"/>
      <c r="AP112" s="240"/>
      <c r="AQ112" s="240"/>
      <c r="AR112" s="240"/>
      <c r="AS112" s="240"/>
      <c r="AT112" s="240"/>
    </row>
    <row r="113" spans="1:49" s="240" customFormat="1" ht="18.75" customHeight="1"/>
    <row r="114" spans="1:49" ht="18.75" customHeight="1">
      <c r="A114" s="240"/>
      <c r="B114" s="60" t="str">
        <f>"2. "&amp;N5&amp;" 지시값의 표준불확도,"</f>
        <v>2. 높이 게이지/측정기 지시값의 표준불확도,</v>
      </c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14" t="s">
        <v>158</v>
      </c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  <c r="AS114" s="240"/>
      <c r="AT114" s="240"/>
    </row>
    <row r="115" spans="1:49" ht="18.75" customHeight="1">
      <c r="A115" s="240"/>
      <c r="C115" s="240" t="s">
        <v>427</v>
      </c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  <c r="AS115" s="240"/>
      <c r="AT115" s="240"/>
    </row>
    <row r="116" spans="1:49" ht="18.75" customHeight="1">
      <c r="A116" s="240"/>
      <c r="C116" s="60"/>
      <c r="D116" s="240" t="s">
        <v>159</v>
      </c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  <c r="AS116" s="240"/>
      <c r="AT116" s="240"/>
    </row>
    <row r="117" spans="1:49" ht="18.75" customHeight="1">
      <c r="B117" s="240"/>
      <c r="C117" s="240" t="s">
        <v>160</v>
      </c>
      <c r="D117" s="240"/>
      <c r="E117" s="240"/>
      <c r="F117" s="240"/>
      <c r="G117" s="240"/>
      <c r="H117" s="240"/>
      <c r="I117" s="411" t="e">
        <f ca="1">H79</f>
        <v>#N/A</v>
      </c>
      <c r="J117" s="411"/>
      <c r="K117" s="411"/>
      <c r="L117" s="411"/>
      <c r="M117" s="411"/>
      <c r="N117" s="411" t="str">
        <f>M79</f>
        <v>mm</v>
      </c>
      <c r="O117" s="411"/>
      <c r="P117" s="229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</row>
    <row r="118" spans="1:49" ht="18.75" customHeight="1">
      <c r="B118" s="240"/>
      <c r="C118" s="240" t="s">
        <v>428</v>
      </c>
      <c r="D118" s="240"/>
      <c r="E118" s="240"/>
      <c r="F118" s="240"/>
      <c r="G118" s="240"/>
      <c r="H118" s="240"/>
      <c r="I118" s="240"/>
      <c r="J118" s="61" t="s">
        <v>161</v>
      </c>
      <c r="K118" s="240"/>
      <c r="L118" s="240"/>
      <c r="M118" s="240"/>
      <c r="N118" s="240"/>
      <c r="O118" s="240"/>
      <c r="P118" s="240"/>
      <c r="Q118" s="411">
        <f>MAX(AK11:AO51)*1000</f>
        <v>0</v>
      </c>
      <c r="R118" s="411"/>
      <c r="S118" s="411"/>
      <c r="T118" s="498" t="s">
        <v>156</v>
      </c>
      <c r="U118" s="498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</row>
    <row r="119" spans="1:49" ht="18.75" customHeight="1">
      <c r="B119" s="240"/>
      <c r="C119" s="240"/>
      <c r="D119" s="240"/>
      <c r="E119" s="240"/>
      <c r="F119" s="240"/>
      <c r="G119" s="240"/>
      <c r="H119" s="240"/>
      <c r="I119" s="240"/>
      <c r="J119" s="240"/>
      <c r="K119" s="430" t="s">
        <v>429</v>
      </c>
      <c r="L119" s="430"/>
      <c r="M119" s="430"/>
      <c r="N119" s="430" t="s">
        <v>157</v>
      </c>
      <c r="O119" s="443" t="s">
        <v>430</v>
      </c>
      <c r="P119" s="443"/>
      <c r="Q119" s="430" t="s">
        <v>401</v>
      </c>
      <c r="R119" s="499">
        <f>Q118</f>
        <v>0</v>
      </c>
      <c r="S119" s="499"/>
      <c r="T119" s="499"/>
      <c r="U119" s="469" t="str">
        <f>T118</f>
        <v>μm</v>
      </c>
      <c r="V119" s="469"/>
      <c r="W119" s="430" t="s">
        <v>401</v>
      </c>
      <c r="X119" s="415">
        <f>R119/SQRT(5)</f>
        <v>0</v>
      </c>
      <c r="Y119" s="415"/>
      <c r="Z119" s="415"/>
      <c r="AA119" s="416" t="str">
        <f>T118</f>
        <v>μm</v>
      </c>
      <c r="AB119" s="416"/>
      <c r="AC119" s="231"/>
      <c r="AD119" s="231"/>
      <c r="AE119" s="231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0"/>
    </row>
    <row r="120" spans="1:49" ht="18.75" customHeight="1">
      <c r="B120" s="240"/>
      <c r="C120" s="240"/>
      <c r="D120" s="240"/>
      <c r="E120" s="240"/>
      <c r="F120" s="240"/>
      <c r="G120" s="240"/>
      <c r="H120" s="240"/>
      <c r="I120" s="240"/>
      <c r="J120" s="240"/>
      <c r="K120" s="430"/>
      <c r="L120" s="430"/>
      <c r="M120" s="430"/>
      <c r="N120" s="430"/>
      <c r="O120" s="470"/>
      <c r="P120" s="470"/>
      <c r="Q120" s="430"/>
      <c r="R120" s="440"/>
      <c r="S120" s="440"/>
      <c r="T120" s="440"/>
      <c r="U120" s="440"/>
      <c r="V120" s="440"/>
      <c r="W120" s="430"/>
      <c r="X120" s="415"/>
      <c r="Y120" s="415"/>
      <c r="Z120" s="415"/>
      <c r="AA120" s="416"/>
      <c r="AB120" s="416"/>
      <c r="AC120" s="231"/>
      <c r="AD120" s="231"/>
      <c r="AE120" s="231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0"/>
    </row>
    <row r="121" spans="1:49" ht="18.75" customHeight="1">
      <c r="B121" s="240"/>
      <c r="C121" s="163" t="s">
        <v>431</v>
      </c>
      <c r="D121" s="240"/>
      <c r="F121" s="240"/>
      <c r="G121" s="240"/>
      <c r="H121" s="240"/>
      <c r="I121" s="240"/>
      <c r="J121" s="240"/>
      <c r="K121" s="210"/>
      <c r="L121" s="210"/>
      <c r="M121" s="210"/>
      <c r="N121" s="210"/>
      <c r="O121" s="234"/>
      <c r="P121" s="234"/>
      <c r="Q121" s="234"/>
      <c r="R121" s="230"/>
      <c r="S121" s="230"/>
      <c r="T121" s="230"/>
      <c r="U121" s="230"/>
      <c r="V121" s="230"/>
      <c r="W121" s="234"/>
      <c r="X121" s="154"/>
      <c r="Y121" s="154"/>
      <c r="Z121" s="154"/>
      <c r="AA121" s="231"/>
      <c r="AB121" s="231"/>
      <c r="AC121" s="231"/>
      <c r="AD121" s="231"/>
      <c r="AE121" s="231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0"/>
    </row>
    <row r="122" spans="1:49" ht="18.75" customHeight="1">
      <c r="B122" s="240"/>
      <c r="C122" s="240"/>
      <c r="D122" s="240"/>
      <c r="E122" s="163"/>
      <c r="F122" s="240"/>
      <c r="G122" s="240"/>
      <c r="H122" s="240"/>
      <c r="I122" s="240"/>
      <c r="J122" s="240"/>
      <c r="K122" s="430" t="s">
        <v>429</v>
      </c>
      <c r="L122" s="430"/>
      <c r="M122" s="430"/>
      <c r="N122" s="430" t="s">
        <v>401</v>
      </c>
      <c r="O122" s="443" t="s">
        <v>432</v>
      </c>
      <c r="P122" s="443"/>
      <c r="Q122" s="430" t="s">
        <v>401</v>
      </c>
      <c r="R122" s="468">
        <f>Calcu!P3*1000</f>
        <v>0</v>
      </c>
      <c r="S122" s="468"/>
      <c r="T122" s="468"/>
      <c r="U122" s="469" t="str">
        <f>T118</f>
        <v>μm</v>
      </c>
      <c r="V122" s="469"/>
      <c r="W122" s="430" t="s">
        <v>157</v>
      </c>
      <c r="X122" s="415">
        <f>R122/(2*SQRT(3))</f>
        <v>0</v>
      </c>
      <c r="Y122" s="415"/>
      <c r="Z122" s="415"/>
      <c r="AA122" s="416" t="str">
        <f>T118</f>
        <v>μm</v>
      </c>
      <c r="AB122" s="416"/>
      <c r="AC122" s="231"/>
      <c r="AD122" s="231"/>
      <c r="AE122" s="231"/>
      <c r="AF122" s="240"/>
      <c r="AG122" s="240"/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0"/>
    </row>
    <row r="123" spans="1:49" ht="18.75" customHeight="1">
      <c r="B123" s="240"/>
      <c r="C123" s="240"/>
      <c r="D123" s="240"/>
      <c r="E123" s="163"/>
      <c r="F123" s="240"/>
      <c r="G123" s="240"/>
      <c r="H123" s="240"/>
      <c r="I123" s="240"/>
      <c r="J123" s="240"/>
      <c r="K123" s="430"/>
      <c r="L123" s="430"/>
      <c r="M123" s="430"/>
      <c r="N123" s="430"/>
      <c r="O123" s="470"/>
      <c r="P123" s="470"/>
      <c r="Q123" s="430"/>
      <c r="R123" s="440"/>
      <c r="S123" s="440"/>
      <c r="T123" s="440"/>
      <c r="U123" s="440"/>
      <c r="V123" s="440"/>
      <c r="W123" s="430"/>
      <c r="X123" s="415"/>
      <c r="Y123" s="415"/>
      <c r="Z123" s="415"/>
      <c r="AA123" s="416"/>
      <c r="AB123" s="416"/>
      <c r="AC123" s="231"/>
      <c r="AD123" s="231"/>
      <c r="AE123" s="231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</row>
    <row r="124" spans="1:49" ht="18.75" customHeight="1">
      <c r="B124" s="240"/>
      <c r="C124" s="240" t="s">
        <v>433</v>
      </c>
      <c r="D124" s="240"/>
      <c r="E124" s="240"/>
      <c r="F124" s="240"/>
      <c r="G124" s="240"/>
      <c r="H124" s="240"/>
      <c r="I124" s="417" t="str">
        <f>AB79</f>
        <v>t</v>
      </c>
      <c r="J124" s="417"/>
      <c r="K124" s="417"/>
      <c r="L124" s="417"/>
      <c r="M124" s="417"/>
      <c r="N124" s="417"/>
      <c r="O124" s="417"/>
      <c r="P124" s="417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40"/>
      <c r="AT124" s="240"/>
      <c r="AU124" s="240"/>
    </row>
    <row r="125" spans="1:49" ht="18.75" customHeight="1">
      <c r="B125" s="240"/>
      <c r="C125" s="406" t="s">
        <v>434</v>
      </c>
      <c r="D125" s="406"/>
      <c r="E125" s="406"/>
      <c r="F125" s="406"/>
      <c r="G125" s="406"/>
      <c r="H125" s="406"/>
      <c r="I125" s="233"/>
      <c r="J125" s="233"/>
      <c r="K125" s="240"/>
      <c r="L125" s="240"/>
      <c r="N125" s="417">
        <f>AG79</f>
        <v>-1</v>
      </c>
      <c r="O125" s="417"/>
      <c r="R125" s="240"/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</row>
    <row r="126" spans="1:49" ht="18.75" customHeight="1">
      <c r="B126" s="240"/>
      <c r="C126" s="406"/>
      <c r="D126" s="406"/>
      <c r="E126" s="406"/>
      <c r="F126" s="406"/>
      <c r="G126" s="406"/>
      <c r="H126" s="406"/>
      <c r="I126" s="236"/>
      <c r="J126" s="236"/>
      <c r="K126" s="240"/>
      <c r="L126" s="240"/>
      <c r="N126" s="417"/>
      <c r="O126" s="417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</row>
    <row r="127" spans="1:49" ht="18.75" customHeight="1">
      <c r="B127" s="240"/>
      <c r="C127" s="240" t="s">
        <v>435</v>
      </c>
      <c r="D127" s="240"/>
      <c r="E127" s="240"/>
      <c r="F127" s="240"/>
      <c r="G127" s="240"/>
      <c r="H127" s="240"/>
      <c r="I127" s="240"/>
      <c r="J127" s="240"/>
      <c r="K127" s="238" t="s">
        <v>436</v>
      </c>
      <c r="L127" s="472">
        <f>N125</f>
        <v>-1</v>
      </c>
      <c r="M127" s="472"/>
      <c r="N127" s="233" t="s">
        <v>437</v>
      </c>
      <c r="O127" s="415">
        <f>AP79</f>
        <v>0</v>
      </c>
      <c r="P127" s="415"/>
      <c r="Q127" s="415"/>
      <c r="R127" s="416" t="str">
        <f>AA119</f>
        <v>μm</v>
      </c>
      <c r="S127" s="411"/>
      <c r="T127" s="238" t="s">
        <v>436</v>
      </c>
      <c r="U127" s="72" t="s">
        <v>438</v>
      </c>
      <c r="V127" s="415">
        <f>O127</f>
        <v>0</v>
      </c>
      <c r="W127" s="415"/>
      <c r="X127" s="415"/>
      <c r="Y127" s="416" t="str">
        <f>R127</f>
        <v>μm</v>
      </c>
      <c r="Z127" s="411"/>
      <c r="AA127" s="229"/>
      <c r="AB127" s="240"/>
      <c r="AC127" s="240"/>
      <c r="AD127" s="240"/>
      <c r="AE127" s="240"/>
      <c r="AF127" s="240"/>
      <c r="AP127" s="240"/>
      <c r="AQ127" s="240"/>
      <c r="AR127" s="240"/>
      <c r="AS127" s="240"/>
      <c r="AT127" s="240"/>
      <c r="AU127" s="240"/>
      <c r="AV127" s="240"/>
    </row>
    <row r="128" spans="1:49" ht="18.75" customHeight="1">
      <c r="B128" s="240"/>
      <c r="C128" s="240" t="s">
        <v>439</v>
      </c>
      <c r="D128" s="240"/>
      <c r="E128" s="240"/>
      <c r="F128" s="240"/>
      <c r="G128" s="240"/>
      <c r="H128" s="240"/>
      <c r="I128" s="110" t="s">
        <v>440</v>
      </c>
      <c r="J128" s="110"/>
      <c r="K128" s="110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240"/>
      <c r="AB128" s="240"/>
      <c r="AC128" s="240"/>
      <c r="AD128" s="240"/>
      <c r="AE128" s="240"/>
      <c r="AF128" s="240"/>
    </row>
    <row r="129" spans="1:83" ht="18.75" customHeight="1">
      <c r="B129" s="240"/>
      <c r="C129" s="240"/>
      <c r="D129" s="240"/>
      <c r="E129" s="240"/>
      <c r="F129" s="240"/>
      <c r="G129" s="240"/>
      <c r="H129" s="240"/>
      <c r="I129" s="110"/>
      <c r="J129" s="97"/>
      <c r="K129" s="110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240"/>
      <c r="AB129" s="240"/>
      <c r="AC129" s="240"/>
      <c r="AD129" s="240"/>
      <c r="AE129" s="240"/>
      <c r="AF129" s="240"/>
    </row>
    <row r="130" spans="1:83" s="139" customFormat="1" ht="18.75" customHeight="1">
      <c r="A130" s="230"/>
      <c r="B130" s="57" t="e">
        <f ca="1">"3. "&amp;N5&amp;"와 "&amp;T5&amp;"의 평균 열팽창계수에 의한 표준불확도,"</f>
        <v>#N/A</v>
      </c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  <c r="Y130" s="233"/>
      <c r="Z130" s="233"/>
      <c r="AA130" s="233"/>
      <c r="AB130" s="233"/>
      <c r="AC130" s="233"/>
      <c r="AD130" s="233"/>
      <c r="AE130" s="233"/>
      <c r="AF130" s="233"/>
      <c r="AG130" s="233"/>
      <c r="AH130" s="233"/>
      <c r="AI130" s="233"/>
      <c r="AJ130" s="233"/>
      <c r="AK130" s="233"/>
      <c r="AL130" s="230"/>
      <c r="AM130" s="230"/>
      <c r="AN130" s="230"/>
      <c r="AO130" s="230"/>
      <c r="AP130" s="230"/>
      <c r="AQ130" s="230"/>
      <c r="AR130" s="230"/>
      <c r="AS130" s="230"/>
      <c r="AT130" s="230"/>
      <c r="AU130" s="230"/>
      <c r="AV130" s="230"/>
      <c r="AW130" s="230"/>
      <c r="AX130" s="230"/>
      <c r="AY130" s="233"/>
      <c r="AZ130" s="233"/>
      <c r="BA130" s="233"/>
      <c r="BB130" s="233"/>
      <c r="BC130" s="233"/>
      <c r="BD130" s="233"/>
      <c r="BE130" s="233"/>
      <c r="BF130" s="233"/>
      <c r="BG130" s="58"/>
      <c r="BH130" s="58"/>
      <c r="BI130" s="58"/>
      <c r="BJ130" s="58"/>
      <c r="BK130" s="58"/>
      <c r="BL130" s="58"/>
      <c r="BM130" s="58"/>
    </row>
    <row r="131" spans="1:83" s="139" customFormat="1" ht="18.75" customHeight="1">
      <c r="A131" s="230"/>
      <c r="B131" s="57"/>
      <c r="C131" s="233" t="e">
        <f ca="1">"※ "&amp;N5&amp;"와 "&amp;T5&amp;"의 평균 열팽창계수 :"</f>
        <v>#N/A</v>
      </c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140"/>
      <c r="W131" s="59"/>
      <c r="X131" s="233"/>
      <c r="Y131" s="59"/>
      <c r="Z131" s="230"/>
      <c r="AA131" s="233"/>
      <c r="AB131" s="230"/>
      <c r="AC131" s="230"/>
      <c r="AD131" s="242"/>
      <c r="AE131" s="230"/>
      <c r="AF131" s="230"/>
      <c r="AG131" s="233"/>
      <c r="AH131" s="233"/>
      <c r="AI131" s="233"/>
      <c r="AJ131" s="233"/>
      <c r="AK131" s="233"/>
      <c r="AL131" s="233"/>
      <c r="AM131" s="233"/>
      <c r="AN131" s="233"/>
      <c r="AO131" s="230"/>
      <c r="AP131" s="230"/>
      <c r="AQ131" s="230"/>
      <c r="AR131" s="230"/>
      <c r="AS131" s="230"/>
      <c r="AT131" s="230"/>
      <c r="AU131" s="230"/>
      <c r="AV131" s="230"/>
      <c r="AW131" s="230"/>
      <c r="AX131" s="230"/>
      <c r="AY131" s="233"/>
      <c r="AZ131" s="233"/>
      <c r="BA131" s="233"/>
      <c r="BB131" s="233"/>
      <c r="BC131" s="233"/>
      <c r="BD131" s="233"/>
      <c r="BE131" s="233"/>
      <c r="BF131" s="233"/>
      <c r="BG131" s="58"/>
      <c r="BH131" s="58"/>
      <c r="BI131" s="58"/>
      <c r="BJ131" s="58"/>
      <c r="BK131" s="58"/>
      <c r="BL131" s="58"/>
      <c r="BM131" s="58"/>
    </row>
    <row r="132" spans="1:83" s="139" customFormat="1" ht="18.75" customHeight="1">
      <c r="B132" s="230"/>
      <c r="C132" s="236" t="s">
        <v>441</v>
      </c>
      <c r="D132" s="230"/>
      <c r="E132" s="230"/>
      <c r="F132" s="230"/>
      <c r="G132" s="230"/>
      <c r="H132" s="500" t="e">
        <f ca="1">H80*10^6</f>
        <v>#N/A</v>
      </c>
      <c r="I132" s="500"/>
      <c r="J132" s="500"/>
      <c r="K132" s="229" t="s">
        <v>442</v>
      </c>
      <c r="L132" s="230"/>
      <c r="M132" s="230"/>
      <c r="N132" s="229"/>
      <c r="O132" s="229"/>
      <c r="P132" s="229"/>
      <c r="Q132" s="233"/>
      <c r="R132" s="233"/>
      <c r="S132" s="233"/>
      <c r="T132" s="233"/>
      <c r="U132" s="233"/>
      <c r="V132" s="233"/>
      <c r="W132" s="233"/>
      <c r="X132" s="233"/>
      <c r="Y132" s="233"/>
      <c r="Z132" s="233"/>
      <c r="AA132" s="233"/>
      <c r="AB132" s="233"/>
      <c r="AC132" s="233"/>
      <c r="AD132" s="233"/>
      <c r="AE132" s="233"/>
      <c r="AF132" s="59"/>
      <c r="AG132" s="233"/>
      <c r="AH132" s="233"/>
      <c r="AI132" s="233"/>
      <c r="AJ132" s="233"/>
      <c r="AK132" s="233"/>
      <c r="AL132" s="233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0"/>
      <c r="AX132" s="230"/>
      <c r="AY132" s="230"/>
      <c r="AZ132" s="233"/>
      <c r="BA132" s="233"/>
      <c r="BB132" s="233"/>
      <c r="BC132" s="233"/>
      <c r="BD132" s="233"/>
      <c r="BE132" s="233"/>
      <c r="BF132" s="233"/>
      <c r="BG132" s="233"/>
      <c r="BH132" s="58"/>
      <c r="BI132" s="58"/>
      <c r="BJ132" s="58"/>
      <c r="BK132" s="58"/>
      <c r="BL132" s="58"/>
      <c r="BM132" s="58"/>
    </row>
    <row r="133" spans="1:83" s="139" customFormat="1" ht="18.75" customHeight="1">
      <c r="B133" s="230"/>
      <c r="C133" s="406" t="s">
        <v>443</v>
      </c>
      <c r="D133" s="406"/>
      <c r="E133" s="406"/>
      <c r="F133" s="406"/>
      <c r="G133" s="406"/>
      <c r="H133" s="406"/>
      <c r="I133" s="406"/>
      <c r="J133" s="417" t="s">
        <v>444</v>
      </c>
      <c r="K133" s="417"/>
      <c r="L133" s="417"/>
      <c r="M133" s="417"/>
      <c r="N133" s="417"/>
      <c r="O133" s="417"/>
      <c r="P133" s="417"/>
      <c r="Q133" s="417"/>
      <c r="R133" s="417"/>
      <c r="S133" s="417"/>
      <c r="T133" s="417"/>
      <c r="U133" s="417"/>
      <c r="V133" s="417"/>
      <c r="W133" s="417"/>
      <c r="X133" s="233"/>
      <c r="Y133" s="233"/>
      <c r="Z133" s="233"/>
      <c r="AA133" s="233"/>
      <c r="AB133" s="233"/>
      <c r="AC133" s="233"/>
      <c r="AD133" s="233"/>
      <c r="AE133" s="233"/>
      <c r="AF133" s="233"/>
      <c r="AG133" s="233"/>
      <c r="AH133" s="233"/>
      <c r="AI133" s="233"/>
      <c r="AJ133" s="233"/>
      <c r="AK133" s="230"/>
      <c r="AL133" s="230"/>
      <c r="AM133" s="230"/>
      <c r="AN133" s="233"/>
      <c r="AO133" s="233"/>
      <c r="AP133" s="233"/>
      <c r="AQ133" s="233"/>
      <c r="AR133" s="233"/>
      <c r="AS133" s="233"/>
      <c r="AT133" s="233"/>
      <c r="AU133" s="233"/>
      <c r="AV133" s="233"/>
      <c r="AW133" s="233"/>
      <c r="AX133" s="233"/>
      <c r="AY133" s="233"/>
      <c r="AZ133" s="233"/>
      <c r="BA133" s="233"/>
      <c r="BB133" s="233"/>
      <c r="BC133" s="233"/>
      <c r="BD133" s="233"/>
      <c r="BE133" s="233"/>
      <c r="BF133" s="233"/>
      <c r="BG133" s="233"/>
      <c r="BH133" s="58"/>
      <c r="BI133" s="58"/>
      <c r="BJ133" s="58"/>
      <c r="BK133" s="58"/>
      <c r="BL133" s="58"/>
      <c r="BM133" s="58"/>
      <c r="BN133" s="58"/>
    </row>
    <row r="134" spans="1:83" s="139" customFormat="1" ht="18.75" customHeight="1">
      <c r="B134" s="230"/>
      <c r="C134" s="406"/>
      <c r="D134" s="406"/>
      <c r="E134" s="406"/>
      <c r="F134" s="406"/>
      <c r="G134" s="406"/>
      <c r="H134" s="406"/>
      <c r="I134" s="406"/>
      <c r="J134" s="417"/>
      <c r="K134" s="417"/>
      <c r="L134" s="417"/>
      <c r="M134" s="417"/>
      <c r="N134" s="417"/>
      <c r="O134" s="417"/>
      <c r="P134" s="417"/>
      <c r="Q134" s="417"/>
      <c r="R134" s="417"/>
      <c r="S134" s="417"/>
      <c r="T134" s="417"/>
      <c r="U134" s="417"/>
      <c r="V134" s="417"/>
      <c r="W134" s="417"/>
      <c r="X134" s="233"/>
      <c r="Y134" s="233"/>
      <c r="Z134" s="233"/>
      <c r="AA134" s="233"/>
      <c r="AB134" s="233"/>
      <c r="AC134" s="233"/>
      <c r="AD134" s="233"/>
      <c r="AE134" s="233"/>
      <c r="AF134" s="230"/>
      <c r="AG134" s="233"/>
      <c r="AH134" s="233"/>
      <c r="AI134" s="233"/>
      <c r="AJ134" s="233"/>
      <c r="AK134" s="230"/>
      <c r="AL134" s="230"/>
      <c r="AM134" s="230"/>
      <c r="AN134" s="233"/>
      <c r="AO134" s="233"/>
      <c r="AP134" s="233"/>
      <c r="AQ134" s="233"/>
      <c r="AR134" s="233"/>
      <c r="AS134" s="230"/>
      <c r="AT134" s="233"/>
      <c r="AU134" s="233"/>
      <c r="AV134" s="233"/>
      <c r="AW134" s="233"/>
      <c r="AX134" s="233"/>
      <c r="AY134" s="233"/>
      <c r="AZ134" s="233"/>
      <c r="BA134" s="233"/>
      <c r="BB134" s="233"/>
      <c r="BC134" s="233"/>
      <c r="BD134" s="233"/>
      <c r="BE134" s="233"/>
      <c r="BF134" s="233"/>
      <c r="BG134" s="233"/>
      <c r="BH134" s="58"/>
      <c r="BI134" s="58"/>
      <c r="BJ134" s="58"/>
      <c r="BK134" s="58"/>
      <c r="BL134" s="58"/>
      <c r="BM134" s="58"/>
      <c r="BN134" s="58"/>
    </row>
    <row r="135" spans="1:83" s="139" customFormat="1" ht="18.75" customHeight="1">
      <c r="B135" s="230"/>
      <c r="C135" s="233"/>
      <c r="D135" s="233"/>
      <c r="E135" s="233"/>
      <c r="F135" s="233"/>
      <c r="G135" s="233"/>
      <c r="H135" s="233"/>
      <c r="I135" s="230"/>
      <c r="J135" s="417" t="s">
        <v>445</v>
      </c>
      <c r="K135" s="417"/>
      <c r="L135" s="417"/>
      <c r="M135" s="417"/>
      <c r="N135" s="417"/>
      <c r="O135" s="417"/>
      <c r="P135" s="417"/>
      <c r="Q135" s="417"/>
      <c r="R135" s="417"/>
      <c r="S135" s="417"/>
      <c r="T135" s="417"/>
      <c r="U135" s="417"/>
      <c r="V135" s="417"/>
      <c r="W135" s="417"/>
      <c r="X135" s="417"/>
      <c r="Y135" s="417"/>
      <c r="Z135" s="417"/>
      <c r="AA135" s="501" t="s">
        <v>446</v>
      </c>
      <c r="AB135" s="501"/>
      <c r="AC135" s="501"/>
      <c r="AD135" s="501"/>
      <c r="AE135" s="501"/>
      <c r="AF135" s="471" t="s">
        <v>438</v>
      </c>
      <c r="AG135" s="417" t="s">
        <v>447</v>
      </c>
      <c r="AH135" s="417"/>
      <c r="AI135" s="417"/>
      <c r="AJ135" s="417"/>
      <c r="AK135" s="417"/>
      <c r="AL135" s="417"/>
      <c r="AM135" s="230"/>
      <c r="AN135" s="233"/>
      <c r="AO135" s="233"/>
      <c r="AP135" s="233"/>
      <c r="AQ135" s="233"/>
      <c r="AR135" s="233"/>
      <c r="AS135" s="230"/>
      <c r="AT135" s="233"/>
      <c r="AU135" s="233"/>
      <c r="AV135" s="233"/>
      <c r="AW135" s="233"/>
      <c r="AX135" s="233"/>
      <c r="AY135" s="233"/>
      <c r="AZ135" s="233"/>
      <c r="BA135" s="233"/>
      <c r="BB135" s="233"/>
      <c r="BC135" s="233"/>
      <c r="BD135" s="233"/>
      <c r="BE135" s="233"/>
      <c r="BF135" s="233"/>
      <c r="BG135" s="233"/>
      <c r="BH135" s="58"/>
      <c r="BI135" s="58"/>
      <c r="BJ135" s="58"/>
      <c r="BK135" s="58"/>
      <c r="BL135" s="58"/>
      <c r="BM135" s="58"/>
      <c r="BN135" s="58"/>
    </row>
    <row r="136" spans="1:83" s="139" customFormat="1" ht="18.75" customHeight="1">
      <c r="B136" s="230"/>
      <c r="C136" s="233"/>
      <c r="D136" s="233"/>
      <c r="E136" s="233"/>
      <c r="F136" s="233"/>
      <c r="G136" s="233"/>
      <c r="H136" s="233"/>
      <c r="I136" s="230"/>
      <c r="J136" s="417"/>
      <c r="K136" s="417"/>
      <c r="L136" s="417"/>
      <c r="M136" s="417"/>
      <c r="N136" s="417"/>
      <c r="O136" s="417"/>
      <c r="P136" s="417"/>
      <c r="Q136" s="417"/>
      <c r="R136" s="417"/>
      <c r="S136" s="417"/>
      <c r="T136" s="417"/>
      <c r="U136" s="417"/>
      <c r="V136" s="417"/>
      <c r="W136" s="417"/>
      <c r="X136" s="417"/>
      <c r="Y136" s="417"/>
      <c r="Z136" s="417"/>
      <c r="AA136" s="233"/>
      <c r="AB136" s="230"/>
      <c r="AC136" s="230"/>
      <c r="AD136" s="230"/>
      <c r="AE136" s="230"/>
      <c r="AF136" s="471"/>
      <c r="AG136" s="417"/>
      <c r="AH136" s="417"/>
      <c r="AI136" s="417"/>
      <c r="AJ136" s="417"/>
      <c r="AK136" s="417"/>
      <c r="AL136" s="417"/>
      <c r="AM136" s="230"/>
      <c r="AN136" s="233"/>
      <c r="AO136" s="233"/>
      <c r="AP136" s="233"/>
      <c r="AQ136" s="233"/>
      <c r="AR136" s="233"/>
      <c r="AS136" s="233"/>
      <c r="AT136" s="233"/>
      <c r="AU136" s="233"/>
      <c r="AV136" s="233"/>
      <c r="AW136" s="233"/>
      <c r="AX136" s="233"/>
      <c r="AY136" s="233"/>
      <c r="AZ136" s="233"/>
      <c r="BA136" s="233"/>
      <c r="BB136" s="233"/>
      <c r="BC136" s="233"/>
      <c r="BD136" s="233"/>
      <c r="BE136" s="233"/>
      <c r="BF136" s="233"/>
      <c r="BG136" s="233"/>
      <c r="BH136" s="58"/>
      <c r="BI136" s="58"/>
      <c r="BJ136" s="58"/>
      <c r="BK136" s="58"/>
      <c r="BL136" s="58"/>
      <c r="BM136" s="58"/>
      <c r="BN136" s="58"/>
    </row>
    <row r="137" spans="1:83" s="139" customFormat="1" ht="18.75" customHeight="1">
      <c r="B137" s="230"/>
      <c r="C137" s="233"/>
      <c r="D137" s="233"/>
      <c r="E137" s="233"/>
      <c r="F137" s="233"/>
      <c r="G137" s="233"/>
      <c r="H137" s="233"/>
      <c r="I137" s="233"/>
      <c r="J137" s="230"/>
      <c r="K137" s="236" t="s">
        <v>448</v>
      </c>
      <c r="L137" s="236"/>
      <c r="M137" s="236"/>
      <c r="N137" s="236"/>
      <c r="O137" s="236"/>
      <c r="P137" s="236"/>
      <c r="Q137" s="236"/>
      <c r="R137" s="236"/>
      <c r="S137" s="233"/>
      <c r="T137" s="233"/>
      <c r="U137" s="233"/>
      <c r="V137" s="233"/>
      <c r="W137" s="233"/>
      <c r="X137" s="233"/>
      <c r="Y137" s="233"/>
      <c r="Z137" s="233"/>
      <c r="AA137" s="233"/>
      <c r="AB137" s="233"/>
      <c r="AC137" s="233"/>
      <c r="AD137" s="233"/>
      <c r="AE137" s="233"/>
      <c r="AF137" s="233"/>
      <c r="AG137" s="230"/>
      <c r="AH137" s="233"/>
      <c r="AI137" s="233"/>
      <c r="AJ137" s="233"/>
      <c r="AK137" s="230"/>
      <c r="AL137" s="230"/>
      <c r="AM137" s="230"/>
      <c r="AN137" s="230"/>
      <c r="AO137" s="233"/>
      <c r="AP137" s="233"/>
      <c r="AQ137" s="233"/>
      <c r="AR137" s="233"/>
      <c r="AS137" s="233"/>
      <c r="AT137" s="233"/>
      <c r="AU137" s="233"/>
      <c r="AV137" s="233"/>
      <c r="AW137" s="233"/>
      <c r="AX137" s="233"/>
      <c r="AY137" s="233"/>
      <c r="AZ137" s="233"/>
      <c r="BA137" s="233"/>
      <c r="BB137" s="233"/>
      <c r="BC137" s="233"/>
      <c r="BD137" s="233"/>
      <c r="BE137" s="233"/>
      <c r="BF137" s="233"/>
      <c r="BG137" s="233"/>
      <c r="BH137" s="230"/>
      <c r="BN137" s="58"/>
      <c r="BO137" s="58"/>
      <c r="BP137" s="58"/>
      <c r="BQ137" s="58"/>
      <c r="BR137" s="58"/>
      <c r="BS137" s="58"/>
      <c r="BX137" s="58"/>
      <c r="CE137" s="58"/>
    </row>
    <row r="138" spans="1:83" s="139" customFormat="1" ht="18.75" customHeight="1">
      <c r="B138" s="230"/>
      <c r="C138" s="233"/>
      <c r="D138" s="233"/>
      <c r="E138" s="233"/>
      <c r="F138" s="233"/>
      <c r="G138" s="233"/>
      <c r="H138" s="233"/>
      <c r="I138" s="233"/>
      <c r="J138" s="110"/>
      <c r="K138" s="110"/>
      <c r="L138" s="110"/>
      <c r="M138" s="230"/>
      <c r="N138" s="110"/>
      <c r="O138" s="110"/>
      <c r="P138" s="110"/>
      <c r="Q138" s="110"/>
      <c r="R138" s="110"/>
      <c r="S138" s="110"/>
      <c r="T138" s="110"/>
      <c r="U138" s="110"/>
      <c r="V138" s="230"/>
      <c r="W138" s="141"/>
      <c r="X138" s="141"/>
      <c r="Y138" s="141"/>
      <c r="Z138" s="230"/>
      <c r="AF138" s="230"/>
      <c r="AG138" s="417" t="s">
        <v>449</v>
      </c>
      <c r="AH138" s="417"/>
      <c r="AI138" s="417"/>
      <c r="AJ138" s="417"/>
      <c r="AK138" s="417"/>
      <c r="AL138" s="142"/>
      <c r="AM138" s="142"/>
      <c r="AN138" s="230"/>
      <c r="AO138" s="230"/>
      <c r="AP138" s="230"/>
      <c r="AQ138" s="230"/>
      <c r="AR138" s="230"/>
      <c r="AS138" s="233"/>
      <c r="AT138" s="233"/>
      <c r="AU138" s="230"/>
      <c r="AV138" s="230"/>
      <c r="AW138" s="230"/>
      <c r="AX138" s="230"/>
      <c r="AY138" s="230"/>
      <c r="AZ138" s="233"/>
      <c r="BA138" s="233"/>
      <c r="BB138" s="233"/>
      <c r="BC138" s="233"/>
      <c r="BD138" s="233"/>
      <c r="BE138" s="233"/>
      <c r="BF138" s="233"/>
      <c r="BG138" s="233"/>
      <c r="BH138" s="230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CE138" s="58"/>
    </row>
    <row r="139" spans="1:83" s="139" customFormat="1" ht="18.75" customHeight="1">
      <c r="B139" s="230"/>
      <c r="C139" s="233"/>
      <c r="D139" s="233"/>
      <c r="E139" s="233"/>
      <c r="F139" s="233"/>
      <c r="G139" s="233"/>
      <c r="H139" s="233"/>
      <c r="I139" s="233"/>
      <c r="J139" s="110"/>
      <c r="K139" s="110"/>
      <c r="L139" s="110"/>
      <c r="M139" s="230"/>
      <c r="N139" s="110"/>
      <c r="O139" s="110"/>
      <c r="P139" s="110"/>
      <c r="Q139" s="110"/>
      <c r="R139" s="110"/>
      <c r="S139" s="110"/>
      <c r="T139" s="110"/>
      <c r="U139" s="110"/>
      <c r="V139" s="230"/>
      <c r="W139" s="141"/>
      <c r="X139" s="141"/>
      <c r="Y139" s="141"/>
      <c r="Z139" s="230"/>
      <c r="AF139" s="230"/>
      <c r="AG139" s="417"/>
      <c r="AH139" s="417"/>
      <c r="AI139" s="417"/>
      <c r="AJ139" s="417"/>
      <c r="AK139" s="417"/>
      <c r="AL139" s="142"/>
      <c r="AM139" s="142"/>
      <c r="AN139" s="230"/>
      <c r="AO139" s="230"/>
      <c r="AP139" s="230"/>
      <c r="AQ139" s="230"/>
      <c r="AR139" s="230"/>
      <c r="AS139" s="233"/>
      <c r="AT139" s="233"/>
      <c r="AU139" s="230"/>
      <c r="AV139" s="230"/>
      <c r="AW139" s="230"/>
      <c r="AX139" s="230"/>
      <c r="AY139" s="230"/>
      <c r="AZ139" s="233"/>
      <c r="BA139" s="233"/>
      <c r="BB139" s="233"/>
      <c r="BC139" s="233"/>
      <c r="BD139" s="233"/>
      <c r="BE139" s="233"/>
      <c r="BF139" s="233"/>
      <c r="BG139" s="233"/>
      <c r="BH139" s="233"/>
      <c r="BI139" s="58"/>
      <c r="BJ139" s="58"/>
      <c r="BK139" s="58"/>
      <c r="BL139" s="58"/>
      <c r="BM139" s="58"/>
    </row>
    <row r="140" spans="1:83" s="139" customFormat="1" ht="18.75" customHeight="1">
      <c r="B140" s="230"/>
      <c r="C140" s="233" t="s">
        <v>450</v>
      </c>
      <c r="D140" s="233"/>
      <c r="E140" s="233"/>
      <c r="F140" s="233"/>
      <c r="G140" s="233"/>
      <c r="H140" s="233"/>
      <c r="I140" s="417" t="str">
        <f>AB80</f>
        <v>삼각형</v>
      </c>
      <c r="J140" s="417"/>
      <c r="K140" s="417"/>
      <c r="L140" s="417"/>
      <c r="M140" s="417"/>
      <c r="N140" s="417"/>
      <c r="O140" s="417"/>
      <c r="P140" s="417"/>
      <c r="Q140" s="233"/>
      <c r="R140" s="233"/>
      <c r="S140" s="233"/>
      <c r="T140" s="233"/>
      <c r="U140" s="233"/>
      <c r="V140" s="233"/>
      <c r="W140" s="233"/>
      <c r="X140" s="233"/>
      <c r="Y140" s="233"/>
      <c r="Z140" s="230"/>
      <c r="AA140" s="230"/>
      <c r="AB140" s="230"/>
      <c r="AC140" s="230"/>
      <c r="AD140" s="230"/>
      <c r="AE140" s="230"/>
      <c r="AF140" s="230"/>
      <c r="AG140" s="230"/>
      <c r="AH140" s="233"/>
      <c r="AI140" s="233"/>
      <c r="AJ140" s="233"/>
      <c r="AK140" s="233"/>
      <c r="AL140" s="233"/>
      <c r="AM140" s="233"/>
      <c r="AN140" s="233"/>
      <c r="AO140" s="233"/>
      <c r="AP140" s="233"/>
      <c r="AQ140" s="233"/>
      <c r="AR140" s="233"/>
      <c r="AS140" s="233"/>
      <c r="AT140" s="233"/>
      <c r="AU140" s="233"/>
      <c r="AV140" s="233"/>
      <c r="AW140" s="233"/>
      <c r="AX140" s="233"/>
      <c r="AY140" s="233"/>
      <c r="AZ140" s="233"/>
      <c r="BA140" s="233"/>
      <c r="BB140" s="233"/>
      <c r="BC140" s="233"/>
      <c r="BD140" s="233"/>
      <c r="BE140" s="233"/>
      <c r="BF140" s="233"/>
      <c r="BG140" s="233"/>
      <c r="BH140" s="58"/>
      <c r="BI140" s="58"/>
      <c r="BJ140" s="58"/>
      <c r="BK140" s="58"/>
      <c r="BL140" s="58"/>
      <c r="BM140" s="58"/>
      <c r="BN140" s="58"/>
    </row>
    <row r="141" spans="1:83" s="139" customFormat="1" ht="18.75" customHeight="1">
      <c r="B141" s="230"/>
      <c r="C141" s="406" t="s">
        <v>451</v>
      </c>
      <c r="D141" s="406"/>
      <c r="E141" s="406"/>
      <c r="F141" s="406"/>
      <c r="G141" s="406"/>
      <c r="H141" s="406"/>
      <c r="I141" s="233"/>
      <c r="J141" s="233"/>
      <c r="K141" s="233"/>
      <c r="L141" s="233"/>
      <c r="M141" s="233"/>
      <c r="N141" s="233"/>
      <c r="O141" s="233"/>
      <c r="R141" s="412" t="e">
        <f>-H81</f>
        <v>#VALUE!</v>
      </c>
      <c r="S141" s="412"/>
      <c r="T141" s="406" t="s">
        <v>452</v>
      </c>
      <c r="U141" s="406"/>
      <c r="V141" s="406"/>
      <c r="W141" s="406"/>
      <c r="X141" s="406"/>
      <c r="Y141" s="406"/>
      <c r="Z141" s="471" t="s">
        <v>438</v>
      </c>
      <c r="AA141" s="411" t="e">
        <f>R141*1000</f>
        <v>#VALUE!</v>
      </c>
      <c r="AB141" s="411"/>
      <c r="AC141" s="406" t="s">
        <v>453</v>
      </c>
      <c r="AD141" s="406"/>
      <c r="AE141" s="406"/>
      <c r="AF141" s="406"/>
      <c r="AG141" s="406"/>
      <c r="AH141" s="233"/>
      <c r="AI141" s="233"/>
      <c r="AJ141" s="233"/>
      <c r="AK141" s="233"/>
      <c r="AL141" s="233"/>
      <c r="AM141" s="233"/>
      <c r="AN141" s="233"/>
      <c r="AO141" s="233"/>
      <c r="AP141" s="233"/>
      <c r="AQ141" s="230"/>
      <c r="AR141" s="230"/>
      <c r="AS141" s="230"/>
      <c r="AT141" s="230"/>
      <c r="AU141" s="230"/>
      <c r="AV141" s="230"/>
      <c r="AW141" s="230"/>
      <c r="AX141" s="230"/>
      <c r="AY141" s="230"/>
      <c r="AZ141" s="230"/>
    </row>
    <row r="142" spans="1:83" s="139" customFormat="1" ht="18.75" customHeight="1">
      <c r="B142" s="230"/>
      <c r="C142" s="406"/>
      <c r="D142" s="406"/>
      <c r="E142" s="406"/>
      <c r="F142" s="406"/>
      <c r="G142" s="406"/>
      <c r="H142" s="406"/>
      <c r="I142" s="233"/>
      <c r="J142" s="233"/>
      <c r="K142" s="233"/>
      <c r="L142" s="233"/>
      <c r="M142" s="233"/>
      <c r="N142" s="233"/>
      <c r="O142" s="233"/>
      <c r="R142" s="412"/>
      <c r="S142" s="412"/>
      <c r="T142" s="406"/>
      <c r="U142" s="406"/>
      <c r="V142" s="406"/>
      <c r="W142" s="406"/>
      <c r="X142" s="406"/>
      <c r="Y142" s="406"/>
      <c r="Z142" s="471"/>
      <c r="AA142" s="411"/>
      <c r="AB142" s="411"/>
      <c r="AC142" s="406"/>
      <c r="AD142" s="406"/>
      <c r="AE142" s="406"/>
      <c r="AF142" s="406"/>
      <c r="AG142" s="406"/>
      <c r="AH142" s="233"/>
      <c r="AI142" s="233"/>
      <c r="AJ142" s="233"/>
      <c r="AK142" s="233"/>
      <c r="AL142" s="233"/>
      <c r="AM142" s="233"/>
      <c r="AN142" s="233"/>
      <c r="AO142" s="233"/>
      <c r="AP142" s="233"/>
      <c r="AQ142" s="230"/>
      <c r="AR142" s="230"/>
      <c r="AS142" s="230"/>
      <c r="AT142" s="230"/>
      <c r="AU142" s="230"/>
      <c r="AV142" s="230"/>
      <c r="AW142" s="230"/>
      <c r="AX142" s="230"/>
      <c r="AY142" s="230"/>
      <c r="AZ142" s="230"/>
    </row>
    <row r="143" spans="1:83" s="139" customFormat="1" ht="18.75" customHeight="1">
      <c r="B143" s="230"/>
      <c r="C143" s="233" t="s">
        <v>454</v>
      </c>
      <c r="D143" s="233"/>
      <c r="E143" s="233"/>
      <c r="F143" s="233"/>
      <c r="G143" s="233"/>
      <c r="H143" s="233"/>
      <c r="I143" s="233"/>
      <c r="J143" s="230"/>
      <c r="K143" s="240" t="s">
        <v>456</v>
      </c>
      <c r="L143" s="412" t="e">
        <f>AA141</f>
        <v>#VALUE!</v>
      </c>
      <c r="M143" s="412"/>
      <c r="N143" s="142" t="s">
        <v>457</v>
      </c>
      <c r="O143" s="239"/>
      <c r="Q143" s="230"/>
      <c r="R143" s="230"/>
      <c r="S143" s="230"/>
      <c r="T143" s="230"/>
      <c r="U143" s="230"/>
      <c r="V143" s="230"/>
      <c r="W143" s="230"/>
      <c r="X143" s="230"/>
      <c r="Y143" s="230" t="s">
        <v>436</v>
      </c>
      <c r="Z143" s="230" t="s">
        <v>438</v>
      </c>
      <c r="AA143" s="502" t="e">
        <f>ABS(L143*O80)</f>
        <v>#VALUE!</v>
      </c>
      <c r="AB143" s="502"/>
      <c r="AC143" s="502"/>
      <c r="AD143" s="502"/>
      <c r="AE143" s="233" t="s">
        <v>458</v>
      </c>
      <c r="AF143" s="230"/>
      <c r="AG143" s="230"/>
      <c r="AH143" s="230"/>
      <c r="AJ143" s="239"/>
      <c r="AK143" s="239"/>
      <c r="AL143" s="233"/>
      <c r="AM143" s="233"/>
      <c r="AN143" s="233"/>
      <c r="AO143" s="233"/>
      <c r="AP143" s="230"/>
      <c r="AQ143" s="230"/>
      <c r="AR143" s="230"/>
      <c r="BA143" s="230"/>
      <c r="BB143" s="230"/>
      <c r="BC143" s="230"/>
      <c r="BD143" s="230"/>
      <c r="BE143" s="230"/>
      <c r="BF143" s="230"/>
      <c r="BG143" s="230"/>
      <c r="BH143" s="58"/>
      <c r="BI143" s="58"/>
      <c r="BP143" s="236"/>
      <c r="BQ143" s="211"/>
    </row>
    <row r="144" spans="1:83" s="139" customFormat="1" ht="18.75" customHeight="1">
      <c r="B144" s="230"/>
      <c r="C144" s="406" t="s">
        <v>459</v>
      </c>
      <c r="D144" s="406"/>
      <c r="E144" s="406"/>
      <c r="F144" s="406"/>
      <c r="G144" s="406"/>
      <c r="H144" s="233"/>
      <c r="J144" s="233"/>
      <c r="K144" s="233"/>
      <c r="L144" s="233"/>
      <c r="M144" s="233"/>
      <c r="N144" s="233"/>
      <c r="O144" s="233"/>
      <c r="P144" s="233"/>
      <c r="Q144" s="233"/>
      <c r="R144" s="142"/>
      <c r="S144" s="233"/>
      <c r="T144" s="233"/>
      <c r="U144" s="233"/>
      <c r="W144" s="233"/>
      <c r="X144" s="233"/>
      <c r="Y144" s="233"/>
      <c r="Z144" s="233"/>
      <c r="AA144" s="240" t="s">
        <v>460</v>
      </c>
      <c r="AB144" s="233"/>
      <c r="AC144" s="233"/>
      <c r="AD144" s="233"/>
      <c r="AE144" s="230"/>
      <c r="AF144" s="230"/>
      <c r="AH144" s="230"/>
      <c r="AI144" s="230"/>
      <c r="AJ144" s="230"/>
      <c r="AK144" s="230"/>
      <c r="AL144" s="240"/>
      <c r="AM144" s="230"/>
      <c r="AN144" s="228"/>
      <c r="AO144" s="228"/>
      <c r="AP144" s="228"/>
      <c r="AQ144" s="236"/>
      <c r="AR144" s="236"/>
      <c r="AS144" s="230"/>
      <c r="AT144" s="230"/>
      <c r="AU144" s="230"/>
      <c r="AV144" s="230"/>
      <c r="AW144" s="230"/>
      <c r="AX144" s="230"/>
      <c r="AY144" s="230"/>
      <c r="AZ144" s="230"/>
      <c r="BA144" s="230"/>
      <c r="BB144" s="230"/>
      <c r="BC144" s="230"/>
      <c r="BD144" s="230"/>
      <c r="BE144" s="230"/>
      <c r="BF144" s="230"/>
      <c r="BG144" s="230"/>
      <c r="BH144" s="58"/>
      <c r="BI144" s="58"/>
      <c r="BJ144" s="58"/>
      <c r="BK144" s="58"/>
      <c r="BL144" s="58"/>
    </row>
    <row r="145" spans="2:68" s="139" customFormat="1" ht="18.75" customHeight="1">
      <c r="B145" s="230"/>
      <c r="C145" s="406"/>
      <c r="D145" s="406"/>
      <c r="E145" s="406"/>
      <c r="F145" s="406"/>
      <c r="G145" s="406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142"/>
      <c r="S145" s="233"/>
      <c r="T145" s="233"/>
      <c r="U145" s="233"/>
      <c r="V145" s="233"/>
      <c r="W145" s="233"/>
      <c r="X145" s="233"/>
      <c r="Y145" s="233"/>
      <c r="Z145" s="233"/>
      <c r="AA145" s="233"/>
      <c r="AB145" s="233"/>
      <c r="AC145" s="233"/>
      <c r="AD145" s="233"/>
      <c r="AE145" s="230"/>
      <c r="AF145" s="230"/>
      <c r="AG145" s="230"/>
      <c r="AH145" s="230"/>
      <c r="AI145" s="230"/>
      <c r="AJ145" s="230"/>
      <c r="AK145" s="230"/>
      <c r="AL145" s="230"/>
      <c r="AM145" s="230"/>
      <c r="AN145" s="230"/>
      <c r="AO145" s="230"/>
      <c r="AP145" s="230"/>
      <c r="AQ145" s="230"/>
      <c r="AR145" s="230"/>
      <c r="AS145" s="230"/>
      <c r="AT145" s="230"/>
      <c r="AU145" s="230"/>
      <c r="AV145" s="230"/>
      <c r="AW145" s="230"/>
      <c r="AX145" s="230"/>
      <c r="AY145" s="230"/>
      <c r="AZ145" s="230"/>
      <c r="BA145" s="230"/>
      <c r="BB145" s="230"/>
      <c r="BC145" s="230"/>
      <c r="BD145" s="230"/>
      <c r="BE145" s="230"/>
      <c r="BF145" s="230"/>
      <c r="BG145" s="230"/>
      <c r="BH145" s="58"/>
      <c r="BI145" s="58"/>
      <c r="BJ145" s="58"/>
      <c r="BK145" s="58"/>
      <c r="BL145" s="58"/>
    </row>
    <row r="146" spans="2:68" s="139" customFormat="1" ht="18.75" customHeight="1">
      <c r="B146" s="230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142"/>
      <c r="S146" s="233"/>
      <c r="T146" s="233"/>
      <c r="U146" s="233"/>
      <c r="V146" s="233"/>
      <c r="W146" s="233"/>
      <c r="X146" s="233"/>
      <c r="Y146" s="233"/>
      <c r="Z146" s="233"/>
      <c r="AA146" s="233"/>
      <c r="AB146" s="417">
        <v>100</v>
      </c>
      <c r="AC146" s="417"/>
      <c r="AD146" s="233"/>
      <c r="AE146" s="230"/>
      <c r="AF146" s="230"/>
      <c r="AG146" s="230"/>
      <c r="AH146" s="230"/>
      <c r="AI146" s="230"/>
      <c r="AJ146" s="230"/>
      <c r="AK146" s="230"/>
      <c r="AL146" s="230"/>
      <c r="AM146" s="230"/>
      <c r="AN146" s="230"/>
      <c r="AO146" s="230"/>
      <c r="AP146" s="230"/>
      <c r="AQ146" s="230"/>
      <c r="AR146" s="230"/>
      <c r="AS146" s="230"/>
      <c r="AT146" s="230"/>
      <c r="AU146" s="230"/>
      <c r="AV146" s="230"/>
      <c r="AW146" s="230"/>
      <c r="AX146" s="230"/>
      <c r="AY146" s="230"/>
      <c r="AZ146" s="230"/>
      <c r="BA146" s="230"/>
      <c r="BB146" s="230"/>
      <c r="BC146" s="230"/>
      <c r="BD146" s="230"/>
      <c r="BE146" s="230"/>
      <c r="BF146" s="230"/>
      <c r="BG146" s="230"/>
      <c r="BH146" s="58"/>
      <c r="BI146" s="58"/>
      <c r="BJ146" s="58"/>
      <c r="BK146" s="58"/>
      <c r="BL146" s="58"/>
    </row>
    <row r="147" spans="2:68" s="139" customFormat="1" ht="18.75" customHeight="1">
      <c r="B147" s="230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142"/>
      <c r="S147" s="233"/>
      <c r="T147" s="233"/>
      <c r="U147" s="233"/>
      <c r="V147" s="233"/>
      <c r="W147" s="233"/>
      <c r="X147" s="233"/>
      <c r="Y147" s="233"/>
      <c r="Z147" s="233"/>
      <c r="AA147" s="233"/>
      <c r="AB147" s="417"/>
      <c r="AC147" s="417"/>
      <c r="AD147" s="233"/>
      <c r="AE147" s="230"/>
      <c r="AF147" s="230"/>
      <c r="AG147" s="230"/>
      <c r="AH147" s="230"/>
      <c r="AI147" s="230"/>
      <c r="AJ147" s="230"/>
      <c r="AK147" s="230"/>
      <c r="AL147" s="230"/>
      <c r="AM147" s="230"/>
      <c r="AN147" s="230"/>
      <c r="AO147" s="230"/>
      <c r="AP147" s="230"/>
      <c r="AQ147" s="230"/>
      <c r="AR147" s="230"/>
      <c r="AS147" s="230"/>
      <c r="AT147" s="230"/>
      <c r="AU147" s="230"/>
      <c r="AV147" s="230"/>
      <c r="AW147" s="230"/>
      <c r="AX147" s="230"/>
      <c r="AY147" s="230"/>
      <c r="AZ147" s="230"/>
      <c r="BA147" s="230"/>
      <c r="BB147" s="230"/>
      <c r="BC147" s="230"/>
      <c r="BD147" s="230"/>
      <c r="BE147" s="230"/>
      <c r="BF147" s="230"/>
      <c r="BG147" s="230"/>
      <c r="BH147" s="58"/>
      <c r="BI147" s="58"/>
      <c r="BJ147" s="58"/>
      <c r="BK147" s="58"/>
      <c r="BL147" s="58"/>
    </row>
    <row r="148" spans="2:68" s="139" customFormat="1" ht="18.75" customHeight="1">
      <c r="B148" s="230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142"/>
      <c r="S148" s="233"/>
      <c r="T148" s="233"/>
      <c r="U148" s="233"/>
      <c r="V148" s="233"/>
      <c r="W148" s="233"/>
      <c r="X148" s="233"/>
      <c r="Y148" s="233"/>
      <c r="Z148" s="233"/>
      <c r="AA148" s="233"/>
      <c r="AB148" s="233"/>
      <c r="AC148" s="233"/>
      <c r="AD148" s="233"/>
      <c r="AE148" s="230"/>
      <c r="AF148" s="230"/>
      <c r="AG148" s="230"/>
      <c r="AH148" s="230"/>
      <c r="AI148" s="230"/>
      <c r="AJ148" s="230"/>
      <c r="AK148" s="230"/>
      <c r="AL148" s="230"/>
      <c r="AM148" s="230"/>
      <c r="AN148" s="230"/>
      <c r="AO148" s="230"/>
      <c r="AP148" s="230"/>
      <c r="AQ148" s="230"/>
      <c r="AR148" s="230"/>
      <c r="AS148" s="230"/>
      <c r="AT148" s="230"/>
      <c r="AU148" s="230"/>
      <c r="AV148" s="230"/>
      <c r="AW148" s="230"/>
      <c r="AX148" s="230"/>
      <c r="AY148" s="230"/>
      <c r="AZ148" s="230"/>
      <c r="BA148" s="230"/>
      <c r="BB148" s="230"/>
      <c r="BC148" s="230"/>
      <c r="BD148" s="230"/>
      <c r="BE148" s="230"/>
      <c r="BF148" s="230"/>
      <c r="BG148" s="230"/>
      <c r="BH148" s="58"/>
      <c r="BI148" s="58"/>
      <c r="BJ148" s="58"/>
      <c r="BK148" s="58"/>
      <c r="BL148" s="58"/>
    </row>
    <row r="149" spans="2:68" s="139" customFormat="1" ht="18.75" customHeight="1">
      <c r="B149" s="230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142"/>
      <c r="S149" s="233"/>
      <c r="T149" s="233"/>
      <c r="U149" s="233"/>
      <c r="V149" s="233"/>
      <c r="W149" s="233"/>
      <c r="X149" s="233"/>
      <c r="Y149" s="233"/>
      <c r="Z149" s="233"/>
      <c r="AA149" s="233"/>
      <c r="AB149" s="233"/>
      <c r="AC149" s="233"/>
      <c r="AD149" s="233"/>
      <c r="AE149" s="230"/>
      <c r="AF149" s="230"/>
      <c r="AG149" s="230"/>
      <c r="AH149" s="230"/>
      <c r="AI149" s="230"/>
      <c r="AJ149" s="230"/>
      <c r="AK149" s="230"/>
      <c r="AL149" s="230"/>
      <c r="AM149" s="230"/>
      <c r="AN149" s="230"/>
      <c r="AO149" s="230"/>
      <c r="AP149" s="230"/>
      <c r="AQ149" s="230"/>
      <c r="AR149" s="230"/>
      <c r="AS149" s="230"/>
      <c r="AT149" s="230"/>
      <c r="AU149" s="230"/>
      <c r="AV149" s="230"/>
      <c r="AW149" s="230"/>
      <c r="AX149" s="230"/>
      <c r="AY149" s="230"/>
      <c r="AZ149" s="230"/>
      <c r="BA149" s="230"/>
      <c r="BB149" s="230"/>
      <c r="BC149" s="230"/>
      <c r="BD149" s="230"/>
      <c r="BE149" s="230"/>
      <c r="BF149" s="230"/>
      <c r="BG149" s="230"/>
      <c r="BH149" s="233"/>
      <c r="BI149" s="233"/>
      <c r="BJ149" s="233"/>
      <c r="BK149" s="233"/>
    </row>
    <row r="150" spans="2:68" s="139" customFormat="1" ht="18.75" customHeight="1">
      <c r="B150" s="57" t="e">
        <f ca="1">"4. "&amp;N5&amp;"와 "&amp;T5&amp;"의 온도 차에 의한 표준불확도,"</f>
        <v>#N/A</v>
      </c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  <c r="Y150" s="233"/>
      <c r="Z150" s="233"/>
      <c r="AA150" s="233"/>
      <c r="AB150" s="57" t="s">
        <v>461</v>
      </c>
      <c r="AC150" s="233"/>
      <c r="AD150" s="233"/>
      <c r="AE150" s="233"/>
      <c r="AF150" s="233"/>
      <c r="AG150" s="233"/>
      <c r="AH150" s="230"/>
      <c r="AI150" s="230"/>
      <c r="AJ150" s="230"/>
      <c r="AK150" s="230"/>
      <c r="AL150" s="230"/>
      <c r="AM150" s="230"/>
      <c r="AN150" s="230"/>
      <c r="AO150" s="233"/>
      <c r="AP150" s="233"/>
      <c r="AQ150" s="233"/>
      <c r="AR150" s="233"/>
      <c r="AS150" s="233"/>
      <c r="AT150" s="233"/>
      <c r="AU150" s="233"/>
      <c r="AV150" s="233"/>
      <c r="AW150" s="233"/>
      <c r="AX150" s="233"/>
      <c r="AY150" s="233"/>
      <c r="AZ150" s="233"/>
      <c r="BA150" s="233"/>
      <c r="BB150" s="233"/>
      <c r="BC150" s="233"/>
      <c r="BD150" s="233"/>
      <c r="BE150" s="233"/>
      <c r="BF150" s="233"/>
      <c r="BG150" s="233"/>
      <c r="BH150" s="58"/>
      <c r="BI150" s="58"/>
      <c r="BJ150" s="58"/>
      <c r="BK150" s="58"/>
      <c r="BL150" s="58"/>
      <c r="BM150" s="58"/>
      <c r="BN150" s="58"/>
    </row>
    <row r="151" spans="2:68" s="139" customFormat="1" ht="18.75" customHeight="1">
      <c r="B151" s="57"/>
      <c r="C151" s="233" t="e">
        <f ca="1">"※ 열평형 상태에서 "&amp;N5&amp;"와 "&amp;T5&amp;"의 온도차가 ±"&amp;N154&amp;" ℃ 이내에서"</f>
        <v>#N/A</v>
      </c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3"/>
      <c r="Z151" s="233"/>
      <c r="AA151" s="233"/>
      <c r="AB151" s="233"/>
      <c r="AC151" s="233"/>
      <c r="AD151" s="233"/>
      <c r="AE151" s="233"/>
      <c r="AF151" s="233"/>
      <c r="AG151" s="233"/>
      <c r="AH151" s="233"/>
      <c r="AI151" s="233"/>
      <c r="AJ151" s="233"/>
      <c r="AK151" s="233"/>
      <c r="AL151" s="233"/>
      <c r="AM151" s="230"/>
      <c r="AN151" s="230"/>
      <c r="AO151" s="233"/>
      <c r="AP151" s="233"/>
      <c r="AQ151" s="233"/>
      <c r="AR151" s="233"/>
      <c r="AS151" s="233"/>
      <c r="AT151" s="233"/>
      <c r="AU151" s="233"/>
      <c r="AV151" s="233"/>
      <c r="AW151" s="233"/>
      <c r="AX151" s="233"/>
      <c r="AY151" s="233"/>
      <c r="AZ151" s="233"/>
      <c r="BA151" s="233"/>
      <c r="BB151" s="233"/>
      <c r="BC151" s="233"/>
      <c r="BD151" s="233"/>
      <c r="BE151" s="233"/>
      <c r="BF151" s="233"/>
      <c r="BG151" s="233"/>
      <c r="BH151" s="58"/>
      <c r="BI151" s="58"/>
      <c r="BJ151" s="58"/>
      <c r="BK151" s="58"/>
      <c r="BL151" s="58"/>
      <c r="BM151" s="58"/>
      <c r="BN151" s="58"/>
    </row>
    <row r="152" spans="2:68" s="139" customFormat="1" ht="18.75" customHeight="1">
      <c r="B152" s="57"/>
      <c r="C152" s="233"/>
      <c r="D152" s="233" t="s">
        <v>462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3"/>
      <c r="Y152" s="233"/>
      <c r="Z152" s="233"/>
      <c r="AA152" s="233"/>
      <c r="AB152" s="233"/>
      <c r="AC152" s="233"/>
      <c r="AD152" s="233"/>
      <c r="AE152" s="233"/>
      <c r="AF152" s="233"/>
      <c r="AG152" s="233"/>
      <c r="AH152" s="233"/>
      <c r="AI152" s="233"/>
      <c r="AJ152" s="233"/>
      <c r="AK152" s="233"/>
      <c r="AL152" s="233"/>
      <c r="AM152" s="230"/>
      <c r="AN152" s="230"/>
      <c r="AO152" s="233"/>
      <c r="AP152" s="233"/>
      <c r="AQ152" s="233"/>
      <c r="AR152" s="233"/>
      <c r="AS152" s="233"/>
      <c r="AT152" s="233"/>
      <c r="AU152" s="233"/>
      <c r="AV152" s="233"/>
      <c r="AW152" s="233"/>
      <c r="AX152" s="233"/>
      <c r="AY152" s="233"/>
      <c r="AZ152" s="233"/>
      <c r="BA152" s="233"/>
      <c r="BB152" s="233"/>
      <c r="BC152" s="233"/>
      <c r="BD152" s="233"/>
      <c r="BE152" s="233"/>
      <c r="BF152" s="233"/>
      <c r="BG152" s="233"/>
      <c r="BH152" s="58"/>
      <c r="BI152" s="58"/>
      <c r="BJ152" s="58"/>
      <c r="BK152" s="58"/>
      <c r="BL152" s="58"/>
      <c r="BM152" s="58"/>
      <c r="BN152" s="58"/>
    </row>
    <row r="153" spans="2:68" s="139" customFormat="1" ht="18.75" customHeight="1">
      <c r="B153" s="230"/>
      <c r="C153" s="236" t="s">
        <v>463</v>
      </c>
      <c r="D153" s="230"/>
      <c r="E153" s="230"/>
      <c r="F153" s="230"/>
      <c r="G153" s="230"/>
      <c r="H153" s="503" t="str">
        <f>H81</f>
        <v/>
      </c>
      <c r="I153" s="503"/>
      <c r="J153" s="503"/>
      <c r="K153" s="503"/>
      <c r="L153" s="503"/>
      <c r="M153" s="503"/>
      <c r="N153" s="503"/>
      <c r="O153" s="503"/>
      <c r="P153" s="229"/>
      <c r="Q153" s="233"/>
      <c r="R153" s="233"/>
      <c r="S153" s="233"/>
      <c r="T153" s="233"/>
      <c r="U153" s="233"/>
      <c r="V153" s="233"/>
      <c r="W153" s="230"/>
      <c r="X153" s="230"/>
      <c r="Y153" s="230"/>
      <c r="Z153" s="233"/>
      <c r="AA153" s="233"/>
      <c r="AB153" s="233"/>
      <c r="AC153" s="233"/>
      <c r="AD153" s="233"/>
      <c r="AE153" s="233"/>
      <c r="AF153" s="233"/>
      <c r="AG153" s="233"/>
      <c r="AH153" s="230"/>
      <c r="AI153" s="230"/>
      <c r="AJ153" s="230"/>
      <c r="AK153" s="230"/>
      <c r="AL153" s="230"/>
      <c r="AM153" s="230"/>
      <c r="AN153" s="230"/>
      <c r="AO153" s="233"/>
      <c r="AP153" s="233"/>
      <c r="AQ153" s="233"/>
      <c r="AR153" s="233"/>
      <c r="AS153" s="233"/>
      <c r="AT153" s="233"/>
      <c r="AU153" s="233"/>
      <c r="AV153" s="233"/>
      <c r="AW153" s="233"/>
      <c r="AX153" s="233"/>
      <c r="AY153" s="233"/>
      <c r="AZ153" s="233"/>
      <c r="BA153" s="233"/>
      <c r="BB153" s="233"/>
      <c r="BC153" s="233"/>
      <c r="BD153" s="233"/>
      <c r="BE153" s="233"/>
      <c r="BF153" s="233"/>
      <c r="BG153" s="233"/>
      <c r="BH153" s="58"/>
      <c r="BI153" s="58"/>
      <c r="BJ153" s="58"/>
      <c r="BK153" s="58"/>
      <c r="BL153" s="58"/>
      <c r="BM153" s="58"/>
    </row>
    <row r="154" spans="2:68" s="139" customFormat="1" ht="18.75" customHeight="1">
      <c r="B154" s="230"/>
      <c r="C154" s="406" t="s">
        <v>464</v>
      </c>
      <c r="D154" s="406"/>
      <c r="E154" s="406"/>
      <c r="F154" s="406"/>
      <c r="G154" s="406"/>
      <c r="H154" s="406"/>
      <c r="I154" s="406"/>
      <c r="J154" s="485" t="s">
        <v>465</v>
      </c>
      <c r="K154" s="485"/>
      <c r="L154" s="485"/>
      <c r="M154" s="471" t="s">
        <v>438</v>
      </c>
      <c r="N154" s="468">
        <f>Calcu!H57</f>
        <v>0.5</v>
      </c>
      <c r="O154" s="468"/>
      <c r="P154" s="232" t="s">
        <v>466</v>
      </c>
      <c r="Q154" s="218"/>
      <c r="R154" s="471" t="s">
        <v>438</v>
      </c>
      <c r="S154" s="415">
        <f>N154/SQRT(3)</f>
        <v>0.28867513459481292</v>
      </c>
      <c r="T154" s="415"/>
      <c r="U154" s="415"/>
      <c r="V154" s="411" t="str">
        <f>P154</f>
        <v>℃</v>
      </c>
      <c r="W154" s="411"/>
      <c r="X154" s="229"/>
      <c r="Y154" s="233"/>
      <c r="AX154" s="233"/>
      <c r="AY154" s="233"/>
      <c r="AZ154" s="233"/>
      <c r="BA154" s="233"/>
      <c r="BB154" s="233"/>
      <c r="BC154" s="233"/>
      <c r="BD154" s="233"/>
      <c r="BE154" s="233"/>
      <c r="BF154" s="233"/>
      <c r="BG154" s="233"/>
      <c r="BH154" s="233"/>
      <c r="BI154" s="233"/>
      <c r="BJ154" s="58"/>
      <c r="BK154" s="58"/>
      <c r="BL154" s="58"/>
      <c r="BM154" s="58"/>
      <c r="BN154" s="58"/>
      <c r="BO154" s="58"/>
      <c r="BP154" s="58"/>
    </row>
    <row r="155" spans="2:68" s="139" customFormat="1" ht="18.75" customHeight="1">
      <c r="B155" s="230"/>
      <c r="C155" s="406"/>
      <c r="D155" s="406"/>
      <c r="E155" s="406"/>
      <c r="F155" s="406"/>
      <c r="G155" s="406"/>
      <c r="H155" s="406"/>
      <c r="I155" s="406"/>
      <c r="J155" s="485"/>
      <c r="K155" s="485"/>
      <c r="L155" s="485"/>
      <c r="M155" s="471"/>
      <c r="N155" s="230"/>
      <c r="O155" s="230"/>
      <c r="P155" s="230"/>
      <c r="Q155" s="230"/>
      <c r="R155" s="471"/>
      <c r="S155" s="415"/>
      <c r="T155" s="415"/>
      <c r="U155" s="415"/>
      <c r="V155" s="411"/>
      <c r="W155" s="411"/>
      <c r="X155" s="229"/>
      <c r="Y155" s="233"/>
      <c r="AX155" s="233"/>
      <c r="AY155" s="233"/>
      <c r="AZ155" s="233"/>
      <c r="BA155" s="233"/>
      <c r="BB155" s="233"/>
      <c r="BC155" s="233"/>
      <c r="BD155" s="233"/>
      <c r="BE155" s="233"/>
      <c r="BF155" s="233"/>
      <c r="BG155" s="233"/>
      <c r="BH155" s="233"/>
      <c r="BI155" s="233"/>
      <c r="BJ155" s="58"/>
      <c r="BK155" s="58"/>
      <c r="BL155" s="58"/>
      <c r="BM155" s="58"/>
      <c r="BN155" s="58"/>
      <c r="BO155" s="58"/>
      <c r="BP155" s="58"/>
    </row>
    <row r="156" spans="2:68" s="139" customFormat="1" ht="18.75" customHeight="1">
      <c r="B156" s="230"/>
      <c r="C156" s="233" t="s">
        <v>467</v>
      </c>
      <c r="D156" s="233"/>
      <c r="E156" s="233"/>
      <c r="F156" s="233"/>
      <c r="G156" s="233"/>
      <c r="H156" s="233"/>
      <c r="I156" s="417" t="str">
        <f>AB81</f>
        <v>직사각형</v>
      </c>
      <c r="J156" s="417"/>
      <c r="K156" s="417"/>
      <c r="L156" s="417"/>
      <c r="M156" s="417"/>
      <c r="N156" s="417"/>
      <c r="O156" s="417"/>
      <c r="P156" s="417"/>
      <c r="Q156" s="233"/>
      <c r="R156" s="233"/>
      <c r="S156" s="233"/>
      <c r="T156" s="233"/>
      <c r="U156" s="233"/>
      <c r="V156" s="233"/>
      <c r="W156" s="233"/>
      <c r="X156" s="233"/>
      <c r="Y156" s="233"/>
      <c r="Z156" s="230"/>
      <c r="AA156" s="230"/>
      <c r="AB156" s="230"/>
      <c r="AC156" s="230"/>
      <c r="AD156" s="230"/>
      <c r="AE156" s="230"/>
      <c r="AF156" s="230"/>
      <c r="AG156" s="230"/>
      <c r="AH156" s="230"/>
      <c r="AI156" s="230"/>
      <c r="AJ156" s="230"/>
      <c r="AK156" s="230"/>
      <c r="AL156" s="230"/>
      <c r="AM156" s="230"/>
      <c r="AN156" s="230"/>
      <c r="AO156" s="230"/>
      <c r="AP156" s="233"/>
      <c r="AQ156" s="233"/>
      <c r="AR156" s="233"/>
      <c r="AS156" s="233"/>
      <c r="AT156" s="233"/>
      <c r="AU156" s="233"/>
      <c r="AV156" s="233"/>
      <c r="AW156" s="233"/>
      <c r="AX156" s="233"/>
      <c r="AY156" s="233"/>
      <c r="AZ156" s="233"/>
      <c r="BA156" s="233"/>
      <c r="BB156" s="233"/>
      <c r="BC156" s="233"/>
      <c r="BD156" s="233"/>
      <c r="BE156" s="233"/>
      <c r="BF156" s="233"/>
      <c r="BG156" s="233"/>
      <c r="BH156" s="58"/>
      <c r="BI156" s="58"/>
      <c r="BJ156" s="58"/>
      <c r="BK156" s="58"/>
      <c r="BL156" s="58"/>
    </row>
    <row r="157" spans="2:68" s="139" customFormat="1" ht="18.75" customHeight="1">
      <c r="B157" s="230"/>
      <c r="C157" s="406" t="s">
        <v>468</v>
      </c>
      <c r="D157" s="406"/>
      <c r="E157" s="406"/>
      <c r="F157" s="406"/>
      <c r="G157" s="406"/>
      <c r="H157" s="406"/>
      <c r="I157" s="233"/>
      <c r="J157" s="233"/>
      <c r="K157" s="233"/>
      <c r="L157" s="233"/>
      <c r="M157" s="233"/>
      <c r="N157" s="233"/>
      <c r="O157" s="230"/>
      <c r="R157" s="406" t="e">
        <f ca="1">-H80*10^6</f>
        <v>#N/A</v>
      </c>
      <c r="S157" s="406"/>
      <c r="T157" s="406"/>
      <c r="U157" s="406" t="s">
        <v>470</v>
      </c>
      <c r="V157" s="406"/>
      <c r="W157" s="406"/>
      <c r="X157" s="406"/>
      <c r="Y157" s="406"/>
      <c r="Z157" s="406"/>
      <c r="AA157" s="406"/>
      <c r="AB157" s="406"/>
      <c r="AC157" s="471" t="s">
        <v>401</v>
      </c>
      <c r="AD157" s="412" t="e">
        <f ca="1">R157*10^-6*1000</f>
        <v>#N/A</v>
      </c>
      <c r="AE157" s="412"/>
      <c r="AF157" s="412"/>
      <c r="AG157" s="412"/>
      <c r="AH157" s="406" t="s">
        <v>471</v>
      </c>
      <c r="AI157" s="406"/>
      <c r="AJ157" s="406"/>
      <c r="AK157" s="406"/>
      <c r="AL157" s="406"/>
      <c r="AM157" s="406"/>
      <c r="AN157" s="406"/>
      <c r="AO157" s="233"/>
      <c r="AP157" s="233"/>
      <c r="AQ157" s="233"/>
      <c r="AR157" s="233"/>
      <c r="AS157" s="233"/>
      <c r="AT157" s="233"/>
      <c r="AU157" s="233"/>
      <c r="AV157" s="233"/>
      <c r="AW157" s="233"/>
      <c r="AX157" s="233"/>
      <c r="AY157" s="233"/>
      <c r="AZ157" s="233"/>
      <c r="BA157" s="233"/>
      <c r="BB157" s="230"/>
      <c r="BC157" s="230"/>
      <c r="BD157" s="230"/>
      <c r="BE157" s="230"/>
      <c r="BF157" s="230"/>
      <c r="BG157" s="230"/>
    </row>
    <row r="158" spans="2:68" s="139" customFormat="1" ht="18.75" customHeight="1">
      <c r="B158" s="230"/>
      <c r="C158" s="406"/>
      <c r="D158" s="406"/>
      <c r="E158" s="406"/>
      <c r="F158" s="406"/>
      <c r="G158" s="406"/>
      <c r="H158" s="406"/>
      <c r="I158" s="233"/>
      <c r="J158" s="233"/>
      <c r="K158" s="233"/>
      <c r="L158" s="233"/>
      <c r="M158" s="233"/>
      <c r="N158" s="233"/>
      <c r="O158" s="230"/>
      <c r="R158" s="406"/>
      <c r="S158" s="406"/>
      <c r="T158" s="406"/>
      <c r="U158" s="406"/>
      <c r="V158" s="406"/>
      <c r="W158" s="406"/>
      <c r="X158" s="406"/>
      <c r="Y158" s="406"/>
      <c r="Z158" s="406"/>
      <c r="AA158" s="406"/>
      <c r="AB158" s="406"/>
      <c r="AC158" s="471"/>
      <c r="AD158" s="412"/>
      <c r="AE158" s="412"/>
      <c r="AF158" s="412"/>
      <c r="AG158" s="412"/>
      <c r="AH158" s="406"/>
      <c r="AI158" s="406"/>
      <c r="AJ158" s="406"/>
      <c r="AK158" s="406"/>
      <c r="AL158" s="406"/>
      <c r="AM158" s="406"/>
      <c r="AN158" s="406"/>
      <c r="AO158" s="233"/>
      <c r="AP158" s="233"/>
      <c r="AQ158" s="233"/>
      <c r="AR158" s="233"/>
      <c r="AS158" s="233"/>
      <c r="AT158" s="233"/>
      <c r="AU158" s="233"/>
      <c r="AV158" s="233"/>
      <c r="AW158" s="233"/>
      <c r="AX158" s="233"/>
      <c r="AY158" s="233"/>
      <c r="AZ158" s="233"/>
      <c r="BA158" s="233"/>
      <c r="BB158" s="230"/>
      <c r="BC158" s="230"/>
      <c r="BD158" s="230"/>
      <c r="BE158" s="230"/>
      <c r="BF158" s="230"/>
      <c r="BG158" s="230"/>
    </row>
    <row r="159" spans="2:68" s="139" customFormat="1" ht="18.75" customHeight="1">
      <c r="B159" s="230"/>
      <c r="C159" s="233" t="s">
        <v>472</v>
      </c>
      <c r="D159" s="233"/>
      <c r="E159" s="233"/>
      <c r="F159" s="233"/>
      <c r="G159" s="233"/>
      <c r="H159" s="233"/>
      <c r="I159" s="233"/>
      <c r="J159" s="230"/>
      <c r="K159" s="240" t="s">
        <v>473</v>
      </c>
      <c r="L159" s="412" t="e">
        <f ca="1">AD157</f>
        <v>#N/A</v>
      </c>
      <c r="M159" s="412"/>
      <c r="N159" s="412"/>
      <c r="O159" s="412"/>
      <c r="P159" s="406" t="s">
        <v>474</v>
      </c>
      <c r="Q159" s="406"/>
      <c r="R159" s="406"/>
      <c r="S159" s="406"/>
      <c r="T159" s="406"/>
      <c r="U159" s="504">
        <f>S154</f>
        <v>0.28867513459481292</v>
      </c>
      <c r="V159" s="504"/>
      <c r="W159" s="504"/>
      <c r="X159" s="504"/>
      <c r="Y159" s="230" t="s">
        <v>475</v>
      </c>
      <c r="Z159" s="230" t="s">
        <v>401</v>
      </c>
      <c r="AA159" s="502" t="e">
        <f ca="1">ABS(L159*U159)</f>
        <v>#N/A</v>
      </c>
      <c r="AB159" s="502"/>
      <c r="AC159" s="502"/>
      <c r="AD159" s="505"/>
      <c r="AE159" s="233" t="s">
        <v>476</v>
      </c>
      <c r="AF159" s="236"/>
      <c r="AG159" s="230"/>
      <c r="AH159" s="230"/>
      <c r="AI159" s="230"/>
      <c r="AJ159" s="230"/>
      <c r="AK159" s="230"/>
      <c r="AL159" s="230"/>
      <c r="AM159" s="230"/>
      <c r="AN159" s="230"/>
      <c r="AO159" s="230"/>
      <c r="AP159" s="230"/>
      <c r="AR159" s="233"/>
      <c r="AS159" s="233"/>
      <c r="AT159" s="233"/>
      <c r="AU159" s="233"/>
      <c r="AV159" s="144"/>
      <c r="AW159" s="144"/>
      <c r="AX159" s="144"/>
      <c r="AY159" s="144"/>
      <c r="AZ159" s="144"/>
      <c r="BA159" s="144"/>
      <c r="BB159" s="230"/>
      <c r="BC159" s="230"/>
      <c r="BD159" s="230"/>
      <c r="BE159" s="230"/>
      <c r="BF159" s="230"/>
      <c r="BG159" s="230"/>
    </row>
    <row r="160" spans="2:68" s="139" customFormat="1" ht="18.75" customHeight="1">
      <c r="B160" s="230"/>
      <c r="C160" s="406" t="s">
        <v>477</v>
      </c>
      <c r="D160" s="406"/>
      <c r="E160" s="406"/>
      <c r="F160" s="406"/>
      <c r="G160" s="406"/>
      <c r="H160" s="233"/>
      <c r="J160" s="233"/>
      <c r="K160" s="233"/>
      <c r="L160" s="233"/>
      <c r="M160" s="233"/>
      <c r="N160" s="233"/>
      <c r="O160" s="233"/>
      <c r="P160" s="233"/>
      <c r="Q160" s="233"/>
      <c r="R160" s="142"/>
      <c r="S160" s="233"/>
      <c r="T160" s="233"/>
      <c r="U160" s="233"/>
      <c r="W160" s="240" t="s">
        <v>478</v>
      </c>
      <c r="X160" s="233"/>
      <c r="Y160" s="233"/>
      <c r="Z160" s="233"/>
      <c r="AA160" s="233"/>
      <c r="AB160" s="233"/>
      <c r="AC160" s="233"/>
      <c r="AD160" s="233"/>
      <c r="AE160" s="230"/>
      <c r="AF160" s="230"/>
      <c r="AG160" s="230"/>
      <c r="AH160" s="230"/>
      <c r="AI160" s="230"/>
      <c r="AJ160" s="230"/>
      <c r="AK160" s="230"/>
      <c r="AL160" s="230"/>
      <c r="AM160" s="230"/>
      <c r="AN160" s="230"/>
      <c r="AO160" s="230"/>
      <c r="AP160" s="230"/>
      <c r="AQ160" s="230"/>
      <c r="AR160" s="230"/>
      <c r="AS160" s="230"/>
      <c r="AT160" s="230"/>
      <c r="AU160" s="233"/>
      <c r="AV160" s="230"/>
      <c r="AW160" s="230"/>
      <c r="AX160" s="230"/>
      <c r="AY160" s="230"/>
      <c r="AZ160" s="230"/>
      <c r="BA160" s="230"/>
      <c r="BB160" s="230"/>
      <c r="BC160" s="230"/>
      <c r="BD160" s="230"/>
      <c r="BE160" s="230"/>
      <c r="BF160" s="230"/>
      <c r="BG160" s="230"/>
    </row>
    <row r="161" spans="2:67" s="139" customFormat="1" ht="18.75" customHeight="1">
      <c r="B161" s="230"/>
      <c r="C161" s="406"/>
      <c r="D161" s="406"/>
      <c r="E161" s="406"/>
      <c r="F161" s="406"/>
      <c r="G161" s="406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142"/>
      <c r="S161" s="233"/>
      <c r="T161" s="233"/>
      <c r="U161" s="233"/>
      <c r="V161" s="233"/>
      <c r="W161" s="233"/>
      <c r="X161" s="233"/>
      <c r="Y161" s="233"/>
      <c r="Z161" s="233"/>
      <c r="AA161" s="233"/>
      <c r="AB161" s="233"/>
      <c r="AC161" s="230"/>
      <c r="AD161" s="230"/>
      <c r="AE161" s="230"/>
      <c r="AF161" s="230"/>
      <c r="AG161" s="230"/>
      <c r="AH161" s="230"/>
      <c r="AI161" s="230"/>
      <c r="AJ161" s="230"/>
      <c r="AK161" s="230"/>
      <c r="AL161" s="230"/>
      <c r="AM161" s="230"/>
      <c r="AN161" s="230"/>
      <c r="AO161" s="230"/>
      <c r="AP161" s="230"/>
      <c r="AQ161" s="230"/>
      <c r="AR161" s="230"/>
      <c r="AS161" s="230"/>
      <c r="AT161" s="230"/>
      <c r="AU161" s="230"/>
      <c r="AV161" s="230"/>
      <c r="AW161" s="230"/>
      <c r="AX161" s="230"/>
      <c r="AY161" s="230"/>
      <c r="AZ161" s="230"/>
      <c r="BA161" s="230"/>
      <c r="BB161" s="230"/>
      <c r="BC161" s="230"/>
      <c r="BD161" s="230"/>
      <c r="BE161" s="230"/>
      <c r="BF161" s="230"/>
      <c r="BG161" s="230"/>
    </row>
    <row r="162" spans="2:67" s="139" customFormat="1" ht="18.75" customHeight="1">
      <c r="B162" s="230"/>
      <c r="C162" s="233"/>
      <c r="D162" s="233"/>
      <c r="E162" s="233"/>
      <c r="F162" s="233"/>
      <c r="G162" s="230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  <c r="AA162" s="230"/>
      <c r="AB162" s="230"/>
      <c r="AC162" s="230"/>
      <c r="AD162" s="230"/>
      <c r="AE162" s="230"/>
      <c r="AF162" s="230"/>
      <c r="AG162" s="230"/>
      <c r="AH162" s="230"/>
      <c r="AI162" s="230"/>
      <c r="AJ162" s="230"/>
      <c r="AK162" s="230"/>
      <c r="AL162" s="230"/>
      <c r="AM162" s="230"/>
      <c r="AN162" s="230"/>
      <c r="AO162" s="230"/>
      <c r="AP162" s="230"/>
      <c r="AQ162" s="230"/>
      <c r="AR162" s="230"/>
      <c r="AS162" s="230"/>
      <c r="AT162" s="230"/>
      <c r="AU162" s="230"/>
      <c r="AV162" s="230"/>
      <c r="AW162" s="230"/>
      <c r="AX162" s="230"/>
      <c r="AY162" s="230"/>
      <c r="AZ162" s="230"/>
      <c r="BA162" s="230"/>
      <c r="BB162" s="230"/>
      <c r="BC162" s="230"/>
      <c r="BD162" s="230"/>
      <c r="BE162" s="230"/>
      <c r="BF162" s="230"/>
      <c r="BG162" s="230"/>
    </row>
    <row r="163" spans="2:67" s="139" customFormat="1" ht="18.75" customHeight="1">
      <c r="B163" s="57" t="e">
        <f ca="1">"5. "&amp;N5&amp;"와 "&amp;T5&amp;"의 열팽창계수 차에 의한 표준불확도,"</f>
        <v>#N/A</v>
      </c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  <c r="AA163" s="233"/>
      <c r="AB163" s="233"/>
      <c r="AC163" s="233"/>
      <c r="AD163" s="215" t="s">
        <v>479</v>
      </c>
      <c r="AE163" s="233"/>
      <c r="AF163" s="233"/>
      <c r="AG163" s="233"/>
      <c r="AH163" s="233"/>
      <c r="AI163" s="233"/>
      <c r="AJ163" s="233"/>
      <c r="AK163" s="233"/>
      <c r="AL163" s="233"/>
      <c r="AM163" s="233"/>
      <c r="AN163" s="233"/>
      <c r="AO163" s="233"/>
      <c r="AP163" s="233"/>
      <c r="AQ163" s="233"/>
      <c r="AR163" s="233"/>
      <c r="AS163" s="233"/>
      <c r="AT163" s="233"/>
      <c r="AU163" s="233"/>
      <c r="AV163" s="233"/>
      <c r="AW163" s="233"/>
      <c r="AX163" s="233"/>
      <c r="AY163" s="233"/>
      <c r="AZ163" s="233"/>
      <c r="BA163" s="233"/>
      <c r="BB163" s="230"/>
      <c r="BC163" s="230"/>
      <c r="BD163" s="230"/>
      <c r="BE163" s="230"/>
      <c r="BF163" s="230"/>
      <c r="BG163" s="230"/>
    </row>
    <row r="164" spans="2:67" s="139" customFormat="1" ht="18.75" customHeight="1">
      <c r="B164" s="57"/>
      <c r="C164" s="233" t="e">
        <f ca="1">"※ "&amp;N5&amp;"와 "&amp;T5&amp;"의 열팽창계수 차이 :"</f>
        <v>#N/A</v>
      </c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0"/>
      <c r="T164" s="233"/>
      <c r="U164" s="233"/>
      <c r="V164" s="233"/>
      <c r="W164" s="233"/>
      <c r="Y164" s="233" t="s">
        <v>480</v>
      </c>
      <c r="Z164" s="233"/>
      <c r="AA164" s="233"/>
      <c r="AB164" s="233"/>
      <c r="AC164" s="233"/>
      <c r="AD164" s="230"/>
      <c r="AE164" s="230"/>
      <c r="AF164" s="230"/>
      <c r="AG164" s="230"/>
      <c r="AH164" s="233"/>
      <c r="AI164" s="233"/>
      <c r="AJ164" s="233"/>
      <c r="AK164" s="233"/>
      <c r="AL164" s="233"/>
      <c r="AM164" s="233"/>
      <c r="AN164" s="233"/>
      <c r="AO164" s="233"/>
      <c r="AP164" s="233"/>
      <c r="AQ164" s="233"/>
      <c r="AR164" s="233"/>
      <c r="AS164" s="233"/>
      <c r="AT164" s="233"/>
      <c r="AU164" s="233"/>
      <c r="AV164" s="233"/>
      <c r="AW164" s="233"/>
      <c r="AX164" s="233"/>
      <c r="AY164" s="233"/>
      <c r="AZ164" s="233"/>
      <c r="BA164" s="233"/>
      <c r="BB164" s="230"/>
      <c r="BC164" s="230"/>
      <c r="BD164" s="230"/>
      <c r="BE164" s="230"/>
      <c r="BF164" s="230"/>
      <c r="BG164" s="230"/>
    </row>
    <row r="165" spans="2:67" s="139" customFormat="1" ht="18.75" customHeight="1">
      <c r="B165" s="230"/>
      <c r="C165" s="236" t="s">
        <v>481</v>
      </c>
      <c r="D165" s="230"/>
      <c r="E165" s="230"/>
      <c r="F165" s="230"/>
      <c r="G165" s="230"/>
      <c r="H165" s="500" t="e">
        <f ca="1">H82*10^6</f>
        <v>#N/A</v>
      </c>
      <c r="I165" s="500"/>
      <c r="J165" s="500"/>
      <c r="K165" s="229" t="s">
        <v>482</v>
      </c>
      <c r="L165" s="229"/>
      <c r="M165" s="229"/>
      <c r="N165" s="229"/>
      <c r="O165" s="229"/>
      <c r="P165" s="229"/>
      <c r="Q165" s="233"/>
      <c r="R165" s="233"/>
      <c r="S165" s="233"/>
      <c r="T165" s="233"/>
      <c r="U165" s="233"/>
      <c r="V165" s="233"/>
      <c r="W165" s="233"/>
      <c r="X165" s="233"/>
      <c r="Y165" s="233"/>
      <c r="Z165" s="233"/>
      <c r="AA165" s="233"/>
      <c r="AB165" s="233"/>
      <c r="AC165" s="233"/>
      <c r="AD165" s="233"/>
      <c r="AE165" s="233"/>
      <c r="AF165" s="233"/>
      <c r="AG165" s="233"/>
      <c r="AH165" s="233"/>
      <c r="AI165" s="233"/>
      <c r="AJ165" s="233"/>
      <c r="AK165" s="233"/>
      <c r="AL165" s="233"/>
      <c r="AM165" s="233"/>
      <c r="AN165" s="233"/>
      <c r="AO165" s="233"/>
      <c r="AP165" s="233"/>
      <c r="AQ165" s="233"/>
      <c r="AR165" s="233"/>
      <c r="AS165" s="233"/>
      <c r="AT165" s="230"/>
      <c r="AU165" s="230"/>
      <c r="AV165" s="230"/>
      <c r="AW165" s="230"/>
      <c r="AX165" s="230"/>
      <c r="AY165" s="230"/>
      <c r="AZ165" s="230"/>
      <c r="BA165" s="230"/>
      <c r="BB165" s="230"/>
      <c r="BC165" s="230"/>
      <c r="BD165" s="230"/>
      <c r="BE165" s="230"/>
      <c r="BF165" s="230"/>
      <c r="BG165" s="230"/>
    </row>
    <row r="166" spans="2:67" s="139" customFormat="1" ht="18.75" customHeight="1">
      <c r="B166" s="230"/>
      <c r="C166" s="233" t="s">
        <v>483</v>
      </c>
      <c r="D166" s="233"/>
      <c r="E166" s="233"/>
      <c r="F166" s="233"/>
      <c r="G166" s="233"/>
      <c r="H166" s="233"/>
      <c r="I166" s="230"/>
      <c r="J166" s="233" t="s">
        <v>484</v>
      </c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0"/>
      <c r="V166" s="230"/>
      <c r="W166" s="59"/>
      <c r="X166" s="233"/>
      <c r="Y166" s="233"/>
      <c r="Z166" s="233"/>
      <c r="AA166" s="233"/>
      <c r="AB166" s="233"/>
      <c r="AC166" s="233"/>
      <c r="AD166" s="233"/>
      <c r="AE166" s="233"/>
      <c r="AF166" s="233"/>
      <c r="AG166" s="233"/>
      <c r="AH166" s="233"/>
      <c r="AI166" s="233"/>
      <c r="AJ166" s="233"/>
      <c r="AK166" s="233"/>
      <c r="AL166" s="230"/>
      <c r="AM166" s="230"/>
      <c r="AN166" s="230"/>
      <c r="AO166" s="233"/>
      <c r="AP166" s="233"/>
      <c r="AQ166" s="233"/>
      <c r="AR166" s="233"/>
      <c r="AS166" s="233"/>
      <c r="AT166" s="233"/>
      <c r="AU166" s="233"/>
      <c r="AV166" s="233"/>
      <c r="AW166" s="233"/>
      <c r="AX166" s="233"/>
      <c r="AY166" s="233"/>
      <c r="AZ166" s="233"/>
      <c r="BA166" s="233"/>
      <c r="BB166" s="233"/>
      <c r="BC166" s="233"/>
      <c r="BD166" s="233"/>
      <c r="BE166" s="233"/>
      <c r="BF166" s="233"/>
      <c r="BG166" s="233"/>
      <c r="BH166" s="58"/>
      <c r="BI166" s="58"/>
      <c r="BJ166" s="58"/>
      <c r="BK166" s="58"/>
      <c r="BL166" s="58"/>
      <c r="BM166" s="58"/>
    </row>
    <row r="167" spans="2:67" s="139" customFormat="1" ht="18.75" customHeight="1">
      <c r="B167" s="230"/>
      <c r="C167" s="233"/>
      <c r="D167" s="233"/>
      <c r="E167" s="233"/>
      <c r="F167" s="233"/>
      <c r="G167" s="233"/>
      <c r="H167" s="233"/>
      <c r="I167" s="230"/>
      <c r="J167" s="233" t="s">
        <v>485</v>
      </c>
      <c r="K167" s="233"/>
      <c r="L167" s="233"/>
      <c r="M167" s="233"/>
      <c r="N167" s="233"/>
      <c r="O167" s="233"/>
      <c r="P167" s="233"/>
      <c r="Q167" s="233"/>
      <c r="R167" s="233"/>
      <c r="S167" s="233"/>
      <c r="T167" s="230"/>
      <c r="U167" s="233"/>
      <c r="V167" s="59"/>
      <c r="W167" s="233"/>
      <c r="X167" s="233"/>
      <c r="Y167" s="233"/>
      <c r="Z167" s="233"/>
      <c r="AA167" s="233"/>
      <c r="AB167" s="233"/>
      <c r="AC167" s="233"/>
      <c r="AD167" s="230"/>
      <c r="AE167" s="233"/>
      <c r="AF167" s="233"/>
      <c r="AG167" s="233"/>
      <c r="AH167" s="233"/>
      <c r="AI167" s="233"/>
      <c r="AJ167" s="233"/>
      <c r="AK167" s="230"/>
      <c r="AL167" s="230"/>
      <c r="AM167" s="230"/>
      <c r="AN167" s="230"/>
      <c r="AO167" s="233"/>
      <c r="AP167" s="233"/>
      <c r="AQ167" s="233"/>
      <c r="AR167" s="233"/>
      <c r="AS167" s="233"/>
      <c r="AT167" s="233"/>
      <c r="AU167" s="233"/>
      <c r="AV167" s="233"/>
      <c r="AW167" s="233"/>
      <c r="AX167" s="233"/>
      <c r="AY167" s="233"/>
      <c r="AZ167" s="233"/>
      <c r="BA167" s="233"/>
      <c r="BB167" s="233"/>
      <c r="BC167" s="233"/>
      <c r="BD167" s="233"/>
      <c r="BE167" s="233"/>
      <c r="BF167" s="233"/>
      <c r="BG167" s="233"/>
      <c r="BH167" s="58"/>
      <c r="BI167" s="58"/>
      <c r="BJ167" s="58"/>
      <c r="BK167" s="58"/>
      <c r="BL167" s="58"/>
      <c r="BM167" s="58"/>
      <c r="BN167" s="58"/>
    </row>
    <row r="168" spans="2:67" s="139" customFormat="1" ht="18.75" customHeight="1">
      <c r="B168" s="230"/>
      <c r="C168" s="233"/>
      <c r="D168" s="233"/>
      <c r="E168" s="233"/>
      <c r="F168" s="233"/>
      <c r="G168" s="233"/>
      <c r="H168" s="233"/>
      <c r="I168" s="233"/>
      <c r="J168" s="230"/>
      <c r="K168" s="236" t="s">
        <v>448</v>
      </c>
      <c r="L168" s="236"/>
      <c r="M168" s="236"/>
      <c r="N168" s="236"/>
      <c r="O168" s="236"/>
      <c r="P168" s="236"/>
      <c r="Q168" s="236"/>
      <c r="R168" s="236"/>
      <c r="S168" s="236"/>
      <c r="T168" s="233"/>
      <c r="U168" s="233"/>
      <c r="V168" s="233"/>
      <c r="W168" s="233"/>
      <c r="X168" s="233"/>
      <c r="Y168" s="233"/>
      <c r="Z168" s="233"/>
      <c r="AA168" s="233"/>
      <c r="AB168" s="233"/>
      <c r="AC168" s="233"/>
      <c r="AD168" s="233"/>
      <c r="AE168" s="233"/>
      <c r="AF168" s="233"/>
      <c r="AG168" s="141"/>
      <c r="AH168" s="233"/>
      <c r="AI168" s="233"/>
      <c r="AJ168" s="233"/>
      <c r="AK168" s="233"/>
      <c r="AL168" s="230"/>
      <c r="AM168" s="230"/>
      <c r="AN168" s="230"/>
      <c r="AO168" s="230"/>
      <c r="AP168" s="233"/>
      <c r="AQ168" s="233"/>
      <c r="AR168" s="233"/>
      <c r="AS168" s="233"/>
      <c r="AT168" s="233"/>
      <c r="AU168" s="233"/>
      <c r="AV168" s="233"/>
      <c r="AW168" s="233"/>
      <c r="AX168" s="233"/>
      <c r="AY168" s="233"/>
      <c r="AZ168" s="233"/>
      <c r="BA168" s="233"/>
      <c r="BB168" s="233"/>
      <c r="BC168" s="233"/>
      <c r="BD168" s="233"/>
      <c r="BE168" s="233"/>
      <c r="BF168" s="233"/>
      <c r="BG168" s="233"/>
      <c r="BH168" s="233"/>
      <c r="BI168" s="58"/>
      <c r="BJ168" s="58"/>
      <c r="BK168" s="58"/>
      <c r="BL168" s="58"/>
      <c r="BM168" s="58"/>
      <c r="BN168" s="58"/>
      <c r="BO168" s="58"/>
    </row>
    <row r="169" spans="2:67" s="139" customFormat="1" ht="18.75" customHeight="1">
      <c r="B169" s="230"/>
      <c r="C169" s="233"/>
      <c r="D169" s="233"/>
      <c r="E169" s="233"/>
      <c r="F169" s="233"/>
      <c r="G169" s="233"/>
      <c r="H169" s="233"/>
      <c r="I169" s="233"/>
      <c r="J169" s="230"/>
      <c r="K169" s="230"/>
      <c r="L169" s="110"/>
      <c r="M169" s="110"/>
      <c r="N169" s="230"/>
      <c r="O169" s="230"/>
      <c r="P169" s="230"/>
      <c r="Q169" s="230"/>
      <c r="R169" s="230"/>
      <c r="S169" s="230"/>
      <c r="T169" s="233"/>
      <c r="U169" s="233"/>
      <c r="V169" s="233"/>
      <c r="W169" s="233"/>
      <c r="X169" s="233"/>
      <c r="Y169" s="233"/>
      <c r="Z169" s="230"/>
      <c r="AA169" s="233"/>
      <c r="AB169" s="141"/>
      <c r="AC169" s="141"/>
      <c r="AD169" s="141"/>
      <c r="AE169" s="141"/>
      <c r="AF169" s="141"/>
      <c r="AG169" s="230"/>
      <c r="AH169" s="141"/>
      <c r="AI169" s="141"/>
      <c r="AJ169" s="141"/>
      <c r="AK169" s="141"/>
      <c r="AL169" s="230"/>
      <c r="AM169" s="142"/>
      <c r="AN169" s="142"/>
      <c r="AO169" s="142"/>
      <c r="AP169" s="142"/>
      <c r="AQ169" s="233"/>
      <c r="AR169" s="233"/>
      <c r="AS169" s="233"/>
      <c r="AT169" s="233"/>
      <c r="AU169" s="233"/>
      <c r="AV169" s="233"/>
      <c r="AW169" s="233"/>
      <c r="AX169" s="233"/>
      <c r="AY169" s="233"/>
      <c r="AZ169" s="233"/>
      <c r="BA169" s="233"/>
      <c r="BB169" s="233"/>
      <c r="BC169" s="233"/>
      <c r="BD169" s="233"/>
      <c r="BE169" s="233"/>
      <c r="BF169" s="233"/>
      <c r="BG169" s="233"/>
      <c r="BH169" s="233"/>
      <c r="BI169" s="58"/>
      <c r="BJ169" s="58"/>
      <c r="BK169" s="58"/>
      <c r="BL169" s="58"/>
      <c r="BM169" s="58"/>
    </row>
    <row r="170" spans="2:67" s="139" customFormat="1" ht="18.75" customHeight="1">
      <c r="B170" s="230"/>
      <c r="C170" s="233" t="s">
        <v>486</v>
      </c>
      <c r="D170" s="233"/>
      <c r="E170" s="233"/>
      <c r="F170" s="233"/>
      <c r="G170" s="233"/>
      <c r="H170" s="233"/>
      <c r="I170" s="417" t="str">
        <f>AB82</f>
        <v>삼각형</v>
      </c>
      <c r="J170" s="417"/>
      <c r="K170" s="417"/>
      <c r="L170" s="417"/>
      <c r="M170" s="417"/>
      <c r="N170" s="417"/>
      <c r="O170" s="417"/>
      <c r="P170" s="417"/>
      <c r="Q170" s="233"/>
      <c r="R170" s="233"/>
      <c r="S170" s="233"/>
      <c r="T170" s="233"/>
      <c r="U170" s="233"/>
      <c r="V170" s="233"/>
      <c r="W170" s="233"/>
      <c r="X170" s="233"/>
      <c r="Y170" s="233"/>
      <c r="Z170" s="233"/>
      <c r="AA170" s="230"/>
      <c r="AB170" s="230"/>
      <c r="AC170" s="230"/>
      <c r="AD170" s="230"/>
      <c r="AE170" s="230"/>
      <c r="AF170" s="111"/>
      <c r="AG170" s="230"/>
      <c r="AH170" s="230"/>
      <c r="AI170" s="233"/>
      <c r="AJ170" s="233"/>
      <c r="AK170" s="233"/>
      <c r="AL170" s="233"/>
      <c r="AM170" s="233"/>
      <c r="AN170" s="233"/>
      <c r="AO170" s="233"/>
      <c r="AP170" s="233"/>
      <c r="AQ170" s="233"/>
      <c r="AR170" s="233"/>
      <c r="AS170" s="233"/>
      <c r="AT170" s="233"/>
      <c r="AU170" s="233"/>
      <c r="AV170" s="233"/>
      <c r="AW170" s="233"/>
      <c r="AX170" s="233"/>
      <c r="AY170" s="233"/>
      <c r="AZ170" s="233"/>
      <c r="BA170" s="233"/>
      <c r="BB170" s="233"/>
      <c r="BC170" s="233"/>
      <c r="BD170" s="233"/>
      <c r="BE170" s="233"/>
      <c r="BF170" s="233"/>
      <c r="BG170" s="233"/>
      <c r="BH170" s="58"/>
      <c r="BI170" s="58"/>
      <c r="BJ170" s="58"/>
      <c r="BK170" s="58"/>
      <c r="BL170" s="58"/>
      <c r="BM170" s="58"/>
      <c r="BN170" s="58"/>
    </row>
    <row r="171" spans="2:67" s="139" customFormat="1" ht="18.75" customHeight="1">
      <c r="B171" s="230"/>
      <c r="C171" s="406" t="s">
        <v>487</v>
      </c>
      <c r="D171" s="406"/>
      <c r="E171" s="406"/>
      <c r="F171" s="406"/>
      <c r="G171" s="406"/>
      <c r="H171" s="406"/>
      <c r="I171" s="233"/>
      <c r="J171" s="230"/>
      <c r="K171" s="233"/>
      <c r="L171" s="233"/>
      <c r="M171" s="233"/>
      <c r="N171" s="233"/>
      <c r="O171" s="233"/>
      <c r="P171" s="233"/>
      <c r="S171" s="411">
        <f>-H83</f>
        <v>-0.1</v>
      </c>
      <c r="T171" s="411"/>
      <c r="U171" s="406" t="s">
        <v>488</v>
      </c>
      <c r="V171" s="406"/>
      <c r="W171" s="406"/>
      <c r="X171" s="406"/>
      <c r="Y171" s="406"/>
      <c r="Z171" s="406"/>
      <c r="AA171" s="471" t="s">
        <v>438</v>
      </c>
      <c r="AB171" s="411">
        <f>S171*1000</f>
        <v>-100</v>
      </c>
      <c r="AC171" s="411"/>
      <c r="AD171" s="411"/>
      <c r="AE171" s="406" t="s">
        <v>489</v>
      </c>
      <c r="AF171" s="406"/>
      <c r="AG171" s="406"/>
      <c r="AH171" s="406"/>
      <c r="AI171" s="406"/>
      <c r="AJ171" s="229"/>
      <c r="AK171" s="233"/>
      <c r="AL171" s="233"/>
      <c r="AM171" s="233"/>
      <c r="AN171" s="233"/>
      <c r="AP171" s="233"/>
      <c r="AQ171" s="233"/>
      <c r="AR171" s="230"/>
      <c r="AS171" s="230"/>
      <c r="AT171" s="230"/>
      <c r="AU171" s="230"/>
      <c r="AV171" s="230"/>
      <c r="AW171" s="230"/>
      <c r="AX171" s="230"/>
      <c r="AY171" s="230"/>
      <c r="AZ171" s="230"/>
      <c r="BA171" s="233"/>
      <c r="BB171" s="233"/>
      <c r="BC171" s="233"/>
    </row>
    <row r="172" spans="2:67" s="139" customFormat="1" ht="18.75" customHeight="1">
      <c r="B172" s="230"/>
      <c r="C172" s="406"/>
      <c r="D172" s="406"/>
      <c r="E172" s="406"/>
      <c r="F172" s="406"/>
      <c r="G172" s="406"/>
      <c r="H172" s="406"/>
      <c r="I172" s="233"/>
      <c r="J172" s="233"/>
      <c r="K172" s="233"/>
      <c r="L172" s="233"/>
      <c r="M172" s="233"/>
      <c r="N172" s="233"/>
      <c r="O172" s="233"/>
      <c r="P172" s="230"/>
      <c r="S172" s="411"/>
      <c r="T172" s="411"/>
      <c r="U172" s="406"/>
      <c r="V172" s="406"/>
      <c r="W172" s="406"/>
      <c r="X172" s="406"/>
      <c r="Y172" s="406"/>
      <c r="Z172" s="406"/>
      <c r="AA172" s="471"/>
      <c r="AB172" s="411"/>
      <c r="AC172" s="411"/>
      <c r="AD172" s="411"/>
      <c r="AE172" s="406"/>
      <c r="AF172" s="406"/>
      <c r="AG172" s="406"/>
      <c r="AH172" s="406"/>
      <c r="AI172" s="406"/>
      <c r="AJ172" s="229"/>
      <c r="AK172" s="233"/>
      <c r="AM172" s="233"/>
      <c r="AN172" s="233"/>
      <c r="AP172" s="233"/>
      <c r="AQ172" s="233"/>
      <c r="AR172" s="230"/>
      <c r="AS172" s="230"/>
      <c r="AT172" s="230"/>
      <c r="AU172" s="230"/>
      <c r="AV172" s="230"/>
      <c r="AW172" s="230"/>
      <c r="AX172" s="230"/>
      <c r="AY172" s="230"/>
      <c r="AZ172" s="230"/>
      <c r="BA172" s="233"/>
      <c r="BB172" s="233"/>
      <c r="BC172" s="233"/>
    </row>
    <row r="173" spans="2:67" s="139" customFormat="1" ht="18.75" customHeight="1">
      <c r="B173" s="230"/>
      <c r="C173" s="233" t="s">
        <v>490</v>
      </c>
      <c r="D173" s="233"/>
      <c r="E173" s="233"/>
      <c r="F173" s="233"/>
      <c r="G173" s="233"/>
      <c r="H173" s="233"/>
      <c r="I173" s="233"/>
      <c r="J173" s="230"/>
      <c r="K173" s="230" t="s">
        <v>473</v>
      </c>
      <c r="L173" s="412">
        <f>AB171</f>
        <v>-100</v>
      </c>
      <c r="M173" s="412"/>
      <c r="N173" s="412"/>
      <c r="O173" s="142" t="s">
        <v>491</v>
      </c>
      <c r="P173" s="239"/>
      <c r="R173" s="230"/>
      <c r="S173" s="230"/>
      <c r="T173" s="230"/>
      <c r="U173" s="230"/>
      <c r="V173" s="230"/>
      <c r="W173" s="230"/>
      <c r="X173" s="230"/>
      <c r="Y173" s="230"/>
      <c r="Z173" s="230" t="s">
        <v>436</v>
      </c>
      <c r="AA173" s="230" t="s">
        <v>401</v>
      </c>
      <c r="AB173" s="502">
        <f>ABS(L173*O82)</f>
        <v>8.1649658092772609E-5</v>
      </c>
      <c r="AC173" s="502"/>
      <c r="AD173" s="502"/>
      <c r="AE173" s="506"/>
      <c r="AF173" s="233" t="s">
        <v>476</v>
      </c>
      <c r="AG173" s="236"/>
      <c r="AH173" s="230"/>
      <c r="AI173" s="230"/>
      <c r="AK173" s="233"/>
      <c r="AL173" s="233"/>
      <c r="AM173" s="233"/>
      <c r="AN173" s="233"/>
      <c r="AO173" s="230"/>
      <c r="AP173" s="230"/>
      <c r="AQ173" s="230"/>
      <c r="AR173" s="230"/>
      <c r="AS173" s="230"/>
      <c r="AT173" s="142"/>
      <c r="AU173" s="233"/>
      <c r="AV173" s="233"/>
      <c r="AW173" s="233"/>
      <c r="AX173" s="143"/>
      <c r="AY173" s="142"/>
      <c r="AZ173" s="233"/>
      <c r="BA173" s="233"/>
      <c r="BB173" s="233"/>
      <c r="BC173" s="233"/>
      <c r="BD173" s="233"/>
      <c r="BE173" s="233"/>
      <c r="BF173" s="230"/>
      <c r="BG173" s="233"/>
      <c r="BH173" s="233"/>
      <c r="BI173" s="58"/>
      <c r="BJ173" s="58"/>
      <c r="BK173" s="58"/>
    </row>
    <row r="174" spans="2:67" s="139" customFormat="1" ht="18.75" customHeight="1">
      <c r="B174" s="230"/>
      <c r="C174" s="406" t="s">
        <v>492</v>
      </c>
      <c r="D174" s="406"/>
      <c r="E174" s="406"/>
      <c r="F174" s="406"/>
      <c r="G174" s="406"/>
      <c r="H174" s="233"/>
      <c r="J174" s="233"/>
      <c r="K174" s="233"/>
      <c r="L174" s="233"/>
      <c r="M174" s="233"/>
      <c r="N174" s="233"/>
      <c r="O174" s="233"/>
      <c r="P174" s="233"/>
      <c r="Q174" s="233"/>
      <c r="R174" s="142"/>
      <c r="S174" s="233"/>
      <c r="T174" s="233"/>
      <c r="U174" s="233"/>
      <c r="W174" s="233"/>
      <c r="X174" s="233"/>
      <c r="Y174" s="233"/>
      <c r="Z174" s="233"/>
      <c r="AA174" s="240" t="s">
        <v>460</v>
      </c>
      <c r="AB174" s="233"/>
      <c r="AC174" s="233"/>
      <c r="AD174" s="233"/>
      <c r="AE174" s="230"/>
      <c r="AF174" s="230"/>
      <c r="AH174" s="230"/>
      <c r="AI174" s="230"/>
      <c r="AJ174" s="230"/>
      <c r="AK174" s="230"/>
      <c r="AL174" s="230"/>
      <c r="AM174" s="230"/>
      <c r="AN174" s="230"/>
      <c r="AO174" s="230"/>
      <c r="AP174" s="230"/>
      <c r="AQ174" s="230"/>
      <c r="AR174" s="230"/>
      <c r="AS174" s="230"/>
      <c r="AT174" s="230"/>
      <c r="AU174" s="230"/>
      <c r="AV174" s="230"/>
      <c r="AW174" s="230"/>
      <c r="AX174" s="230"/>
      <c r="AY174" s="230"/>
      <c r="AZ174" s="230"/>
      <c r="BA174" s="230"/>
      <c r="BB174" s="230"/>
      <c r="BC174" s="230"/>
      <c r="BD174" s="230"/>
      <c r="BE174" s="230"/>
      <c r="BF174" s="230"/>
      <c r="BG174" s="230"/>
      <c r="BH174" s="58"/>
      <c r="BI174" s="58"/>
      <c r="BJ174" s="58"/>
      <c r="BK174" s="58"/>
      <c r="BL174" s="58"/>
    </row>
    <row r="175" spans="2:67" s="139" customFormat="1" ht="18.75" customHeight="1">
      <c r="B175" s="230"/>
      <c r="C175" s="406"/>
      <c r="D175" s="406"/>
      <c r="E175" s="406"/>
      <c r="F175" s="406"/>
      <c r="G175" s="406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142"/>
      <c r="S175" s="233"/>
      <c r="T175" s="233"/>
      <c r="U175" s="233"/>
      <c r="V175" s="233"/>
      <c r="W175" s="233"/>
      <c r="X175" s="233"/>
      <c r="Y175" s="233"/>
      <c r="Z175" s="233"/>
      <c r="AA175" s="233"/>
      <c r="AB175" s="233"/>
      <c r="AC175" s="233"/>
      <c r="AD175" s="233"/>
      <c r="AE175" s="230"/>
      <c r="AF175" s="230"/>
      <c r="AG175" s="230"/>
      <c r="AH175" s="230"/>
      <c r="AI175" s="230"/>
      <c r="AJ175" s="230"/>
      <c r="AK175" s="230"/>
      <c r="AL175" s="23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30"/>
      <c r="AY175" s="230"/>
      <c r="AZ175" s="230"/>
      <c r="BA175" s="230"/>
      <c r="BB175" s="230"/>
      <c r="BC175" s="230"/>
      <c r="BD175" s="230"/>
      <c r="BE175" s="230"/>
      <c r="BF175" s="230"/>
      <c r="BG175" s="230"/>
      <c r="BH175" s="58"/>
      <c r="BI175" s="58"/>
      <c r="BJ175" s="58"/>
      <c r="BK175" s="58"/>
      <c r="BL175" s="58"/>
    </row>
    <row r="176" spans="2:67" s="139" customFormat="1" ht="18.75" customHeight="1">
      <c r="B176" s="230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142"/>
      <c r="S176" s="233"/>
      <c r="T176" s="233"/>
      <c r="U176" s="233"/>
      <c r="V176" s="233"/>
      <c r="W176" s="233"/>
      <c r="X176" s="233"/>
      <c r="Y176" s="233"/>
      <c r="Z176" s="417">
        <v>100</v>
      </c>
      <c r="AA176" s="417"/>
      <c r="AD176" s="233"/>
      <c r="AE176" s="230"/>
      <c r="AF176" s="230"/>
      <c r="AG176" s="230"/>
      <c r="AH176" s="230"/>
      <c r="AI176" s="230"/>
      <c r="AJ176" s="230"/>
      <c r="AK176" s="230"/>
      <c r="AL176" s="230"/>
      <c r="AM176" s="230"/>
      <c r="AN176" s="230"/>
      <c r="AO176" s="230"/>
      <c r="AP176" s="230"/>
      <c r="AQ176" s="230"/>
      <c r="AR176" s="230"/>
      <c r="AS176" s="230"/>
      <c r="AT176" s="230"/>
      <c r="AU176" s="230"/>
      <c r="AV176" s="230"/>
      <c r="AW176" s="230"/>
      <c r="AX176" s="230"/>
      <c r="AY176" s="230"/>
      <c r="AZ176" s="230"/>
      <c r="BA176" s="230"/>
      <c r="BB176" s="230"/>
      <c r="BC176" s="230"/>
      <c r="BD176" s="230"/>
      <c r="BE176" s="230"/>
      <c r="BF176" s="230"/>
      <c r="BG176" s="230"/>
      <c r="BH176" s="58"/>
      <c r="BI176" s="58"/>
      <c r="BJ176" s="58"/>
      <c r="BK176" s="58"/>
      <c r="BL176" s="58"/>
    </row>
    <row r="177" spans="2:74" s="139" customFormat="1" ht="18.75" customHeight="1">
      <c r="B177" s="230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142"/>
      <c r="S177" s="233"/>
      <c r="T177" s="233"/>
      <c r="U177" s="233"/>
      <c r="V177" s="233"/>
      <c r="W177" s="233"/>
      <c r="X177" s="233"/>
      <c r="Y177" s="233"/>
      <c r="Z177" s="417"/>
      <c r="AA177" s="417"/>
      <c r="AD177" s="233"/>
      <c r="AE177" s="230"/>
      <c r="AF177" s="230"/>
      <c r="AG177" s="230"/>
      <c r="AH177" s="230"/>
      <c r="AI177" s="230"/>
      <c r="AJ177" s="230"/>
      <c r="AK177" s="230"/>
      <c r="AL177" s="230"/>
      <c r="AM177" s="230"/>
      <c r="AN177" s="230"/>
      <c r="AO177" s="230"/>
      <c r="AP177" s="230"/>
      <c r="AQ177" s="230"/>
      <c r="AR177" s="230"/>
      <c r="AS177" s="230"/>
      <c r="AT177" s="230"/>
      <c r="AU177" s="230"/>
      <c r="AV177" s="230"/>
      <c r="AW177" s="230"/>
      <c r="AX177" s="230"/>
      <c r="AY177" s="230"/>
      <c r="AZ177" s="230"/>
      <c r="BA177" s="230"/>
      <c r="BB177" s="230"/>
      <c r="BC177" s="230"/>
      <c r="BD177" s="230"/>
      <c r="BE177" s="230"/>
      <c r="BF177" s="230"/>
      <c r="BG177" s="230"/>
      <c r="BH177" s="58"/>
      <c r="BI177" s="58"/>
      <c r="BJ177" s="58"/>
      <c r="BK177" s="58"/>
      <c r="BL177" s="58"/>
    </row>
    <row r="178" spans="2:74" s="139" customFormat="1" ht="18.75" customHeight="1">
      <c r="B178" s="230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142"/>
      <c r="S178" s="233"/>
      <c r="T178" s="233"/>
      <c r="U178" s="233"/>
      <c r="V178" s="233"/>
      <c r="W178" s="233"/>
      <c r="X178" s="233"/>
      <c r="Y178" s="233"/>
      <c r="Z178" s="233"/>
      <c r="AA178" s="233"/>
      <c r="AB178" s="233"/>
      <c r="AC178" s="233"/>
      <c r="AD178" s="233"/>
      <c r="AE178" s="230"/>
      <c r="AF178" s="230"/>
      <c r="AG178" s="230"/>
      <c r="AH178" s="230"/>
      <c r="AI178" s="230"/>
      <c r="AJ178" s="230"/>
      <c r="AK178" s="230"/>
      <c r="AL178" s="230"/>
      <c r="AM178" s="230"/>
      <c r="AN178" s="230"/>
      <c r="AO178" s="230"/>
      <c r="AP178" s="230"/>
      <c r="AQ178" s="230"/>
      <c r="AR178" s="230"/>
      <c r="AS178" s="230"/>
      <c r="AT178" s="230"/>
      <c r="AU178" s="230"/>
      <c r="AV178" s="230"/>
      <c r="AW178" s="230"/>
      <c r="AX178" s="230"/>
      <c r="AY178" s="230"/>
      <c r="AZ178" s="230"/>
      <c r="BA178" s="230"/>
      <c r="BB178" s="230"/>
      <c r="BC178" s="230"/>
      <c r="BD178" s="230"/>
      <c r="BE178" s="230"/>
      <c r="BF178" s="230"/>
      <c r="BG178" s="230"/>
      <c r="BH178" s="58"/>
      <c r="BI178" s="58"/>
      <c r="BJ178" s="58"/>
      <c r="BK178" s="58"/>
      <c r="BL178" s="58"/>
    </row>
    <row r="179" spans="2:74" s="139" customFormat="1" ht="18.75" customHeight="1">
      <c r="B179" s="230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142"/>
      <c r="S179" s="233"/>
      <c r="T179" s="233"/>
      <c r="U179" s="233"/>
      <c r="V179" s="233"/>
      <c r="W179" s="233"/>
      <c r="X179" s="233"/>
      <c r="Y179" s="233"/>
      <c r="Z179" s="233"/>
      <c r="AA179" s="233"/>
      <c r="AB179" s="233"/>
      <c r="AC179" s="233"/>
      <c r="AD179" s="233"/>
      <c r="AE179" s="230"/>
      <c r="AF179" s="230"/>
      <c r="AG179" s="230"/>
      <c r="AH179" s="230"/>
      <c r="AI179" s="230"/>
      <c r="AJ179" s="230"/>
      <c r="AK179" s="230"/>
      <c r="AL179" s="230"/>
      <c r="AM179" s="230"/>
      <c r="AN179" s="230"/>
      <c r="AO179" s="230"/>
      <c r="AP179" s="230"/>
      <c r="AQ179" s="230"/>
      <c r="AR179" s="230"/>
      <c r="AS179" s="230"/>
      <c r="AT179" s="230"/>
      <c r="AU179" s="230"/>
      <c r="AV179" s="230"/>
      <c r="AW179" s="230"/>
      <c r="AX179" s="230"/>
      <c r="AY179" s="230"/>
      <c r="AZ179" s="230"/>
      <c r="BA179" s="230"/>
      <c r="BB179" s="230"/>
      <c r="BC179" s="230"/>
      <c r="BD179" s="230"/>
      <c r="BE179" s="230"/>
      <c r="BF179" s="230"/>
      <c r="BG179" s="230"/>
      <c r="BH179" s="233"/>
      <c r="BI179" s="233"/>
      <c r="BJ179" s="233"/>
      <c r="BK179" s="233"/>
    </row>
    <row r="180" spans="2:74" s="139" customFormat="1" ht="18.75" customHeight="1">
      <c r="B180" s="57" t="e">
        <f ca="1">"6. "&amp;N5&amp;"와 "&amp;T5&amp;"의 평균온도와 기준 온도와의 차이에 의한 표준불확도,"</f>
        <v>#N/A</v>
      </c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33"/>
      <c r="AJ180" s="233"/>
      <c r="AK180" s="215" t="s">
        <v>493</v>
      </c>
      <c r="AL180" s="233"/>
      <c r="AM180" s="233"/>
      <c r="AN180" s="233"/>
      <c r="AO180" s="233"/>
      <c r="AP180" s="233"/>
      <c r="AQ180" s="233"/>
      <c r="AR180" s="233"/>
      <c r="AS180" s="233"/>
      <c r="AT180" s="233"/>
      <c r="AU180" s="233"/>
      <c r="AV180" s="233"/>
      <c r="AW180" s="233"/>
      <c r="AX180" s="233"/>
      <c r="AY180" s="233"/>
      <c r="AZ180" s="233"/>
      <c r="BA180" s="233"/>
      <c r="BB180" s="233"/>
      <c r="BC180" s="233"/>
      <c r="BD180" s="233"/>
      <c r="BE180" s="233"/>
      <c r="BF180" s="233"/>
      <c r="BG180" s="233"/>
      <c r="BH180" s="58"/>
      <c r="BI180" s="58"/>
      <c r="BJ180" s="58"/>
      <c r="BK180" s="58"/>
      <c r="BL180" s="58"/>
      <c r="BM180" s="58"/>
      <c r="BN180" s="58"/>
    </row>
    <row r="181" spans="2:74" s="139" customFormat="1" ht="18.75" customHeight="1">
      <c r="B181" s="57"/>
      <c r="C181" s="233" t="str">
        <f>"※ 측정실 공기중의 온도를 측정하였고, 측정에 사용된 온도계의 불확도가 "&amp;N184&amp;" ℃를 넘지 않으므로,"</f>
        <v>※ 측정실 공기중의 온도를 측정하였고, 측정에 사용된 온도계의 불확도가 1 ℃를 넘지 않으므로,</v>
      </c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33"/>
      <c r="AJ181" s="233"/>
      <c r="AK181" s="233"/>
      <c r="AL181" s="233"/>
      <c r="AM181" s="233"/>
      <c r="AN181" s="233"/>
      <c r="AO181" s="233"/>
      <c r="AP181" s="233"/>
      <c r="AQ181" s="233"/>
      <c r="AR181" s="233"/>
      <c r="AS181" s="233"/>
      <c r="AT181" s="233"/>
      <c r="AU181" s="233"/>
      <c r="AV181" s="233"/>
      <c r="AW181" s="233"/>
      <c r="AX181" s="233"/>
      <c r="AY181" s="233"/>
      <c r="AZ181" s="233"/>
      <c r="BA181" s="233"/>
      <c r="BB181" s="233"/>
      <c r="BC181" s="233"/>
      <c r="BD181" s="233"/>
      <c r="BE181" s="233"/>
      <c r="BF181" s="233"/>
      <c r="BG181" s="233"/>
      <c r="BH181" s="58"/>
      <c r="BI181" s="58"/>
      <c r="BJ181" s="58"/>
      <c r="BK181" s="58"/>
      <c r="BL181" s="58"/>
      <c r="BM181" s="58"/>
      <c r="BN181" s="58"/>
    </row>
    <row r="182" spans="2:74" s="139" customFormat="1" ht="18.75" customHeight="1">
      <c r="B182" s="57"/>
      <c r="C182" s="233"/>
      <c r="D182" s="233" t="s">
        <v>494</v>
      </c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33"/>
      <c r="AJ182" s="233"/>
      <c r="AK182" s="233"/>
      <c r="AL182" s="233"/>
      <c r="AM182" s="233"/>
      <c r="AN182" s="233"/>
      <c r="AO182" s="233"/>
      <c r="AP182" s="233"/>
      <c r="AQ182" s="233"/>
      <c r="AR182" s="233"/>
      <c r="AS182" s="233"/>
      <c r="AT182" s="233"/>
      <c r="AU182" s="233"/>
      <c r="AV182" s="233"/>
      <c r="AW182" s="233"/>
      <c r="AX182" s="233"/>
      <c r="AY182" s="233"/>
      <c r="AZ182" s="233"/>
      <c r="BA182" s="233"/>
      <c r="BB182" s="233"/>
      <c r="BC182" s="233"/>
      <c r="BD182" s="233"/>
      <c r="BE182" s="233"/>
      <c r="BF182" s="233"/>
      <c r="BG182" s="233"/>
      <c r="BH182" s="58"/>
      <c r="BI182" s="58"/>
      <c r="BJ182" s="58"/>
      <c r="BK182" s="58"/>
      <c r="BL182" s="58"/>
      <c r="BM182" s="58"/>
      <c r="BN182" s="58"/>
    </row>
    <row r="183" spans="2:74" s="139" customFormat="1" ht="18.75" customHeight="1">
      <c r="B183" s="230"/>
      <c r="C183" s="236" t="s">
        <v>495</v>
      </c>
      <c r="D183" s="230"/>
      <c r="E183" s="230"/>
      <c r="F183" s="230"/>
      <c r="G183" s="230"/>
      <c r="H183" s="503">
        <f>H83</f>
        <v>0.1</v>
      </c>
      <c r="I183" s="503"/>
      <c r="J183" s="503"/>
      <c r="K183" s="503"/>
      <c r="L183" s="503"/>
      <c r="M183" s="503"/>
      <c r="N183" s="503"/>
      <c r="O183" s="503"/>
      <c r="P183" s="229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33"/>
      <c r="AJ183" s="233"/>
      <c r="AK183" s="233"/>
      <c r="AL183" s="233"/>
      <c r="AM183" s="233"/>
      <c r="AN183" s="233"/>
      <c r="AO183" s="233"/>
      <c r="AP183" s="233"/>
      <c r="AQ183" s="233"/>
      <c r="AR183" s="233"/>
      <c r="AS183" s="233"/>
      <c r="AT183" s="233"/>
      <c r="AU183" s="233"/>
      <c r="AV183" s="233"/>
      <c r="AW183" s="233"/>
      <c r="AX183" s="233"/>
      <c r="AY183" s="233"/>
      <c r="AZ183" s="233"/>
      <c r="BA183" s="233"/>
      <c r="BB183" s="233"/>
      <c r="BC183" s="233"/>
      <c r="BD183" s="233"/>
      <c r="BE183" s="233"/>
      <c r="BF183" s="233"/>
      <c r="BG183" s="233"/>
      <c r="BH183" s="58"/>
      <c r="BI183" s="58"/>
      <c r="BJ183" s="58"/>
      <c r="BK183" s="58"/>
      <c r="BL183" s="58"/>
      <c r="BM183" s="58"/>
    </row>
    <row r="184" spans="2:74" s="139" customFormat="1" ht="18.75" customHeight="1">
      <c r="B184" s="230"/>
      <c r="C184" s="406" t="s">
        <v>496</v>
      </c>
      <c r="D184" s="406"/>
      <c r="E184" s="406"/>
      <c r="F184" s="406"/>
      <c r="G184" s="406"/>
      <c r="H184" s="406"/>
      <c r="I184" s="406"/>
      <c r="J184" s="485" t="s">
        <v>497</v>
      </c>
      <c r="K184" s="485"/>
      <c r="L184" s="485"/>
      <c r="M184" s="471" t="s">
        <v>438</v>
      </c>
      <c r="N184" s="468">
        <f>Calcu!H59</f>
        <v>1</v>
      </c>
      <c r="O184" s="468"/>
      <c r="P184" s="232" t="s">
        <v>498</v>
      </c>
      <c r="Q184" s="218"/>
      <c r="R184" s="471" t="s">
        <v>401</v>
      </c>
      <c r="S184" s="415">
        <f>N184/SQRT(3)</f>
        <v>0.57735026918962584</v>
      </c>
      <c r="T184" s="415"/>
      <c r="U184" s="415"/>
      <c r="V184" s="411" t="str">
        <f>P184</f>
        <v>℃</v>
      </c>
      <c r="W184" s="411"/>
      <c r="X184" s="229"/>
      <c r="Y184" s="145"/>
      <c r="Z184" s="146"/>
      <c r="AA184" s="146"/>
      <c r="AZ184" s="233"/>
      <c r="BA184" s="233"/>
      <c r="BB184" s="233"/>
      <c r="BC184" s="233"/>
      <c r="BD184" s="233"/>
      <c r="BE184" s="233"/>
      <c r="BF184" s="233"/>
      <c r="BG184" s="233"/>
      <c r="BH184" s="233"/>
      <c r="BI184" s="233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</row>
    <row r="185" spans="2:74" s="139" customFormat="1" ht="18.75" customHeight="1">
      <c r="B185" s="230"/>
      <c r="C185" s="406"/>
      <c r="D185" s="406"/>
      <c r="E185" s="406"/>
      <c r="F185" s="406"/>
      <c r="G185" s="406"/>
      <c r="H185" s="406"/>
      <c r="I185" s="406"/>
      <c r="J185" s="485"/>
      <c r="K185" s="485"/>
      <c r="L185" s="485"/>
      <c r="M185" s="471"/>
      <c r="N185" s="230"/>
      <c r="O185" s="230"/>
      <c r="P185" s="230"/>
      <c r="Q185" s="230"/>
      <c r="R185" s="471"/>
      <c r="S185" s="415"/>
      <c r="T185" s="415"/>
      <c r="U185" s="415"/>
      <c r="V185" s="411"/>
      <c r="W185" s="411"/>
      <c r="X185" s="229"/>
      <c r="Y185" s="145"/>
      <c r="Z185" s="146"/>
      <c r="AA185" s="146"/>
      <c r="AZ185" s="233"/>
      <c r="BA185" s="233"/>
      <c r="BB185" s="233"/>
      <c r="BC185" s="233"/>
      <c r="BD185" s="233"/>
      <c r="BE185" s="233"/>
      <c r="BF185" s="233"/>
      <c r="BG185" s="233"/>
      <c r="BH185" s="233"/>
      <c r="BI185" s="233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</row>
    <row r="186" spans="2:74" s="139" customFormat="1" ht="18.75" customHeight="1">
      <c r="B186" s="230"/>
      <c r="C186" s="233" t="s">
        <v>499</v>
      </c>
      <c r="D186" s="233"/>
      <c r="E186" s="233"/>
      <c r="F186" s="233"/>
      <c r="G186" s="233"/>
      <c r="H186" s="233"/>
      <c r="I186" s="417" t="str">
        <f>AB83</f>
        <v>직사각형</v>
      </c>
      <c r="J186" s="417"/>
      <c r="K186" s="417"/>
      <c r="L186" s="417"/>
      <c r="M186" s="417"/>
      <c r="N186" s="417"/>
      <c r="O186" s="417"/>
      <c r="P186" s="417"/>
      <c r="Q186" s="233"/>
      <c r="R186" s="233"/>
      <c r="S186" s="233"/>
      <c r="T186" s="233"/>
      <c r="U186" s="233"/>
      <c r="V186" s="233"/>
      <c r="W186" s="233"/>
      <c r="X186" s="233"/>
      <c r="Y186" s="233"/>
      <c r="Z186" s="230"/>
      <c r="AA186" s="230"/>
      <c r="AB186" s="230"/>
      <c r="AC186" s="230"/>
      <c r="AD186" s="230"/>
      <c r="AE186" s="230"/>
      <c r="AF186" s="230"/>
      <c r="AG186" s="230"/>
      <c r="AH186" s="233"/>
      <c r="AI186" s="233"/>
      <c r="AJ186" s="233"/>
      <c r="AK186" s="233"/>
      <c r="AL186" s="233"/>
      <c r="AM186" s="233"/>
      <c r="AN186" s="233"/>
      <c r="AO186" s="233"/>
      <c r="AP186" s="233"/>
      <c r="AQ186" s="233"/>
      <c r="AR186" s="233"/>
      <c r="AS186" s="233"/>
      <c r="AT186" s="233"/>
      <c r="AU186" s="233"/>
      <c r="AV186" s="233"/>
      <c r="AW186" s="233"/>
      <c r="AX186" s="233"/>
      <c r="AY186" s="233"/>
      <c r="AZ186" s="233"/>
      <c r="BA186" s="233"/>
      <c r="BB186" s="233"/>
      <c r="BC186" s="233"/>
      <c r="BD186" s="233"/>
      <c r="BE186" s="233"/>
      <c r="BF186" s="230"/>
      <c r="BG186" s="233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</row>
    <row r="187" spans="2:74" s="139" customFormat="1" ht="18.75" customHeight="1">
      <c r="B187" s="230"/>
      <c r="C187" s="406" t="s">
        <v>500</v>
      </c>
      <c r="D187" s="406"/>
      <c r="E187" s="406"/>
      <c r="F187" s="406"/>
      <c r="G187" s="406"/>
      <c r="H187" s="406"/>
      <c r="I187" s="233"/>
      <c r="J187" s="233"/>
      <c r="K187" s="233"/>
      <c r="L187" s="233"/>
      <c r="M187" s="233"/>
      <c r="N187" s="233"/>
      <c r="O187" s="230"/>
      <c r="S187" s="500" t="e">
        <f ca="1">-H82*10^6</f>
        <v>#N/A</v>
      </c>
      <c r="T187" s="500"/>
      <c r="U187" s="500"/>
      <c r="V187" s="406" t="s">
        <v>469</v>
      </c>
      <c r="W187" s="406"/>
      <c r="X187" s="406"/>
      <c r="Y187" s="406"/>
      <c r="Z187" s="406"/>
      <c r="AA187" s="406"/>
      <c r="AB187" s="406"/>
      <c r="AC187" s="406"/>
      <c r="AD187" s="471" t="s">
        <v>157</v>
      </c>
      <c r="AE187" s="412" t="e">
        <f ca="1">S187*10^-6*1000</f>
        <v>#N/A</v>
      </c>
      <c r="AF187" s="412"/>
      <c r="AG187" s="412"/>
      <c r="AH187" s="412"/>
      <c r="AI187" s="406" t="s">
        <v>501</v>
      </c>
      <c r="AJ187" s="406"/>
      <c r="AK187" s="406"/>
      <c r="AL187" s="406"/>
      <c r="AM187" s="406"/>
      <c r="AN187" s="406"/>
      <c r="AO187" s="406"/>
      <c r="AP187" s="233"/>
      <c r="AQ187" s="233"/>
      <c r="AR187" s="233"/>
      <c r="AS187" s="233"/>
      <c r="AT187" s="233"/>
      <c r="AU187" s="233"/>
      <c r="AV187" s="233"/>
      <c r="AW187" s="233"/>
      <c r="AX187" s="233"/>
      <c r="AY187" s="233"/>
      <c r="AZ187" s="233"/>
      <c r="BA187" s="233"/>
      <c r="BB187" s="233"/>
      <c r="BC187" s="233"/>
      <c r="BD187" s="233"/>
      <c r="BE187" s="233"/>
      <c r="BF187" s="233"/>
      <c r="BG187" s="233"/>
      <c r="BH187" s="58"/>
      <c r="BI187" s="58"/>
      <c r="BJ187" s="58"/>
      <c r="BK187" s="58"/>
      <c r="BL187" s="58"/>
      <c r="BM187" s="58"/>
    </row>
    <row r="188" spans="2:74" s="139" customFormat="1" ht="18.75" customHeight="1">
      <c r="B188" s="230"/>
      <c r="C188" s="406"/>
      <c r="D188" s="406"/>
      <c r="E188" s="406"/>
      <c r="F188" s="406"/>
      <c r="G188" s="406"/>
      <c r="H188" s="406"/>
      <c r="I188" s="233"/>
      <c r="J188" s="233"/>
      <c r="K188" s="233"/>
      <c r="L188" s="233"/>
      <c r="M188" s="233"/>
      <c r="N188" s="233"/>
      <c r="O188" s="233"/>
      <c r="S188" s="500"/>
      <c r="T188" s="500"/>
      <c r="U188" s="500"/>
      <c r="V188" s="406"/>
      <c r="W188" s="406"/>
      <c r="X188" s="406"/>
      <c r="Y188" s="406"/>
      <c r="Z188" s="406"/>
      <c r="AA188" s="406"/>
      <c r="AB188" s="406"/>
      <c r="AC188" s="406"/>
      <c r="AD188" s="471"/>
      <c r="AE188" s="412"/>
      <c r="AF188" s="412"/>
      <c r="AG188" s="412"/>
      <c r="AH188" s="412"/>
      <c r="AI188" s="406"/>
      <c r="AJ188" s="406"/>
      <c r="AK188" s="406"/>
      <c r="AL188" s="406"/>
      <c r="AM188" s="406"/>
      <c r="AN188" s="406"/>
      <c r="AO188" s="406"/>
      <c r="AP188" s="233"/>
      <c r="AQ188" s="233"/>
      <c r="AR188" s="233"/>
      <c r="AS188" s="233"/>
      <c r="AT188" s="233"/>
      <c r="AU188" s="233"/>
      <c r="AV188" s="233"/>
      <c r="AW188" s="233"/>
      <c r="AX188" s="233"/>
      <c r="AY188" s="233"/>
      <c r="AZ188" s="233"/>
      <c r="BA188" s="233"/>
      <c r="BB188" s="233"/>
      <c r="BC188" s="233"/>
      <c r="BD188" s="233"/>
      <c r="BE188" s="233"/>
      <c r="BF188" s="233"/>
      <c r="BG188" s="233"/>
      <c r="BH188" s="58"/>
      <c r="BI188" s="58"/>
      <c r="BJ188" s="58"/>
      <c r="BK188" s="58"/>
      <c r="BL188" s="58"/>
      <c r="BM188" s="58"/>
    </row>
    <row r="189" spans="2:74" s="139" customFormat="1" ht="18.75" customHeight="1">
      <c r="B189" s="230"/>
      <c r="C189" s="233" t="s">
        <v>502</v>
      </c>
      <c r="D189" s="233"/>
      <c r="E189" s="233"/>
      <c r="F189" s="233"/>
      <c r="G189" s="233"/>
      <c r="H189" s="233"/>
      <c r="I189" s="233"/>
      <c r="J189" s="230"/>
      <c r="K189" s="240" t="s">
        <v>455</v>
      </c>
      <c r="L189" s="412" t="e">
        <f ca="1">AE187</f>
        <v>#N/A</v>
      </c>
      <c r="M189" s="412"/>
      <c r="N189" s="412"/>
      <c r="O189" s="406" t="s">
        <v>503</v>
      </c>
      <c r="P189" s="406"/>
      <c r="Q189" s="406"/>
      <c r="R189" s="406"/>
      <c r="S189" s="406"/>
      <c r="T189" s="504">
        <f>S184</f>
        <v>0.57735026918962584</v>
      </c>
      <c r="U189" s="504"/>
      <c r="V189" s="504"/>
      <c r="W189" s="504"/>
      <c r="X189" s="230" t="s">
        <v>475</v>
      </c>
      <c r="Y189" s="230" t="s">
        <v>157</v>
      </c>
      <c r="Z189" s="502" t="e">
        <f ca="1">ABS(L189*T189)</f>
        <v>#N/A</v>
      </c>
      <c r="AA189" s="502"/>
      <c r="AB189" s="502"/>
      <c r="AC189" s="505"/>
      <c r="AD189" s="233" t="s">
        <v>374</v>
      </c>
      <c r="AE189" s="236"/>
      <c r="AF189" s="230"/>
      <c r="AG189" s="230"/>
      <c r="AH189" s="230"/>
      <c r="AI189" s="230"/>
      <c r="AJ189" s="230"/>
      <c r="AK189" s="230"/>
      <c r="AL189" s="230"/>
      <c r="AM189" s="230"/>
      <c r="AN189" s="230"/>
      <c r="AO189" s="230"/>
      <c r="AQ189" s="233"/>
      <c r="AR189" s="233"/>
      <c r="AS189" s="233"/>
      <c r="AT189" s="233"/>
      <c r="AU189" s="233"/>
      <c r="AV189" s="233"/>
      <c r="AW189" s="233"/>
      <c r="AX189" s="233"/>
      <c r="AY189" s="233"/>
      <c r="AZ189" s="233"/>
      <c r="BA189" s="233"/>
      <c r="BB189" s="233"/>
      <c r="BC189" s="233"/>
      <c r="BD189" s="233"/>
      <c r="BE189" s="233"/>
      <c r="BF189" s="233"/>
      <c r="BG189" s="233"/>
      <c r="BH189" s="58"/>
      <c r="BI189" s="58"/>
      <c r="BJ189" s="58"/>
      <c r="BK189" s="58"/>
    </row>
    <row r="190" spans="2:74" s="139" customFormat="1" ht="18.75" customHeight="1">
      <c r="B190" s="230"/>
      <c r="C190" s="406" t="s">
        <v>504</v>
      </c>
      <c r="D190" s="406"/>
      <c r="E190" s="406"/>
      <c r="F190" s="406"/>
      <c r="G190" s="406"/>
      <c r="H190" s="233"/>
      <c r="J190" s="233"/>
      <c r="K190" s="233"/>
      <c r="L190" s="233"/>
      <c r="M190" s="233"/>
      <c r="N190" s="233"/>
      <c r="O190" s="233"/>
      <c r="P190" s="233"/>
      <c r="Q190" s="233"/>
      <c r="R190" s="142"/>
      <c r="S190" s="233"/>
      <c r="T190" s="233"/>
      <c r="U190" s="233"/>
      <c r="W190" s="240" t="s">
        <v>505</v>
      </c>
      <c r="X190" s="233"/>
      <c r="Y190" s="233"/>
      <c r="Z190" s="233"/>
      <c r="AA190" s="233"/>
      <c r="AB190" s="233"/>
      <c r="AC190" s="233"/>
      <c r="AD190" s="233"/>
      <c r="AE190" s="230"/>
      <c r="AF190" s="230"/>
      <c r="AG190" s="230"/>
      <c r="AH190" s="230"/>
      <c r="AI190" s="230"/>
      <c r="AJ190" s="230"/>
      <c r="AK190" s="230"/>
      <c r="AL190" s="230"/>
      <c r="AM190" s="230"/>
      <c r="AN190" s="230"/>
      <c r="AO190" s="230"/>
      <c r="AP190" s="230"/>
      <c r="AQ190" s="230"/>
      <c r="AR190" s="230"/>
      <c r="AS190" s="230"/>
      <c r="AT190" s="230"/>
      <c r="AU190" s="230"/>
      <c r="AV190" s="230"/>
      <c r="AW190" s="230"/>
      <c r="AX190" s="230"/>
      <c r="AY190" s="230"/>
      <c r="AZ190" s="230"/>
      <c r="BA190" s="230"/>
      <c r="BB190" s="230"/>
      <c r="BC190" s="230"/>
      <c r="BD190" s="230"/>
      <c r="BE190" s="230"/>
      <c r="BF190" s="230"/>
      <c r="BG190" s="230"/>
      <c r="BH190" s="58"/>
      <c r="BI190" s="58"/>
      <c r="BJ190" s="58"/>
      <c r="BK190" s="58"/>
      <c r="BP190" s="58"/>
      <c r="BS190" s="58"/>
      <c r="BT190" s="58"/>
      <c r="BU190" s="58"/>
    </row>
    <row r="191" spans="2:74" s="139" customFormat="1" ht="18.75" customHeight="1">
      <c r="B191" s="230"/>
      <c r="C191" s="406"/>
      <c r="D191" s="406"/>
      <c r="E191" s="406"/>
      <c r="F191" s="406"/>
      <c r="G191" s="406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142"/>
      <c r="S191" s="233"/>
      <c r="T191" s="233"/>
      <c r="U191" s="233"/>
      <c r="V191" s="233"/>
      <c r="W191" s="233"/>
      <c r="X191" s="233"/>
      <c r="Y191" s="233"/>
      <c r="Z191" s="233"/>
      <c r="AA191" s="233"/>
      <c r="AB191" s="233"/>
      <c r="AC191" s="230"/>
      <c r="AD191" s="230"/>
      <c r="AE191" s="230"/>
      <c r="AF191" s="230"/>
      <c r="AG191" s="230"/>
      <c r="AH191" s="230"/>
      <c r="AI191" s="230"/>
      <c r="AJ191" s="230"/>
      <c r="AK191" s="230"/>
      <c r="AL191" s="230"/>
      <c r="AM191" s="230"/>
      <c r="AN191" s="230"/>
      <c r="AO191" s="230"/>
      <c r="AP191" s="230"/>
      <c r="AQ191" s="230"/>
      <c r="AR191" s="230"/>
      <c r="AS191" s="230"/>
      <c r="AT191" s="230"/>
      <c r="AU191" s="230"/>
      <c r="AV191" s="230"/>
      <c r="AW191" s="230"/>
      <c r="AX191" s="230"/>
      <c r="AY191" s="230"/>
      <c r="AZ191" s="230"/>
      <c r="BA191" s="230"/>
      <c r="BB191" s="230"/>
      <c r="BC191" s="230"/>
      <c r="BD191" s="230"/>
      <c r="BE191" s="230"/>
      <c r="BF191" s="230"/>
      <c r="BG191" s="230"/>
      <c r="BH191" s="58"/>
      <c r="BI191" s="58"/>
      <c r="BJ191" s="58"/>
      <c r="BK191" s="58"/>
      <c r="BP191" s="58"/>
      <c r="BS191" s="58"/>
      <c r="BT191" s="58"/>
      <c r="BU191" s="58"/>
    </row>
    <row r="192" spans="2:74" s="139" customFormat="1" ht="18.75" customHeight="1">
      <c r="B192" s="230"/>
      <c r="C192" s="233"/>
      <c r="D192" s="233"/>
      <c r="E192" s="233"/>
      <c r="F192" s="233"/>
      <c r="G192" s="230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0"/>
      <c r="Y192" s="230"/>
      <c r="Z192" s="230"/>
      <c r="AA192" s="230"/>
      <c r="AB192" s="230"/>
      <c r="AC192" s="230"/>
      <c r="AD192" s="230"/>
      <c r="AE192" s="230"/>
      <c r="AF192" s="230"/>
      <c r="AG192" s="230"/>
      <c r="AH192" s="230"/>
      <c r="AI192" s="230"/>
      <c r="AJ192" s="230"/>
      <c r="AK192" s="230"/>
      <c r="AL192" s="230"/>
      <c r="AM192" s="230"/>
      <c r="AN192" s="230"/>
      <c r="AO192" s="230"/>
      <c r="AP192" s="230"/>
      <c r="AQ192" s="230"/>
      <c r="AR192" s="230"/>
      <c r="AS192" s="230"/>
      <c r="AT192" s="230"/>
      <c r="AU192" s="230"/>
      <c r="AV192" s="230"/>
      <c r="AW192" s="230"/>
      <c r="AX192" s="230"/>
      <c r="AY192" s="230"/>
      <c r="AZ192" s="230"/>
      <c r="BA192" s="230"/>
      <c r="BB192" s="230"/>
      <c r="BC192" s="230"/>
      <c r="BD192" s="230"/>
      <c r="BE192" s="230"/>
      <c r="BF192" s="230"/>
      <c r="BG192" s="230"/>
    </row>
    <row r="193" spans="2:60" s="139" customFormat="1" ht="18.75" customHeight="1">
      <c r="B193" s="57" t="str">
        <f>"7. "&amp;N5&amp;"의 분해능에 의한 표준불확도,"</f>
        <v>7. 높이 게이지/측정기의 분해능에 의한 표준불확도,</v>
      </c>
      <c r="D193" s="233"/>
      <c r="E193" s="233"/>
      <c r="F193" s="233"/>
      <c r="G193" s="230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V193" s="233"/>
      <c r="W193" s="215" t="s">
        <v>585</v>
      </c>
      <c r="X193" s="233"/>
      <c r="Y193" s="233"/>
      <c r="Z193" s="233"/>
      <c r="AA193" s="233"/>
      <c r="AB193" s="233"/>
      <c r="AC193" s="233"/>
      <c r="AD193" s="233"/>
      <c r="AE193" s="230"/>
      <c r="AF193" s="233"/>
      <c r="AG193" s="230"/>
      <c r="AH193" s="230"/>
      <c r="AI193" s="230"/>
      <c r="AJ193" s="230"/>
      <c r="AK193" s="230"/>
      <c r="AL193" s="230"/>
      <c r="AM193" s="230"/>
      <c r="AN193" s="230"/>
      <c r="AO193" s="230"/>
      <c r="AP193" s="230"/>
      <c r="AQ193" s="230"/>
      <c r="AR193" s="230"/>
      <c r="AS193" s="230"/>
      <c r="AT193" s="230"/>
      <c r="AU193" s="230"/>
      <c r="AV193" s="230"/>
      <c r="AW193" s="230"/>
      <c r="AX193" s="230"/>
      <c r="AY193" s="230"/>
      <c r="AZ193" s="230"/>
      <c r="BA193" s="230"/>
      <c r="BB193" s="230"/>
      <c r="BC193" s="230"/>
      <c r="BD193" s="230"/>
      <c r="BE193" s="230"/>
      <c r="BF193" s="230"/>
      <c r="BG193" s="230"/>
    </row>
    <row r="194" spans="2:60" s="139" customFormat="1" ht="18.75" customHeight="1">
      <c r="B194" s="57"/>
      <c r="C194" s="280" t="str">
        <f>"※ 교정에 사용된 "&amp;Z5&amp;" 분해능의 반범위에 직사각형 확률분포를 적용하여 계산한다."</f>
        <v>※ 교정에 사용된 높이 게이지/측정기 분해능의 반범위에 직사각형 확률분포를 적용하여 계산한다.</v>
      </c>
      <c r="D194" s="233"/>
      <c r="E194" s="233"/>
      <c r="F194" s="233"/>
      <c r="G194" s="230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15"/>
      <c r="V194" s="233"/>
      <c r="W194" s="233"/>
      <c r="X194" s="233"/>
      <c r="Y194" s="233"/>
      <c r="Z194" s="233"/>
      <c r="AA194" s="233"/>
      <c r="AB194" s="233"/>
      <c r="AC194" s="233"/>
      <c r="AD194" s="233"/>
      <c r="AE194" s="230"/>
      <c r="AF194" s="233"/>
      <c r="AG194" s="230"/>
      <c r="AH194" s="230"/>
      <c r="AI194" s="230"/>
      <c r="AJ194" s="230"/>
      <c r="AK194" s="230"/>
      <c r="AL194" s="230"/>
      <c r="AM194" s="230"/>
      <c r="AN194" s="230"/>
      <c r="AO194" s="230"/>
      <c r="AP194" s="230"/>
      <c r="AQ194" s="230"/>
      <c r="AR194" s="230"/>
      <c r="AS194" s="230"/>
      <c r="AT194" s="230"/>
      <c r="AU194" s="230"/>
      <c r="AV194" s="230"/>
      <c r="AW194" s="230"/>
      <c r="AX194" s="230"/>
      <c r="AY194" s="230"/>
      <c r="AZ194" s="230"/>
      <c r="BA194" s="230"/>
      <c r="BB194" s="230"/>
      <c r="BC194" s="230"/>
      <c r="BD194" s="230"/>
      <c r="BE194" s="230"/>
      <c r="BF194" s="230"/>
      <c r="BG194" s="230"/>
    </row>
    <row r="195" spans="2:60" s="139" customFormat="1" ht="18.75" customHeight="1">
      <c r="B195" s="230"/>
      <c r="C195" s="236" t="s">
        <v>506</v>
      </c>
      <c r="D195" s="230"/>
      <c r="E195" s="230"/>
      <c r="F195" s="230"/>
      <c r="G195" s="230"/>
      <c r="H195" s="459">
        <v>0</v>
      </c>
      <c r="I195" s="459"/>
      <c r="J195" s="459"/>
      <c r="K195" s="459"/>
      <c r="L195" s="459"/>
      <c r="M195" s="459"/>
      <c r="N195" s="459"/>
      <c r="O195" s="459"/>
      <c r="P195" s="229"/>
      <c r="Q195" s="233"/>
      <c r="R195" s="233"/>
      <c r="S195" s="233"/>
      <c r="T195" s="233"/>
      <c r="U195" s="233"/>
      <c r="V195" s="233"/>
      <c r="W195" s="233"/>
      <c r="AC195" s="233"/>
      <c r="AD195" s="233"/>
      <c r="AE195" s="233"/>
      <c r="AF195" s="233"/>
      <c r="AG195" s="233"/>
      <c r="AH195" s="233"/>
      <c r="AI195" s="230"/>
      <c r="AJ195" s="230"/>
      <c r="AK195" s="230"/>
      <c r="AL195" s="230"/>
      <c r="AM195" s="230"/>
      <c r="AN195" s="230"/>
      <c r="AO195" s="230"/>
      <c r="AP195" s="230"/>
      <c r="AQ195" s="230"/>
      <c r="AR195" s="230"/>
      <c r="AS195" s="233"/>
      <c r="AT195" s="233"/>
      <c r="AU195" s="233"/>
      <c r="AV195" s="233"/>
      <c r="AW195" s="233"/>
      <c r="AX195" s="233"/>
      <c r="AY195" s="230"/>
      <c r="AZ195" s="230"/>
      <c r="BA195" s="230"/>
      <c r="BB195" s="230"/>
      <c r="BC195" s="230"/>
      <c r="BD195" s="230"/>
      <c r="BE195" s="230"/>
      <c r="BF195" s="230"/>
      <c r="BG195" s="230"/>
    </row>
    <row r="196" spans="2:60" s="139" customFormat="1" ht="18.75" customHeight="1">
      <c r="B196" s="230"/>
      <c r="C196" s="233" t="s">
        <v>507</v>
      </c>
      <c r="D196" s="233"/>
      <c r="E196" s="233"/>
      <c r="F196" s="233"/>
      <c r="G196" s="233"/>
      <c r="H196" s="233"/>
      <c r="I196" s="230"/>
      <c r="J196" s="61" t="s">
        <v>508</v>
      </c>
      <c r="K196" s="233"/>
      <c r="L196" s="233"/>
      <c r="M196" s="233"/>
      <c r="N196" s="233"/>
      <c r="O196" s="233"/>
      <c r="P196" s="411">
        <f>T197/1000</f>
        <v>0</v>
      </c>
      <c r="Q196" s="411"/>
      <c r="R196" s="411"/>
      <c r="S196" s="229" t="s">
        <v>337</v>
      </c>
      <c r="T196" s="229"/>
      <c r="U196" s="233"/>
      <c r="V196" s="230"/>
      <c r="W196" s="230"/>
      <c r="X196" s="143"/>
      <c r="AD196" s="233"/>
      <c r="AE196" s="233"/>
      <c r="AF196" s="230"/>
      <c r="AG196" s="230"/>
      <c r="AH196" s="230"/>
      <c r="AI196" s="230"/>
      <c r="AJ196" s="230"/>
      <c r="AK196" s="230"/>
      <c r="AL196" s="230"/>
      <c r="AM196" s="230"/>
      <c r="AN196" s="233"/>
      <c r="AO196" s="233"/>
      <c r="AP196" s="233"/>
      <c r="AQ196" s="233"/>
      <c r="AR196" s="233"/>
      <c r="AS196" s="233"/>
      <c r="AT196" s="233"/>
      <c r="AU196" s="233"/>
      <c r="AV196" s="233"/>
      <c r="AW196" s="233"/>
      <c r="AX196" s="233"/>
      <c r="AY196" s="230"/>
      <c r="AZ196" s="230"/>
      <c r="BA196" s="230"/>
      <c r="BB196" s="230"/>
      <c r="BC196" s="230"/>
      <c r="BD196" s="230"/>
      <c r="BE196" s="230"/>
      <c r="BF196" s="230"/>
      <c r="BG196" s="230"/>
    </row>
    <row r="197" spans="2:60" s="139" customFormat="1" ht="18.75" customHeight="1">
      <c r="B197" s="230"/>
      <c r="C197" s="233"/>
      <c r="D197" s="233"/>
      <c r="E197" s="233"/>
      <c r="F197" s="233"/>
      <c r="G197" s="233"/>
      <c r="H197" s="233"/>
      <c r="I197" s="233"/>
      <c r="K197" s="507" t="s">
        <v>509</v>
      </c>
      <c r="L197" s="507"/>
      <c r="M197" s="507"/>
      <c r="N197" s="471" t="s">
        <v>157</v>
      </c>
      <c r="O197" s="508" t="s">
        <v>510</v>
      </c>
      <c r="P197" s="509"/>
      <c r="Q197" s="509"/>
      <c r="R197" s="509"/>
      <c r="S197" s="471" t="s">
        <v>157</v>
      </c>
      <c r="T197" s="468">
        <f>Calcu!H60</f>
        <v>0</v>
      </c>
      <c r="U197" s="468"/>
      <c r="V197" s="232" t="s">
        <v>156</v>
      </c>
      <c r="W197" s="232"/>
      <c r="X197" s="510" t="s">
        <v>401</v>
      </c>
      <c r="Y197" s="415">
        <f>T197/2/SQRT(3)</f>
        <v>0</v>
      </c>
      <c r="Z197" s="415"/>
      <c r="AA197" s="415"/>
      <c r="AB197" s="411" t="str">
        <f>V197</f>
        <v>μm</v>
      </c>
      <c r="AC197" s="411"/>
      <c r="AD197" s="233"/>
      <c r="AE197" s="230"/>
      <c r="AF197" s="230"/>
      <c r="AG197" s="230"/>
      <c r="AH197" s="230"/>
      <c r="AI197" s="230"/>
      <c r="AJ197" s="230"/>
      <c r="AK197" s="230"/>
      <c r="AL197" s="230"/>
      <c r="AM197" s="230"/>
      <c r="AN197" s="230"/>
      <c r="AO197" s="230"/>
      <c r="AP197" s="230"/>
      <c r="AQ197" s="230"/>
      <c r="AR197" s="233"/>
      <c r="AS197" s="233"/>
      <c r="AT197" s="233"/>
      <c r="AU197" s="233"/>
      <c r="AV197" s="233"/>
      <c r="AW197" s="233"/>
      <c r="AX197" s="233"/>
      <c r="AY197" s="233"/>
      <c r="AZ197" s="230"/>
      <c r="BA197" s="230"/>
      <c r="BB197" s="230"/>
      <c r="BC197" s="230"/>
      <c r="BD197" s="230"/>
      <c r="BE197" s="230"/>
      <c r="BF197" s="230"/>
      <c r="BG197" s="230"/>
      <c r="BH197" s="230"/>
    </row>
    <row r="198" spans="2:60" s="139" customFormat="1" ht="18.75" customHeight="1">
      <c r="B198" s="230"/>
      <c r="C198" s="233"/>
      <c r="D198" s="233"/>
      <c r="E198" s="233"/>
      <c r="F198" s="233"/>
      <c r="G198" s="233"/>
      <c r="H198" s="233"/>
      <c r="I198" s="233"/>
      <c r="J198" s="219"/>
      <c r="K198" s="507"/>
      <c r="L198" s="507"/>
      <c r="M198" s="507"/>
      <c r="N198" s="471"/>
      <c r="O198" s="511"/>
      <c r="P198" s="511"/>
      <c r="Q198" s="511"/>
      <c r="R198" s="511"/>
      <c r="S198" s="471"/>
      <c r="T198" s="511"/>
      <c r="U198" s="511"/>
      <c r="V198" s="511"/>
      <c r="W198" s="511"/>
      <c r="X198" s="510"/>
      <c r="Y198" s="415"/>
      <c r="Z198" s="415"/>
      <c r="AA198" s="415"/>
      <c r="AB198" s="411"/>
      <c r="AC198" s="411"/>
      <c r="AD198" s="233"/>
      <c r="AE198" s="230"/>
      <c r="AF198" s="230"/>
      <c r="AG198" s="230"/>
      <c r="AH198" s="230"/>
      <c r="AI198" s="230"/>
      <c r="AJ198" s="230"/>
      <c r="AK198" s="230"/>
      <c r="AL198" s="230"/>
      <c r="AM198" s="230"/>
      <c r="AN198" s="230"/>
      <c r="AO198" s="230"/>
      <c r="AP198" s="230"/>
      <c r="AQ198" s="230"/>
      <c r="AR198" s="233"/>
      <c r="AS198" s="233"/>
      <c r="AT198" s="233"/>
      <c r="AU198" s="233"/>
      <c r="AV198" s="233"/>
      <c r="AW198" s="233"/>
      <c r="AX198" s="233"/>
      <c r="AY198" s="233"/>
      <c r="AZ198" s="230"/>
      <c r="BA198" s="230"/>
      <c r="BB198" s="230"/>
      <c r="BC198" s="230"/>
      <c r="BD198" s="230"/>
      <c r="BE198" s="230"/>
      <c r="BF198" s="230"/>
      <c r="BG198" s="230"/>
      <c r="BH198" s="230"/>
    </row>
    <row r="199" spans="2:60" s="139" customFormat="1" ht="18.75" customHeight="1">
      <c r="B199" s="230"/>
      <c r="C199" s="233" t="s">
        <v>511</v>
      </c>
      <c r="D199" s="233"/>
      <c r="E199" s="233"/>
      <c r="F199" s="233"/>
      <c r="G199" s="233"/>
      <c r="H199" s="233"/>
      <c r="I199" s="417" t="str">
        <f>AB84</f>
        <v>직사각형</v>
      </c>
      <c r="J199" s="417"/>
      <c r="K199" s="417"/>
      <c r="L199" s="417"/>
      <c r="M199" s="417"/>
      <c r="N199" s="417"/>
      <c r="O199" s="417"/>
      <c r="P199" s="417"/>
      <c r="Q199" s="233"/>
      <c r="R199" s="233"/>
      <c r="S199" s="233"/>
      <c r="T199" s="233"/>
      <c r="U199" s="233"/>
      <c r="V199" s="233"/>
      <c r="W199" s="233"/>
      <c r="X199" s="233"/>
      <c r="Y199" s="233"/>
      <c r="Z199" s="230"/>
      <c r="AA199" s="230"/>
      <c r="AB199" s="230"/>
      <c r="AC199" s="230"/>
      <c r="AD199" s="230"/>
      <c r="AE199" s="230"/>
      <c r="AF199" s="230"/>
      <c r="AG199" s="230"/>
      <c r="AH199" s="233"/>
      <c r="AI199" s="233"/>
      <c r="AJ199" s="233"/>
      <c r="AK199" s="233"/>
      <c r="AL199" s="233"/>
      <c r="AM199" s="233"/>
      <c r="AN199" s="233"/>
      <c r="AO199" s="233"/>
      <c r="AP199" s="233"/>
      <c r="AQ199" s="233"/>
      <c r="AR199" s="233"/>
      <c r="AS199" s="233"/>
      <c r="AT199" s="233"/>
      <c r="AU199" s="233"/>
      <c r="AV199" s="233"/>
      <c r="AW199" s="233"/>
      <c r="AX199" s="233"/>
      <c r="AY199" s="230"/>
      <c r="AZ199" s="230"/>
      <c r="BA199" s="230"/>
      <c r="BB199" s="230"/>
      <c r="BC199" s="230"/>
      <c r="BD199" s="230"/>
      <c r="BE199" s="230"/>
      <c r="BF199" s="230"/>
      <c r="BG199" s="230"/>
    </row>
    <row r="200" spans="2:60" s="139" customFormat="1" ht="18.75" customHeight="1">
      <c r="B200" s="230"/>
      <c r="C200" s="406" t="s">
        <v>512</v>
      </c>
      <c r="D200" s="406"/>
      <c r="E200" s="406"/>
      <c r="F200" s="406"/>
      <c r="G200" s="406"/>
      <c r="H200" s="406"/>
      <c r="I200" s="233"/>
      <c r="J200" s="233"/>
      <c r="K200" s="233"/>
      <c r="L200" s="233"/>
      <c r="M200" s="233"/>
      <c r="N200" s="471">
        <f>AG84</f>
        <v>1</v>
      </c>
      <c r="O200" s="471"/>
      <c r="P200" s="147"/>
      <c r="Q200" s="147"/>
      <c r="R200" s="147"/>
      <c r="S200" s="233"/>
      <c r="T200" s="233"/>
      <c r="U200" s="233"/>
      <c r="V200" s="233"/>
      <c r="W200" s="233"/>
      <c r="X200" s="233"/>
      <c r="Y200" s="233"/>
      <c r="Z200" s="148"/>
      <c r="AA200" s="148"/>
      <c r="AB200" s="233"/>
      <c r="AC200" s="233"/>
      <c r="AD200" s="233"/>
      <c r="AE200" s="233"/>
      <c r="AF200" s="233"/>
      <c r="AG200" s="233"/>
      <c r="AH200" s="233"/>
      <c r="AI200" s="233"/>
      <c r="AJ200" s="233"/>
      <c r="AK200" s="233"/>
      <c r="AL200" s="230"/>
      <c r="AM200" s="230"/>
      <c r="AN200" s="230"/>
      <c r="AO200" s="233"/>
      <c r="AP200" s="233"/>
      <c r="AQ200" s="233"/>
      <c r="AR200" s="233"/>
      <c r="AS200" s="233"/>
      <c r="AT200" s="233"/>
      <c r="AU200" s="233"/>
      <c r="AV200" s="233"/>
      <c r="AW200" s="233"/>
      <c r="AX200" s="233"/>
      <c r="AY200" s="230"/>
      <c r="AZ200" s="230"/>
      <c r="BA200" s="230"/>
      <c r="BB200" s="230"/>
      <c r="BC200" s="230"/>
      <c r="BD200" s="230"/>
      <c r="BE200" s="230"/>
      <c r="BF200" s="230"/>
      <c r="BG200" s="230"/>
    </row>
    <row r="201" spans="2:60" s="139" customFormat="1" ht="18.75" customHeight="1">
      <c r="B201" s="230"/>
      <c r="C201" s="406"/>
      <c r="D201" s="406"/>
      <c r="E201" s="406"/>
      <c r="F201" s="406"/>
      <c r="G201" s="406"/>
      <c r="H201" s="406"/>
      <c r="I201" s="233"/>
      <c r="J201" s="233"/>
      <c r="K201" s="233"/>
      <c r="L201" s="233"/>
      <c r="M201" s="233"/>
      <c r="N201" s="471"/>
      <c r="O201" s="471"/>
      <c r="P201" s="147"/>
      <c r="Q201" s="147"/>
      <c r="R201" s="147"/>
      <c r="S201" s="233"/>
      <c r="T201" s="233"/>
      <c r="U201" s="233"/>
      <c r="V201" s="233"/>
      <c r="W201" s="233"/>
      <c r="X201" s="233"/>
      <c r="Y201" s="233"/>
      <c r="Z201" s="148"/>
      <c r="AA201" s="148"/>
      <c r="AB201" s="233"/>
      <c r="AC201" s="233"/>
      <c r="AD201" s="233"/>
      <c r="AE201" s="233"/>
      <c r="AF201" s="233"/>
      <c r="AG201" s="233"/>
      <c r="AH201" s="233"/>
      <c r="AI201" s="233"/>
      <c r="AJ201" s="233"/>
      <c r="AK201" s="233"/>
      <c r="AL201" s="230"/>
      <c r="AM201" s="230"/>
      <c r="AN201" s="230"/>
      <c r="AO201" s="233"/>
      <c r="AP201" s="233"/>
      <c r="AQ201" s="233"/>
      <c r="AR201" s="233"/>
      <c r="AS201" s="233"/>
      <c r="AT201" s="233"/>
      <c r="AU201" s="233"/>
      <c r="AV201" s="233"/>
      <c r="AW201" s="233"/>
      <c r="AX201" s="233"/>
      <c r="AY201" s="230"/>
      <c r="AZ201" s="230"/>
      <c r="BA201" s="230"/>
      <c r="BB201" s="230"/>
      <c r="BC201" s="230"/>
      <c r="BD201" s="230"/>
      <c r="BE201" s="230"/>
      <c r="BF201" s="230"/>
      <c r="BG201" s="230"/>
    </row>
    <row r="202" spans="2:60" s="139" customFormat="1" ht="18.75" customHeight="1">
      <c r="B202" s="230"/>
      <c r="C202" s="233" t="s">
        <v>513</v>
      </c>
      <c r="D202" s="233"/>
      <c r="E202" s="233"/>
      <c r="F202" s="233"/>
      <c r="G202" s="233"/>
      <c r="H202" s="233"/>
      <c r="I202" s="233"/>
      <c r="J202" s="230"/>
      <c r="K202" s="230" t="s">
        <v>455</v>
      </c>
      <c r="L202" s="471">
        <v>1</v>
      </c>
      <c r="M202" s="471"/>
      <c r="N202" s="230" t="s">
        <v>81</v>
      </c>
      <c r="O202" s="415">
        <f>Y197</f>
        <v>0</v>
      </c>
      <c r="P202" s="411"/>
      <c r="Q202" s="411"/>
      <c r="R202" s="416" t="str">
        <f>AB197</f>
        <v>μm</v>
      </c>
      <c r="S202" s="411"/>
      <c r="T202" s="238" t="s">
        <v>80</v>
      </c>
      <c r="U202" s="72" t="s">
        <v>157</v>
      </c>
      <c r="V202" s="415">
        <f>L202*O202</f>
        <v>0</v>
      </c>
      <c r="W202" s="415"/>
      <c r="X202" s="415"/>
      <c r="Y202" s="231" t="str">
        <f>R202</f>
        <v>μm</v>
      </c>
      <c r="Z202" s="56"/>
      <c r="AA202" s="229"/>
      <c r="AB202" s="149"/>
      <c r="AC202" s="142"/>
      <c r="AD202" s="230"/>
      <c r="AE202" s="233"/>
      <c r="AF202" s="230"/>
      <c r="AG202" s="230"/>
      <c r="AH202" s="230"/>
      <c r="AI202" s="230"/>
      <c r="AJ202" s="230"/>
      <c r="AK202" s="233"/>
      <c r="AL202" s="230"/>
      <c r="AM202" s="230"/>
      <c r="AN202" s="230"/>
      <c r="AO202" s="233"/>
      <c r="AP202" s="233"/>
      <c r="AQ202" s="233"/>
      <c r="AR202" s="233"/>
      <c r="AS202" s="233"/>
      <c r="AT202" s="233"/>
      <c r="AU202" s="233"/>
      <c r="AV202" s="233"/>
      <c r="AW202" s="233"/>
      <c r="AX202" s="233"/>
      <c r="AY202" s="230"/>
      <c r="AZ202" s="230"/>
      <c r="BA202" s="230"/>
      <c r="BB202" s="230"/>
      <c r="BC202" s="230"/>
      <c r="BD202" s="230"/>
      <c r="BE202" s="230"/>
      <c r="BF202" s="230"/>
      <c r="BG202" s="230"/>
    </row>
    <row r="203" spans="2:60" s="139" customFormat="1" ht="18.75" customHeight="1">
      <c r="B203" s="230"/>
      <c r="C203" s="406" t="s">
        <v>514</v>
      </c>
      <c r="D203" s="406"/>
      <c r="E203" s="406"/>
      <c r="F203" s="406"/>
      <c r="G203" s="406"/>
      <c r="H203" s="233"/>
      <c r="J203" s="233"/>
      <c r="K203" s="233"/>
      <c r="L203" s="233"/>
      <c r="M203" s="233"/>
      <c r="N203" s="233"/>
      <c r="O203" s="233"/>
      <c r="P203" s="233"/>
      <c r="Q203" s="233"/>
      <c r="R203" s="142"/>
      <c r="S203" s="233"/>
      <c r="T203" s="233"/>
      <c r="U203" s="233"/>
      <c r="W203" s="233"/>
      <c r="X203" s="240" t="s">
        <v>515</v>
      </c>
      <c r="Y203" s="233"/>
      <c r="Z203" s="233"/>
      <c r="AA203" s="233"/>
      <c r="AB203" s="233"/>
      <c r="AC203" s="233"/>
      <c r="AD203" s="233"/>
      <c r="AE203" s="230"/>
      <c r="AF203" s="230"/>
      <c r="AG203" s="230"/>
      <c r="AH203" s="230"/>
      <c r="AI203" s="230"/>
      <c r="AJ203" s="230"/>
      <c r="AK203" s="230"/>
      <c r="AL203" s="230"/>
      <c r="AM203" s="230"/>
      <c r="AN203" s="230"/>
      <c r="AO203" s="230"/>
      <c r="AP203" s="230"/>
      <c r="AQ203" s="230"/>
      <c r="AR203" s="230"/>
      <c r="AS203" s="230"/>
      <c r="AT203" s="230"/>
      <c r="AU203" s="230"/>
      <c r="AV203" s="230"/>
      <c r="AW203" s="230"/>
      <c r="AX203" s="230"/>
      <c r="AY203" s="230"/>
      <c r="AZ203" s="230"/>
      <c r="BA203" s="230"/>
      <c r="BB203" s="230"/>
      <c r="BC203" s="230"/>
      <c r="BD203" s="230"/>
      <c r="BE203" s="230"/>
      <c r="BF203" s="230"/>
      <c r="BG203" s="230"/>
    </row>
    <row r="204" spans="2:60" s="139" customFormat="1" ht="18.75" customHeight="1">
      <c r="B204" s="230"/>
      <c r="C204" s="406"/>
      <c r="D204" s="406"/>
      <c r="E204" s="406"/>
      <c r="F204" s="406"/>
      <c r="G204" s="406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142"/>
      <c r="S204" s="233"/>
      <c r="T204" s="233"/>
      <c r="U204" s="233"/>
      <c r="V204" s="233"/>
      <c r="W204" s="233"/>
      <c r="X204" s="233"/>
      <c r="Y204" s="233"/>
      <c r="Z204" s="233"/>
      <c r="AA204" s="233"/>
      <c r="AB204" s="233"/>
      <c r="AC204" s="233"/>
      <c r="AD204" s="233"/>
      <c r="AE204" s="230"/>
      <c r="AF204" s="230"/>
      <c r="AG204" s="230"/>
      <c r="AH204" s="230"/>
      <c r="AI204" s="230"/>
      <c r="AJ204" s="230"/>
      <c r="AK204" s="230"/>
      <c r="AL204" s="230"/>
      <c r="AM204" s="230"/>
      <c r="AN204" s="230"/>
      <c r="AO204" s="230"/>
      <c r="AP204" s="230"/>
      <c r="AQ204" s="230"/>
      <c r="AR204" s="230"/>
      <c r="AS204" s="230"/>
      <c r="AT204" s="230"/>
      <c r="AU204" s="230"/>
      <c r="AV204" s="230"/>
      <c r="AW204" s="230"/>
      <c r="AX204" s="230"/>
      <c r="AY204" s="230"/>
      <c r="AZ204" s="230"/>
      <c r="BA204" s="230"/>
      <c r="BB204" s="230"/>
      <c r="BC204" s="230"/>
      <c r="BD204" s="230"/>
      <c r="BE204" s="230"/>
      <c r="BF204" s="230"/>
      <c r="BG204" s="230"/>
    </row>
    <row r="205" spans="2:60" s="139" customFormat="1" ht="18.75" customHeight="1">
      <c r="B205" s="230"/>
      <c r="C205" s="57"/>
      <c r="D205" s="233"/>
      <c r="E205" s="233"/>
      <c r="F205" s="233"/>
      <c r="G205" s="230"/>
      <c r="H205" s="233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  <c r="Y205" s="233"/>
      <c r="Z205" s="233"/>
      <c r="AA205" s="233"/>
      <c r="AB205" s="233"/>
      <c r="AC205" s="233"/>
      <c r="AD205" s="233"/>
      <c r="AE205" s="230"/>
      <c r="AF205" s="233"/>
      <c r="AG205" s="230"/>
      <c r="AH205" s="230"/>
      <c r="AI205" s="230"/>
      <c r="AJ205" s="230"/>
      <c r="AK205" s="230"/>
      <c r="AL205" s="230"/>
      <c r="AM205" s="230"/>
      <c r="AN205" s="230"/>
      <c r="AO205" s="230"/>
      <c r="AP205" s="230"/>
      <c r="AQ205" s="230"/>
      <c r="AR205" s="230"/>
      <c r="AS205" s="230"/>
      <c r="AT205" s="230"/>
      <c r="AU205" s="230"/>
      <c r="AV205" s="230"/>
      <c r="AW205" s="230"/>
      <c r="AX205" s="230"/>
      <c r="AY205" s="230"/>
      <c r="AZ205" s="230"/>
      <c r="BA205" s="230"/>
      <c r="BB205" s="230"/>
      <c r="BC205" s="230"/>
      <c r="BD205" s="230"/>
      <c r="BE205" s="230"/>
      <c r="BF205" s="230"/>
      <c r="BG205" s="230"/>
    </row>
    <row r="206" spans="2:60" s="139" customFormat="1" ht="18.75" customHeight="1">
      <c r="B206" s="217" t="s">
        <v>516</v>
      </c>
      <c r="C206" s="233"/>
      <c r="E206" s="233"/>
      <c r="F206" s="233"/>
      <c r="G206" s="230"/>
      <c r="H206" s="233"/>
      <c r="I206" s="233"/>
      <c r="J206" s="233"/>
      <c r="K206" s="233"/>
      <c r="L206" s="233"/>
      <c r="M206" s="233"/>
      <c r="N206" s="233"/>
      <c r="O206" s="233"/>
      <c r="P206" s="233"/>
      <c r="R206" s="233"/>
      <c r="S206" s="233"/>
      <c r="T206" s="233"/>
      <c r="U206" s="233"/>
      <c r="W206" s="216" t="s">
        <v>517</v>
      </c>
      <c r="X206" s="233"/>
      <c r="Y206" s="233"/>
      <c r="Z206" s="233"/>
      <c r="AA206" s="233"/>
      <c r="AB206" s="233"/>
      <c r="AC206" s="233"/>
      <c r="AD206" s="233"/>
      <c r="AE206" s="230"/>
      <c r="AF206" s="233"/>
      <c r="AG206" s="230"/>
      <c r="AH206" s="230"/>
      <c r="AI206" s="230"/>
      <c r="AJ206" s="230"/>
      <c r="AK206" s="230"/>
      <c r="AL206" s="230"/>
      <c r="AM206" s="230"/>
      <c r="AN206" s="230"/>
      <c r="AO206" s="230"/>
      <c r="AP206" s="230"/>
      <c r="AQ206" s="230"/>
      <c r="AR206" s="230"/>
      <c r="AS206" s="230"/>
      <c r="AT206" s="230"/>
      <c r="AU206" s="230"/>
      <c r="AV206" s="230"/>
      <c r="AW206" s="230"/>
      <c r="AX206" s="230"/>
      <c r="AY206" s="230"/>
      <c r="AZ206" s="230"/>
      <c r="BA206" s="230"/>
      <c r="BB206" s="230"/>
      <c r="BC206" s="230"/>
      <c r="BD206" s="230"/>
      <c r="BE206" s="230"/>
      <c r="BF206" s="230"/>
      <c r="BG206" s="230"/>
    </row>
    <row r="207" spans="2:60" s="139" customFormat="1" ht="18.75" customHeight="1">
      <c r="B207" s="217"/>
      <c r="C207" s="233" t="str">
        <f>"※ 정반의 교정성적서에 명기된 평면도가 "&amp;T211&amp;" μm이고, 정반의 전체면적의 1/4 영역에서 교정이 실시 되었다."</f>
        <v>※ 정반의 교정성적서에 명기된 평면도가 50 μm이고, 정반의 전체면적의 1/4 영역에서 교정이 실시 되었다.</v>
      </c>
      <c r="D207" s="233"/>
      <c r="E207" s="233"/>
      <c r="F207" s="233"/>
      <c r="G207" s="230"/>
      <c r="H207" s="233"/>
      <c r="I207" s="233"/>
      <c r="J207" s="233"/>
      <c r="K207" s="233"/>
      <c r="L207" s="233"/>
      <c r="M207" s="233"/>
      <c r="N207" s="233"/>
      <c r="O207" s="233"/>
      <c r="P207" s="233"/>
      <c r="Q207" s="216"/>
      <c r="R207" s="233"/>
      <c r="S207" s="233"/>
      <c r="T207" s="233"/>
      <c r="U207" s="233"/>
      <c r="V207" s="233"/>
      <c r="W207" s="233"/>
      <c r="X207" s="233"/>
      <c r="Y207" s="233"/>
      <c r="Z207" s="233"/>
      <c r="AA207" s="233"/>
      <c r="AB207" s="233"/>
      <c r="AC207" s="233"/>
      <c r="AD207" s="233"/>
      <c r="AE207" s="230"/>
      <c r="AF207" s="233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Q207" s="230"/>
      <c r="AR207" s="230"/>
      <c r="AS207" s="230"/>
      <c r="AT207" s="230"/>
      <c r="AU207" s="230"/>
      <c r="AV207" s="230"/>
      <c r="AW207" s="230"/>
      <c r="AX207" s="230"/>
      <c r="AY207" s="230"/>
      <c r="AZ207" s="230"/>
      <c r="BA207" s="230"/>
      <c r="BB207" s="230"/>
      <c r="BC207" s="230"/>
      <c r="BD207" s="230"/>
      <c r="BE207" s="230"/>
      <c r="BF207" s="230"/>
      <c r="BG207" s="230"/>
    </row>
    <row r="208" spans="2:60" s="139" customFormat="1" ht="18.75" customHeight="1">
      <c r="B208" s="217"/>
      <c r="C208" s="233"/>
      <c r="D208" s="233" t="s">
        <v>518</v>
      </c>
      <c r="E208" s="233"/>
      <c r="F208" s="233"/>
      <c r="G208" s="230"/>
      <c r="H208" s="233"/>
      <c r="I208" s="233"/>
      <c r="J208" s="233"/>
      <c r="K208" s="233"/>
      <c r="L208" s="233"/>
      <c r="M208" s="233"/>
      <c r="N208" s="233"/>
      <c r="O208" s="233"/>
      <c r="P208" s="233"/>
      <c r="Q208" s="216"/>
      <c r="R208" s="233"/>
      <c r="S208" s="233"/>
      <c r="T208" s="233"/>
      <c r="U208" s="233"/>
      <c r="V208" s="233"/>
      <c r="W208" s="233"/>
      <c r="X208" s="233"/>
      <c r="Y208" s="233"/>
      <c r="Z208" s="233"/>
      <c r="AA208" s="233"/>
      <c r="AB208" s="233"/>
      <c r="AC208" s="233"/>
      <c r="AD208" s="233"/>
      <c r="AE208" s="230"/>
      <c r="AF208" s="233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Q208" s="230"/>
      <c r="AR208" s="230"/>
      <c r="AS208" s="230"/>
      <c r="AT208" s="230"/>
      <c r="AU208" s="230"/>
      <c r="AV208" s="230"/>
      <c r="AW208" s="230"/>
      <c r="AX208" s="230"/>
      <c r="AY208" s="230"/>
      <c r="AZ208" s="230"/>
      <c r="BA208" s="230"/>
      <c r="BB208" s="230"/>
      <c r="BC208" s="230"/>
      <c r="BD208" s="230"/>
      <c r="BE208" s="230"/>
      <c r="BF208" s="230"/>
      <c r="BG208" s="230"/>
    </row>
    <row r="209" spans="1:65" s="139" customFormat="1" ht="18.75" customHeight="1">
      <c r="B209" s="230"/>
      <c r="C209" s="236" t="s">
        <v>519</v>
      </c>
      <c r="D209" s="230"/>
      <c r="E209" s="230"/>
      <c r="F209" s="230"/>
      <c r="G209" s="230"/>
      <c r="H209" s="459">
        <v>0</v>
      </c>
      <c r="I209" s="459"/>
      <c r="J209" s="459"/>
      <c r="K209" s="459"/>
      <c r="L209" s="459"/>
      <c r="M209" s="459"/>
      <c r="N209" s="459"/>
      <c r="O209" s="459"/>
      <c r="P209" s="229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  <c r="AA209" s="233"/>
      <c r="AB209" s="233"/>
      <c r="AC209" s="233"/>
      <c r="AD209" s="233"/>
      <c r="AE209" s="233"/>
      <c r="AF209" s="233"/>
      <c r="AG209" s="233"/>
      <c r="AH209" s="233"/>
      <c r="AI209" s="233"/>
      <c r="AJ209" s="233"/>
      <c r="AK209" s="233"/>
      <c r="AL209" s="233"/>
      <c r="AM209" s="233"/>
      <c r="AN209" s="233"/>
      <c r="AO209" s="233"/>
      <c r="AP209" s="233"/>
      <c r="AQ209" s="233"/>
      <c r="AR209" s="233"/>
      <c r="AS209" s="233"/>
      <c r="AT209" s="233"/>
      <c r="AU209" s="233"/>
      <c r="AV209" s="233"/>
      <c r="AW209" s="233"/>
      <c r="AX209" s="233"/>
      <c r="AY209" s="230"/>
      <c r="AZ209" s="230"/>
      <c r="BA209" s="230"/>
      <c r="BB209" s="230"/>
      <c r="BC209" s="230"/>
      <c r="BD209" s="230"/>
      <c r="BE209" s="230"/>
      <c r="BF209" s="230"/>
      <c r="BG209" s="230"/>
    </row>
    <row r="210" spans="1:65" s="139" customFormat="1" ht="18.75" customHeight="1">
      <c r="B210" s="230"/>
      <c r="C210" s="233" t="s">
        <v>520</v>
      </c>
      <c r="D210" s="233"/>
      <c r="E210" s="233"/>
      <c r="F210" s="233"/>
      <c r="G210" s="233"/>
      <c r="H210" s="233"/>
      <c r="I210" s="230"/>
      <c r="J210" s="236" t="s">
        <v>521</v>
      </c>
      <c r="K210" s="150"/>
      <c r="L210" s="150"/>
      <c r="M210" s="150"/>
      <c r="N210" s="150"/>
      <c r="O210" s="467">
        <f>Calcu!H61</f>
        <v>50</v>
      </c>
      <c r="P210" s="467"/>
      <c r="Q210" s="467"/>
      <c r="R210" s="229" t="s">
        <v>156</v>
      </c>
      <c r="S210" s="239"/>
      <c r="T210" s="239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/>
      <c r="AN210" s="150"/>
      <c r="AO210" s="150"/>
      <c r="AP210" s="150"/>
      <c r="AQ210" s="150"/>
      <c r="AR210" s="150"/>
      <c r="AS210" s="150"/>
      <c r="AT210" s="150"/>
      <c r="AU210" s="150"/>
      <c r="AV210" s="150"/>
      <c r="AW210" s="150"/>
      <c r="AX210" s="150"/>
      <c r="AY210" s="150"/>
      <c r="AZ210" s="150"/>
      <c r="BA210" s="150"/>
      <c r="BB210" s="230"/>
      <c r="BC210" s="230"/>
      <c r="BD210" s="230"/>
      <c r="BE210" s="230"/>
      <c r="BF210" s="230"/>
      <c r="BG210" s="230"/>
    </row>
    <row r="211" spans="1:65" s="139" customFormat="1" ht="18.75" customHeight="1">
      <c r="B211" s="230"/>
      <c r="C211" s="233"/>
      <c r="D211" s="233"/>
      <c r="E211" s="233"/>
      <c r="F211" s="233"/>
      <c r="G211" s="233"/>
      <c r="H211" s="233"/>
      <c r="I211" s="233"/>
      <c r="J211" s="233"/>
      <c r="K211" s="507" t="s">
        <v>522</v>
      </c>
      <c r="L211" s="507"/>
      <c r="M211" s="507"/>
      <c r="N211" s="510" t="s">
        <v>401</v>
      </c>
      <c r="O211" s="512" t="s">
        <v>523</v>
      </c>
      <c r="P211" s="512"/>
      <c r="Q211" s="512"/>
      <c r="R211" s="512"/>
      <c r="S211" s="510" t="s">
        <v>401</v>
      </c>
      <c r="T211" s="513">
        <f>O210</f>
        <v>50</v>
      </c>
      <c r="U211" s="513"/>
      <c r="V211" s="232" t="str">
        <f>R210</f>
        <v>μm</v>
      </c>
      <c r="W211" s="232"/>
      <c r="X211" s="510" t="s">
        <v>401</v>
      </c>
      <c r="Y211" s="415">
        <f>T211/4/SQRT(3)</f>
        <v>7.2168783648703227</v>
      </c>
      <c r="Z211" s="415"/>
      <c r="AA211" s="415"/>
      <c r="AB211" s="411" t="str">
        <f>V211</f>
        <v>μm</v>
      </c>
      <c r="AC211" s="411"/>
      <c r="AD211" s="146"/>
      <c r="AE211" s="146"/>
      <c r="AF211" s="146"/>
      <c r="AG211" s="233"/>
      <c r="AH211" s="233"/>
      <c r="AI211" s="233"/>
      <c r="AJ211" s="233"/>
      <c r="AK211" s="233"/>
      <c r="AL211" s="233"/>
      <c r="AM211" s="233"/>
      <c r="AN211" s="233"/>
      <c r="AO211" s="233"/>
      <c r="AP211" s="233"/>
      <c r="AQ211" s="233"/>
      <c r="AR211" s="233"/>
      <c r="AS211" s="230"/>
      <c r="AT211" s="230"/>
      <c r="AU211" s="230"/>
      <c r="AV211" s="230"/>
      <c r="AW211" s="233"/>
      <c r="AX211" s="233"/>
      <c r="AY211" s="233"/>
      <c r="AZ211" s="233"/>
      <c r="BA211" s="233"/>
      <c r="BB211" s="233"/>
      <c r="BC211" s="233"/>
      <c r="BD211" s="233"/>
      <c r="BE211" s="230"/>
      <c r="BF211" s="230"/>
      <c r="BG211" s="230"/>
      <c r="BH211" s="230"/>
      <c r="BI211" s="230"/>
      <c r="BJ211" s="230"/>
      <c r="BK211" s="230"/>
      <c r="BL211" s="230"/>
      <c r="BM211" s="230"/>
    </row>
    <row r="212" spans="1:65" s="139" customFormat="1" ht="18.75" customHeight="1">
      <c r="B212" s="230"/>
      <c r="C212" s="233"/>
      <c r="D212" s="233"/>
      <c r="E212" s="233"/>
      <c r="F212" s="233"/>
      <c r="G212" s="233"/>
      <c r="H212" s="233"/>
      <c r="I212" s="233"/>
      <c r="J212" s="233"/>
      <c r="K212" s="507"/>
      <c r="L212" s="507"/>
      <c r="M212" s="507"/>
      <c r="N212" s="510"/>
      <c r="O212" s="511"/>
      <c r="P212" s="511"/>
      <c r="Q212" s="511"/>
      <c r="R212" s="511"/>
      <c r="S212" s="510"/>
      <c r="T212" s="511"/>
      <c r="U212" s="511"/>
      <c r="V212" s="511"/>
      <c r="W212" s="511"/>
      <c r="X212" s="510"/>
      <c r="Y212" s="415"/>
      <c r="Z212" s="415"/>
      <c r="AA212" s="415"/>
      <c r="AB212" s="411"/>
      <c r="AC212" s="411"/>
      <c r="AD212" s="146"/>
      <c r="AE212" s="146"/>
      <c r="AF212" s="146"/>
      <c r="AG212" s="233"/>
      <c r="AH212" s="233"/>
      <c r="AI212" s="233"/>
      <c r="AJ212" s="233"/>
      <c r="AK212" s="233"/>
      <c r="AL212" s="233"/>
      <c r="AM212" s="233"/>
      <c r="AN212" s="233"/>
      <c r="AO212" s="233"/>
      <c r="AP212" s="233"/>
      <c r="AQ212" s="233"/>
      <c r="AR212" s="233"/>
      <c r="AS212" s="230"/>
      <c r="AT212" s="230"/>
      <c r="AU212" s="230"/>
      <c r="AV212" s="230"/>
      <c r="AW212" s="233"/>
      <c r="AX212" s="233"/>
      <c r="AY212" s="233"/>
      <c r="AZ212" s="233"/>
      <c r="BA212" s="233"/>
      <c r="BB212" s="233"/>
      <c r="BC212" s="233"/>
      <c r="BD212" s="233"/>
      <c r="BE212" s="230"/>
      <c r="BF212" s="230"/>
      <c r="BG212" s="230"/>
      <c r="BH212" s="230"/>
      <c r="BI212" s="230"/>
      <c r="BJ212" s="230"/>
      <c r="BK212" s="230"/>
      <c r="BL212" s="230"/>
      <c r="BM212" s="230"/>
    </row>
    <row r="213" spans="1:65" s="139" customFormat="1" ht="18.75" customHeight="1">
      <c r="B213" s="230"/>
      <c r="C213" s="233" t="s">
        <v>524</v>
      </c>
      <c r="D213" s="233"/>
      <c r="E213" s="233"/>
      <c r="F213" s="233"/>
      <c r="G213" s="233"/>
      <c r="H213" s="233"/>
      <c r="I213" s="417" t="str">
        <f>AB85</f>
        <v>직사각형</v>
      </c>
      <c r="J213" s="417"/>
      <c r="K213" s="417"/>
      <c r="L213" s="417"/>
      <c r="M213" s="417"/>
      <c r="N213" s="417"/>
      <c r="O213" s="417"/>
      <c r="P213" s="417"/>
      <c r="Q213" s="233"/>
      <c r="R213" s="233"/>
      <c r="S213" s="233"/>
      <c r="T213" s="233"/>
      <c r="U213" s="233"/>
      <c r="V213" s="233"/>
      <c r="W213" s="233"/>
      <c r="X213" s="233"/>
      <c r="Y213" s="233"/>
      <c r="Z213" s="230"/>
      <c r="AA213" s="230"/>
      <c r="AB213" s="230"/>
      <c r="AC213" s="230"/>
      <c r="AD213" s="230"/>
      <c r="AE213" s="230"/>
      <c r="AF213" s="230"/>
      <c r="AG213" s="230"/>
      <c r="AH213" s="233"/>
      <c r="AI213" s="233"/>
      <c r="AJ213" s="233"/>
      <c r="AK213" s="233"/>
      <c r="AL213" s="230"/>
      <c r="AM213" s="230"/>
      <c r="AN213" s="230"/>
      <c r="AO213" s="230"/>
      <c r="AP213" s="230"/>
      <c r="AQ213" s="230"/>
      <c r="AR213" s="230"/>
      <c r="AS213" s="233"/>
      <c r="AT213" s="233"/>
      <c r="AU213" s="233"/>
      <c r="AV213" s="233"/>
      <c r="AW213" s="233"/>
      <c r="AX213" s="233"/>
      <c r="AY213" s="230"/>
      <c r="AZ213" s="230"/>
      <c r="BA213" s="230"/>
      <c r="BB213" s="230"/>
      <c r="BC213" s="230"/>
      <c r="BD213" s="230"/>
      <c r="BE213" s="230"/>
      <c r="BF213" s="230"/>
      <c r="BG213" s="230"/>
    </row>
    <row r="214" spans="1:65" s="139" customFormat="1" ht="18.75" customHeight="1">
      <c r="B214" s="230"/>
      <c r="C214" s="406" t="s">
        <v>525</v>
      </c>
      <c r="D214" s="406"/>
      <c r="E214" s="406"/>
      <c r="F214" s="406"/>
      <c r="G214" s="406"/>
      <c r="H214" s="406"/>
      <c r="I214" s="233"/>
      <c r="J214" s="233"/>
      <c r="K214" s="233"/>
      <c r="L214" s="233"/>
      <c r="M214" s="233"/>
      <c r="N214" s="471">
        <f>AG85</f>
        <v>1</v>
      </c>
      <c r="O214" s="471"/>
      <c r="P214" s="147"/>
      <c r="Q214" s="147"/>
      <c r="R214" s="147"/>
      <c r="S214" s="233"/>
      <c r="T214" s="233"/>
      <c r="U214" s="233"/>
      <c r="V214" s="233"/>
      <c r="W214" s="233"/>
      <c r="X214" s="233"/>
      <c r="Y214" s="233"/>
      <c r="Z214" s="148"/>
      <c r="AA214" s="148"/>
      <c r="AB214" s="233"/>
      <c r="AC214" s="233"/>
      <c r="AD214" s="233"/>
      <c r="AE214" s="233"/>
      <c r="AF214" s="233"/>
      <c r="AG214" s="233"/>
      <c r="AH214" s="233"/>
      <c r="AI214" s="233"/>
      <c r="AJ214" s="233"/>
      <c r="AK214" s="233"/>
      <c r="AL214" s="230"/>
      <c r="AM214" s="230"/>
      <c r="AN214" s="230"/>
      <c r="AO214" s="233"/>
      <c r="AP214" s="233"/>
      <c r="AQ214" s="233"/>
      <c r="AR214" s="233"/>
      <c r="AS214" s="233"/>
      <c r="AT214" s="233"/>
      <c r="AU214" s="233"/>
      <c r="AV214" s="233"/>
      <c r="AW214" s="233"/>
      <c r="AX214" s="233"/>
      <c r="AY214" s="230"/>
      <c r="AZ214" s="230"/>
      <c r="BA214" s="230"/>
      <c r="BB214" s="230"/>
      <c r="BC214" s="230"/>
      <c r="BD214" s="230"/>
      <c r="BE214" s="230"/>
      <c r="BF214" s="230"/>
      <c r="BG214" s="230"/>
    </row>
    <row r="215" spans="1:65" s="139" customFormat="1" ht="18.75" customHeight="1">
      <c r="B215" s="230"/>
      <c r="C215" s="406"/>
      <c r="D215" s="406"/>
      <c r="E215" s="406"/>
      <c r="F215" s="406"/>
      <c r="G215" s="406"/>
      <c r="H215" s="406"/>
      <c r="I215" s="233"/>
      <c r="J215" s="233"/>
      <c r="K215" s="233"/>
      <c r="L215" s="233"/>
      <c r="M215" s="233"/>
      <c r="N215" s="471"/>
      <c r="O215" s="471"/>
      <c r="P215" s="147"/>
      <c r="Q215" s="147"/>
      <c r="R215" s="147"/>
      <c r="S215" s="233"/>
      <c r="T215" s="233"/>
      <c r="U215" s="233"/>
      <c r="V215" s="233"/>
      <c r="W215" s="233"/>
      <c r="X215" s="233"/>
      <c r="Y215" s="233"/>
      <c r="Z215" s="148"/>
      <c r="AA215" s="148"/>
      <c r="AB215" s="233"/>
      <c r="AC215" s="233"/>
      <c r="AD215" s="233"/>
      <c r="AE215" s="233"/>
      <c r="AF215" s="233"/>
      <c r="AG215" s="233"/>
      <c r="AH215" s="233"/>
      <c r="AI215" s="233"/>
      <c r="AJ215" s="233"/>
      <c r="AK215" s="233"/>
      <c r="AL215" s="230"/>
      <c r="AM215" s="230"/>
      <c r="AN215" s="230"/>
      <c r="AO215" s="233"/>
      <c r="AP215" s="233"/>
      <c r="AQ215" s="233"/>
      <c r="AR215" s="233"/>
      <c r="AS215" s="233"/>
      <c r="AT215" s="233"/>
      <c r="AU215" s="233"/>
      <c r="AV215" s="233"/>
      <c r="AW215" s="233"/>
      <c r="AX215" s="233"/>
      <c r="AY215" s="230"/>
      <c r="AZ215" s="230"/>
      <c r="BA215" s="230"/>
      <c r="BB215" s="230"/>
      <c r="BC215" s="230"/>
      <c r="BD215" s="230"/>
      <c r="BE215" s="230"/>
      <c r="BF215" s="230"/>
      <c r="BG215" s="230"/>
    </row>
    <row r="216" spans="1:65" s="139" customFormat="1" ht="18.75" customHeight="1">
      <c r="B216" s="230"/>
      <c r="C216" s="233" t="s">
        <v>526</v>
      </c>
      <c r="D216" s="233"/>
      <c r="E216" s="233"/>
      <c r="F216" s="233"/>
      <c r="G216" s="233"/>
      <c r="H216" s="233"/>
      <c r="I216" s="233"/>
      <c r="J216" s="230"/>
      <c r="K216" s="230" t="s">
        <v>473</v>
      </c>
      <c r="L216" s="471">
        <v>1</v>
      </c>
      <c r="M216" s="471"/>
      <c r="N216" s="230" t="s">
        <v>81</v>
      </c>
      <c r="O216" s="415">
        <f>Y211</f>
        <v>7.2168783648703227</v>
      </c>
      <c r="P216" s="411"/>
      <c r="Q216" s="411"/>
      <c r="R216" s="416" t="str">
        <f>AB211</f>
        <v>μm</v>
      </c>
      <c r="S216" s="411"/>
      <c r="T216" s="238" t="s">
        <v>80</v>
      </c>
      <c r="U216" s="72" t="s">
        <v>401</v>
      </c>
      <c r="V216" s="415">
        <f>L216*O216</f>
        <v>7.2168783648703227</v>
      </c>
      <c r="W216" s="415"/>
      <c r="X216" s="415"/>
      <c r="Y216" s="231" t="str">
        <f>R216</f>
        <v>μm</v>
      </c>
      <c r="Z216" s="56"/>
      <c r="AA216" s="229"/>
      <c r="AB216" s="149"/>
      <c r="AC216" s="142"/>
      <c r="AD216" s="230"/>
      <c r="AE216" s="233"/>
      <c r="AF216" s="230"/>
      <c r="AG216" s="230"/>
      <c r="AH216" s="230"/>
      <c r="AI216" s="230"/>
      <c r="AJ216" s="230"/>
      <c r="AK216" s="233"/>
      <c r="AL216" s="230"/>
      <c r="AM216" s="230"/>
      <c r="AN216" s="230"/>
      <c r="AO216" s="233"/>
      <c r="AP216" s="233"/>
      <c r="AQ216" s="233"/>
      <c r="AR216" s="233"/>
      <c r="AS216" s="233"/>
      <c r="AT216" s="233"/>
      <c r="AU216" s="233"/>
      <c r="AV216" s="233"/>
      <c r="AW216" s="233"/>
      <c r="AX216" s="233"/>
      <c r="AY216" s="230"/>
      <c r="AZ216" s="230"/>
      <c r="BA216" s="230"/>
      <c r="BB216" s="230"/>
      <c r="BC216" s="230"/>
      <c r="BD216" s="230"/>
      <c r="BE216" s="230"/>
      <c r="BF216" s="230"/>
      <c r="BG216" s="230"/>
    </row>
    <row r="217" spans="1:65" s="139" customFormat="1" ht="18.75" customHeight="1">
      <c r="B217" s="230"/>
      <c r="C217" s="406" t="s">
        <v>527</v>
      </c>
      <c r="D217" s="406"/>
      <c r="E217" s="406"/>
      <c r="F217" s="406"/>
      <c r="G217" s="406"/>
      <c r="H217" s="233"/>
      <c r="J217" s="233"/>
      <c r="K217" s="233"/>
      <c r="L217" s="233"/>
      <c r="M217" s="233"/>
      <c r="N217" s="233"/>
      <c r="O217" s="233"/>
      <c r="P217" s="233"/>
      <c r="Q217" s="233"/>
      <c r="R217" s="142"/>
      <c r="S217" s="233"/>
      <c r="T217" s="233"/>
      <c r="U217" s="233"/>
      <c r="W217" s="233"/>
      <c r="X217" s="240" t="s">
        <v>528</v>
      </c>
      <c r="Y217" s="233"/>
      <c r="Z217" s="233"/>
      <c r="AA217" s="233"/>
      <c r="AB217" s="233"/>
      <c r="AC217" s="233"/>
      <c r="AD217" s="233"/>
      <c r="AE217" s="230"/>
      <c r="AF217" s="230"/>
      <c r="AG217" s="230"/>
      <c r="AH217" s="230"/>
      <c r="AI217" s="230"/>
      <c r="AJ217" s="230"/>
      <c r="AK217" s="230"/>
      <c r="AL217" s="230"/>
      <c r="AM217" s="230"/>
      <c r="AN217" s="230"/>
      <c r="AO217" s="230"/>
      <c r="AP217" s="230"/>
      <c r="AQ217" s="230"/>
      <c r="AR217" s="230"/>
      <c r="AS217" s="230"/>
      <c r="AT217" s="230"/>
      <c r="AU217" s="230"/>
      <c r="AV217" s="230"/>
      <c r="AW217" s="230"/>
      <c r="AX217" s="230"/>
      <c r="AY217" s="230"/>
      <c r="AZ217" s="230"/>
      <c r="BA217" s="230"/>
      <c r="BB217" s="230"/>
      <c r="BC217" s="230"/>
      <c r="BD217" s="230"/>
      <c r="BE217" s="230"/>
      <c r="BF217" s="230"/>
      <c r="BG217" s="230"/>
    </row>
    <row r="218" spans="1:65" s="139" customFormat="1" ht="18.75" customHeight="1">
      <c r="B218" s="230"/>
      <c r="C218" s="406"/>
      <c r="D218" s="406"/>
      <c r="E218" s="406"/>
      <c r="F218" s="406"/>
      <c r="G218" s="406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142"/>
      <c r="S218" s="233"/>
      <c r="T218" s="233"/>
      <c r="U218" s="233"/>
      <c r="V218" s="233"/>
      <c r="W218" s="233"/>
      <c r="X218" s="233"/>
      <c r="Y218" s="233"/>
      <c r="Z218" s="233"/>
      <c r="AA218" s="233"/>
      <c r="AB218" s="233"/>
      <c r="AC218" s="233"/>
      <c r="AD218" s="233"/>
      <c r="AE218" s="230"/>
      <c r="AF218" s="233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Q218" s="230"/>
      <c r="AR218" s="230"/>
      <c r="AS218" s="230"/>
      <c r="AT218" s="230"/>
      <c r="AU218" s="230"/>
      <c r="AV218" s="230"/>
      <c r="AW218" s="230"/>
      <c r="AX218" s="230"/>
      <c r="AY218" s="230"/>
      <c r="AZ218" s="230"/>
      <c r="BA218" s="230"/>
      <c r="BB218" s="230"/>
      <c r="BC218" s="230"/>
      <c r="BD218" s="230"/>
      <c r="BE218" s="230"/>
      <c r="BF218" s="230"/>
      <c r="BG218" s="230"/>
    </row>
    <row r="219" spans="1:65" s="139" customFormat="1" ht="18.75" customHeight="1">
      <c r="B219" s="230"/>
      <c r="C219" s="233"/>
      <c r="D219" s="233"/>
      <c r="E219" s="233"/>
      <c r="F219" s="233"/>
      <c r="G219" s="230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AB219" s="233"/>
      <c r="AC219" s="233"/>
      <c r="AD219" s="233"/>
      <c r="AE219" s="230"/>
      <c r="AF219" s="233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Q219" s="230"/>
      <c r="AR219" s="230"/>
      <c r="AS219" s="230"/>
      <c r="AT219" s="230"/>
      <c r="AU219" s="230"/>
      <c r="AV219" s="230"/>
      <c r="AW219" s="230"/>
      <c r="AX219" s="230"/>
      <c r="AY219" s="230"/>
      <c r="AZ219" s="230"/>
      <c r="BA219" s="230"/>
      <c r="BB219" s="230"/>
      <c r="BC219" s="230"/>
      <c r="BD219" s="230"/>
      <c r="BE219" s="230"/>
      <c r="BF219" s="230"/>
      <c r="BG219" s="230"/>
    </row>
    <row r="220" spans="1:65" s="139" customFormat="1" ht="18.75" customHeight="1">
      <c r="A220" s="57" t="s">
        <v>529</v>
      </c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Q220" s="230"/>
      <c r="AR220" s="230"/>
      <c r="AS220" s="230"/>
      <c r="AT220" s="230"/>
      <c r="AU220" s="230"/>
      <c r="AV220" s="230"/>
      <c r="AW220" s="230"/>
      <c r="AX220" s="230"/>
      <c r="AY220" s="230"/>
      <c r="AZ220" s="230"/>
      <c r="BA220" s="230"/>
      <c r="BB220" s="230"/>
      <c r="BC220" s="230"/>
      <c r="BD220" s="230"/>
      <c r="BE220" s="230"/>
      <c r="BF220" s="230"/>
    </row>
    <row r="221" spans="1:65" s="139" customFormat="1" ht="18.75" customHeight="1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3"/>
      <c r="AF221" s="230"/>
      <c r="AG221" s="230"/>
      <c r="AH221" s="230"/>
      <c r="AI221" s="230"/>
      <c r="AJ221" s="230"/>
      <c r="AK221" s="233"/>
      <c r="AL221" s="233"/>
      <c r="AM221" s="241"/>
      <c r="AN221" s="241"/>
      <c r="AO221" s="241"/>
      <c r="AP221" s="241"/>
      <c r="AQ221" s="233"/>
      <c r="AR221" s="230"/>
      <c r="AT221" s="276"/>
      <c r="AU221" s="276"/>
      <c r="AV221" s="276"/>
      <c r="AW221" s="233"/>
      <c r="AX221" s="233"/>
      <c r="AY221" s="230"/>
      <c r="BA221" s="230"/>
      <c r="BB221" s="230"/>
      <c r="BC221" s="230"/>
      <c r="BD221" s="230"/>
      <c r="BE221" s="230"/>
      <c r="BF221" s="230"/>
    </row>
    <row r="222" spans="1:65" s="139" customFormat="1" ht="18.75" customHeight="1">
      <c r="A222" s="230"/>
      <c r="B222" s="230"/>
      <c r="C222" s="230"/>
      <c r="D222" s="230"/>
      <c r="E222" s="230" t="s">
        <v>401</v>
      </c>
      <c r="F222" s="497">
        <f ca="1">AP78</f>
        <v>0</v>
      </c>
      <c r="G222" s="497"/>
      <c r="H222" s="497"/>
      <c r="I222" s="233" t="s">
        <v>414</v>
      </c>
      <c r="J222" s="233"/>
      <c r="K222" s="471" t="s">
        <v>530</v>
      </c>
      <c r="L222" s="471"/>
      <c r="M222" s="514">
        <f ca="1">AU78</f>
        <v>0</v>
      </c>
      <c r="N222" s="514"/>
      <c r="O222" s="514"/>
      <c r="P222" s="233" t="s">
        <v>476</v>
      </c>
      <c r="Q222" s="233"/>
      <c r="R222" s="230"/>
      <c r="T222" s="471" t="s">
        <v>531</v>
      </c>
      <c r="U222" s="471"/>
      <c r="V222" s="515">
        <f>AP79</f>
        <v>0</v>
      </c>
      <c r="W222" s="515"/>
      <c r="X222" s="515"/>
      <c r="Y222" s="233" t="s">
        <v>414</v>
      </c>
      <c r="Z222" s="233"/>
      <c r="AA222" s="471" t="s">
        <v>531</v>
      </c>
      <c r="AB222" s="471"/>
      <c r="AC222" s="516">
        <f>AP80</f>
        <v>2.0412414523193151E-4</v>
      </c>
      <c r="AD222" s="516"/>
      <c r="AE222" s="516"/>
      <c r="AF222" s="516"/>
      <c r="AG222" s="233" t="s">
        <v>374</v>
      </c>
      <c r="AH222" s="230"/>
      <c r="AK222" s="471" t="s">
        <v>531</v>
      </c>
      <c r="AL222" s="471"/>
      <c r="AM222" s="516" t="e">
        <f ca="1">AP81</f>
        <v>#N/A</v>
      </c>
      <c r="AN222" s="516"/>
      <c r="AO222" s="516"/>
      <c r="AP222" s="516"/>
      <c r="AQ222" s="233" t="s">
        <v>476</v>
      </c>
      <c r="AR222" s="230"/>
      <c r="AU222" s="230"/>
      <c r="AV222" s="230"/>
      <c r="AW222" s="230"/>
      <c r="AX222" s="230"/>
      <c r="AY222" s="230"/>
      <c r="AZ222" s="230"/>
      <c r="BA222" s="230"/>
      <c r="BB222" s="230"/>
      <c r="BC222" s="230"/>
      <c r="BD222" s="230"/>
      <c r="BE222" s="230"/>
      <c r="BF222" s="230"/>
    </row>
    <row r="223" spans="1:65" s="139" customFormat="1" ht="18.75" customHeight="1">
      <c r="A223" s="230"/>
      <c r="B223" s="230"/>
      <c r="C223" s="230"/>
      <c r="D223" s="230"/>
      <c r="E223" s="230"/>
      <c r="F223" s="471" t="s">
        <v>531</v>
      </c>
      <c r="G223" s="471"/>
      <c r="H223" s="516">
        <f>AP82</f>
        <v>8.1649658092772609E-5</v>
      </c>
      <c r="I223" s="516"/>
      <c r="J223" s="516"/>
      <c r="K223" s="516"/>
      <c r="L223" s="233" t="s">
        <v>374</v>
      </c>
      <c r="M223" s="230"/>
      <c r="P223" s="471" t="s">
        <v>531</v>
      </c>
      <c r="Q223" s="471"/>
      <c r="R223" s="516" t="e">
        <f ca="1">AP83</f>
        <v>#N/A</v>
      </c>
      <c r="S223" s="516"/>
      <c r="T223" s="516"/>
      <c r="U223" s="516"/>
      <c r="V223" s="233" t="s">
        <v>476</v>
      </c>
      <c r="W223" s="230"/>
      <c r="Z223" s="471" t="s">
        <v>530</v>
      </c>
      <c r="AA223" s="471"/>
      <c r="AB223" s="515">
        <f>AP84</f>
        <v>0</v>
      </c>
      <c r="AC223" s="515"/>
      <c r="AD223" s="515"/>
      <c r="AE223" s="233" t="s">
        <v>414</v>
      </c>
      <c r="AF223" s="233"/>
      <c r="AG223" s="228"/>
      <c r="AH223" s="471" t="s">
        <v>531</v>
      </c>
      <c r="AI223" s="471"/>
      <c r="AJ223" s="515">
        <f>AP85</f>
        <v>7.2168783648703227</v>
      </c>
      <c r="AK223" s="515"/>
      <c r="AL223" s="515"/>
      <c r="AM223" s="233" t="s">
        <v>414</v>
      </c>
      <c r="AN223" s="233"/>
      <c r="AO223" s="233"/>
      <c r="AP223" s="233"/>
      <c r="AQ223" s="230"/>
      <c r="AS223" s="230"/>
      <c r="AT223" s="230"/>
      <c r="AU223" s="230"/>
      <c r="AV223" s="230"/>
      <c r="AW223" s="230"/>
      <c r="AX223" s="230"/>
      <c r="AY223" s="230"/>
      <c r="AZ223" s="230"/>
      <c r="BA223" s="230"/>
      <c r="BB223" s="230"/>
      <c r="BC223" s="230"/>
      <c r="BD223" s="230"/>
      <c r="BE223" s="230"/>
      <c r="BF223" s="230"/>
    </row>
    <row r="224" spans="1:65" s="58" customFormat="1" ht="18.75" customHeight="1">
      <c r="A224" s="233"/>
      <c r="B224" s="233"/>
      <c r="C224" s="233"/>
      <c r="D224" s="233"/>
      <c r="E224" s="230" t="s">
        <v>157</v>
      </c>
      <c r="F224" s="497" t="e">
        <f ca="1">AP86</f>
        <v>#N/A</v>
      </c>
      <c r="G224" s="497"/>
      <c r="H224" s="497"/>
      <c r="I224" s="233" t="s">
        <v>156</v>
      </c>
      <c r="J224" s="233"/>
      <c r="K224" s="471" t="s">
        <v>530</v>
      </c>
      <c r="L224" s="471"/>
      <c r="M224" s="514" t="e">
        <f ca="1">AU86</f>
        <v>#N/A</v>
      </c>
      <c r="N224" s="514"/>
      <c r="O224" s="514"/>
      <c r="P224" s="233" t="s">
        <v>476</v>
      </c>
      <c r="Q224" s="233"/>
      <c r="R224" s="230"/>
      <c r="S224" s="139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0"/>
      <c r="AH224" s="233"/>
      <c r="AI224" s="233"/>
      <c r="AJ224" s="233"/>
      <c r="AK224" s="233"/>
      <c r="AL224" s="233"/>
      <c r="AM224" s="233"/>
      <c r="AN224" s="233"/>
      <c r="AO224" s="233"/>
      <c r="AP224" s="233"/>
      <c r="AQ224" s="233"/>
      <c r="AR224" s="233"/>
      <c r="AS224" s="233"/>
      <c r="AT224" s="233"/>
      <c r="AU224" s="233"/>
      <c r="AV224" s="233"/>
      <c r="AW224" s="233"/>
      <c r="AX224" s="233"/>
      <c r="AY224" s="233"/>
      <c r="AZ224" s="233"/>
      <c r="BA224" s="233"/>
      <c r="BB224" s="233"/>
      <c r="BC224" s="233"/>
      <c r="BD224" s="233"/>
      <c r="BE224" s="233"/>
      <c r="BF224" s="233"/>
      <c r="BG224" s="233"/>
      <c r="BH224" s="233"/>
    </row>
    <row r="225" spans="1:80" s="58" customFormat="1" ht="18.75" customHeight="1">
      <c r="A225" s="233"/>
      <c r="B225" s="233"/>
      <c r="C225" s="233"/>
      <c r="D225" s="138"/>
      <c r="E225" s="138"/>
      <c r="F225" s="138"/>
      <c r="G225" s="233"/>
      <c r="H225" s="233"/>
      <c r="I225" s="230"/>
      <c r="J225" s="230"/>
      <c r="K225" s="151"/>
      <c r="L225" s="151"/>
      <c r="M225" s="151"/>
      <c r="N225" s="151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  <c r="AH225" s="233"/>
      <c r="AI225" s="233"/>
      <c r="AJ225" s="233"/>
      <c r="AK225" s="233"/>
      <c r="AL225" s="233"/>
      <c r="AM225" s="233"/>
      <c r="AN225" s="233"/>
      <c r="AO225" s="233"/>
      <c r="AP225" s="233"/>
      <c r="AQ225" s="233"/>
      <c r="AR225" s="233"/>
      <c r="AS225" s="233"/>
      <c r="AT225" s="233"/>
      <c r="AU225" s="233"/>
      <c r="AV225" s="233"/>
      <c r="AW225" s="233"/>
      <c r="AX225" s="233"/>
      <c r="AY225" s="233"/>
      <c r="AZ225" s="233"/>
      <c r="BA225" s="233"/>
      <c r="BB225" s="233"/>
      <c r="BC225" s="233"/>
      <c r="BD225" s="233"/>
      <c r="BE225" s="233"/>
      <c r="BF225" s="233"/>
    </row>
    <row r="226" spans="1:80" s="139" customFormat="1" ht="18.75" customHeight="1">
      <c r="A226" s="230"/>
      <c r="B226" s="230"/>
      <c r="C226" s="230"/>
      <c r="D226" s="143" t="s">
        <v>532</v>
      </c>
      <c r="E226" s="230" t="s">
        <v>157</v>
      </c>
      <c r="F226" s="497" t="e">
        <f ca="1">F224</f>
        <v>#N/A</v>
      </c>
      <c r="G226" s="497"/>
      <c r="H226" s="497"/>
      <c r="I226" s="154"/>
      <c r="J226" s="229"/>
      <c r="K226" s="517" t="e">
        <f ca="1">M224</f>
        <v>#N/A</v>
      </c>
      <c r="L226" s="472"/>
      <c r="M226" s="472"/>
      <c r="N226" s="240"/>
      <c r="O226" s="240"/>
      <c r="P226" s="240"/>
      <c r="Q226" s="406" t="str">
        <f>BA86</f>
        <v>μm</v>
      </c>
      <c r="R226" s="406"/>
      <c r="T226" s="233"/>
      <c r="U226" s="233"/>
      <c r="V226" s="233"/>
      <c r="W226" s="233"/>
      <c r="X226" s="233"/>
      <c r="Y226" s="230"/>
      <c r="Z226" s="230"/>
      <c r="AA226" s="230"/>
      <c r="AB226" s="230"/>
      <c r="AC226" s="230"/>
      <c r="AD226" s="230"/>
      <c r="AE226" s="233"/>
      <c r="AF226" s="230"/>
      <c r="AG226" s="230"/>
      <c r="AH226" s="230"/>
      <c r="AI226" s="230"/>
      <c r="AJ226" s="230"/>
      <c r="AK226" s="230"/>
      <c r="AL226" s="230"/>
      <c r="AM226" s="230"/>
      <c r="AN226" s="230"/>
      <c r="AO226" s="230"/>
      <c r="AP226" s="230"/>
      <c r="AQ226" s="230"/>
      <c r="AR226" s="230"/>
      <c r="AS226" s="230"/>
      <c r="AT226" s="230"/>
      <c r="AU226" s="230"/>
      <c r="AV226" s="230"/>
      <c r="AW226" s="230"/>
      <c r="AX226" s="230"/>
      <c r="AY226" s="230"/>
      <c r="AZ226" s="230"/>
      <c r="BA226" s="230"/>
      <c r="BB226" s="230"/>
      <c r="BC226" s="230"/>
      <c r="BD226" s="230"/>
      <c r="BE226" s="230"/>
      <c r="BF226" s="230"/>
    </row>
    <row r="227" spans="1:80" s="233" customFormat="1" ht="18.75" customHeight="1"/>
    <row r="228" spans="1:80" ht="18.75" customHeight="1">
      <c r="A228" s="57" t="s">
        <v>533</v>
      </c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  <c r="AA228" s="240"/>
      <c r="AB228" s="240"/>
      <c r="AC228" s="240"/>
      <c r="AD228" s="240"/>
      <c r="AE228" s="240"/>
      <c r="AF228" s="240"/>
      <c r="AG228" s="240"/>
      <c r="AH228" s="240"/>
      <c r="AI228" s="240"/>
      <c r="AJ228" s="240"/>
      <c r="AK228" s="240"/>
      <c r="AL228" s="240"/>
      <c r="AM228" s="240"/>
      <c r="AN228" s="240"/>
      <c r="AO228" s="240"/>
      <c r="AP228" s="240"/>
      <c r="AQ228" s="240"/>
      <c r="AR228" s="240"/>
      <c r="AS228" s="240"/>
      <c r="AT228" s="240"/>
      <c r="AU228" s="240"/>
      <c r="AV228" s="240"/>
      <c r="AW228" s="240"/>
      <c r="AX228" s="240"/>
      <c r="AY228" s="240"/>
      <c r="AZ228" s="240"/>
      <c r="BA228" s="240"/>
      <c r="BB228" s="240"/>
      <c r="BC228" s="240"/>
      <c r="BD228" s="240"/>
      <c r="BE228" s="240"/>
      <c r="BF228" s="240"/>
    </row>
    <row r="229" spans="1:80" ht="18.75" customHeight="1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518" t="e">
        <f ca="1">Calcu!W62</f>
        <v>#N/A</v>
      </c>
      <c r="M229" s="518"/>
      <c r="N229" s="518"/>
      <c r="O229" s="518"/>
      <c r="P229" s="518"/>
      <c r="Q229" s="518"/>
      <c r="R229" s="518"/>
      <c r="S229" s="518"/>
      <c r="T229" s="518"/>
      <c r="U229" s="518"/>
      <c r="V229" s="518"/>
      <c r="W229" s="518"/>
      <c r="X229" s="518"/>
      <c r="Y229" s="518"/>
      <c r="Z229" s="518"/>
      <c r="AA229" s="518"/>
      <c r="AB229" s="518"/>
      <c r="AC229" s="518"/>
      <c r="AD229" s="518"/>
      <c r="AE229" s="518"/>
      <c r="AF229" s="518"/>
      <c r="AG229" s="518"/>
      <c r="AH229" s="518"/>
      <c r="AI229" s="518"/>
      <c r="AJ229" s="518"/>
      <c r="AK229" s="518"/>
      <c r="AL229" s="518"/>
      <c r="AM229" s="518"/>
      <c r="AN229" s="518"/>
      <c r="AO229" s="518"/>
      <c r="AP229" s="518"/>
      <c r="AQ229" s="518"/>
      <c r="AR229" s="518"/>
      <c r="AS229" s="518"/>
      <c r="AT229" s="518"/>
      <c r="AU229" s="518"/>
      <c r="AV229" s="518"/>
      <c r="AW229" s="518"/>
      <c r="AX229" s="518"/>
      <c r="AY229" s="471" t="s">
        <v>401</v>
      </c>
      <c r="AZ229" s="519" t="e">
        <f ca="1">TRIM(BC86)</f>
        <v>#N/A</v>
      </c>
      <c r="BA229" s="519"/>
      <c r="BB229" s="519"/>
      <c r="BC229" s="519"/>
      <c r="BD229" s="519"/>
      <c r="BE229" s="240"/>
      <c r="BF229" s="240"/>
      <c r="BG229" s="233"/>
      <c r="BH229" s="233"/>
      <c r="BK229" s="152"/>
      <c r="BL229" s="152"/>
      <c r="BM229" s="152"/>
      <c r="BN229" s="152"/>
      <c r="BO229" s="152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</row>
    <row r="230" spans="1:80" ht="18.75" customHeight="1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520">
        <f ca="1">Calcu!W54</f>
        <v>0</v>
      </c>
      <c r="M230" s="520"/>
      <c r="N230" s="520"/>
      <c r="O230" s="520"/>
      <c r="P230" s="471" t="s">
        <v>530</v>
      </c>
      <c r="Q230" s="520">
        <f>Calcu!W55</f>
        <v>0</v>
      </c>
      <c r="R230" s="520"/>
      <c r="S230" s="520"/>
      <c r="T230" s="520"/>
      <c r="U230" s="471" t="s">
        <v>531</v>
      </c>
      <c r="V230" s="518">
        <f>Calcu!W56</f>
        <v>0</v>
      </c>
      <c r="W230" s="518"/>
      <c r="X230" s="518"/>
      <c r="Y230" s="518"/>
      <c r="Z230" s="471" t="s">
        <v>531</v>
      </c>
      <c r="AA230" s="520" t="e">
        <f ca="1">Calcu!W57</f>
        <v>#N/A</v>
      </c>
      <c r="AB230" s="520"/>
      <c r="AC230" s="520"/>
      <c r="AD230" s="520"/>
      <c r="AE230" s="471" t="s">
        <v>531</v>
      </c>
      <c r="AF230" s="518">
        <f>Calcu!W58</f>
        <v>0</v>
      </c>
      <c r="AG230" s="518"/>
      <c r="AH230" s="518"/>
      <c r="AI230" s="518"/>
      <c r="AJ230" s="471" t="s">
        <v>531</v>
      </c>
      <c r="AK230" s="518" t="e">
        <f ca="1">Calcu!W59</f>
        <v>#N/A</v>
      </c>
      <c r="AL230" s="518"/>
      <c r="AM230" s="518"/>
      <c r="AN230" s="518"/>
      <c r="AO230" s="471" t="s">
        <v>531</v>
      </c>
      <c r="AP230" s="518">
        <f>Calcu!W60</f>
        <v>0</v>
      </c>
      <c r="AQ230" s="518"/>
      <c r="AR230" s="518"/>
      <c r="AS230" s="518"/>
      <c r="AT230" s="471" t="s">
        <v>531</v>
      </c>
      <c r="AU230" s="518">
        <f>Calcu!W61</f>
        <v>7.2168783648703227</v>
      </c>
      <c r="AV230" s="518"/>
      <c r="AW230" s="518"/>
      <c r="AX230" s="518"/>
      <c r="AY230" s="471"/>
      <c r="AZ230" s="519"/>
      <c r="BA230" s="519"/>
      <c r="BB230" s="519"/>
      <c r="BC230" s="519"/>
      <c r="BD230" s="519"/>
      <c r="BE230" s="240"/>
      <c r="BF230" s="240"/>
      <c r="BG230" s="240"/>
      <c r="BH230" s="240"/>
      <c r="BK230" s="152"/>
      <c r="BL230" s="152"/>
      <c r="BM230" s="152"/>
      <c r="BN230" s="152"/>
      <c r="BO230" s="152"/>
    </row>
    <row r="231" spans="1:80" ht="18.75" customHeight="1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471" t="str">
        <f>BC78</f>
        <v>∞</v>
      </c>
      <c r="M231" s="471"/>
      <c r="N231" s="471"/>
      <c r="O231" s="471"/>
      <c r="P231" s="471"/>
      <c r="Q231" s="471">
        <f>BC79</f>
        <v>4</v>
      </c>
      <c r="R231" s="471"/>
      <c r="S231" s="471"/>
      <c r="T231" s="471"/>
      <c r="U231" s="471"/>
      <c r="V231" s="471">
        <f>BC80</f>
        <v>100</v>
      </c>
      <c r="W231" s="471"/>
      <c r="X231" s="471"/>
      <c r="Y231" s="471"/>
      <c r="Z231" s="471"/>
      <c r="AA231" s="471">
        <f>BC81</f>
        <v>12</v>
      </c>
      <c r="AB231" s="471"/>
      <c r="AC231" s="471"/>
      <c r="AD231" s="471"/>
      <c r="AE231" s="471"/>
      <c r="AF231" s="440">
        <f>BC82</f>
        <v>100</v>
      </c>
      <c r="AG231" s="440"/>
      <c r="AH231" s="440"/>
      <c r="AI231" s="440"/>
      <c r="AJ231" s="471"/>
      <c r="AK231" s="471">
        <f>BC83</f>
        <v>12</v>
      </c>
      <c r="AL231" s="471"/>
      <c r="AM231" s="471"/>
      <c r="AN231" s="471"/>
      <c r="AO231" s="471"/>
      <c r="AP231" s="471" t="str">
        <f>BC84</f>
        <v>∞</v>
      </c>
      <c r="AQ231" s="471"/>
      <c r="AR231" s="471"/>
      <c r="AS231" s="471"/>
      <c r="AT231" s="471"/>
      <c r="AU231" s="471">
        <f>BC85</f>
        <v>50</v>
      </c>
      <c r="AV231" s="471"/>
      <c r="AW231" s="471"/>
      <c r="AX231" s="471"/>
      <c r="AY231" s="240"/>
      <c r="AZ231" s="240"/>
      <c r="BA231" s="240"/>
      <c r="BB231" s="240"/>
      <c r="BC231" s="240"/>
      <c r="BD231" s="240"/>
      <c r="BE231" s="240"/>
      <c r="BF231" s="240"/>
      <c r="BG231" s="240"/>
      <c r="BH231" s="240"/>
    </row>
    <row r="232" spans="1:80" ht="18.75" customHeight="1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240"/>
      <c r="AT232" s="240"/>
      <c r="AU232" s="240"/>
      <c r="AV232" s="240"/>
      <c r="AW232" s="240"/>
      <c r="AX232" s="240"/>
      <c r="AY232" s="240"/>
      <c r="AZ232" s="240"/>
      <c r="BA232" s="240"/>
      <c r="BB232" s="240"/>
      <c r="BC232" s="240"/>
      <c r="BD232" s="240"/>
      <c r="BE232" s="240"/>
      <c r="BF232" s="240"/>
      <c r="BG232" s="240"/>
      <c r="BH232" s="240"/>
    </row>
    <row r="233" spans="1:80" ht="18.75" customHeight="1">
      <c r="A233" s="57" t="s">
        <v>534</v>
      </c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  <c r="AA233" s="240"/>
      <c r="AB233" s="240"/>
      <c r="AC233" s="240"/>
      <c r="AD233" s="240"/>
      <c r="AE233" s="240"/>
      <c r="AF233" s="240"/>
      <c r="AG233" s="240"/>
      <c r="AH233" s="240"/>
      <c r="AI233" s="240"/>
      <c r="AJ233" s="240"/>
      <c r="AK233" s="240"/>
      <c r="AL233" s="240"/>
      <c r="AM233" s="240"/>
      <c r="AN233" s="240"/>
      <c r="AO233" s="240"/>
      <c r="AP233" s="240"/>
      <c r="AQ233" s="240"/>
      <c r="AR233" s="240"/>
      <c r="AS233" s="240"/>
      <c r="AT233" s="240"/>
      <c r="AU233" s="240"/>
      <c r="AV233" s="240"/>
      <c r="AW233" s="240"/>
      <c r="AX233" s="240"/>
      <c r="AY233" s="240"/>
      <c r="AZ233" s="240"/>
      <c r="BA233" s="240"/>
      <c r="BB233" s="240"/>
      <c r="BC233" s="240"/>
      <c r="BD233" s="240"/>
    </row>
    <row r="234" spans="1:80" ht="18.75" customHeight="1">
      <c r="A234" s="57"/>
      <c r="B234" s="240" t="s">
        <v>535</v>
      </c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  <c r="AS234" s="240"/>
      <c r="AT234" s="240"/>
      <c r="AU234" s="240"/>
      <c r="AV234" s="240"/>
      <c r="AW234" s="240"/>
      <c r="AX234" s="240"/>
      <c r="AY234" s="240"/>
      <c r="AZ234" s="240"/>
      <c r="BA234" s="240"/>
      <c r="BB234" s="240"/>
      <c r="BC234" s="240"/>
      <c r="BD234" s="240"/>
    </row>
    <row r="235" spans="1:80" ht="18.75" customHeight="1">
      <c r="A235" s="57"/>
      <c r="B235" s="240"/>
      <c r="C235" s="240" t="s">
        <v>536</v>
      </c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  <c r="AS235" s="240"/>
      <c r="AT235" s="240"/>
      <c r="AU235" s="240"/>
      <c r="AV235" s="240"/>
      <c r="AW235" s="240"/>
      <c r="AX235" s="240"/>
      <c r="AY235" s="240"/>
      <c r="AZ235" s="240"/>
      <c r="BA235" s="240"/>
      <c r="BB235" s="240"/>
      <c r="BC235" s="240"/>
      <c r="BD235" s="240"/>
    </row>
    <row r="236" spans="1:80" ht="18.75" customHeight="1">
      <c r="A236" s="57"/>
      <c r="B236" s="240"/>
      <c r="C236" s="56" t="s">
        <v>537</v>
      </c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  <c r="AS236" s="240"/>
      <c r="AT236" s="240"/>
      <c r="AU236" s="240"/>
      <c r="AV236" s="240"/>
      <c r="AW236" s="240"/>
      <c r="AX236" s="240"/>
      <c r="AY236" s="240"/>
      <c r="AZ236" s="240"/>
      <c r="BA236" s="240"/>
      <c r="BB236" s="240"/>
      <c r="BC236" s="240"/>
      <c r="BD236" s="240"/>
    </row>
    <row r="237" spans="1:80" ht="18.75" customHeight="1">
      <c r="A237" s="57"/>
      <c r="B237" s="240"/>
      <c r="C237" s="233" t="s">
        <v>538</v>
      </c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  <c r="AS237" s="240"/>
      <c r="AT237" s="240"/>
      <c r="AU237" s="240"/>
      <c r="AV237" s="240"/>
      <c r="AW237" s="240"/>
      <c r="AX237" s="240"/>
      <c r="AY237" s="240"/>
      <c r="AZ237" s="240"/>
      <c r="BA237" s="240"/>
      <c r="BB237" s="240"/>
      <c r="BC237" s="240"/>
      <c r="BD237" s="240"/>
    </row>
    <row r="238" spans="1:80" ht="18.75" customHeight="1">
      <c r="A238" s="57"/>
      <c r="B238" s="240"/>
      <c r="D238" s="240"/>
      <c r="E238" s="143"/>
      <c r="F238" s="240"/>
      <c r="G238" s="210"/>
      <c r="H238" s="230"/>
      <c r="I238" s="230"/>
      <c r="J238" s="230"/>
      <c r="R238" s="143"/>
      <c r="S238" s="153"/>
      <c r="T238" s="153"/>
      <c r="U238" s="153"/>
      <c r="V238" s="153"/>
      <c r="W238" s="153"/>
      <c r="X238" s="240"/>
      <c r="Y238" s="240"/>
      <c r="Z238" s="240"/>
      <c r="AA238" s="240"/>
      <c r="AB238" s="240"/>
      <c r="AC238" s="240"/>
      <c r="AD238" s="240"/>
      <c r="AE238" s="240"/>
      <c r="AF238" s="240"/>
      <c r="AG238" s="240"/>
      <c r="AH238" s="240"/>
      <c r="AI238" s="240"/>
      <c r="AJ238" s="240"/>
      <c r="AK238" s="240"/>
      <c r="AL238" s="240"/>
      <c r="AM238" s="240"/>
      <c r="AN238" s="240"/>
      <c r="AO238" s="240"/>
      <c r="AP238" s="240"/>
      <c r="AQ238" s="240"/>
      <c r="AR238" s="240"/>
      <c r="AS238" s="240"/>
      <c r="AT238" s="240"/>
      <c r="AU238" s="240"/>
      <c r="AV238" s="240"/>
      <c r="AW238" s="240"/>
      <c r="AX238" s="240"/>
      <c r="AY238" s="240"/>
      <c r="AZ238" s="240"/>
      <c r="BA238" s="240"/>
      <c r="BB238" s="240"/>
      <c r="BC238" s="240"/>
      <c r="BD238" s="240"/>
    </row>
    <row r="239" spans="1:80" ht="18.75" customHeight="1">
      <c r="A239" s="57"/>
      <c r="B239" s="240" t="s">
        <v>535</v>
      </c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  <c r="AA239" s="240"/>
      <c r="AB239" s="240"/>
      <c r="AC239" s="240"/>
      <c r="AD239" s="240"/>
      <c r="AE239" s="240"/>
      <c r="AF239" s="240"/>
      <c r="AG239" s="240"/>
      <c r="AH239" s="240"/>
      <c r="AI239" s="240"/>
      <c r="AJ239" s="240"/>
      <c r="AK239" s="240"/>
      <c r="AL239" s="240"/>
      <c r="AM239" s="240"/>
      <c r="AN239" s="240"/>
      <c r="AO239" s="240"/>
      <c r="AP239" s="240"/>
      <c r="AQ239" s="240"/>
      <c r="AR239" s="240"/>
      <c r="AS239" s="240"/>
      <c r="AT239" s="240"/>
      <c r="AU239" s="240"/>
      <c r="AV239" s="240"/>
      <c r="AW239" s="240"/>
      <c r="AX239" s="240"/>
      <c r="AY239" s="240"/>
      <c r="AZ239" s="240"/>
      <c r="BA239" s="240"/>
      <c r="BB239" s="240"/>
      <c r="BC239" s="240"/>
      <c r="BD239" s="240"/>
    </row>
    <row r="240" spans="1:80" ht="18.75" customHeight="1">
      <c r="A240" s="57"/>
      <c r="B240" s="240"/>
      <c r="C240" s="240" t="s">
        <v>539</v>
      </c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  <c r="AA240" s="240"/>
      <c r="AB240" s="240"/>
      <c r="AC240" s="240"/>
      <c r="AD240" s="240"/>
      <c r="AE240" s="240"/>
      <c r="AF240" s="240"/>
      <c r="AG240" s="240"/>
      <c r="AH240" s="240"/>
      <c r="AI240" s="240"/>
      <c r="AJ240" s="240"/>
      <c r="AK240" s="240"/>
      <c r="AL240" s="240"/>
      <c r="AM240" s="240"/>
      <c r="AN240" s="240"/>
      <c r="AO240" s="240"/>
      <c r="AP240" s="240"/>
      <c r="AQ240" s="240"/>
      <c r="AR240" s="240"/>
      <c r="AS240" s="240"/>
      <c r="AT240" s="240"/>
      <c r="AU240" s="240"/>
      <c r="AV240" s="240"/>
      <c r="AW240" s="240"/>
      <c r="AX240" s="240"/>
      <c r="AY240" s="240"/>
      <c r="AZ240" s="240"/>
      <c r="BA240" s="240"/>
      <c r="BB240" s="240"/>
      <c r="BC240" s="240"/>
      <c r="BD240" s="240"/>
    </row>
    <row r="241" spans="1:56" ht="18.75" customHeight="1">
      <c r="B241" s="240"/>
      <c r="C241" s="240" t="s">
        <v>540</v>
      </c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  <c r="AS241" s="240"/>
      <c r="AT241" s="240"/>
      <c r="AU241" s="240"/>
      <c r="AV241" s="240"/>
      <c r="AW241" s="240"/>
      <c r="AX241" s="240"/>
      <c r="AY241" s="240"/>
      <c r="AZ241" s="240"/>
      <c r="BA241" s="240"/>
      <c r="BB241" s="240"/>
      <c r="BC241" s="240"/>
      <c r="BD241" s="240"/>
    </row>
    <row r="242" spans="1:56" ht="18.75" customHeight="1">
      <c r="A242" s="240"/>
      <c r="B242" s="240"/>
      <c r="C242" s="56" t="s">
        <v>541</v>
      </c>
      <c r="AL242" s="240"/>
      <c r="AM242" s="240"/>
      <c r="AN242" s="240"/>
      <c r="AO242" s="240"/>
      <c r="AP242" s="240"/>
      <c r="AQ242" s="240"/>
      <c r="AR242" s="240"/>
      <c r="AS242" s="240"/>
      <c r="AT242" s="240"/>
      <c r="AU242" s="240"/>
      <c r="AV242" s="240"/>
      <c r="AW242" s="240"/>
      <c r="AX242" s="240"/>
      <c r="AY242" s="240"/>
      <c r="AZ242" s="240"/>
      <c r="BA242" s="240"/>
      <c r="BB242" s="240"/>
    </row>
    <row r="243" spans="1:56" ht="18.75" customHeight="1">
      <c r="A243" s="240"/>
      <c r="B243" s="240"/>
      <c r="AL243" s="240"/>
      <c r="AM243" s="240"/>
      <c r="AN243" s="240"/>
      <c r="AO243" s="240"/>
      <c r="AP243" s="240"/>
      <c r="AQ243" s="240"/>
      <c r="AR243" s="240"/>
      <c r="AS243" s="240"/>
      <c r="AT243" s="240"/>
      <c r="AU243" s="240"/>
      <c r="AV243" s="240"/>
      <c r="AW243" s="240"/>
      <c r="AX243" s="240"/>
      <c r="AY243" s="240"/>
      <c r="AZ243" s="240"/>
      <c r="BA243" s="240"/>
      <c r="BB243" s="240"/>
    </row>
    <row r="244" spans="1:56" ht="18.75" customHeight="1">
      <c r="A244" s="240"/>
      <c r="B244" s="240"/>
      <c r="C244" s="240"/>
      <c r="D244" s="240"/>
      <c r="E244" s="59"/>
      <c r="F244" s="240"/>
      <c r="G244" s="240"/>
      <c r="H244" s="210" t="s">
        <v>542</v>
      </c>
      <c r="I244" s="471" t="e">
        <f ca="1">Calcu!E77</f>
        <v>#N/A</v>
      </c>
      <c r="J244" s="471"/>
      <c r="K244" s="471"/>
      <c r="L244" s="235" t="s">
        <v>543</v>
      </c>
      <c r="M244" s="497" t="e">
        <f ca="1">F226</f>
        <v>#N/A</v>
      </c>
      <c r="N244" s="497"/>
      <c r="O244" s="497"/>
      <c r="P244" s="154"/>
      <c r="Q244" s="229"/>
      <c r="R244" s="517" t="e">
        <f ca="1">K226</f>
        <v>#N/A</v>
      </c>
      <c r="S244" s="472"/>
      <c r="T244" s="472"/>
      <c r="U244" s="240"/>
      <c r="V244" s="240"/>
      <c r="W244" s="240"/>
      <c r="X244" s="406" t="str">
        <f>Q226</f>
        <v>μm</v>
      </c>
      <c r="Y244" s="406"/>
      <c r="Z244" s="235" t="s">
        <v>544</v>
      </c>
      <c r="AA244" s="497" t="e">
        <f ca="1">Calcu!C66</f>
        <v>#N/A</v>
      </c>
      <c r="AB244" s="497"/>
      <c r="AC244" s="497"/>
      <c r="AD244" s="154"/>
      <c r="AE244" s="229"/>
      <c r="AF244" s="517" t="e">
        <f ca="1">Calcu!D66</f>
        <v>#N/A</v>
      </c>
      <c r="AG244" s="472"/>
      <c r="AH244" s="472"/>
      <c r="AI244" s="240"/>
      <c r="AJ244" s="240"/>
      <c r="AK244" s="240"/>
      <c r="AL244" s="406" t="str">
        <f>X244</f>
        <v>μm</v>
      </c>
      <c r="AM244" s="406"/>
      <c r="AN244" s="230" t="s">
        <v>545</v>
      </c>
      <c r="AO244" s="510" t="e">
        <f ca="1">AA244</f>
        <v>#N/A</v>
      </c>
      <c r="AP244" s="510"/>
      <c r="AQ244" s="510"/>
      <c r="AR244" s="154"/>
      <c r="AS244" s="521" t="e">
        <f ca="1">AF244</f>
        <v>#N/A</v>
      </c>
      <c r="AT244" s="521"/>
      <c r="AU244" s="521"/>
      <c r="AV244" s="228"/>
      <c r="AW244" s="240"/>
      <c r="AX244" s="240"/>
      <c r="AY244" s="240"/>
      <c r="AZ244" s="406" t="str">
        <f>AL244</f>
        <v>μm</v>
      </c>
      <c r="BA244" s="406"/>
    </row>
  </sheetData>
  <mergeCells count="753">
    <mergeCell ref="AZ244:BA244"/>
    <mergeCell ref="L231:O231"/>
    <mergeCell ref="Q231:T231"/>
    <mergeCell ref="V231:Y231"/>
    <mergeCell ref="AA231:AD231"/>
    <mergeCell ref="AF231:AI231"/>
    <mergeCell ref="AK231:AN231"/>
    <mergeCell ref="AP231:AS231"/>
    <mergeCell ref="AU231:AX231"/>
    <mergeCell ref="I244:K244"/>
    <mergeCell ref="M244:O244"/>
    <mergeCell ref="R244:T244"/>
    <mergeCell ref="X244:Y244"/>
    <mergeCell ref="AA244:AC244"/>
    <mergeCell ref="AF244:AH244"/>
    <mergeCell ref="AL244:AM244"/>
    <mergeCell ref="AO244:AQ244"/>
    <mergeCell ref="AS244:AU244"/>
    <mergeCell ref="F224:H224"/>
    <mergeCell ref="K224:L224"/>
    <mergeCell ref="M224:O224"/>
    <mergeCell ref="F226:H226"/>
    <mergeCell ref="K226:M226"/>
    <mergeCell ref="Q226:R226"/>
    <mergeCell ref="L229:AX229"/>
    <mergeCell ref="AY229:AY230"/>
    <mergeCell ref="AZ229:BD230"/>
    <mergeCell ref="L230:O230"/>
    <mergeCell ref="P230:P231"/>
    <mergeCell ref="Q230:T230"/>
    <mergeCell ref="U230:U231"/>
    <mergeCell ref="V230:Y230"/>
    <mergeCell ref="Z230:Z231"/>
    <mergeCell ref="AA230:AD230"/>
    <mergeCell ref="AE230:AE231"/>
    <mergeCell ref="AF230:AI230"/>
    <mergeCell ref="AJ230:AJ231"/>
    <mergeCell ref="AK230:AN230"/>
    <mergeCell ref="AO230:AO231"/>
    <mergeCell ref="AP230:AS230"/>
    <mergeCell ref="AT230:AT231"/>
    <mergeCell ref="AU230:AX230"/>
    <mergeCell ref="AM222:AP222"/>
    <mergeCell ref="F223:G223"/>
    <mergeCell ref="H223:K223"/>
    <mergeCell ref="P223:Q223"/>
    <mergeCell ref="R223:U223"/>
    <mergeCell ref="Z223:AA223"/>
    <mergeCell ref="AB223:AD223"/>
    <mergeCell ref="AH223:AI223"/>
    <mergeCell ref="AJ223:AL223"/>
    <mergeCell ref="C217:G218"/>
    <mergeCell ref="F222:H222"/>
    <mergeCell ref="K222:L222"/>
    <mergeCell ref="M222:O222"/>
    <mergeCell ref="T222:U222"/>
    <mergeCell ref="V222:X222"/>
    <mergeCell ref="AA222:AB222"/>
    <mergeCell ref="AC222:AF222"/>
    <mergeCell ref="AK222:AL222"/>
    <mergeCell ref="AB211:AC212"/>
    <mergeCell ref="O212:R212"/>
    <mergeCell ref="T212:W212"/>
    <mergeCell ref="I213:P213"/>
    <mergeCell ref="C214:H215"/>
    <mergeCell ref="N214:O215"/>
    <mergeCell ref="L216:M216"/>
    <mergeCell ref="O216:Q216"/>
    <mergeCell ref="R216:S216"/>
    <mergeCell ref="V216:X216"/>
    <mergeCell ref="Y211:AA212"/>
    <mergeCell ref="K211:M212"/>
    <mergeCell ref="N211:N212"/>
    <mergeCell ref="O211:R211"/>
    <mergeCell ref="S211:S212"/>
    <mergeCell ref="T211:U211"/>
    <mergeCell ref="X211:X212"/>
    <mergeCell ref="C190:G191"/>
    <mergeCell ref="H195:O195"/>
    <mergeCell ref="P196:R196"/>
    <mergeCell ref="K197:M198"/>
    <mergeCell ref="N197:N198"/>
    <mergeCell ref="O197:R197"/>
    <mergeCell ref="S197:S198"/>
    <mergeCell ref="T197:U197"/>
    <mergeCell ref="X197:X198"/>
    <mergeCell ref="T198:W198"/>
    <mergeCell ref="O198:R198"/>
    <mergeCell ref="C187:H188"/>
    <mergeCell ref="S187:U188"/>
    <mergeCell ref="V187:AC188"/>
    <mergeCell ref="AD187:AD188"/>
    <mergeCell ref="AE187:AH188"/>
    <mergeCell ref="AI187:AO188"/>
    <mergeCell ref="L189:N189"/>
    <mergeCell ref="O189:S189"/>
    <mergeCell ref="T189:W189"/>
    <mergeCell ref="Z189:AC189"/>
    <mergeCell ref="Z176:AA177"/>
    <mergeCell ref="H183:O183"/>
    <mergeCell ref="C184:I185"/>
    <mergeCell ref="J184:L185"/>
    <mergeCell ref="M184:M185"/>
    <mergeCell ref="N184:O184"/>
    <mergeCell ref="R184:R185"/>
    <mergeCell ref="S184:U185"/>
    <mergeCell ref="V184:W185"/>
    <mergeCell ref="C171:H172"/>
    <mergeCell ref="S171:T172"/>
    <mergeCell ref="U171:Z172"/>
    <mergeCell ref="AA171:AA172"/>
    <mergeCell ref="AB171:AD172"/>
    <mergeCell ref="AE171:AI172"/>
    <mergeCell ref="L173:N173"/>
    <mergeCell ref="AB173:AE173"/>
    <mergeCell ref="C174:G175"/>
    <mergeCell ref="U157:AB158"/>
    <mergeCell ref="AC157:AC158"/>
    <mergeCell ref="AD157:AG158"/>
    <mergeCell ref="AH157:AN158"/>
    <mergeCell ref="P159:T159"/>
    <mergeCell ref="U159:X159"/>
    <mergeCell ref="AA159:AD159"/>
    <mergeCell ref="H165:J165"/>
    <mergeCell ref="I170:P170"/>
    <mergeCell ref="AB146:AC147"/>
    <mergeCell ref="H153:O153"/>
    <mergeCell ref="C154:I155"/>
    <mergeCell ref="J154:L155"/>
    <mergeCell ref="M154:M155"/>
    <mergeCell ref="N154:O154"/>
    <mergeCell ref="R154:R155"/>
    <mergeCell ref="S154:U155"/>
    <mergeCell ref="V154:W155"/>
    <mergeCell ref="C141:H142"/>
    <mergeCell ref="R141:S142"/>
    <mergeCell ref="T141:Y142"/>
    <mergeCell ref="Z141:Z142"/>
    <mergeCell ref="AA141:AB142"/>
    <mergeCell ref="AC141:AG142"/>
    <mergeCell ref="L143:M143"/>
    <mergeCell ref="AA143:AD143"/>
    <mergeCell ref="C144:G145"/>
    <mergeCell ref="Y127:Z127"/>
    <mergeCell ref="H132:J132"/>
    <mergeCell ref="C133:I134"/>
    <mergeCell ref="J133:W134"/>
    <mergeCell ref="J135:Z136"/>
    <mergeCell ref="AA135:AE135"/>
    <mergeCell ref="AF135:AF136"/>
    <mergeCell ref="AG135:AL136"/>
    <mergeCell ref="AG138:AK139"/>
    <mergeCell ref="AO111:AP111"/>
    <mergeCell ref="I117:M117"/>
    <mergeCell ref="N117:O117"/>
    <mergeCell ref="Q118:S118"/>
    <mergeCell ref="T118:U118"/>
    <mergeCell ref="K119:M120"/>
    <mergeCell ref="N119:N120"/>
    <mergeCell ref="O119:P119"/>
    <mergeCell ref="Q119:Q120"/>
    <mergeCell ref="R119:T119"/>
    <mergeCell ref="U119:V119"/>
    <mergeCell ref="W119:W120"/>
    <mergeCell ref="X119:Z120"/>
    <mergeCell ref="AA119:AB120"/>
    <mergeCell ref="O120:P120"/>
    <mergeCell ref="R120:V120"/>
    <mergeCell ref="I108:M108"/>
    <mergeCell ref="C109:H110"/>
    <mergeCell ref="N109:O110"/>
    <mergeCell ref="L111:M111"/>
    <mergeCell ref="O111:Q111"/>
    <mergeCell ref="T111:V111"/>
    <mergeCell ref="Z111:AA111"/>
    <mergeCell ref="AD111:AF111"/>
    <mergeCell ref="AI111:AK111"/>
    <mergeCell ref="K106:M107"/>
    <mergeCell ref="N106:N107"/>
    <mergeCell ref="P106:Q106"/>
    <mergeCell ref="S106:U106"/>
    <mergeCell ref="Y106:Z106"/>
    <mergeCell ref="AA106:AA107"/>
    <mergeCell ref="AC106:AD107"/>
    <mergeCell ref="AF106:AI107"/>
    <mergeCell ref="AM106:AN107"/>
    <mergeCell ref="P107:Z107"/>
    <mergeCell ref="AH98:AK98"/>
    <mergeCell ref="AM98:AP98"/>
    <mergeCell ref="AR98:AU98"/>
    <mergeCell ref="AG100:AG101"/>
    <mergeCell ref="AH100:AL101"/>
    <mergeCell ref="K102:W102"/>
    <mergeCell ref="X102:Z102"/>
    <mergeCell ref="AB102:AE102"/>
    <mergeCell ref="AI102:AJ102"/>
    <mergeCell ref="AK94:AL95"/>
    <mergeCell ref="AM94:AM95"/>
    <mergeCell ref="AR94:AU95"/>
    <mergeCell ref="AX94:AY95"/>
    <mergeCell ref="K97:M97"/>
    <mergeCell ref="AC97:AF97"/>
    <mergeCell ref="AH97:AK97"/>
    <mergeCell ref="AM97:AP97"/>
    <mergeCell ref="AR97:AU97"/>
    <mergeCell ref="AW97:AZ97"/>
    <mergeCell ref="S94:T94"/>
    <mergeCell ref="P95:Y95"/>
    <mergeCell ref="AN94:AP95"/>
    <mergeCell ref="K94:M95"/>
    <mergeCell ref="N94:N95"/>
    <mergeCell ref="P94:Q94"/>
    <mergeCell ref="Z94:Z95"/>
    <mergeCell ref="AB94:AC95"/>
    <mergeCell ref="AE94:AG95"/>
    <mergeCell ref="AG84:AO84"/>
    <mergeCell ref="AP84:AV84"/>
    <mergeCell ref="AW84:BB84"/>
    <mergeCell ref="BC84:BF84"/>
    <mergeCell ref="AW85:BB85"/>
    <mergeCell ref="BC85:BF85"/>
    <mergeCell ref="O86:AA86"/>
    <mergeCell ref="AB86:AF86"/>
    <mergeCell ref="AG86:AO86"/>
    <mergeCell ref="AP86:AR86"/>
    <mergeCell ref="AU86:AW86"/>
    <mergeCell ref="BA86:BB86"/>
    <mergeCell ref="BC86:BF86"/>
    <mergeCell ref="AB85:AF85"/>
    <mergeCell ref="AG85:AO85"/>
    <mergeCell ref="AP85:AV85"/>
    <mergeCell ref="AG82:AJ82"/>
    <mergeCell ref="AK82:AO82"/>
    <mergeCell ref="AP82:AV82"/>
    <mergeCell ref="AW82:BB82"/>
    <mergeCell ref="BC82:BF82"/>
    <mergeCell ref="AB83:AF83"/>
    <mergeCell ref="AG83:AJ83"/>
    <mergeCell ref="AK83:AO83"/>
    <mergeCell ref="AP83:AV83"/>
    <mergeCell ref="AW83:BB83"/>
    <mergeCell ref="BC83:BF83"/>
    <mergeCell ref="AG80:AJ80"/>
    <mergeCell ref="AK80:AO80"/>
    <mergeCell ref="AP80:AV80"/>
    <mergeCell ref="AW80:BB80"/>
    <mergeCell ref="BC80:BF80"/>
    <mergeCell ref="O81:U81"/>
    <mergeCell ref="V81:AA81"/>
    <mergeCell ref="AB81:AF81"/>
    <mergeCell ref="AG81:AJ81"/>
    <mergeCell ref="AK81:AO81"/>
    <mergeCell ref="AP81:AV81"/>
    <mergeCell ref="AW81:BB81"/>
    <mergeCell ref="BC81:BF81"/>
    <mergeCell ref="AG78:AO78"/>
    <mergeCell ref="AP78:AR78"/>
    <mergeCell ref="AU78:AW78"/>
    <mergeCell ref="BA78:BB78"/>
    <mergeCell ref="BC78:BF78"/>
    <mergeCell ref="O79:U79"/>
    <mergeCell ref="V79:AA79"/>
    <mergeCell ref="AB79:AF79"/>
    <mergeCell ref="AG79:AO79"/>
    <mergeCell ref="AP79:AV79"/>
    <mergeCell ref="AW79:BB79"/>
    <mergeCell ref="BC79:BF79"/>
    <mergeCell ref="AP75:BB75"/>
    <mergeCell ref="BC75:BF75"/>
    <mergeCell ref="O76:AA76"/>
    <mergeCell ref="AB76:AF76"/>
    <mergeCell ref="AG76:AO76"/>
    <mergeCell ref="AP76:BB76"/>
    <mergeCell ref="BC76:BF76"/>
    <mergeCell ref="O77:AA77"/>
    <mergeCell ref="AB77:AF77"/>
    <mergeCell ref="AG77:AO77"/>
    <mergeCell ref="AP77:BB77"/>
    <mergeCell ref="BC77:BF77"/>
    <mergeCell ref="AB75:AF75"/>
    <mergeCell ref="AG75:AO75"/>
    <mergeCell ref="O75:AA75"/>
    <mergeCell ref="O210:Q210"/>
    <mergeCell ref="K122:M123"/>
    <mergeCell ref="N122:N123"/>
    <mergeCell ref="O122:P122"/>
    <mergeCell ref="Q122:Q123"/>
    <mergeCell ref="R122:T122"/>
    <mergeCell ref="U122:V122"/>
    <mergeCell ref="W122:W123"/>
    <mergeCell ref="O123:P123"/>
    <mergeCell ref="R123:V123"/>
    <mergeCell ref="I199:P199"/>
    <mergeCell ref="N200:O201"/>
    <mergeCell ref="L202:M202"/>
    <mergeCell ref="O202:Q202"/>
    <mergeCell ref="R202:S202"/>
    <mergeCell ref="V202:X202"/>
    <mergeCell ref="I186:P186"/>
    <mergeCell ref="N125:O126"/>
    <mergeCell ref="L127:M127"/>
    <mergeCell ref="O127:Q127"/>
    <mergeCell ref="R127:S127"/>
    <mergeCell ref="V127:X127"/>
    <mergeCell ref="I140:P140"/>
    <mergeCell ref="R157:T158"/>
    <mergeCell ref="Q30:U30"/>
    <mergeCell ref="C200:H201"/>
    <mergeCell ref="C203:G204"/>
    <mergeCell ref="H209:O209"/>
    <mergeCell ref="Y197:AA198"/>
    <mergeCell ref="AB197:AC198"/>
    <mergeCell ref="O78:Q78"/>
    <mergeCell ref="T78:V78"/>
    <mergeCell ref="Z78:AA78"/>
    <mergeCell ref="AB78:AF78"/>
    <mergeCell ref="O80:W80"/>
    <mergeCell ref="X80:AA80"/>
    <mergeCell ref="AB80:AF80"/>
    <mergeCell ref="O82:W82"/>
    <mergeCell ref="X82:AA82"/>
    <mergeCell ref="AB82:AF82"/>
    <mergeCell ref="O84:U84"/>
    <mergeCell ref="V84:AA84"/>
    <mergeCell ref="AB84:AF84"/>
    <mergeCell ref="G30:K30"/>
    <mergeCell ref="Y92:Z92"/>
    <mergeCell ref="AB92:AC92"/>
    <mergeCell ref="AC98:AF98"/>
    <mergeCell ref="AB104:AD104"/>
    <mergeCell ref="N4:S4"/>
    <mergeCell ref="T4:Y4"/>
    <mergeCell ref="N5:S5"/>
    <mergeCell ref="T5:Y5"/>
    <mergeCell ref="V9:Z9"/>
    <mergeCell ref="L17:P17"/>
    <mergeCell ref="Q17:U17"/>
    <mergeCell ref="V17:Z17"/>
    <mergeCell ref="V15:Z15"/>
    <mergeCell ref="Z4:AE4"/>
    <mergeCell ref="Z5:AE5"/>
    <mergeCell ref="AA10:AE10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B26:F26"/>
    <mergeCell ref="G26:K26"/>
    <mergeCell ref="L26:P26"/>
    <mergeCell ref="Q26:U26"/>
    <mergeCell ref="V30:Z30"/>
    <mergeCell ref="B27:F27"/>
    <mergeCell ref="G27:K27"/>
    <mergeCell ref="L27:P27"/>
    <mergeCell ref="Q27:U27"/>
    <mergeCell ref="B30:F30"/>
    <mergeCell ref="L30:P30"/>
    <mergeCell ref="Q25:U25"/>
    <mergeCell ref="B79:C79"/>
    <mergeCell ref="D79:G79"/>
    <mergeCell ref="B78:C78"/>
    <mergeCell ref="AA9:AE9"/>
    <mergeCell ref="B10:F10"/>
    <mergeCell ref="M85:N8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B15:F15"/>
    <mergeCell ref="B29:F29"/>
    <mergeCell ref="AF19:AJ19"/>
    <mergeCell ref="AK19:AO19"/>
    <mergeCell ref="B80:C80"/>
    <mergeCell ref="D80:G80"/>
    <mergeCell ref="G10:K10"/>
    <mergeCell ref="L10:P10"/>
    <mergeCell ref="Q10:U10"/>
    <mergeCell ref="V10:Z10"/>
    <mergeCell ref="H79:L79"/>
    <mergeCell ref="D78:G78"/>
    <mergeCell ref="H78:L78"/>
    <mergeCell ref="B13:F13"/>
    <mergeCell ref="G13:K13"/>
    <mergeCell ref="L13:P13"/>
    <mergeCell ref="Q13:U13"/>
    <mergeCell ref="V13:Z13"/>
    <mergeCell ref="B17:F17"/>
    <mergeCell ref="G17:K17"/>
    <mergeCell ref="Q11:U11"/>
    <mergeCell ref="V11:Z11"/>
    <mergeCell ref="B22:F22"/>
    <mergeCell ref="G22:K22"/>
    <mergeCell ref="L22:P22"/>
    <mergeCell ref="Q22:U22"/>
    <mergeCell ref="AF11:AJ11"/>
    <mergeCell ref="AK11:AO11"/>
    <mergeCell ref="AF10:AJ10"/>
    <mergeCell ref="AF51:AJ51"/>
    <mergeCell ref="M79:N79"/>
    <mergeCell ref="M78:N78"/>
    <mergeCell ref="AA13:AE13"/>
    <mergeCell ref="AF13:AJ13"/>
    <mergeCell ref="AK13:AO13"/>
    <mergeCell ref="AK16:AO16"/>
    <mergeCell ref="L15:P15"/>
    <mergeCell ref="AF14:AJ14"/>
    <mergeCell ref="AK14:AO14"/>
    <mergeCell ref="Q15:U15"/>
    <mergeCell ref="V25:Z25"/>
    <mergeCell ref="AA25:AE25"/>
    <mergeCell ref="AF25:AJ25"/>
    <mergeCell ref="AK25:AO25"/>
    <mergeCell ref="AK51:AO51"/>
    <mergeCell ref="AA15:AE15"/>
    <mergeCell ref="AF15:AJ15"/>
    <mergeCell ref="AK15:AO15"/>
    <mergeCell ref="AK18:AO18"/>
    <mergeCell ref="AA19:AE19"/>
    <mergeCell ref="AK17:AO17"/>
    <mergeCell ref="V16:Z16"/>
    <mergeCell ref="AA16:AE16"/>
    <mergeCell ref="AF16:AJ16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AA11:AE11"/>
    <mergeCell ref="G15:K15"/>
    <mergeCell ref="B18:F18"/>
    <mergeCell ref="G18:K18"/>
    <mergeCell ref="L18:P18"/>
    <mergeCell ref="Q18:U18"/>
    <mergeCell ref="V18:Z18"/>
    <mergeCell ref="AA18:AE18"/>
    <mergeCell ref="AF18:AJ18"/>
    <mergeCell ref="G16:K16"/>
    <mergeCell ref="L16:P16"/>
    <mergeCell ref="Q16:U16"/>
    <mergeCell ref="AA17:AE17"/>
    <mergeCell ref="AF17:AJ17"/>
    <mergeCell ref="B16:F16"/>
    <mergeCell ref="B19:F19"/>
    <mergeCell ref="G19:K19"/>
    <mergeCell ref="L19:P19"/>
    <mergeCell ref="Q19:U19"/>
    <mergeCell ref="V19:Z19"/>
    <mergeCell ref="B20:F20"/>
    <mergeCell ref="G20:K20"/>
    <mergeCell ref="L20:P20"/>
    <mergeCell ref="Q20:U20"/>
    <mergeCell ref="V20:Z20"/>
    <mergeCell ref="AF20:AJ20"/>
    <mergeCell ref="AK20:AO20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V22:Z22"/>
    <mergeCell ref="AA20:AE20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V27:Z27"/>
    <mergeCell ref="AF27:AJ27"/>
    <mergeCell ref="AK27:AO27"/>
    <mergeCell ref="AA27:AE27"/>
    <mergeCell ref="AA30:AE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Q35:U35"/>
    <mergeCell ref="V35:Z35"/>
    <mergeCell ref="AA35:AE35"/>
    <mergeCell ref="B37:F37"/>
    <mergeCell ref="C66:E66"/>
    <mergeCell ref="B75:C77"/>
    <mergeCell ref="D75:G75"/>
    <mergeCell ref="H75:N75"/>
    <mergeCell ref="D76:G76"/>
    <mergeCell ref="H76:N76"/>
    <mergeCell ref="C60:E60"/>
    <mergeCell ref="C61:E61"/>
    <mergeCell ref="C62:E62"/>
    <mergeCell ref="C63:E63"/>
    <mergeCell ref="C64:E64"/>
    <mergeCell ref="C65:E65"/>
    <mergeCell ref="D77:G77"/>
    <mergeCell ref="H77:N77"/>
    <mergeCell ref="D82:G82"/>
    <mergeCell ref="H82:L82"/>
    <mergeCell ref="M82:N82"/>
    <mergeCell ref="H80:L80"/>
    <mergeCell ref="M80:N80"/>
    <mergeCell ref="D81:G81"/>
    <mergeCell ref="H81:L81"/>
    <mergeCell ref="B82:C82"/>
    <mergeCell ref="B83:C83"/>
    <mergeCell ref="D83:G83"/>
    <mergeCell ref="H83:L83"/>
    <mergeCell ref="M83:N83"/>
    <mergeCell ref="M81:N81"/>
    <mergeCell ref="B81:C81"/>
    <mergeCell ref="V83:AA83"/>
    <mergeCell ref="M86:N86"/>
    <mergeCell ref="B85:C85"/>
    <mergeCell ref="D85:G85"/>
    <mergeCell ref="H85:L85"/>
    <mergeCell ref="O85:U85"/>
    <mergeCell ref="V85:AA85"/>
    <mergeCell ref="B86:C86"/>
    <mergeCell ref="D86:G86"/>
    <mergeCell ref="H86:L86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C160:G161"/>
    <mergeCell ref="C157:H158"/>
    <mergeCell ref="B49:F49"/>
    <mergeCell ref="G49:K49"/>
    <mergeCell ref="L49:P49"/>
    <mergeCell ref="Q49:U49"/>
    <mergeCell ref="V49:Z49"/>
    <mergeCell ref="AA49:AE49"/>
    <mergeCell ref="AF49:AJ49"/>
    <mergeCell ref="I90:M90"/>
    <mergeCell ref="N90:O90"/>
    <mergeCell ref="L159:O159"/>
    <mergeCell ref="X98:AA98"/>
    <mergeCell ref="Y104:Z104"/>
    <mergeCell ref="X122:Z123"/>
    <mergeCell ref="AA122:AB123"/>
    <mergeCell ref="I124:P124"/>
    <mergeCell ref="C125:H126"/>
    <mergeCell ref="I156:P156"/>
    <mergeCell ref="D84:G84"/>
    <mergeCell ref="H84:L84"/>
    <mergeCell ref="B84:C84"/>
    <mergeCell ref="M84:N84"/>
    <mergeCell ref="O83:U8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111"/>
  <sheetViews>
    <sheetView showGridLines="0" zoomScaleNormal="100" workbookViewId="0"/>
  </sheetViews>
  <sheetFormatPr defaultColWidth="8.77734375" defaultRowHeight="18" customHeight="1"/>
  <cols>
    <col min="1" max="1" width="2.77734375" style="122" customWidth="1"/>
    <col min="2" max="2" width="8.77734375" style="124"/>
    <col min="3" max="3" width="10.77734375" style="124" bestFit="1" customWidth="1"/>
    <col min="4" max="4" width="8.77734375" style="124"/>
    <col min="5" max="21" width="8.77734375" style="123"/>
    <col min="22" max="44" width="8.77734375" style="122"/>
    <col min="45" max="45" width="9.109375" style="122" bestFit="1" customWidth="1"/>
    <col min="46" max="16384" width="8.77734375" style="122"/>
  </cols>
  <sheetData>
    <row r="1" spans="1:52" ht="15" customHeight="1">
      <c r="A1" s="119" t="s">
        <v>228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52" ht="24">
      <c r="B2" s="244" t="s">
        <v>323</v>
      </c>
      <c r="C2" s="226" t="s">
        <v>165</v>
      </c>
      <c r="D2" s="226" t="s">
        <v>229</v>
      </c>
      <c r="E2" s="226" t="s">
        <v>230</v>
      </c>
      <c r="F2" s="226" t="s">
        <v>231</v>
      </c>
      <c r="G2" s="226" t="s">
        <v>232</v>
      </c>
      <c r="H2" s="226" t="s">
        <v>166</v>
      </c>
      <c r="I2" s="226" t="s">
        <v>233</v>
      </c>
      <c r="J2" s="226" t="s">
        <v>234</v>
      </c>
      <c r="K2" s="226" t="s">
        <v>235</v>
      </c>
      <c r="L2" s="226" t="s">
        <v>236</v>
      </c>
      <c r="M2" s="285" t="s">
        <v>553</v>
      </c>
      <c r="N2" s="226" t="s">
        <v>237</v>
      </c>
      <c r="O2" s="312" t="s">
        <v>605</v>
      </c>
      <c r="P2" s="226" t="s">
        <v>167</v>
      </c>
      <c r="Q2" s="226" t="s">
        <v>238</v>
      </c>
      <c r="R2" s="226" t="s">
        <v>168</v>
      </c>
      <c r="S2" s="226" t="s">
        <v>239</v>
      </c>
      <c r="T2" s="183" t="s">
        <v>120</v>
      </c>
      <c r="U2" s="183" t="s">
        <v>121</v>
      </c>
    </row>
    <row r="3" spans="1:52" ht="15" customHeight="1">
      <c r="B3" s="176" t="e">
        <f ca="1">VLOOKUP(G54,R69:U71,3,FALSE)</f>
        <v>#N/A</v>
      </c>
      <c r="C3" s="176" t="e">
        <f>D3</f>
        <v>#DIV/0!</v>
      </c>
      <c r="D3" s="176" t="e">
        <f>AVERAGE(기본정보!B12:B13)</f>
        <v>#DIV/0!</v>
      </c>
      <c r="E3" s="176">
        <f>MIN(C9:C49)</f>
        <v>0</v>
      </c>
      <c r="F3" s="176">
        <f>MAX(C9:C49)</f>
        <v>0</v>
      </c>
      <c r="G3" s="176">
        <f>Length_1!G4</f>
        <v>0</v>
      </c>
      <c r="H3" s="176">
        <f>Length_1!H4</f>
        <v>0</v>
      </c>
      <c r="I3" s="176">
        <f>Length_1!I4</f>
        <v>0</v>
      </c>
      <c r="J3" s="176">
        <f>IF(I3="inch",25.4,1)</f>
        <v>1</v>
      </c>
      <c r="K3" s="176">
        <f>MIN(T9:T49)</f>
        <v>0</v>
      </c>
      <c r="L3" s="176">
        <f>MAX(T9:T49)</f>
        <v>0</v>
      </c>
      <c r="M3" s="176" t="str">
        <f>TEXT(L3,IF(L3&gt;=1000,"# ###","G/표준"))</f>
        <v>0</v>
      </c>
      <c r="N3" s="176">
        <f>G3*J3</f>
        <v>0</v>
      </c>
      <c r="O3" s="176" t="str">
        <f ca="1">TEXT(N3,OFFSET(P70,MATCH(IFERROR(LEN(N3)-FIND(".",N3),0),O71:O80,0),0))</f>
        <v>0</v>
      </c>
      <c r="P3" s="176">
        <f>H3*J3</f>
        <v>0</v>
      </c>
      <c r="Q3" s="176" t="e">
        <f ca="1">OFFSET(Length_1!C3,MATCH($L3,$T9:$T49,0),0)</f>
        <v>#N/A</v>
      </c>
      <c r="R3" s="176" t="e">
        <f ca="1">OFFSET(Length_1!D3,MATCH($L3,$T9:$T49,0),0)</f>
        <v>#N/A</v>
      </c>
      <c r="S3" s="176" t="e">
        <f ca="1">OFFSET(Length_1!E3,MATCH($L3,$T9:$T49,0),0)</f>
        <v>#N/A</v>
      </c>
      <c r="T3" s="130" t="e">
        <f ca="1">IF(SUM(R66)=0,"","초과")</f>
        <v>#N/A</v>
      </c>
      <c r="U3" s="257" t="str">
        <f>IF(SUM(AE8)=0,"PASS","FAIL")</f>
        <v>PASS</v>
      </c>
    </row>
    <row r="4" spans="1:52" ht="15" customHeight="1">
      <c r="B4" s="120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52" ht="15" customHeight="1">
      <c r="A5" s="119" t="s">
        <v>240</v>
      </c>
      <c r="C5" s="12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2"/>
      <c r="Y5" s="132" t="s">
        <v>241</v>
      </c>
    </row>
    <row r="6" spans="1:52" ht="15" customHeight="1">
      <c r="B6" s="522" t="s">
        <v>242</v>
      </c>
      <c r="C6" s="531" t="s">
        <v>243</v>
      </c>
      <c r="D6" s="531" t="s">
        <v>177</v>
      </c>
      <c r="E6" s="547" t="s">
        <v>169</v>
      </c>
      <c r="F6" s="547"/>
      <c r="G6" s="547"/>
      <c r="H6" s="547"/>
      <c r="I6" s="547"/>
      <c r="J6" s="547"/>
      <c r="K6" s="550" t="s">
        <v>244</v>
      </c>
      <c r="L6" s="226" t="s">
        <v>245</v>
      </c>
      <c r="M6" s="226" t="s">
        <v>199</v>
      </c>
      <c r="N6" s="528" t="s">
        <v>246</v>
      </c>
      <c r="O6" s="529"/>
      <c r="P6" s="530"/>
      <c r="Q6" s="226" t="s">
        <v>247</v>
      </c>
      <c r="R6" s="184" t="s">
        <v>248</v>
      </c>
      <c r="S6" s="226" t="s">
        <v>249</v>
      </c>
      <c r="T6" s="226" t="s">
        <v>243</v>
      </c>
      <c r="U6" s="226" t="s">
        <v>250</v>
      </c>
      <c r="V6" s="528" t="s">
        <v>251</v>
      </c>
      <c r="W6" s="530"/>
      <c r="X6" s="125"/>
      <c r="Y6" s="548" t="s">
        <v>252</v>
      </c>
      <c r="Z6" s="549"/>
      <c r="AA6" s="541" t="s">
        <v>253</v>
      </c>
      <c r="AB6" s="542"/>
      <c r="AC6" s="542"/>
      <c r="AD6" s="542"/>
      <c r="AE6" s="542"/>
      <c r="AF6" s="542"/>
      <c r="AH6" s="131" t="s">
        <v>254</v>
      </c>
      <c r="AI6" s="124"/>
      <c r="AJ6" s="124"/>
      <c r="AK6" s="123"/>
      <c r="AL6" s="123"/>
      <c r="AM6" s="123"/>
      <c r="AN6" s="123"/>
      <c r="AO6" s="123"/>
      <c r="AP6" s="121"/>
      <c r="AS6" s="123"/>
      <c r="AT6" s="123"/>
      <c r="AU6" s="123"/>
      <c r="AV6" s="123"/>
      <c r="AW6" s="123"/>
      <c r="AX6" s="123"/>
    </row>
    <row r="7" spans="1:52" ht="15" customHeight="1">
      <c r="B7" s="522"/>
      <c r="C7" s="532"/>
      <c r="D7" s="532"/>
      <c r="E7" s="185" t="s">
        <v>255</v>
      </c>
      <c r="F7" s="227" t="s">
        <v>256</v>
      </c>
      <c r="G7" s="185" t="s">
        <v>112</v>
      </c>
      <c r="H7" s="227" t="s">
        <v>113</v>
      </c>
      <c r="I7" s="185" t="s">
        <v>114</v>
      </c>
      <c r="J7" s="227" t="s">
        <v>257</v>
      </c>
      <c r="K7" s="551"/>
      <c r="L7" s="226" t="s">
        <v>258</v>
      </c>
      <c r="M7" s="226" t="s">
        <v>259</v>
      </c>
      <c r="N7" s="226" t="s">
        <v>260</v>
      </c>
      <c r="O7" s="226" t="s">
        <v>261</v>
      </c>
      <c r="P7" s="226" t="s">
        <v>262</v>
      </c>
      <c r="Q7" s="226" t="s">
        <v>263</v>
      </c>
      <c r="R7" s="226" t="s">
        <v>264</v>
      </c>
      <c r="S7" s="226" t="s">
        <v>265</v>
      </c>
      <c r="T7" s="226" t="s">
        <v>266</v>
      </c>
      <c r="U7" s="226" t="s">
        <v>267</v>
      </c>
      <c r="V7" s="226" t="s">
        <v>250</v>
      </c>
      <c r="W7" s="226" t="s">
        <v>268</v>
      </c>
      <c r="X7" s="125"/>
      <c r="Y7" s="221" t="s">
        <v>269</v>
      </c>
      <c r="Z7" s="221" t="s">
        <v>270</v>
      </c>
      <c r="AA7" s="226" t="s">
        <v>271</v>
      </c>
      <c r="AB7" s="225" t="s">
        <v>250</v>
      </c>
      <c r="AC7" s="226" t="s">
        <v>268</v>
      </c>
      <c r="AD7" s="220" t="s">
        <v>252</v>
      </c>
      <c r="AE7" s="220" t="s">
        <v>272</v>
      </c>
      <c r="AF7" s="220" t="s">
        <v>554</v>
      </c>
      <c r="AH7" s="531" t="s">
        <v>243</v>
      </c>
      <c r="AI7" s="535" t="s">
        <v>273</v>
      </c>
      <c r="AJ7" s="536"/>
      <c r="AK7" s="536"/>
      <c r="AL7" s="536"/>
      <c r="AM7" s="537"/>
      <c r="AN7" s="535" t="s">
        <v>178</v>
      </c>
      <c r="AO7" s="536"/>
      <c r="AP7" s="536"/>
      <c r="AQ7" s="536"/>
      <c r="AR7" s="537"/>
      <c r="AS7" s="227" t="s">
        <v>274</v>
      </c>
      <c r="AT7" s="227" t="s">
        <v>170</v>
      </c>
      <c r="AU7" s="227" t="s">
        <v>171</v>
      </c>
      <c r="AV7" s="227" t="s">
        <v>172</v>
      </c>
      <c r="AW7" s="227" t="s">
        <v>173</v>
      </c>
      <c r="AX7" s="538" t="s">
        <v>275</v>
      </c>
      <c r="AY7" s="522" t="s">
        <v>276</v>
      </c>
      <c r="AZ7" s="522"/>
    </row>
    <row r="8" spans="1:52" ht="15" customHeight="1">
      <c r="B8" s="522"/>
      <c r="C8" s="533"/>
      <c r="D8" s="533"/>
      <c r="E8" s="227">
        <f>I3</f>
        <v>0</v>
      </c>
      <c r="F8" s="227">
        <f t="shared" ref="F8:J8" si="0">E8</f>
        <v>0</v>
      </c>
      <c r="G8" s="227">
        <f t="shared" si="0"/>
        <v>0</v>
      </c>
      <c r="H8" s="227">
        <f t="shared" si="0"/>
        <v>0</v>
      </c>
      <c r="I8" s="227">
        <f t="shared" si="0"/>
        <v>0</v>
      </c>
      <c r="J8" s="227">
        <f t="shared" si="0"/>
        <v>0</v>
      </c>
      <c r="K8" s="226" t="s">
        <v>193</v>
      </c>
      <c r="L8" s="226" t="s">
        <v>193</v>
      </c>
      <c r="M8" s="226" t="s">
        <v>193</v>
      </c>
      <c r="N8" s="222" t="s">
        <v>203</v>
      </c>
      <c r="O8" s="222" t="s">
        <v>203</v>
      </c>
      <c r="P8" s="222" t="s">
        <v>203</v>
      </c>
      <c r="Q8" s="222" t="s">
        <v>208</v>
      </c>
      <c r="R8" s="222" t="s">
        <v>212</v>
      </c>
      <c r="S8" s="222" t="s">
        <v>208</v>
      </c>
      <c r="T8" s="226" t="s">
        <v>200</v>
      </c>
      <c r="U8" s="226" t="s">
        <v>200</v>
      </c>
      <c r="V8" s="226" t="s">
        <v>200</v>
      </c>
      <c r="W8" s="226" t="s">
        <v>200</v>
      </c>
      <c r="X8" s="125"/>
      <c r="Y8" s="221" t="s">
        <v>200</v>
      </c>
      <c r="Z8" s="221" t="s">
        <v>200</v>
      </c>
      <c r="AA8" s="226" t="s">
        <v>200</v>
      </c>
      <c r="AB8" s="226" t="s">
        <v>200</v>
      </c>
      <c r="AC8" s="226" t="s">
        <v>200</v>
      </c>
      <c r="AD8" s="220" t="s">
        <v>200</v>
      </c>
      <c r="AE8" s="309">
        <f>IF(TYPE(MATCH("FAIL",AE9:AE49,0))=16,0,1)</f>
        <v>0</v>
      </c>
      <c r="AF8" s="220" t="s">
        <v>555</v>
      </c>
      <c r="AH8" s="534"/>
      <c r="AI8" s="227">
        <v>1</v>
      </c>
      <c r="AJ8" s="227">
        <v>2</v>
      </c>
      <c r="AK8" s="227">
        <v>3</v>
      </c>
      <c r="AL8" s="227">
        <v>4</v>
      </c>
      <c r="AM8" s="227">
        <v>5</v>
      </c>
      <c r="AN8" s="227" t="s">
        <v>277</v>
      </c>
      <c r="AO8" s="227" t="s">
        <v>278</v>
      </c>
      <c r="AP8" s="227" t="s">
        <v>279</v>
      </c>
      <c r="AQ8" s="227" t="s">
        <v>280</v>
      </c>
      <c r="AR8" s="227" t="s">
        <v>281</v>
      </c>
      <c r="AS8" s="227" t="s">
        <v>224</v>
      </c>
      <c r="AT8" s="227" t="s">
        <v>224</v>
      </c>
      <c r="AU8" s="227" t="s">
        <v>224</v>
      </c>
      <c r="AV8" s="227" t="s">
        <v>224</v>
      </c>
      <c r="AW8" s="227" t="s">
        <v>224</v>
      </c>
      <c r="AX8" s="539"/>
      <c r="AY8" s="226">
        <v>1</v>
      </c>
      <c r="AZ8" s="226">
        <v>2</v>
      </c>
    </row>
    <row r="9" spans="1:52" ht="15" customHeight="1">
      <c r="B9" s="182" t="b">
        <f>IF(TRIM(Length_1!A4)="",FALSE,TRUE)</f>
        <v>0</v>
      </c>
      <c r="C9" s="176" t="str">
        <f>IF($B9=FALSE,"",VALUE(Length_1!A4))</f>
        <v/>
      </c>
      <c r="D9" s="176" t="str">
        <f>IF($B9=FALSE,"",Length_1!B4)</f>
        <v/>
      </c>
      <c r="E9" s="182" t="str">
        <f>IF(B9=FALSE,"",Length_1!M4)</f>
        <v/>
      </c>
      <c r="F9" s="182" t="str">
        <f>IF(B9=FALSE,"",Length_1!N4)</f>
        <v/>
      </c>
      <c r="G9" s="182" t="str">
        <f>IF(B9=FALSE,"",Length_1!O4)</f>
        <v/>
      </c>
      <c r="H9" s="182" t="str">
        <f>IF(B9=FALSE,"",Length_1!P4)</f>
        <v/>
      </c>
      <c r="I9" s="182" t="str">
        <f>IF(B9=FALSE,"",Length_1!Q4)</f>
        <v/>
      </c>
      <c r="J9" s="176" t="str">
        <f t="shared" ref="J9:J49" si="1">IF(B9=FALSE,"",AVERAGE(E9:I9))</f>
        <v/>
      </c>
      <c r="K9" s="186" t="str">
        <f t="shared" ref="K9:K49" si="2">IF(B9=FALSE,"",STDEV(E9:I9)*J$3)</f>
        <v/>
      </c>
      <c r="L9" s="187" t="str">
        <f>IF(B9=FALSE,"",Length_1!D48)</f>
        <v/>
      </c>
      <c r="M9" s="188" t="str">
        <f>IF(B9=FALSE,"",Calcu!J9*J$3)</f>
        <v/>
      </c>
      <c r="N9" s="189" t="str">
        <f t="shared" ref="N9:N49" si="3">IF(B9=FALSE,"",11.5*10^-6)</f>
        <v/>
      </c>
      <c r="O9" s="189" t="str">
        <f>IF(B9=FALSE,"",Length_1!F48)</f>
        <v/>
      </c>
      <c r="P9" s="189" t="str">
        <f t="shared" ref="P9:P49" si="4">IF(B9=FALSE,"",AVERAGE(N9:O9))</f>
        <v/>
      </c>
      <c r="Q9" s="176" t="str">
        <f t="shared" ref="Q9:Q49" si="5">IF(B9=FALSE,"",C$3-D$3)</f>
        <v/>
      </c>
      <c r="R9" s="176" t="str">
        <f t="shared" ref="R9:R49" si="6">IF(B9=FALSE,"",N9-O9)</f>
        <v/>
      </c>
      <c r="S9" s="283" t="str">
        <f t="shared" ref="S9:S49" si="7">IF(B9=FALSE,"",AVERAGE(C$3:D$3)-20)</f>
        <v/>
      </c>
      <c r="T9" s="190" t="str">
        <f t="shared" ref="T9:T49" si="8">IF(B9=FALSE,"",C9*J$3)</f>
        <v/>
      </c>
      <c r="U9" s="191" t="str">
        <f t="shared" ref="U9:U49" si="9">IF(B9=FALSE,"",L9-M9-(P9*Q9+R9*S9)*T9)</f>
        <v/>
      </c>
      <c r="V9" s="176" t="str">
        <f>IF($B9=FALSE,"",ROUND(U9,$L$66))</f>
        <v/>
      </c>
      <c r="W9" s="176" t="str">
        <f>IF($B9=FALSE,"",ROUND(T9+V9,$L$66))</f>
        <v/>
      </c>
      <c r="X9" s="125"/>
      <c r="Y9" s="176">
        <f>IF(Length_1!J4&lt;0,ROUNDUP(Length_1!J4*J$3,$L$66),ROUNDDOWN(Length_1!J4*J$3,$L$66))</f>
        <v>0</v>
      </c>
      <c r="Z9" s="176">
        <f>IF(Length_1!K4&lt;0,ROUNDDOWN(Length_1!K4*J$3,$L$66),ROUNDUP(Length_1!K4*J$3,$L$66))</f>
        <v>0</v>
      </c>
      <c r="AA9" s="176" t="str">
        <f t="shared" ref="AA9:AA49" ca="1" si="10">TEXT(T9,IF(T9&gt;=1000,"# ##","")&amp;$P$66)</f>
        <v/>
      </c>
      <c r="AB9" s="179" t="str">
        <f t="shared" ref="AB9:AB49" ca="1" si="11">TEXT(V9,$P$66)</f>
        <v/>
      </c>
      <c r="AC9" s="176" t="str">
        <f t="shared" ref="AC9:AC49" ca="1" si="12">TEXT(W9,IF(W9&gt;=1000,"# ##","")&amp;$P$66)</f>
        <v/>
      </c>
      <c r="AD9" s="176" t="e">
        <f t="shared" ref="AD9:AD49" ca="1" si="13">"± "&amp;TEXT(Z9-T9,P$66)</f>
        <v>#VALUE!</v>
      </c>
      <c r="AE9" s="176" t="str">
        <f>IF($B9=FALSE,"",IF(AND(Y9&lt;=W9,W9&lt;=Z9),"PASS","FAIL"))</f>
        <v/>
      </c>
      <c r="AF9" s="176" t="e">
        <f t="shared" ref="AF9:AF49" ca="1" si="14">S$66</f>
        <v>#N/A</v>
      </c>
      <c r="AH9" s="126" t="str">
        <f t="shared" ref="AH9:AH49" si="15">T9</f>
        <v/>
      </c>
      <c r="AI9" s="126">
        <f>Length_1!G48</f>
        <v>0</v>
      </c>
      <c r="AJ9" s="126">
        <f>Length_1!H48</f>
        <v>0</v>
      </c>
      <c r="AK9" s="126">
        <f>Length_1!I48</f>
        <v>0</v>
      </c>
      <c r="AL9" s="126">
        <f>Length_1!J48</f>
        <v>0</v>
      </c>
      <c r="AM9" s="126">
        <f>Length_1!K48</f>
        <v>0</v>
      </c>
      <c r="AN9" s="126">
        <f>Length_1!A48</f>
        <v>0</v>
      </c>
      <c r="AO9" s="126">
        <f>Length_1!Q48</f>
        <v>0</v>
      </c>
      <c r="AP9" s="126">
        <f>Length_1!R48</f>
        <v>0</v>
      </c>
      <c r="AQ9" s="126">
        <f>Length_1!S48</f>
        <v>0</v>
      </c>
      <c r="AR9" s="126">
        <f>Length_1!T48</f>
        <v>0</v>
      </c>
      <c r="AS9" s="245">
        <f t="shared" ref="AS9:AS49" si="16">IF(AI9=0,0,SQRT(SUMSQ($AO9,$AP9*AI9))/IF($AQ9="nm",1000,1)/$AR9)</f>
        <v>0</v>
      </c>
      <c r="AT9" s="245">
        <f t="shared" ref="AT9:AT49" si="17">IF(AJ9=0,0,SQRT(SUMSQ($AO9,$AP9*AJ9))/IF($AQ9="nm",1000,1)/$AR9)</f>
        <v>0</v>
      </c>
      <c r="AU9" s="245">
        <f t="shared" ref="AU9:AU49" si="18">IF(AK9=0,0,SQRT(SUMSQ($AO9,$AP9*AK9))/IF($AQ9="nm",1000,1)/$AR9)</f>
        <v>0</v>
      </c>
      <c r="AV9" s="245">
        <f t="shared" ref="AV9:AV49" si="19">IF(AL9=0,0,SQRT(SUMSQ($AO9,$AP9*AL9))/IF($AQ9="nm",1000,1)/$AR9)</f>
        <v>0</v>
      </c>
      <c r="AW9" s="245">
        <f t="shared" ref="AW9:AW49" si="20">IF(AM9=0,0,SQRT(SUMSQ($AO9,$AP9*AM9))/IF($AQ9="nm",1000,1)/$AR9)</f>
        <v>0</v>
      </c>
      <c r="AX9" s="246">
        <f>SQRT(SUMSQ(AS9,AT9,AU9,AV9,AW9)+SUM(2*(AS9*AT9),2*(AS9*AU9),2*(AS9*AV9),2*(AS9*AW9),2*(AT9*AU9),2*(AT9*AV9),2*(AT9*AW9),2*(AU9*AV9),2*(AU9*AW9),2*(AV9*AW9)))</f>
        <v>0</v>
      </c>
      <c r="AY9" s="247">
        <f>IF(AH9="",0,SQRT(ABS(AX9^2-(AZ9*AH9)^2)))</f>
        <v>0</v>
      </c>
      <c r="AZ9" s="165">
        <f>IF(AR9=0,0,AP9/IF(AQ9="nm",1000,1)/AR9)</f>
        <v>0</v>
      </c>
    </row>
    <row r="10" spans="1:52" ht="15" customHeight="1">
      <c r="B10" s="182" t="b">
        <f>IF(TRIM(Length_1!A5)="",FALSE,TRUE)</f>
        <v>0</v>
      </c>
      <c r="C10" s="176" t="str">
        <f>IF($B10=FALSE,"",VALUE(Length_1!A5))</f>
        <v/>
      </c>
      <c r="D10" s="176" t="str">
        <f>IF($B10=FALSE,"",Length_1!B5)</f>
        <v/>
      </c>
      <c r="E10" s="182" t="str">
        <f>IF(B10=FALSE,"",Length_1!M5)</f>
        <v/>
      </c>
      <c r="F10" s="182" t="str">
        <f>IF(B10=FALSE,"",Length_1!N5)</f>
        <v/>
      </c>
      <c r="G10" s="182" t="str">
        <f>IF(B10=FALSE,"",Length_1!O5)</f>
        <v/>
      </c>
      <c r="H10" s="182" t="str">
        <f>IF(B10=FALSE,"",Length_1!P5)</f>
        <v/>
      </c>
      <c r="I10" s="182" t="str">
        <f>IF(B10=FALSE,"",Length_1!Q5)</f>
        <v/>
      </c>
      <c r="J10" s="176" t="str">
        <f t="shared" si="1"/>
        <v/>
      </c>
      <c r="K10" s="186" t="str">
        <f t="shared" si="2"/>
        <v/>
      </c>
      <c r="L10" s="187" t="str">
        <f>IF(B10=FALSE,"",Length_1!D49)</f>
        <v/>
      </c>
      <c r="M10" s="188" t="str">
        <f>IF(B10=FALSE,"",Calcu!J10*J$3)</f>
        <v/>
      </c>
      <c r="N10" s="189" t="str">
        <f t="shared" si="3"/>
        <v/>
      </c>
      <c r="O10" s="189" t="str">
        <f>IF(B10=FALSE,"",Length_1!F49)</f>
        <v/>
      </c>
      <c r="P10" s="189" t="str">
        <f t="shared" si="4"/>
        <v/>
      </c>
      <c r="Q10" s="176" t="str">
        <f t="shared" si="5"/>
        <v/>
      </c>
      <c r="R10" s="176" t="str">
        <f t="shared" si="6"/>
        <v/>
      </c>
      <c r="S10" s="283" t="str">
        <f t="shared" si="7"/>
        <v/>
      </c>
      <c r="T10" s="190" t="str">
        <f t="shared" si="8"/>
        <v/>
      </c>
      <c r="U10" s="191" t="str">
        <f t="shared" si="9"/>
        <v/>
      </c>
      <c r="V10" s="176" t="str">
        <f t="shared" ref="V10:V49" si="21">IF($B10=FALSE,"",ROUND(U10,$L$66))</f>
        <v/>
      </c>
      <c r="W10" s="176" t="str">
        <f t="shared" ref="W10:W49" si="22">IF($B10=FALSE,"",ROUND(T10+V10,$L$66))</f>
        <v/>
      </c>
      <c r="X10" s="125"/>
      <c r="Y10" s="176">
        <f>IF(Length_1!J5&lt;0,ROUNDUP(Length_1!J5*J$3,$L$66),ROUNDDOWN(Length_1!J5*J$3,$L$66))</f>
        <v>0</v>
      </c>
      <c r="Z10" s="176">
        <f>IF(Length_1!K5&lt;0,ROUNDDOWN(Length_1!K5*J$3,$L$66),ROUNDUP(Length_1!K5*J$3,$L$66))</f>
        <v>0</v>
      </c>
      <c r="AA10" s="176" t="str">
        <f t="shared" ca="1" si="10"/>
        <v/>
      </c>
      <c r="AB10" s="179" t="str">
        <f t="shared" ca="1" si="11"/>
        <v/>
      </c>
      <c r="AC10" s="176" t="str">
        <f t="shared" ca="1" si="12"/>
        <v/>
      </c>
      <c r="AD10" s="176" t="e">
        <f t="shared" ca="1" si="13"/>
        <v>#VALUE!</v>
      </c>
      <c r="AE10" s="176" t="str">
        <f t="shared" ref="AE10:AE49" si="23">IF($B10=FALSE,"",IF(AND(Y10&lt;=W10,W10&lt;=Z10),"PASS","FAIL"))</f>
        <v/>
      </c>
      <c r="AF10" s="176" t="e">
        <f t="shared" ca="1" si="14"/>
        <v>#N/A</v>
      </c>
      <c r="AH10" s="126" t="str">
        <f t="shared" si="15"/>
        <v/>
      </c>
      <c r="AI10" s="126">
        <f>Length_1!G49</f>
        <v>0</v>
      </c>
      <c r="AJ10" s="126">
        <f>Length_1!H49</f>
        <v>0</v>
      </c>
      <c r="AK10" s="126">
        <f>Length_1!I49</f>
        <v>0</v>
      </c>
      <c r="AL10" s="126">
        <f>Length_1!J49</f>
        <v>0</v>
      </c>
      <c r="AM10" s="126">
        <f>Length_1!K49</f>
        <v>0</v>
      </c>
      <c r="AN10" s="126">
        <f>Length_1!A49</f>
        <v>0</v>
      </c>
      <c r="AO10" s="126">
        <f>Length_1!Q49</f>
        <v>0</v>
      </c>
      <c r="AP10" s="126">
        <f>Length_1!R49</f>
        <v>0</v>
      </c>
      <c r="AQ10" s="126">
        <f>Length_1!S49</f>
        <v>0</v>
      </c>
      <c r="AR10" s="126">
        <f>Length_1!T49</f>
        <v>0</v>
      </c>
      <c r="AS10" s="245">
        <f t="shared" si="16"/>
        <v>0</v>
      </c>
      <c r="AT10" s="245">
        <f t="shared" si="17"/>
        <v>0</v>
      </c>
      <c r="AU10" s="245">
        <f t="shared" si="18"/>
        <v>0</v>
      </c>
      <c r="AV10" s="245">
        <f t="shared" si="19"/>
        <v>0</v>
      </c>
      <c r="AW10" s="245">
        <f t="shared" si="20"/>
        <v>0</v>
      </c>
      <c r="AX10" s="246">
        <f t="shared" ref="AX10:AX49" si="24">SQRT(SUMSQ(AS10,AT10,AU10,AV10,AW10)+SUM(2*(AS10*AT10),2*(AS10*AU10),2*(AS10*AV10),2*(AS10*AW10),2*(AT10*AU10),2*(AT10*AV10),2*(AT10*AW10),2*(AU10*AV10),2*(AU10*AW10),2*(AV10*AW10)))</f>
        <v>0</v>
      </c>
      <c r="AY10" s="246">
        <f t="shared" ref="AY10:AY49" si="25">IF(AH10="",0,SQRT(ABS(AX10^2-(AZ10*AH10)^2)))</f>
        <v>0</v>
      </c>
      <c r="AZ10" s="126">
        <f t="shared" ref="AZ10:AZ49" si="26">IF(AR10=0,0,AP10/IF(AQ10="nm",1000,1)/AR10)</f>
        <v>0</v>
      </c>
    </row>
    <row r="11" spans="1:52" ht="15" customHeight="1">
      <c r="B11" s="182" t="b">
        <f>IF(TRIM(Length_1!A6)="",FALSE,TRUE)</f>
        <v>0</v>
      </c>
      <c r="C11" s="176" t="str">
        <f>IF($B11=FALSE,"",VALUE(Length_1!A6))</f>
        <v/>
      </c>
      <c r="D11" s="176" t="str">
        <f>IF($B11=FALSE,"",Length_1!B6)</f>
        <v/>
      </c>
      <c r="E11" s="182" t="str">
        <f>IF(B11=FALSE,"",Length_1!M6)</f>
        <v/>
      </c>
      <c r="F11" s="182" t="str">
        <f>IF(B11=FALSE,"",Length_1!N6)</f>
        <v/>
      </c>
      <c r="G11" s="182" t="str">
        <f>IF(B11=FALSE,"",Length_1!O6)</f>
        <v/>
      </c>
      <c r="H11" s="182" t="str">
        <f>IF(B11=FALSE,"",Length_1!P6)</f>
        <v/>
      </c>
      <c r="I11" s="182" t="str">
        <f>IF(B11=FALSE,"",Length_1!Q6)</f>
        <v/>
      </c>
      <c r="J11" s="176" t="str">
        <f t="shared" si="1"/>
        <v/>
      </c>
      <c r="K11" s="186" t="str">
        <f t="shared" si="2"/>
        <v/>
      </c>
      <c r="L11" s="187" t="str">
        <f>IF(B11=FALSE,"",Length_1!D50)</f>
        <v/>
      </c>
      <c r="M11" s="188" t="str">
        <f>IF(B11=FALSE,"",Calcu!J11*J$3)</f>
        <v/>
      </c>
      <c r="N11" s="189" t="str">
        <f t="shared" si="3"/>
        <v/>
      </c>
      <c r="O11" s="189" t="str">
        <f>IF(B11=FALSE,"",Length_1!F50)</f>
        <v/>
      </c>
      <c r="P11" s="189" t="str">
        <f t="shared" si="4"/>
        <v/>
      </c>
      <c r="Q11" s="176" t="str">
        <f t="shared" si="5"/>
        <v/>
      </c>
      <c r="R11" s="176" t="str">
        <f t="shared" si="6"/>
        <v/>
      </c>
      <c r="S11" s="283" t="str">
        <f t="shared" si="7"/>
        <v/>
      </c>
      <c r="T11" s="190" t="str">
        <f t="shared" si="8"/>
        <v/>
      </c>
      <c r="U11" s="191" t="str">
        <f t="shared" si="9"/>
        <v/>
      </c>
      <c r="V11" s="176" t="str">
        <f t="shared" si="21"/>
        <v/>
      </c>
      <c r="W11" s="176" t="str">
        <f t="shared" si="22"/>
        <v/>
      </c>
      <c r="X11" s="125"/>
      <c r="Y11" s="176">
        <f>IF(Length_1!J6&lt;0,ROUNDUP(Length_1!J6*J$3,$L$66),ROUNDDOWN(Length_1!J6*J$3,$L$66))</f>
        <v>0</v>
      </c>
      <c r="Z11" s="176">
        <f>IF(Length_1!K6&lt;0,ROUNDDOWN(Length_1!K6*J$3,$L$66),ROUNDUP(Length_1!K6*J$3,$L$66))</f>
        <v>0</v>
      </c>
      <c r="AA11" s="176" t="str">
        <f t="shared" ca="1" si="10"/>
        <v/>
      </c>
      <c r="AB11" s="179" t="str">
        <f t="shared" ca="1" si="11"/>
        <v/>
      </c>
      <c r="AC11" s="176" t="str">
        <f t="shared" ca="1" si="12"/>
        <v/>
      </c>
      <c r="AD11" s="176" t="e">
        <f t="shared" ca="1" si="13"/>
        <v>#VALUE!</v>
      </c>
      <c r="AE11" s="176" t="str">
        <f t="shared" si="23"/>
        <v/>
      </c>
      <c r="AF11" s="176" t="e">
        <f t="shared" ca="1" si="14"/>
        <v>#N/A</v>
      </c>
      <c r="AH11" s="126" t="str">
        <f t="shared" si="15"/>
        <v/>
      </c>
      <c r="AI11" s="126">
        <f>Length_1!G50</f>
        <v>0</v>
      </c>
      <c r="AJ11" s="126">
        <f>Length_1!H50</f>
        <v>0</v>
      </c>
      <c r="AK11" s="126">
        <f>Length_1!I50</f>
        <v>0</v>
      </c>
      <c r="AL11" s="126">
        <f>Length_1!J50</f>
        <v>0</v>
      </c>
      <c r="AM11" s="126">
        <f>Length_1!K50</f>
        <v>0</v>
      </c>
      <c r="AN11" s="126">
        <f>Length_1!A50</f>
        <v>0</v>
      </c>
      <c r="AO11" s="126">
        <f>Length_1!Q50</f>
        <v>0</v>
      </c>
      <c r="AP11" s="126">
        <f>Length_1!R50</f>
        <v>0</v>
      </c>
      <c r="AQ11" s="126">
        <f>Length_1!S50</f>
        <v>0</v>
      </c>
      <c r="AR11" s="126">
        <f>Length_1!T50</f>
        <v>0</v>
      </c>
      <c r="AS11" s="245">
        <f t="shared" si="16"/>
        <v>0</v>
      </c>
      <c r="AT11" s="245">
        <f t="shared" si="17"/>
        <v>0</v>
      </c>
      <c r="AU11" s="245">
        <f t="shared" si="18"/>
        <v>0</v>
      </c>
      <c r="AV11" s="245">
        <f t="shared" si="19"/>
        <v>0</v>
      </c>
      <c r="AW11" s="245">
        <f t="shared" si="20"/>
        <v>0</v>
      </c>
      <c r="AX11" s="246">
        <f t="shared" si="24"/>
        <v>0</v>
      </c>
      <c r="AY11" s="246">
        <f t="shared" si="25"/>
        <v>0</v>
      </c>
      <c r="AZ11" s="126">
        <f t="shared" si="26"/>
        <v>0</v>
      </c>
    </row>
    <row r="12" spans="1:52" ht="15" customHeight="1">
      <c r="B12" s="182" t="b">
        <f>IF(TRIM(Length_1!A7)="",FALSE,TRUE)</f>
        <v>0</v>
      </c>
      <c r="C12" s="176" t="str">
        <f>IF($B12=FALSE,"",VALUE(Length_1!A7))</f>
        <v/>
      </c>
      <c r="D12" s="176" t="str">
        <f>IF($B12=FALSE,"",Length_1!B7)</f>
        <v/>
      </c>
      <c r="E12" s="182" t="str">
        <f>IF(B12=FALSE,"",Length_1!M7)</f>
        <v/>
      </c>
      <c r="F12" s="182" t="str">
        <f>IF(B12=FALSE,"",Length_1!N7)</f>
        <v/>
      </c>
      <c r="G12" s="182" t="str">
        <f>IF(B12=FALSE,"",Length_1!O7)</f>
        <v/>
      </c>
      <c r="H12" s="182" t="str">
        <f>IF(B12=FALSE,"",Length_1!P7)</f>
        <v/>
      </c>
      <c r="I12" s="182" t="str">
        <f>IF(B12=FALSE,"",Length_1!Q7)</f>
        <v/>
      </c>
      <c r="J12" s="176" t="str">
        <f t="shared" si="1"/>
        <v/>
      </c>
      <c r="K12" s="186" t="str">
        <f t="shared" si="2"/>
        <v/>
      </c>
      <c r="L12" s="187" t="str">
        <f>IF(B12=FALSE,"",Length_1!D51)</f>
        <v/>
      </c>
      <c r="M12" s="188" t="str">
        <f>IF(B12=FALSE,"",Calcu!J12*J$3)</f>
        <v/>
      </c>
      <c r="N12" s="189" t="str">
        <f t="shared" si="3"/>
        <v/>
      </c>
      <c r="O12" s="189" t="str">
        <f>IF(B12=FALSE,"",Length_1!F51)</f>
        <v/>
      </c>
      <c r="P12" s="189" t="str">
        <f t="shared" si="4"/>
        <v/>
      </c>
      <c r="Q12" s="176" t="str">
        <f t="shared" si="5"/>
        <v/>
      </c>
      <c r="R12" s="176" t="str">
        <f t="shared" si="6"/>
        <v/>
      </c>
      <c r="S12" s="283" t="str">
        <f t="shared" si="7"/>
        <v/>
      </c>
      <c r="T12" s="190" t="str">
        <f t="shared" si="8"/>
        <v/>
      </c>
      <c r="U12" s="191" t="str">
        <f t="shared" si="9"/>
        <v/>
      </c>
      <c r="V12" s="176" t="str">
        <f t="shared" si="21"/>
        <v/>
      </c>
      <c r="W12" s="176" t="str">
        <f t="shared" si="22"/>
        <v/>
      </c>
      <c r="X12" s="125"/>
      <c r="Y12" s="176">
        <f>IF(Length_1!J7&lt;0,ROUNDUP(Length_1!J7*J$3,$L$66),ROUNDDOWN(Length_1!J7*J$3,$L$66))</f>
        <v>0</v>
      </c>
      <c r="Z12" s="176">
        <f>IF(Length_1!K7&lt;0,ROUNDDOWN(Length_1!K7*J$3,$L$66),ROUNDUP(Length_1!K7*J$3,$L$66))</f>
        <v>0</v>
      </c>
      <c r="AA12" s="176" t="str">
        <f t="shared" ca="1" si="10"/>
        <v/>
      </c>
      <c r="AB12" s="179" t="str">
        <f t="shared" ca="1" si="11"/>
        <v/>
      </c>
      <c r="AC12" s="176" t="str">
        <f t="shared" ca="1" si="12"/>
        <v/>
      </c>
      <c r="AD12" s="176" t="e">
        <f t="shared" ca="1" si="13"/>
        <v>#VALUE!</v>
      </c>
      <c r="AE12" s="176" t="str">
        <f t="shared" si="23"/>
        <v/>
      </c>
      <c r="AF12" s="176" t="e">
        <f t="shared" ca="1" si="14"/>
        <v>#N/A</v>
      </c>
      <c r="AH12" s="126" t="str">
        <f t="shared" si="15"/>
        <v/>
      </c>
      <c r="AI12" s="126">
        <f>Length_1!G51</f>
        <v>0</v>
      </c>
      <c r="AJ12" s="126">
        <f>Length_1!H51</f>
        <v>0</v>
      </c>
      <c r="AK12" s="126">
        <f>Length_1!I51</f>
        <v>0</v>
      </c>
      <c r="AL12" s="126">
        <f>Length_1!J51</f>
        <v>0</v>
      </c>
      <c r="AM12" s="126">
        <f>Length_1!K51</f>
        <v>0</v>
      </c>
      <c r="AN12" s="126">
        <f>Length_1!A51</f>
        <v>0</v>
      </c>
      <c r="AO12" s="126">
        <f>Length_1!Q51</f>
        <v>0</v>
      </c>
      <c r="AP12" s="126">
        <f>Length_1!R51</f>
        <v>0</v>
      </c>
      <c r="AQ12" s="126">
        <f>Length_1!S51</f>
        <v>0</v>
      </c>
      <c r="AR12" s="126">
        <f>Length_1!T51</f>
        <v>0</v>
      </c>
      <c r="AS12" s="245">
        <f t="shared" si="16"/>
        <v>0</v>
      </c>
      <c r="AT12" s="245">
        <f t="shared" si="17"/>
        <v>0</v>
      </c>
      <c r="AU12" s="245">
        <f t="shared" si="18"/>
        <v>0</v>
      </c>
      <c r="AV12" s="245">
        <f t="shared" si="19"/>
        <v>0</v>
      </c>
      <c r="AW12" s="245">
        <f t="shared" si="20"/>
        <v>0</v>
      </c>
      <c r="AX12" s="246">
        <f t="shared" si="24"/>
        <v>0</v>
      </c>
      <c r="AY12" s="246">
        <f t="shared" si="25"/>
        <v>0</v>
      </c>
      <c r="AZ12" s="126">
        <f t="shared" si="26"/>
        <v>0</v>
      </c>
    </row>
    <row r="13" spans="1:52" ht="15" customHeight="1">
      <c r="B13" s="182" t="b">
        <f>IF(TRIM(Length_1!A8)="",FALSE,TRUE)</f>
        <v>0</v>
      </c>
      <c r="C13" s="176" t="str">
        <f>IF($B13=FALSE,"",VALUE(Length_1!A8))</f>
        <v/>
      </c>
      <c r="D13" s="176" t="str">
        <f>IF($B13=FALSE,"",Length_1!B8)</f>
        <v/>
      </c>
      <c r="E13" s="182" t="str">
        <f>IF(B13=FALSE,"",Length_1!M8)</f>
        <v/>
      </c>
      <c r="F13" s="182" t="str">
        <f>IF(B13=FALSE,"",Length_1!N8)</f>
        <v/>
      </c>
      <c r="G13" s="182" t="str">
        <f>IF(B13=FALSE,"",Length_1!O8)</f>
        <v/>
      </c>
      <c r="H13" s="182" t="str">
        <f>IF(B13=FALSE,"",Length_1!P8)</f>
        <v/>
      </c>
      <c r="I13" s="182" t="str">
        <f>IF(B13=FALSE,"",Length_1!Q8)</f>
        <v/>
      </c>
      <c r="J13" s="176" t="str">
        <f t="shared" si="1"/>
        <v/>
      </c>
      <c r="K13" s="186" t="str">
        <f t="shared" si="2"/>
        <v/>
      </c>
      <c r="L13" s="187" t="str">
        <f>IF(B13=FALSE,"",Length_1!D52)</f>
        <v/>
      </c>
      <c r="M13" s="188" t="str">
        <f>IF(B13=FALSE,"",Calcu!J13*J$3)</f>
        <v/>
      </c>
      <c r="N13" s="189" t="str">
        <f t="shared" si="3"/>
        <v/>
      </c>
      <c r="O13" s="189" t="str">
        <f>IF(B13=FALSE,"",Length_1!F52)</f>
        <v/>
      </c>
      <c r="P13" s="189" t="str">
        <f t="shared" si="4"/>
        <v/>
      </c>
      <c r="Q13" s="176" t="str">
        <f t="shared" si="5"/>
        <v/>
      </c>
      <c r="R13" s="176" t="str">
        <f t="shared" si="6"/>
        <v/>
      </c>
      <c r="S13" s="283" t="str">
        <f t="shared" si="7"/>
        <v/>
      </c>
      <c r="T13" s="190" t="str">
        <f t="shared" si="8"/>
        <v/>
      </c>
      <c r="U13" s="191" t="str">
        <f t="shared" si="9"/>
        <v/>
      </c>
      <c r="V13" s="176" t="str">
        <f t="shared" si="21"/>
        <v/>
      </c>
      <c r="W13" s="176" t="str">
        <f t="shared" si="22"/>
        <v/>
      </c>
      <c r="X13" s="125"/>
      <c r="Y13" s="176">
        <f>IF(Length_1!J8&lt;0,ROUNDUP(Length_1!J8*J$3,$L$66),ROUNDDOWN(Length_1!J8*J$3,$L$66))</f>
        <v>0</v>
      </c>
      <c r="Z13" s="176">
        <f>IF(Length_1!K8&lt;0,ROUNDDOWN(Length_1!K8*J$3,$L$66),ROUNDUP(Length_1!K8*J$3,$L$66))</f>
        <v>0</v>
      </c>
      <c r="AA13" s="176" t="str">
        <f t="shared" ca="1" si="10"/>
        <v/>
      </c>
      <c r="AB13" s="179" t="str">
        <f t="shared" ca="1" si="11"/>
        <v/>
      </c>
      <c r="AC13" s="176" t="str">
        <f t="shared" ca="1" si="12"/>
        <v/>
      </c>
      <c r="AD13" s="176" t="e">
        <f t="shared" ca="1" si="13"/>
        <v>#VALUE!</v>
      </c>
      <c r="AE13" s="176" t="str">
        <f t="shared" si="23"/>
        <v/>
      </c>
      <c r="AF13" s="176" t="e">
        <f t="shared" ca="1" si="14"/>
        <v>#N/A</v>
      </c>
      <c r="AH13" s="126" t="str">
        <f t="shared" si="15"/>
        <v/>
      </c>
      <c r="AI13" s="126">
        <f>Length_1!G52</f>
        <v>0</v>
      </c>
      <c r="AJ13" s="126">
        <f>Length_1!H52</f>
        <v>0</v>
      </c>
      <c r="AK13" s="126">
        <f>Length_1!I52</f>
        <v>0</v>
      </c>
      <c r="AL13" s="126">
        <f>Length_1!J52</f>
        <v>0</v>
      </c>
      <c r="AM13" s="126">
        <f>Length_1!K52</f>
        <v>0</v>
      </c>
      <c r="AN13" s="126">
        <f>Length_1!A52</f>
        <v>0</v>
      </c>
      <c r="AO13" s="126">
        <f>Length_1!Q52</f>
        <v>0</v>
      </c>
      <c r="AP13" s="126">
        <f>Length_1!R52</f>
        <v>0</v>
      </c>
      <c r="AQ13" s="126">
        <f>Length_1!S52</f>
        <v>0</v>
      </c>
      <c r="AR13" s="126">
        <f>Length_1!T52</f>
        <v>0</v>
      </c>
      <c r="AS13" s="245">
        <f t="shared" si="16"/>
        <v>0</v>
      </c>
      <c r="AT13" s="245">
        <f t="shared" si="17"/>
        <v>0</v>
      </c>
      <c r="AU13" s="245">
        <f t="shared" si="18"/>
        <v>0</v>
      </c>
      <c r="AV13" s="245">
        <f t="shared" si="19"/>
        <v>0</v>
      </c>
      <c r="AW13" s="245">
        <f t="shared" si="20"/>
        <v>0</v>
      </c>
      <c r="AX13" s="246">
        <f t="shared" si="24"/>
        <v>0</v>
      </c>
      <c r="AY13" s="246">
        <f t="shared" si="25"/>
        <v>0</v>
      </c>
      <c r="AZ13" s="126">
        <f t="shared" si="26"/>
        <v>0</v>
      </c>
    </row>
    <row r="14" spans="1:52" ht="15" customHeight="1">
      <c r="B14" s="182" t="b">
        <f>IF(TRIM(Length_1!A9)="",FALSE,TRUE)</f>
        <v>0</v>
      </c>
      <c r="C14" s="176" t="str">
        <f>IF($B14=FALSE,"",VALUE(Length_1!A9))</f>
        <v/>
      </c>
      <c r="D14" s="176" t="str">
        <f>IF($B14=FALSE,"",Length_1!B9)</f>
        <v/>
      </c>
      <c r="E14" s="182" t="str">
        <f>IF(B14=FALSE,"",Length_1!M9)</f>
        <v/>
      </c>
      <c r="F14" s="182" t="str">
        <f>IF(B14=FALSE,"",Length_1!N9)</f>
        <v/>
      </c>
      <c r="G14" s="182" t="str">
        <f>IF(B14=FALSE,"",Length_1!O9)</f>
        <v/>
      </c>
      <c r="H14" s="182" t="str">
        <f>IF(B14=FALSE,"",Length_1!P9)</f>
        <v/>
      </c>
      <c r="I14" s="182" t="str">
        <f>IF(B14=FALSE,"",Length_1!Q9)</f>
        <v/>
      </c>
      <c r="J14" s="176" t="str">
        <f t="shared" si="1"/>
        <v/>
      </c>
      <c r="K14" s="186" t="str">
        <f t="shared" si="2"/>
        <v/>
      </c>
      <c r="L14" s="187" t="str">
        <f>IF(B14=FALSE,"",Length_1!D53)</f>
        <v/>
      </c>
      <c r="M14" s="188" t="str">
        <f>IF(B14=FALSE,"",Calcu!J14*J$3)</f>
        <v/>
      </c>
      <c r="N14" s="189" t="str">
        <f t="shared" si="3"/>
        <v/>
      </c>
      <c r="O14" s="189" t="str">
        <f>IF(B14=FALSE,"",Length_1!F53)</f>
        <v/>
      </c>
      <c r="P14" s="189" t="str">
        <f t="shared" si="4"/>
        <v/>
      </c>
      <c r="Q14" s="176" t="str">
        <f t="shared" si="5"/>
        <v/>
      </c>
      <c r="R14" s="176" t="str">
        <f t="shared" si="6"/>
        <v/>
      </c>
      <c r="S14" s="283" t="str">
        <f t="shared" si="7"/>
        <v/>
      </c>
      <c r="T14" s="190" t="str">
        <f t="shared" si="8"/>
        <v/>
      </c>
      <c r="U14" s="191" t="str">
        <f t="shared" si="9"/>
        <v/>
      </c>
      <c r="V14" s="176" t="str">
        <f t="shared" si="21"/>
        <v/>
      </c>
      <c r="W14" s="176" t="str">
        <f t="shared" si="22"/>
        <v/>
      </c>
      <c r="X14" s="125"/>
      <c r="Y14" s="176">
        <f>IF(Length_1!J9&lt;0,ROUNDUP(Length_1!J9*J$3,$L$66),ROUNDDOWN(Length_1!J9*J$3,$L$66))</f>
        <v>0</v>
      </c>
      <c r="Z14" s="176">
        <f>IF(Length_1!K9&lt;0,ROUNDDOWN(Length_1!K9*J$3,$L$66),ROUNDUP(Length_1!K9*J$3,$L$66))</f>
        <v>0</v>
      </c>
      <c r="AA14" s="176" t="str">
        <f t="shared" ca="1" si="10"/>
        <v/>
      </c>
      <c r="AB14" s="179" t="str">
        <f t="shared" ca="1" si="11"/>
        <v/>
      </c>
      <c r="AC14" s="176" t="str">
        <f t="shared" ca="1" si="12"/>
        <v/>
      </c>
      <c r="AD14" s="176" t="e">
        <f t="shared" ca="1" si="13"/>
        <v>#VALUE!</v>
      </c>
      <c r="AE14" s="176" t="str">
        <f t="shared" si="23"/>
        <v/>
      </c>
      <c r="AF14" s="176" t="e">
        <f t="shared" ca="1" si="14"/>
        <v>#N/A</v>
      </c>
      <c r="AH14" s="126" t="str">
        <f t="shared" si="15"/>
        <v/>
      </c>
      <c r="AI14" s="126">
        <f>Length_1!G53</f>
        <v>0</v>
      </c>
      <c r="AJ14" s="126">
        <f>Length_1!H53</f>
        <v>0</v>
      </c>
      <c r="AK14" s="126">
        <f>Length_1!I53</f>
        <v>0</v>
      </c>
      <c r="AL14" s="126">
        <f>Length_1!J53</f>
        <v>0</v>
      </c>
      <c r="AM14" s="126">
        <f>Length_1!K53</f>
        <v>0</v>
      </c>
      <c r="AN14" s="126">
        <f>Length_1!A53</f>
        <v>0</v>
      </c>
      <c r="AO14" s="126">
        <f>Length_1!Q53</f>
        <v>0</v>
      </c>
      <c r="AP14" s="126">
        <f>Length_1!R53</f>
        <v>0</v>
      </c>
      <c r="AQ14" s="126">
        <f>Length_1!S53</f>
        <v>0</v>
      </c>
      <c r="AR14" s="126">
        <f>Length_1!T53</f>
        <v>0</v>
      </c>
      <c r="AS14" s="245">
        <f t="shared" si="16"/>
        <v>0</v>
      </c>
      <c r="AT14" s="245">
        <f t="shared" si="17"/>
        <v>0</v>
      </c>
      <c r="AU14" s="245">
        <f t="shared" si="18"/>
        <v>0</v>
      </c>
      <c r="AV14" s="245">
        <f t="shared" si="19"/>
        <v>0</v>
      </c>
      <c r="AW14" s="245">
        <f t="shared" si="20"/>
        <v>0</v>
      </c>
      <c r="AX14" s="246">
        <f t="shared" si="24"/>
        <v>0</v>
      </c>
      <c r="AY14" s="246">
        <f t="shared" si="25"/>
        <v>0</v>
      </c>
      <c r="AZ14" s="126">
        <f t="shared" si="26"/>
        <v>0</v>
      </c>
    </row>
    <row r="15" spans="1:52" ht="15" customHeight="1">
      <c r="B15" s="182" t="b">
        <f>IF(TRIM(Length_1!A10)="",FALSE,TRUE)</f>
        <v>0</v>
      </c>
      <c r="C15" s="176" t="str">
        <f>IF($B15=FALSE,"",VALUE(Length_1!A10))</f>
        <v/>
      </c>
      <c r="D15" s="176" t="str">
        <f>IF($B15=FALSE,"",Length_1!B10)</f>
        <v/>
      </c>
      <c r="E15" s="182" t="str">
        <f>IF(B15=FALSE,"",Length_1!M10)</f>
        <v/>
      </c>
      <c r="F15" s="182" t="str">
        <f>IF(B15=FALSE,"",Length_1!N10)</f>
        <v/>
      </c>
      <c r="G15" s="182" t="str">
        <f>IF(B15=FALSE,"",Length_1!O10)</f>
        <v/>
      </c>
      <c r="H15" s="182" t="str">
        <f>IF(B15=FALSE,"",Length_1!P10)</f>
        <v/>
      </c>
      <c r="I15" s="182" t="str">
        <f>IF(B15=FALSE,"",Length_1!Q10)</f>
        <v/>
      </c>
      <c r="J15" s="176" t="str">
        <f t="shared" si="1"/>
        <v/>
      </c>
      <c r="K15" s="186" t="str">
        <f t="shared" si="2"/>
        <v/>
      </c>
      <c r="L15" s="187" t="str">
        <f>IF(B15=FALSE,"",Length_1!D54)</f>
        <v/>
      </c>
      <c r="M15" s="188" t="str">
        <f>IF(B15=FALSE,"",Calcu!J15*J$3)</f>
        <v/>
      </c>
      <c r="N15" s="189" t="str">
        <f t="shared" si="3"/>
        <v/>
      </c>
      <c r="O15" s="189" t="str">
        <f>IF(B15=FALSE,"",Length_1!F54)</f>
        <v/>
      </c>
      <c r="P15" s="189" t="str">
        <f t="shared" si="4"/>
        <v/>
      </c>
      <c r="Q15" s="176" t="str">
        <f t="shared" si="5"/>
        <v/>
      </c>
      <c r="R15" s="176" t="str">
        <f t="shared" si="6"/>
        <v/>
      </c>
      <c r="S15" s="283" t="str">
        <f t="shared" si="7"/>
        <v/>
      </c>
      <c r="T15" s="190" t="str">
        <f t="shared" si="8"/>
        <v/>
      </c>
      <c r="U15" s="191" t="str">
        <f t="shared" si="9"/>
        <v/>
      </c>
      <c r="V15" s="176" t="str">
        <f t="shared" si="21"/>
        <v/>
      </c>
      <c r="W15" s="176" t="str">
        <f t="shared" si="22"/>
        <v/>
      </c>
      <c r="X15" s="125"/>
      <c r="Y15" s="176">
        <f>IF(Length_1!J10&lt;0,ROUNDUP(Length_1!J10*J$3,$L$66),ROUNDDOWN(Length_1!J10*J$3,$L$66))</f>
        <v>0</v>
      </c>
      <c r="Z15" s="176">
        <f>IF(Length_1!K10&lt;0,ROUNDDOWN(Length_1!K10*J$3,$L$66),ROUNDUP(Length_1!K10*J$3,$L$66))</f>
        <v>0</v>
      </c>
      <c r="AA15" s="176" t="str">
        <f t="shared" ca="1" si="10"/>
        <v/>
      </c>
      <c r="AB15" s="179" t="str">
        <f t="shared" ca="1" si="11"/>
        <v/>
      </c>
      <c r="AC15" s="176" t="str">
        <f t="shared" ca="1" si="12"/>
        <v/>
      </c>
      <c r="AD15" s="176" t="e">
        <f t="shared" ca="1" si="13"/>
        <v>#VALUE!</v>
      </c>
      <c r="AE15" s="176" t="str">
        <f t="shared" si="23"/>
        <v/>
      </c>
      <c r="AF15" s="176" t="e">
        <f t="shared" ca="1" si="14"/>
        <v>#N/A</v>
      </c>
      <c r="AH15" s="126" t="str">
        <f t="shared" si="15"/>
        <v/>
      </c>
      <c r="AI15" s="126">
        <f>Length_1!G54</f>
        <v>0</v>
      </c>
      <c r="AJ15" s="126">
        <f>Length_1!H54</f>
        <v>0</v>
      </c>
      <c r="AK15" s="126">
        <f>Length_1!I54</f>
        <v>0</v>
      </c>
      <c r="AL15" s="126">
        <f>Length_1!J54</f>
        <v>0</v>
      </c>
      <c r="AM15" s="126">
        <f>Length_1!K54</f>
        <v>0</v>
      </c>
      <c r="AN15" s="126">
        <f>Length_1!A54</f>
        <v>0</v>
      </c>
      <c r="AO15" s="126">
        <f>Length_1!Q54</f>
        <v>0</v>
      </c>
      <c r="AP15" s="126">
        <f>Length_1!R54</f>
        <v>0</v>
      </c>
      <c r="AQ15" s="126">
        <f>Length_1!S54</f>
        <v>0</v>
      </c>
      <c r="AR15" s="126">
        <f>Length_1!T54</f>
        <v>0</v>
      </c>
      <c r="AS15" s="245">
        <f t="shared" si="16"/>
        <v>0</v>
      </c>
      <c r="AT15" s="245">
        <f t="shared" si="17"/>
        <v>0</v>
      </c>
      <c r="AU15" s="245">
        <f t="shared" si="18"/>
        <v>0</v>
      </c>
      <c r="AV15" s="245">
        <f t="shared" si="19"/>
        <v>0</v>
      </c>
      <c r="AW15" s="245">
        <f t="shared" si="20"/>
        <v>0</v>
      </c>
      <c r="AX15" s="246">
        <f t="shared" si="24"/>
        <v>0</v>
      </c>
      <c r="AY15" s="246">
        <f t="shared" si="25"/>
        <v>0</v>
      </c>
      <c r="AZ15" s="126">
        <f t="shared" si="26"/>
        <v>0</v>
      </c>
    </row>
    <row r="16" spans="1:52" ht="15" customHeight="1">
      <c r="B16" s="182" t="b">
        <f>IF(TRIM(Length_1!A11)="",FALSE,TRUE)</f>
        <v>0</v>
      </c>
      <c r="C16" s="176" t="str">
        <f>IF($B16=FALSE,"",VALUE(Length_1!A11))</f>
        <v/>
      </c>
      <c r="D16" s="176" t="str">
        <f>IF($B16=FALSE,"",Length_1!B11)</f>
        <v/>
      </c>
      <c r="E16" s="182" t="str">
        <f>IF(B16=FALSE,"",Length_1!M11)</f>
        <v/>
      </c>
      <c r="F16" s="182" t="str">
        <f>IF(B16=FALSE,"",Length_1!N11)</f>
        <v/>
      </c>
      <c r="G16" s="182" t="str">
        <f>IF(B16=FALSE,"",Length_1!O11)</f>
        <v/>
      </c>
      <c r="H16" s="182" t="str">
        <f>IF(B16=FALSE,"",Length_1!P11)</f>
        <v/>
      </c>
      <c r="I16" s="182" t="str">
        <f>IF(B16=FALSE,"",Length_1!Q11)</f>
        <v/>
      </c>
      <c r="J16" s="176" t="str">
        <f t="shared" si="1"/>
        <v/>
      </c>
      <c r="K16" s="186" t="str">
        <f t="shared" si="2"/>
        <v/>
      </c>
      <c r="L16" s="187" t="str">
        <f>IF(B16=FALSE,"",Length_1!D55)</f>
        <v/>
      </c>
      <c r="M16" s="188" t="str">
        <f>IF(B16=FALSE,"",Calcu!J16*J$3)</f>
        <v/>
      </c>
      <c r="N16" s="189" t="str">
        <f t="shared" si="3"/>
        <v/>
      </c>
      <c r="O16" s="189" t="str">
        <f>IF(B16=FALSE,"",Length_1!F55)</f>
        <v/>
      </c>
      <c r="P16" s="189" t="str">
        <f t="shared" si="4"/>
        <v/>
      </c>
      <c r="Q16" s="176" t="str">
        <f t="shared" si="5"/>
        <v/>
      </c>
      <c r="R16" s="176" t="str">
        <f t="shared" si="6"/>
        <v/>
      </c>
      <c r="S16" s="283" t="str">
        <f t="shared" si="7"/>
        <v/>
      </c>
      <c r="T16" s="190" t="str">
        <f t="shared" si="8"/>
        <v/>
      </c>
      <c r="U16" s="191" t="str">
        <f t="shared" si="9"/>
        <v/>
      </c>
      <c r="V16" s="176" t="str">
        <f t="shared" si="21"/>
        <v/>
      </c>
      <c r="W16" s="176" t="str">
        <f t="shared" si="22"/>
        <v/>
      </c>
      <c r="X16" s="125"/>
      <c r="Y16" s="176">
        <f>IF(Length_1!J11&lt;0,ROUNDUP(Length_1!J11*J$3,$L$66),ROUNDDOWN(Length_1!J11*J$3,$L$66))</f>
        <v>0</v>
      </c>
      <c r="Z16" s="176">
        <f>IF(Length_1!K11&lt;0,ROUNDDOWN(Length_1!K11*J$3,$L$66),ROUNDUP(Length_1!K11*J$3,$L$66))</f>
        <v>0</v>
      </c>
      <c r="AA16" s="176" t="str">
        <f t="shared" ca="1" si="10"/>
        <v/>
      </c>
      <c r="AB16" s="179" t="str">
        <f t="shared" ca="1" si="11"/>
        <v/>
      </c>
      <c r="AC16" s="176" t="str">
        <f t="shared" ca="1" si="12"/>
        <v/>
      </c>
      <c r="AD16" s="176" t="e">
        <f t="shared" ca="1" si="13"/>
        <v>#VALUE!</v>
      </c>
      <c r="AE16" s="176" t="str">
        <f t="shared" si="23"/>
        <v/>
      </c>
      <c r="AF16" s="176" t="e">
        <f t="shared" ca="1" si="14"/>
        <v>#N/A</v>
      </c>
      <c r="AH16" s="126" t="str">
        <f t="shared" si="15"/>
        <v/>
      </c>
      <c r="AI16" s="126">
        <f>Length_1!G55</f>
        <v>0</v>
      </c>
      <c r="AJ16" s="126">
        <f>Length_1!H55</f>
        <v>0</v>
      </c>
      <c r="AK16" s="126">
        <f>Length_1!I55</f>
        <v>0</v>
      </c>
      <c r="AL16" s="126">
        <f>Length_1!J55</f>
        <v>0</v>
      </c>
      <c r="AM16" s="126">
        <f>Length_1!K55</f>
        <v>0</v>
      </c>
      <c r="AN16" s="126">
        <f>Length_1!A55</f>
        <v>0</v>
      </c>
      <c r="AO16" s="126">
        <f>Length_1!Q55</f>
        <v>0</v>
      </c>
      <c r="AP16" s="126">
        <f>Length_1!R55</f>
        <v>0</v>
      </c>
      <c r="AQ16" s="126">
        <f>Length_1!S55</f>
        <v>0</v>
      </c>
      <c r="AR16" s="126">
        <f>Length_1!T55</f>
        <v>0</v>
      </c>
      <c r="AS16" s="245">
        <f t="shared" si="16"/>
        <v>0</v>
      </c>
      <c r="AT16" s="245">
        <f t="shared" si="17"/>
        <v>0</v>
      </c>
      <c r="AU16" s="245">
        <f t="shared" si="18"/>
        <v>0</v>
      </c>
      <c r="AV16" s="245">
        <f t="shared" si="19"/>
        <v>0</v>
      </c>
      <c r="AW16" s="245">
        <f t="shared" si="20"/>
        <v>0</v>
      </c>
      <c r="AX16" s="246">
        <f t="shared" si="24"/>
        <v>0</v>
      </c>
      <c r="AY16" s="246">
        <f t="shared" si="25"/>
        <v>0</v>
      </c>
      <c r="AZ16" s="126">
        <f t="shared" si="26"/>
        <v>0</v>
      </c>
    </row>
    <row r="17" spans="2:52" ht="15" customHeight="1">
      <c r="B17" s="182" t="b">
        <f>IF(TRIM(Length_1!A12)="",FALSE,TRUE)</f>
        <v>0</v>
      </c>
      <c r="C17" s="176" t="str">
        <f>IF($B17=FALSE,"",VALUE(Length_1!A12))</f>
        <v/>
      </c>
      <c r="D17" s="176" t="str">
        <f>IF($B17=FALSE,"",Length_1!B12)</f>
        <v/>
      </c>
      <c r="E17" s="182" t="str">
        <f>IF(B17=FALSE,"",Length_1!M12)</f>
        <v/>
      </c>
      <c r="F17" s="182" t="str">
        <f>IF(B17=FALSE,"",Length_1!N12)</f>
        <v/>
      </c>
      <c r="G17" s="182" t="str">
        <f>IF(B17=FALSE,"",Length_1!O12)</f>
        <v/>
      </c>
      <c r="H17" s="182" t="str">
        <f>IF(B17=FALSE,"",Length_1!P12)</f>
        <v/>
      </c>
      <c r="I17" s="182" t="str">
        <f>IF(B17=FALSE,"",Length_1!Q12)</f>
        <v/>
      </c>
      <c r="J17" s="176" t="str">
        <f t="shared" si="1"/>
        <v/>
      </c>
      <c r="K17" s="186" t="str">
        <f t="shared" si="2"/>
        <v/>
      </c>
      <c r="L17" s="187" t="str">
        <f>IF(B17=FALSE,"",Length_1!D56)</f>
        <v/>
      </c>
      <c r="M17" s="188" t="str">
        <f>IF(B17=FALSE,"",Calcu!J17*J$3)</f>
        <v/>
      </c>
      <c r="N17" s="189" t="str">
        <f t="shared" si="3"/>
        <v/>
      </c>
      <c r="O17" s="189" t="str">
        <f>IF(B17=FALSE,"",Length_1!F56)</f>
        <v/>
      </c>
      <c r="P17" s="189" t="str">
        <f t="shared" si="4"/>
        <v/>
      </c>
      <c r="Q17" s="176" t="str">
        <f t="shared" si="5"/>
        <v/>
      </c>
      <c r="R17" s="176" t="str">
        <f t="shared" si="6"/>
        <v/>
      </c>
      <c r="S17" s="283" t="str">
        <f t="shared" si="7"/>
        <v/>
      </c>
      <c r="T17" s="190" t="str">
        <f t="shared" si="8"/>
        <v/>
      </c>
      <c r="U17" s="191" t="str">
        <f t="shared" si="9"/>
        <v/>
      </c>
      <c r="V17" s="176" t="str">
        <f t="shared" si="21"/>
        <v/>
      </c>
      <c r="W17" s="176" t="str">
        <f t="shared" si="22"/>
        <v/>
      </c>
      <c r="X17" s="125"/>
      <c r="Y17" s="176">
        <f>IF(Length_1!J12&lt;0,ROUNDUP(Length_1!J12*J$3,$L$66),ROUNDDOWN(Length_1!J12*J$3,$L$66))</f>
        <v>0</v>
      </c>
      <c r="Z17" s="176">
        <f>IF(Length_1!K12&lt;0,ROUNDDOWN(Length_1!K12*J$3,$L$66),ROUNDUP(Length_1!K12*J$3,$L$66))</f>
        <v>0</v>
      </c>
      <c r="AA17" s="176" t="str">
        <f t="shared" ca="1" si="10"/>
        <v/>
      </c>
      <c r="AB17" s="179" t="str">
        <f t="shared" ca="1" si="11"/>
        <v/>
      </c>
      <c r="AC17" s="176" t="str">
        <f t="shared" ca="1" si="12"/>
        <v/>
      </c>
      <c r="AD17" s="176" t="e">
        <f t="shared" ca="1" si="13"/>
        <v>#VALUE!</v>
      </c>
      <c r="AE17" s="176" t="str">
        <f t="shared" si="23"/>
        <v/>
      </c>
      <c r="AF17" s="176" t="e">
        <f t="shared" ca="1" si="14"/>
        <v>#N/A</v>
      </c>
      <c r="AH17" s="126" t="str">
        <f t="shared" si="15"/>
        <v/>
      </c>
      <c r="AI17" s="126">
        <f>Length_1!G56</f>
        <v>0</v>
      </c>
      <c r="AJ17" s="126">
        <f>Length_1!H56</f>
        <v>0</v>
      </c>
      <c r="AK17" s="126">
        <f>Length_1!I56</f>
        <v>0</v>
      </c>
      <c r="AL17" s="126">
        <f>Length_1!J56</f>
        <v>0</v>
      </c>
      <c r="AM17" s="126">
        <f>Length_1!K56</f>
        <v>0</v>
      </c>
      <c r="AN17" s="126">
        <f>Length_1!A56</f>
        <v>0</v>
      </c>
      <c r="AO17" s="126">
        <f>Length_1!Q56</f>
        <v>0</v>
      </c>
      <c r="AP17" s="126">
        <f>Length_1!R56</f>
        <v>0</v>
      </c>
      <c r="AQ17" s="126">
        <f>Length_1!S56</f>
        <v>0</v>
      </c>
      <c r="AR17" s="126">
        <f>Length_1!T56</f>
        <v>0</v>
      </c>
      <c r="AS17" s="245">
        <f t="shared" si="16"/>
        <v>0</v>
      </c>
      <c r="AT17" s="245">
        <f t="shared" si="17"/>
        <v>0</v>
      </c>
      <c r="AU17" s="245">
        <f t="shared" si="18"/>
        <v>0</v>
      </c>
      <c r="AV17" s="245">
        <f t="shared" si="19"/>
        <v>0</v>
      </c>
      <c r="AW17" s="245">
        <f t="shared" si="20"/>
        <v>0</v>
      </c>
      <c r="AX17" s="246">
        <f t="shared" si="24"/>
        <v>0</v>
      </c>
      <c r="AY17" s="246">
        <f t="shared" si="25"/>
        <v>0</v>
      </c>
      <c r="AZ17" s="126">
        <f t="shared" si="26"/>
        <v>0</v>
      </c>
    </row>
    <row r="18" spans="2:52" ht="15" customHeight="1">
      <c r="B18" s="182" t="b">
        <f>IF(TRIM(Length_1!A13)="",FALSE,TRUE)</f>
        <v>0</v>
      </c>
      <c r="C18" s="176" t="str">
        <f>IF($B18=FALSE,"",VALUE(Length_1!A13))</f>
        <v/>
      </c>
      <c r="D18" s="176" t="str">
        <f>IF($B18=FALSE,"",Length_1!B13)</f>
        <v/>
      </c>
      <c r="E18" s="182" t="str">
        <f>IF(B18=FALSE,"",Length_1!M13)</f>
        <v/>
      </c>
      <c r="F18" s="182" t="str">
        <f>IF(B18=FALSE,"",Length_1!N13)</f>
        <v/>
      </c>
      <c r="G18" s="182" t="str">
        <f>IF(B18=FALSE,"",Length_1!O13)</f>
        <v/>
      </c>
      <c r="H18" s="182" t="str">
        <f>IF(B18=FALSE,"",Length_1!P13)</f>
        <v/>
      </c>
      <c r="I18" s="182" t="str">
        <f>IF(B18=FALSE,"",Length_1!Q13)</f>
        <v/>
      </c>
      <c r="J18" s="176" t="str">
        <f t="shared" si="1"/>
        <v/>
      </c>
      <c r="K18" s="186" t="str">
        <f t="shared" si="2"/>
        <v/>
      </c>
      <c r="L18" s="187" t="str">
        <f>IF(B18=FALSE,"",Length_1!D57)</f>
        <v/>
      </c>
      <c r="M18" s="188" t="str">
        <f>IF(B18=FALSE,"",Calcu!J18*J$3)</f>
        <v/>
      </c>
      <c r="N18" s="189" t="str">
        <f t="shared" si="3"/>
        <v/>
      </c>
      <c r="O18" s="189" t="str">
        <f>IF(B18=FALSE,"",Length_1!F57)</f>
        <v/>
      </c>
      <c r="P18" s="189" t="str">
        <f t="shared" si="4"/>
        <v/>
      </c>
      <c r="Q18" s="176" t="str">
        <f t="shared" si="5"/>
        <v/>
      </c>
      <c r="R18" s="176" t="str">
        <f t="shared" si="6"/>
        <v/>
      </c>
      <c r="S18" s="283" t="str">
        <f t="shared" si="7"/>
        <v/>
      </c>
      <c r="T18" s="190" t="str">
        <f t="shared" si="8"/>
        <v/>
      </c>
      <c r="U18" s="191" t="str">
        <f t="shared" si="9"/>
        <v/>
      </c>
      <c r="V18" s="176" t="str">
        <f t="shared" si="21"/>
        <v/>
      </c>
      <c r="W18" s="176" t="str">
        <f t="shared" si="22"/>
        <v/>
      </c>
      <c r="X18" s="125"/>
      <c r="Y18" s="176">
        <f>IF(Length_1!J13&lt;0,ROUNDUP(Length_1!J13*J$3,$L$66),ROUNDDOWN(Length_1!J13*J$3,$L$66))</f>
        <v>0</v>
      </c>
      <c r="Z18" s="176">
        <f>IF(Length_1!K13&lt;0,ROUNDDOWN(Length_1!K13*J$3,$L$66),ROUNDUP(Length_1!K13*J$3,$L$66))</f>
        <v>0</v>
      </c>
      <c r="AA18" s="176" t="str">
        <f t="shared" ca="1" si="10"/>
        <v/>
      </c>
      <c r="AB18" s="179" t="str">
        <f t="shared" ca="1" si="11"/>
        <v/>
      </c>
      <c r="AC18" s="176" t="str">
        <f t="shared" ca="1" si="12"/>
        <v/>
      </c>
      <c r="AD18" s="176" t="e">
        <f t="shared" ca="1" si="13"/>
        <v>#VALUE!</v>
      </c>
      <c r="AE18" s="176" t="str">
        <f t="shared" si="23"/>
        <v/>
      </c>
      <c r="AF18" s="176" t="e">
        <f t="shared" ca="1" si="14"/>
        <v>#N/A</v>
      </c>
      <c r="AH18" s="126" t="str">
        <f t="shared" si="15"/>
        <v/>
      </c>
      <c r="AI18" s="126">
        <f>Length_1!G57</f>
        <v>0</v>
      </c>
      <c r="AJ18" s="126">
        <f>Length_1!H57</f>
        <v>0</v>
      </c>
      <c r="AK18" s="126">
        <f>Length_1!I57</f>
        <v>0</v>
      </c>
      <c r="AL18" s="126">
        <f>Length_1!J57</f>
        <v>0</v>
      </c>
      <c r="AM18" s="126">
        <f>Length_1!K57</f>
        <v>0</v>
      </c>
      <c r="AN18" s="126">
        <f>Length_1!A57</f>
        <v>0</v>
      </c>
      <c r="AO18" s="126">
        <f>Length_1!Q57</f>
        <v>0</v>
      </c>
      <c r="AP18" s="126">
        <f>Length_1!R57</f>
        <v>0</v>
      </c>
      <c r="AQ18" s="126">
        <f>Length_1!S57</f>
        <v>0</v>
      </c>
      <c r="AR18" s="126">
        <f>Length_1!T57</f>
        <v>0</v>
      </c>
      <c r="AS18" s="245">
        <f t="shared" si="16"/>
        <v>0</v>
      </c>
      <c r="AT18" s="245">
        <f t="shared" si="17"/>
        <v>0</v>
      </c>
      <c r="AU18" s="245">
        <f t="shared" si="18"/>
        <v>0</v>
      </c>
      <c r="AV18" s="245">
        <f t="shared" si="19"/>
        <v>0</v>
      </c>
      <c r="AW18" s="245">
        <f t="shared" si="20"/>
        <v>0</v>
      </c>
      <c r="AX18" s="246">
        <f t="shared" si="24"/>
        <v>0</v>
      </c>
      <c r="AY18" s="246">
        <f t="shared" si="25"/>
        <v>0</v>
      </c>
      <c r="AZ18" s="126">
        <f t="shared" si="26"/>
        <v>0</v>
      </c>
    </row>
    <row r="19" spans="2:52" ht="15" customHeight="1">
      <c r="B19" s="182" t="b">
        <f>IF(TRIM(Length_1!A14)="",FALSE,TRUE)</f>
        <v>0</v>
      </c>
      <c r="C19" s="176" t="str">
        <f>IF($B19=FALSE,"",VALUE(Length_1!A14))</f>
        <v/>
      </c>
      <c r="D19" s="176" t="str">
        <f>IF($B19=FALSE,"",Length_1!B14)</f>
        <v/>
      </c>
      <c r="E19" s="182" t="str">
        <f>IF(B19=FALSE,"",Length_1!M14)</f>
        <v/>
      </c>
      <c r="F19" s="182" t="str">
        <f>IF(B19=FALSE,"",Length_1!N14)</f>
        <v/>
      </c>
      <c r="G19" s="182" t="str">
        <f>IF(B19=FALSE,"",Length_1!O14)</f>
        <v/>
      </c>
      <c r="H19" s="182" t="str">
        <f>IF(B19=FALSE,"",Length_1!P14)</f>
        <v/>
      </c>
      <c r="I19" s="182" t="str">
        <f>IF(B19=FALSE,"",Length_1!Q14)</f>
        <v/>
      </c>
      <c r="J19" s="176" t="str">
        <f t="shared" si="1"/>
        <v/>
      </c>
      <c r="K19" s="186" t="str">
        <f t="shared" si="2"/>
        <v/>
      </c>
      <c r="L19" s="187" t="str">
        <f>IF(B19=FALSE,"",Length_1!D58)</f>
        <v/>
      </c>
      <c r="M19" s="188" t="str">
        <f>IF(B19=FALSE,"",Calcu!J19*J$3)</f>
        <v/>
      </c>
      <c r="N19" s="189" t="str">
        <f t="shared" si="3"/>
        <v/>
      </c>
      <c r="O19" s="189" t="str">
        <f>IF(B19=FALSE,"",Length_1!F58)</f>
        <v/>
      </c>
      <c r="P19" s="189" t="str">
        <f t="shared" si="4"/>
        <v/>
      </c>
      <c r="Q19" s="176" t="str">
        <f t="shared" si="5"/>
        <v/>
      </c>
      <c r="R19" s="176" t="str">
        <f t="shared" si="6"/>
        <v/>
      </c>
      <c r="S19" s="283" t="str">
        <f t="shared" si="7"/>
        <v/>
      </c>
      <c r="T19" s="190" t="str">
        <f t="shared" si="8"/>
        <v/>
      </c>
      <c r="U19" s="191" t="str">
        <f t="shared" si="9"/>
        <v/>
      </c>
      <c r="V19" s="176" t="str">
        <f t="shared" si="21"/>
        <v/>
      </c>
      <c r="W19" s="176" t="str">
        <f t="shared" si="22"/>
        <v/>
      </c>
      <c r="X19" s="125"/>
      <c r="Y19" s="176">
        <f>IF(Length_1!J14&lt;0,ROUNDUP(Length_1!J14*J$3,$L$66),ROUNDDOWN(Length_1!J14*J$3,$L$66))</f>
        <v>0</v>
      </c>
      <c r="Z19" s="176">
        <f>IF(Length_1!K14&lt;0,ROUNDDOWN(Length_1!K14*J$3,$L$66),ROUNDUP(Length_1!K14*J$3,$L$66))</f>
        <v>0</v>
      </c>
      <c r="AA19" s="176" t="str">
        <f t="shared" ca="1" si="10"/>
        <v/>
      </c>
      <c r="AB19" s="179" t="str">
        <f t="shared" ca="1" si="11"/>
        <v/>
      </c>
      <c r="AC19" s="176" t="str">
        <f t="shared" ca="1" si="12"/>
        <v/>
      </c>
      <c r="AD19" s="176" t="e">
        <f t="shared" ca="1" si="13"/>
        <v>#VALUE!</v>
      </c>
      <c r="AE19" s="176" t="str">
        <f t="shared" si="23"/>
        <v/>
      </c>
      <c r="AF19" s="176" t="e">
        <f t="shared" ca="1" si="14"/>
        <v>#N/A</v>
      </c>
      <c r="AH19" s="126" t="str">
        <f t="shared" si="15"/>
        <v/>
      </c>
      <c r="AI19" s="126">
        <f>Length_1!G58</f>
        <v>0</v>
      </c>
      <c r="AJ19" s="126">
        <f>Length_1!H58</f>
        <v>0</v>
      </c>
      <c r="AK19" s="126">
        <f>Length_1!I58</f>
        <v>0</v>
      </c>
      <c r="AL19" s="126">
        <f>Length_1!J58</f>
        <v>0</v>
      </c>
      <c r="AM19" s="126">
        <f>Length_1!K58</f>
        <v>0</v>
      </c>
      <c r="AN19" s="126">
        <f>Length_1!A58</f>
        <v>0</v>
      </c>
      <c r="AO19" s="126">
        <f>Length_1!Q58</f>
        <v>0</v>
      </c>
      <c r="AP19" s="126">
        <f>Length_1!R58</f>
        <v>0</v>
      </c>
      <c r="AQ19" s="126">
        <f>Length_1!S58</f>
        <v>0</v>
      </c>
      <c r="AR19" s="126">
        <f>Length_1!T58</f>
        <v>0</v>
      </c>
      <c r="AS19" s="245">
        <f t="shared" si="16"/>
        <v>0</v>
      </c>
      <c r="AT19" s="245">
        <f t="shared" si="17"/>
        <v>0</v>
      </c>
      <c r="AU19" s="245">
        <f t="shared" si="18"/>
        <v>0</v>
      </c>
      <c r="AV19" s="245">
        <f t="shared" si="19"/>
        <v>0</v>
      </c>
      <c r="AW19" s="245">
        <f t="shared" si="20"/>
        <v>0</v>
      </c>
      <c r="AX19" s="246">
        <f t="shared" si="24"/>
        <v>0</v>
      </c>
      <c r="AY19" s="246">
        <f t="shared" si="25"/>
        <v>0</v>
      </c>
      <c r="AZ19" s="126">
        <f t="shared" si="26"/>
        <v>0</v>
      </c>
    </row>
    <row r="20" spans="2:52" ht="15" customHeight="1">
      <c r="B20" s="182" t="b">
        <f>IF(TRIM(Length_1!A15)="",FALSE,TRUE)</f>
        <v>0</v>
      </c>
      <c r="C20" s="176" t="str">
        <f>IF($B20=FALSE,"",VALUE(Length_1!A15))</f>
        <v/>
      </c>
      <c r="D20" s="176" t="str">
        <f>IF($B20=FALSE,"",Length_1!B15)</f>
        <v/>
      </c>
      <c r="E20" s="182" t="str">
        <f>IF(B20=FALSE,"",Length_1!M15)</f>
        <v/>
      </c>
      <c r="F20" s="182" t="str">
        <f>IF(B20=FALSE,"",Length_1!N15)</f>
        <v/>
      </c>
      <c r="G20" s="182" t="str">
        <f>IF(B20=FALSE,"",Length_1!O15)</f>
        <v/>
      </c>
      <c r="H20" s="182" t="str">
        <f>IF(B20=FALSE,"",Length_1!P15)</f>
        <v/>
      </c>
      <c r="I20" s="182" t="str">
        <f>IF(B20=FALSE,"",Length_1!Q15)</f>
        <v/>
      </c>
      <c r="J20" s="176" t="str">
        <f t="shared" si="1"/>
        <v/>
      </c>
      <c r="K20" s="186" t="str">
        <f t="shared" si="2"/>
        <v/>
      </c>
      <c r="L20" s="187" t="str">
        <f>IF(B20=FALSE,"",Length_1!D59)</f>
        <v/>
      </c>
      <c r="M20" s="188" t="str">
        <f>IF(B20=FALSE,"",Calcu!J20*J$3)</f>
        <v/>
      </c>
      <c r="N20" s="189" t="str">
        <f t="shared" si="3"/>
        <v/>
      </c>
      <c r="O20" s="189" t="str">
        <f>IF(B20=FALSE,"",Length_1!F59)</f>
        <v/>
      </c>
      <c r="P20" s="189" t="str">
        <f t="shared" si="4"/>
        <v/>
      </c>
      <c r="Q20" s="176" t="str">
        <f t="shared" si="5"/>
        <v/>
      </c>
      <c r="R20" s="176" t="str">
        <f t="shared" si="6"/>
        <v/>
      </c>
      <c r="S20" s="283" t="str">
        <f t="shared" si="7"/>
        <v/>
      </c>
      <c r="T20" s="190" t="str">
        <f t="shared" si="8"/>
        <v/>
      </c>
      <c r="U20" s="191" t="str">
        <f t="shared" si="9"/>
        <v/>
      </c>
      <c r="V20" s="176" t="str">
        <f t="shared" si="21"/>
        <v/>
      </c>
      <c r="W20" s="176" t="str">
        <f t="shared" si="22"/>
        <v/>
      </c>
      <c r="X20" s="125"/>
      <c r="Y20" s="176">
        <f>IF(Length_1!J15&lt;0,ROUNDUP(Length_1!J15*J$3,$L$66),ROUNDDOWN(Length_1!J15*J$3,$L$66))</f>
        <v>0</v>
      </c>
      <c r="Z20" s="176">
        <f>IF(Length_1!K15&lt;0,ROUNDDOWN(Length_1!K15*J$3,$L$66),ROUNDUP(Length_1!K15*J$3,$L$66))</f>
        <v>0</v>
      </c>
      <c r="AA20" s="176" t="str">
        <f t="shared" ca="1" si="10"/>
        <v/>
      </c>
      <c r="AB20" s="179" t="str">
        <f t="shared" ca="1" si="11"/>
        <v/>
      </c>
      <c r="AC20" s="176" t="str">
        <f t="shared" ca="1" si="12"/>
        <v/>
      </c>
      <c r="AD20" s="176" t="e">
        <f t="shared" ca="1" si="13"/>
        <v>#VALUE!</v>
      </c>
      <c r="AE20" s="176" t="str">
        <f t="shared" si="23"/>
        <v/>
      </c>
      <c r="AF20" s="176" t="e">
        <f t="shared" ca="1" si="14"/>
        <v>#N/A</v>
      </c>
      <c r="AH20" s="126" t="str">
        <f t="shared" si="15"/>
        <v/>
      </c>
      <c r="AI20" s="126">
        <f>Length_1!G59</f>
        <v>0</v>
      </c>
      <c r="AJ20" s="126">
        <f>Length_1!H59</f>
        <v>0</v>
      </c>
      <c r="AK20" s="126">
        <f>Length_1!I59</f>
        <v>0</v>
      </c>
      <c r="AL20" s="126">
        <f>Length_1!J59</f>
        <v>0</v>
      </c>
      <c r="AM20" s="126">
        <f>Length_1!K59</f>
        <v>0</v>
      </c>
      <c r="AN20" s="126">
        <f>Length_1!A59</f>
        <v>0</v>
      </c>
      <c r="AO20" s="126">
        <f>Length_1!Q59</f>
        <v>0</v>
      </c>
      <c r="AP20" s="126">
        <f>Length_1!R59</f>
        <v>0</v>
      </c>
      <c r="AQ20" s="126">
        <f>Length_1!S59</f>
        <v>0</v>
      </c>
      <c r="AR20" s="126">
        <f>Length_1!T59</f>
        <v>0</v>
      </c>
      <c r="AS20" s="245">
        <f t="shared" si="16"/>
        <v>0</v>
      </c>
      <c r="AT20" s="245">
        <f t="shared" si="17"/>
        <v>0</v>
      </c>
      <c r="AU20" s="245">
        <f t="shared" si="18"/>
        <v>0</v>
      </c>
      <c r="AV20" s="245">
        <f t="shared" si="19"/>
        <v>0</v>
      </c>
      <c r="AW20" s="245">
        <f t="shared" si="20"/>
        <v>0</v>
      </c>
      <c r="AX20" s="246">
        <f t="shared" si="24"/>
        <v>0</v>
      </c>
      <c r="AY20" s="246">
        <f t="shared" si="25"/>
        <v>0</v>
      </c>
      <c r="AZ20" s="126">
        <f t="shared" si="26"/>
        <v>0</v>
      </c>
    </row>
    <row r="21" spans="2:52" ht="15" customHeight="1">
      <c r="B21" s="182" t="b">
        <f>IF(TRIM(Length_1!A16)="",FALSE,TRUE)</f>
        <v>0</v>
      </c>
      <c r="C21" s="176" t="str">
        <f>IF($B21=FALSE,"",VALUE(Length_1!A16))</f>
        <v/>
      </c>
      <c r="D21" s="176" t="str">
        <f>IF($B21=FALSE,"",Length_1!B16)</f>
        <v/>
      </c>
      <c r="E21" s="182" t="str">
        <f>IF(B21=FALSE,"",Length_1!M16)</f>
        <v/>
      </c>
      <c r="F21" s="182" t="str">
        <f>IF(B21=FALSE,"",Length_1!N16)</f>
        <v/>
      </c>
      <c r="G21" s="182" t="str">
        <f>IF(B21=FALSE,"",Length_1!O16)</f>
        <v/>
      </c>
      <c r="H21" s="182" t="str">
        <f>IF(B21=FALSE,"",Length_1!P16)</f>
        <v/>
      </c>
      <c r="I21" s="182" t="str">
        <f>IF(B21=FALSE,"",Length_1!Q16)</f>
        <v/>
      </c>
      <c r="J21" s="176" t="str">
        <f t="shared" si="1"/>
        <v/>
      </c>
      <c r="K21" s="186" t="str">
        <f t="shared" si="2"/>
        <v/>
      </c>
      <c r="L21" s="187" t="str">
        <f>IF(B21=FALSE,"",Length_1!D60)</f>
        <v/>
      </c>
      <c r="M21" s="188" t="str">
        <f>IF(B21=FALSE,"",Calcu!J21*J$3)</f>
        <v/>
      </c>
      <c r="N21" s="189" t="str">
        <f t="shared" si="3"/>
        <v/>
      </c>
      <c r="O21" s="189" t="str">
        <f>IF(B21=FALSE,"",Length_1!F60)</f>
        <v/>
      </c>
      <c r="P21" s="189" t="str">
        <f t="shared" si="4"/>
        <v/>
      </c>
      <c r="Q21" s="176" t="str">
        <f t="shared" si="5"/>
        <v/>
      </c>
      <c r="R21" s="176" t="str">
        <f t="shared" si="6"/>
        <v/>
      </c>
      <c r="S21" s="283" t="str">
        <f t="shared" si="7"/>
        <v/>
      </c>
      <c r="T21" s="190" t="str">
        <f t="shared" si="8"/>
        <v/>
      </c>
      <c r="U21" s="191" t="str">
        <f t="shared" si="9"/>
        <v/>
      </c>
      <c r="V21" s="176" t="str">
        <f t="shared" si="21"/>
        <v/>
      </c>
      <c r="W21" s="176" t="str">
        <f t="shared" si="22"/>
        <v/>
      </c>
      <c r="X21" s="125"/>
      <c r="Y21" s="176">
        <f>IF(Length_1!J16&lt;0,ROUNDUP(Length_1!J16*J$3,$L$66),ROUNDDOWN(Length_1!J16*J$3,$L$66))</f>
        <v>0</v>
      </c>
      <c r="Z21" s="176">
        <f>IF(Length_1!K16&lt;0,ROUNDDOWN(Length_1!K16*J$3,$L$66),ROUNDUP(Length_1!K16*J$3,$L$66))</f>
        <v>0</v>
      </c>
      <c r="AA21" s="176" t="str">
        <f t="shared" ca="1" si="10"/>
        <v/>
      </c>
      <c r="AB21" s="179" t="str">
        <f t="shared" ca="1" si="11"/>
        <v/>
      </c>
      <c r="AC21" s="176" t="str">
        <f t="shared" ca="1" si="12"/>
        <v/>
      </c>
      <c r="AD21" s="176" t="e">
        <f t="shared" ca="1" si="13"/>
        <v>#VALUE!</v>
      </c>
      <c r="AE21" s="176" t="str">
        <f t="shared" si="23"/>
        <v/>
      </c>
      <c r="AF21" s="176" t="e">
        <f t="shared" ca="1" si="14"/>
        <v>#N/A</v>
      </c>
      <c r="AH21" s="126" t="str">
        <f t="shared" si="15"/>
        <v/>
      </c>
      <c r="AI21" s="126">
        <f>Length_1!G60</f>
        <v>0</v>
      </c>
      <c r="AJ21" s="126">
        <f>Length_1!H60</f>
        <v>0</v>
      </c>
      <c r="AK21" s="126">
        <f>Length_1!I60</f>
        <v>0</v>
      </c>
      <c r="AL21" s="126">
        <f>Length_1!J60</f>
        <v>0</v>
      </c>
      <c r="AM21" s="126">
        <f>Length_1!K60</f>
        <v>0</v>
      </c>
      <c r="AN21" s="126">
        <f>Length_1!A60</f>
        <v>0</v>
      </c>
      <c r="AO21" s="126">
        <f>Length_1!Q60</f>
        <v>0</v>
      </c>
      <c r="AP21" s="126">
        <f>Length_1!R60</f>
        <v>0</v>
      </c>
      <c r="AQ21" s="126">
        <f>Length_1!S60</f>
        <v>0</v>
      </c>
      <c r="AR21" s="126">
        <f>Length_1!T60</f>
        <v>0</v>
      </c>
      <c r="AS21" s="245">
        <f t="shared" si="16"/>
        <v>0</v>
      </c>
      <c r="AT21" s="245">
        <f t="shared" si="17"/>
        <v>0</v>
      </c>
      <c r="AU21" s="245">
        <f t="shared" si="18"/>
        <v>0</v>
      </c>
      <c r="AV21" s="245">
        <f t="shared" si="19"/>
        <v>0</v>
      </c>
      <c r="AW21" s="245">
        <f t="shared" si="20"/>
        <v>0</v>
      </c>
      <c r="AX21" s="246">
        <f t="shared" si="24"/>
        <v>0</v>
      </c>
      <c r="AY21" s="246">
        <f t="shared" si="25"/>
        <v>0</v>
      </c>
      <c r="AZ21" s="126">
        <f t="shared" si="26"/>
        <v>0</v>
      </c>
    </row>
    <row r="22" spans="2:52" ht="15" customHeight="1">
      <c r="B22" s="182" t="b">
        <f>IF(TRIM(Length_1!A17)="",FALSE,TRUE)</f>
        <v>0</v>
      </c>
      <c r="C22" s="176" t="str">
        <f>IF($B22=FALSE,"",VALUE(Length_1!A17))</f>
        <v/>
      </c>
      <c r="D22" s="176" t="str">
        <f>IF($B22=FALSE,"",Length_1!B17)</f>
        <v/>
      </c>
      <c r="E22" s="182" t="str">
        <f>IF(B22=FALSE,"",Length_1!M17)</f>
        <v/>
      </c>
      <c r="F22" s="182" t="str">
        <f>IF(B22=FALSE,"",Length_1!N17)</f>
        <v/>
      </c>
      <c r="G22" s="182" t="str">
        <f>IF(B22=FALSE,"",Length_1!O17)</f>
        <v/>
      </c>
      <c r="H22" s="182" t="str">
        <f>IF(B22=FALSE,"",Length_1!P17)</f>
        <v/>
      </c>
      <c r="I22" s="182" t="str">
        <f>IF(B22=FALSE,"",Length_1!Q17)</f>
        <v/>
      </c>
      <c r="J22" s="176" t="str">
        <f t="shared" si="1"/>
        <v/>
      </c>
      <c r="K22" s="186" t="str">
        <f t="shared" si="2"/>
        <v/>
      </c>
      <c r="L22" s="187" t="str">
        <f>IF(B22=FALSE,"",Length_1!D61)</f>
        <v/>
      </c>
      <c r="M22" s="188" t="str">
        <f>IF(B22=FALSE,"",Calcu!J22*J$3)</f>
        <v/>
      </c>
      <c r="N22" s="189" t="str">
        <f t="shared" si="3"/>
        <v/>
      </c>
      <c r="O22" s="189" t="str">
        <f>IF(B22=FALSE,"",Length_1!F61)</f>
        <v/>
      </c>
      <c r="P22" s="189" t="str">
        <f t="shared" si="4"/>
        <v/>
      </c>
      <c r="Q22" s="176" t="str">
        <f t="shared" si="5"/>
        <v/>
      </c>
      <c r="R22" s="176" t="str">
        <f t="shared" si="6"/>
        <v/>
      </c>
      <c r="S22" s="283" t="str">
        <f t="shared" si="7"/>
        <v/>
      </c>
      <c r="T22" s="190" t="str">
        <f t="shared" si="8"/>
        <v/>
      </c>
      <c r="U22" s="191" t="str">
        <f t="shared" si="9"/>
        <v/>
      </c>
      <c r="V22" s="176" t="str">
        <f t="shared" si="21"/>
        <v/>
      </c>
      <c r="W22" s="176" t="str">
        <f t="shared" si="22"/>
        <v/>
      </c>
      <c r="X22" s="125"/>
      <c r="Y22" s="176">
        <f>IF(Length_1!J17&lt;0,ROUNDUP(Length_1!J17*J$3,$L$66),ROUNDDOWN(Length_1!J17*J$3,$L$66))</f>
        <v>0</v>
      </c>
      <c r="Z22" s="176">
        <f>IF(Length_1!K17&lt;0,ROUNDDOWN(Length_1!K17*J$3,$L$66),ROUNDUP(Length_1!K17*J$3,$L$66))</f>
        <v>0</v>
      </c>
      <c r="AA22" s="176" t="str">
        <f t="shared" ca="1" si="10"/>
        <v/>
      </c>
      <c r="AB22" s="179" t="str">
        <f t="shared" ca="1" si="11"/>
        <v/>
      </c>
      <c r="AC22" s="176" t="str">
        <f t="shared" ca="1" si="12"/>
        <v/>
      </c>
      <c r="AD22" s="176" t="e">
        <f t="shared" ca="1" si="13"/>
        <v>#VALUE!</v>
      </c>
      <c r="AE22" s="176" t="str">
        <f t="shared" si="23"/>
        <v/>
      </c>
      <c r="AF22" s="176" t="e">
        <f t="shared" ca="1" si="14"/>
        <v>#N/A</v>
      </c>
      <c r="AH22" s="126" t="str">
        <f t="shared" si="15"/>
        <v/>
      </c>
      <c r="AI22" s="126">
        <f>Length_1!G61</f>
        <v>0</v>
      </c>
      <c r="AJ22" s="126">
        <f>Length_1!H61</f>
        <v>0</v>
      </c>
      <c r="AK22" s="126">
        <f>Length_1!I61</f>
        <v>0</v>
      </c>
      <c r="AL22" s="126">
        <f>Length_1!J61</f>
        <v>0</v>
      </c>
      <c r="AM22" s="126">
        <f>Length_1!K61</f>
        <v>0</v>
      </c>
      <c r="AN22" s="126">
        <f>Length_1!A61</f>
        <v>0</v>
      </c>
      <c r="AO22" s="126">
        <f>Length_1!Q61</f>
        <v>0</v>
      </c>
      <c r="AP22" s="126">
        <f>Length_1!R61</f>
        <v>0</v>
      </c>
      <c r="AQ22" s="126">
        <f>Length_1!S61</f>
        <v>0</v>
      </c>
      <c r="AR22" s="126">
        <f>Length_1!T61</f>
        <v>0</v>
      </c>
      <c r="AS22" s="245">
        <f t="shared" si="16"/>
        <v>0</v>
      </c>
      <c r="AT22" s="245">
        <f t="shared" si="17"/>
        <v>0</v>
      </c>
      <c r="AU22" s="245">
        <f t="shared" si="18"/>
        <v>0</v>
      </c>
      <c r="AV22" s="245">
        <f t="shared" si="19"/>
        <v>0</v>
      </c>
      <c r="AW22" s="245">
        <f t="shared" si="20"/>
        <v>0</v>
      </c>
      <c r="AX22" s="246">
        <f>SQRT(SUMSQ(AS22,AT22,AU22,AV22,AW22)+SUM(2*(AS22*AT22),2*(AS22*AU22),2*(AS22*AV22),2*(AS22*AW22),2*(AT22*AU22),2*(AT22*AV22),2*(AT22*AW22),2*(AU22*AV22),2*(AU22*AW22),2*(AV22*AW22)))</f>
        <v>0</v>
      </c>
      <c r="AY22" s="246">
        <f t="shared" si="25"/>
        <v>0</v>
      </c>
      <c r="AZ22" s="126">
        <f t="shared" si="26"/>
        <v>0</v>
      </c>
    </row>
    <row r="23" spans="2:52" ht="15" customHeight="1">
      <c r="B23" s="182" t="b">
        <f>IF(TRIM(Length_1!A18)="",FALSE,TRUE)</f>
        <v>0</v>
      </c>
      <c r="C23" s="176" t="str">
        <f>IF($B23=FALSE,"",VALUE(Length_1!A18))</f>
        <v/>
      </c>
      <c r="D23" s="176" t="str">
        <f>IF($B23=FALSE,"",Length_1!B18)</f>
        <v/>
      </c>
      <c r="E23" s="182" t="str">
        <f>IF(B23=FALSE,"",Length_1!M18)</f>
        <v/>
      </c>
      <c r="F23" s="182" t="str">
        <f>IF(B23=FALSE,"",Length_1!N18)</f>
        <v/>
      </c>
      <c r="G23" s="182" t="str">
        <f>IF(B23=FALSE,"",Length_1!O18)</f>
        <v/>
      </c>
      <c r="H23" s="182" t="str">
        <f>IF(B23=FALSE,"",Length_1!P18)</f>
        <v/>
      </c>
      <c r="I23" s="182" t="str">
        <f>IF(B23=FALSE,"",Length_1!Q18)</f>
        <v/>
      </c>
      <c r="J23" s="176" t="str">
        <f t="shared" si="1"/>
        <v/>
      </c>
      <c r="K23" s="186" t="str">
        <f t="shared" si="2"/>
        <v/>
      </c>
      <c r="L23" s="187" t="str">
        <f>IF(B23=FALSE,"",Length_1!D62)</f>
        <v/>
      </c>
      <c r="M23" s="188" t="str">
        <f>IF(B23=FALSE,"",Calcu!J23*J$3)</f>
        <v/>
      </c>
      <c r="N23" s="189" t="str">
        <f t="shared" si="3"/>
        <v/>
      </c>
      <c r="O23" s="189" t="str">
        <f>IF(B23=FALSE,"",Length_1!F62)</f>
        <v/>
      </c>
      <c r="P23" s="189" t="str">
        <f t="shared" si="4"/>
        <v/>
      </c>
      <c r="Q23" s="176" t="str">
        <f t="shared" si="5"/>
        <v/>
      </c>
      <c r="R23" s="176" t="str">
        <f t="shared" si="6"/>
        <v/>
      </c>
      <c r="S23" s="283" t="str">
        <f t="shared" si="7"/>
        <v/>
      </c>
      <c r="T23" s="190" t="str">
        <f t="shared" si="8"/>
        <v/>
      </c>
      <c r="U23" s="191" t="str">
        <f t="shared" si="9"/>
        <v/>
      </c>
      <c r="V23" s="176" t="str">
        <f t="shared" si="21"/>
        <v/>
      </c>
      <c r="W23" s="176" t="str">
        <f t="shared" si="22"/>
        <v/>
      </c>
      <c r="X23" s="125"/>
      <c r="Y23" s="176">
        <f>IF(Length_1!J18&lt;0,ROUNDUP(Length_1!J18*J$3,$L$66),ROUNDDOWN(Length_1!J18*J$3,$L$66))</f>
        <v>0</v>
      </c>
      <c r="Z23" s="176">
        <f>IF(Length_1!K18&lt;0,ROUNDDOWN(Length_1!K18*J$3,$L$66),ROUNDUP(Length_1!K18*J$3,$L$66))</f>
        <v>0</v>
      </c>
      <c r="AA23" s="176" t="str">
        <f t="shared" ca="1" si="10"/>
        <v/>
      </c>
      <c r="AB23" s="179" t="str">
        <f t="shared" ca="1" si="11"/>
        <v/>
      </c>
      <c r="AC23" s="176" t="str">
        <f t="shared" ca="1" si="12"/>
        <v/>
      </c>
      <c r="AD23" s="176" t="e">
        <f t="shared" ca="1" si="13"/>
        <v>#VALUE!</v>
      </c>
      <c r="AE23" s="176" t="str">
        <f t="shared" si="23"/>
        <v/>
      </c>
      <c r="AF23" s="176" t="e">
        <f t="shared" ca="1" si="14"/>
        <v>#N/A</v>
      </c>
      <c r="AH23" s="126" t="str">
        <f t="shared" si="15"/>
        <v/>
      </c>
      <c r="AI23" s="126">
        <f>Length_1!G62</f>
        <v>0</v>
      </c>
      <c r="AJ23" s="126">
        <f>Length_1!H62</f>
        <v>0</v>
      </c>
      <c r="AK23" s="126">
        <f>Length_1!I62</f>
        <v>0</v>
      </c>
      <c r="AL23" s="126">
        <f>Length_1!J62</f>
        <v>0</v>
      </c>
      <c r="AM23" s="126">
        <f>Length_1!K62</f>
        <v>0</v>
      </c>
      <c r="AN23" s="126">
        <f>Length_1!A62</f>
        <v>0</v>
      </c>
      <c r="AO23" s="126">
        <f>Length_1!Q62</f>
        <v>0</v>
      </c>
      <c r="AP23" s="126">
        <f>Length_1!R62</f>
        <v>0</v>
      </c>
      <c r="AQ23" s="126">
        <f>Length_1!S62</f>
        <v>0</v>
      </c>
      <c r="AR23" s="126">
        <f>Length_1!T62</f>
        <v>0</v>
      </c>
      <c r="AS23" s="245">
        <f t="shared" si="16"/>
        <v>0</v>
      </c>
      <c r="AT23" s="245">
        <f t="shared" si="17"/>
        <v>0</v>
      </c>
      <c r="AU23" s="245">
        <f t="shared" si="18"/>
        <v>0</v>
      </c>
      <c r="AV23" s="245">
        <f t="shared" si="19"/>
        <v>0</v>
      </c>
      <c r="AW23" s="245">
        <f t="shared" si="20"/>
        <v>0</v>
      </c>
      <c r="AX23" s="246">
        <f>SQRT(SUMSQ(AS23,AT23,AU23,AV23,AW23)+SUM(2*(AS23*AT23),2*(AS23*AU23),2*(AS23*AV23),2*(AS23*AW23),2*(AT23*AU23),2*(AT23*AV23),2*(AT23*AW23),2*(AU23*AV23),2*(AU23*AW23),2*(AV23*AW23)))</f>
        <v>0</v>
      </c>
      <c r="AY23" s="246">
        <f t="shared" si="25"/>
        <v>0</v>
      </c>
      <c r="AZ23" s="126">
        <f t="shared" si="26"/>
        <v>0</v>
      </c>
    </row>
    <row r="24" spans="2:52" ht="15" customHeight="1">
      <c r="B24" s="182" t="b">
        <f>IF(TRIM(Length_1!A19)="",FALSE,TRUE)</f>
        <v>0</v>
      </c>
      <c r="C24" s="176" t="str">
        <f>IF($B24=FALSE,"",VALUE(Length_1!A19))</f>
        <v/>
      </c>
      <c r="D24" s="176" t="str">
        <f>IF($B24=FALSE,"",Length_1!B19)</f>
        <v/>
      </c>
      <c r="E24" s="182" t="str">
        <f>IF(B24=FALSE,"",Length_1!M19)</f>
        <v/>
      </c>
      <c r="F24" s="182" t="str">
        <f>IF(B24=FALSE,"",Length_1!N19)</f>
        <v/>
      </c>
      <c r="G24" s="182" t="str">
        <f>IF(B24=FALSE,"",Length_1!O19)</f>
        <v/>
      </c>
      <c r="H24" s="182" t="str">
        <f>IF(B24=FALSE,"",Length_1!P19)</f>
        <v/>
      </c>
      <c r="I24" s="182" t="str">
        <f>IF(B24=FALSE,"",Length_1!Q19)</f>
        <v/>
      </c>
      <c r="J24" s="176" t="str">
        <f t="shared" si="1"/>
        <v/>
      </c>
      <c r="K24" s="186" t="str">
        <f t="shared" si="2"/>
        <v/>
      </c>
      <c r="L24" s="187" t="str">
        <f>IF(B24=FALSE,"",Length_1!D63)</f>
        <v/>
      </c>
      <c r="M24" s="188" t="str">
        <f>IF(B24=FALSE,"",Calcu!J24*J$3)</f>
        <v/>
      </c>
      <c r="N24" s="189" t="str">
        <f t="shared" si="3"/>
        <v/>
      </c>
      <c r="O24" s="189" t="str">
        <f>IF(B24=FALSE,"",Length_1!F63)</f>
        <v/>
      </c>
      <c r="P24" s="189" t="str">
        <f t="shared" si="4"/>
        <v/>
      </c>
      <c r="Q24" s="176" t="str">
        <f t="shared" si="5"/>
        <v/>
      </c>
      <c r="R24" s="176" t="str">
        <f t="shared" si="6"/>
        <v/>
      </c>
      <c r="S24" s="283" t="str">
        <f t="shared" si="7"/>
        <v/>
      </c>
      <c r="T24" s="190" t="str">
        <f t="shared" si="8"/>
        <v/>
      </c>
      <c r="U24" s="191" t="str">
        <f t="shared" si="9"/>
        <v/>
      </c>
      <c r="V24" s="176" t="str">
        <f t="shared" si="21"/>
        <v/>
      </c>
      <c r="W24" s="176" t="str">
        <f t="shared" si="22"/>
        <v/>
      </c>
      <c r="X24" s="125"/>
      <c r="Y24" s="176">
        <f>IF(Length_1!J19&lt;0,ROUNDUP(Length_1!J19*J$3,$L$66),ROUNDDOWN(Length_1!J19*J$3,$L$66))</f>
        <v>0</v>
      </c>
      <c r="Z24" s="176">
        <f>IF(Length_1!K19&lt;0,ROUNDDOWN(Length_1!K19*J$3,$L$66),ROUNDUP(Length_1!K19*J$3,$L$66))</f>
        <v>0</v>
      </c>
      <c r="AA24" s="176" t="str">
        <f t="shared" ca="1" si="10"/>
        <v/>
      </c>
      <c r="AB24" s="179" t="str">
        <f t="shared" ca="1" si="11"/>
        <v/>
      </c>
      <c r="AC24" s="176" t="str">
        <f t="shared" ca="1" si="12"/>
        <v/>
      </c>
      <c r="AD24" s="176" t="e">
        <f t="shared" ca="1" si="13"/>
        <v>#VALUE!</v>
      </c>
      <c r="AE24" s="176" t="str">
        <f t="shared" si="23"/>
        <v/>
      </c>
      <c r="AF24" s="176" t="e">
        <f t="shared" ca="1" si="14"/>
        <v>#N/A</v>
      </c>
      <c r="AH24" s="126" t="str">
        <f t="shared" si="15"/>
        <v/>
      </c>
      <c r="AI24" s="126">
        <f>Length_1!G63</f>
        <v>0</v>
      </c>
      <c r="AJ24" s="126">
        <f>Length_1!H63</f>
        <v>0</v>
      </c>
      <c r="AK24" s="126">
        <f>Length_1!I63</f>
        <v>0</v>
      </c>
      <c r="AL24" s="126">
        <f>Length_1!J63</f>
        <v>0</v>
      </c>
      <c r="AM24" s="126">
        <f>Length_1!K63</f>
        <v>0</v>
      </c>
      <c r="AN24" s="126">
        <f>Length_1!A63</f>
        <v>0</v>
      </c>
      <c r="AO24" s="126">
        <f>Length_1!Q63</f>
        <v>0</v>
      </c>
      <c r="AP24" s="126">
        <f>Length_1!R63</f>
        <v>0</v>
      </c>
      <c r="AQ24" s="126">
        <f>Length_1!S63</f>
        <v>0</v>
      </c>
      <c r="AR24" s="126">
        <f>Length_1!T63</f>
        <v>0</v>
      </c>
      <c r="AS24" s="245">
        <f t="shared" si="16"/>
        <v>0</v>
      </c>
      <c r="AT24" s="245">
        <f t="shared" si="17"/>
        <v>0</v>
      </c>
      <c r="AU24" s="245">
        <f t="shared" si="18"/>
        <v>0</v>
      </c>
      <c r="AV24" s="245">
        <f t="shared" si="19"/>
        <v>0</v>
      </c>
      <c r="AW24" s="245">
        <f t="shared" si="20"/>
        <v>0</v>
      </c>
      <c r="AX24" s="246">
        <f>SQRT(SUMSQ(AS24,AT24,AU24,AV24,AW24)+SUM(2*(AS24*AT24),2*(AS24*AU24),2*(AS24*AV24),2*(AS24*AW24),2*(AT24*AU24),2*(AT24*AV24),2*(AT24*AW24),2*(AU24*AV24),2*(AU24*AW24),2*(AV24*AW24)))</f>
        <v>0</v>
      </c>
      <c r="AY24" s="246">
        <f t="shared" si="25"/>
        <v>0</v>
      </c>
      <c r="AZ24" s="126">
        <f t="shared" si="26"/>
        <v>0</v>
      </c>
    </row>
    <row r="25" spans="2:52" ht="15" customHeight="1">
      <c r="B25" s="182" t="b">
        <f>IF(TRIM(Length_1!A20)="",FALSE,TRUE)</f>
        <v>0</v>
      </c>
      <c r="C25" s="176" t="str">
        <f>IF($B25=FALSE,"",VALUE(Length_1!A20))</f>
        <v/>
      </c>
      <c r="D25" s="176" t="str">
        <f>IF($B25=FALSE,"",Length_1!B20)</f>
        <v/>
      </c>
      <c r="E25" s="182" t="str">
        <f>IF(B25=FALSE,"",Length_1!M20)</f>
        <v/>
      </c>
      <c r="F25" s="182" t="str">
        <f>IF(B25=FALSE,"",Length_1!N20)</f>
        <v/>
      </c>
      <c r="G25" s="182" t="str">
        <f>IF(B25=FALSE,"",Length_1!O20)</f>
        <v/>
      </c>
      <c r="H25" s="182" t="str">
        <f>IF(B25=FALSE,"",Length_1!P20)</f>
        <v/>
      </c>
      <c r="I25" s="182" t="str">
        <f>IF(B25=FALSE,"",Length_1!Q20)</f>
        <v/>
      </c>
      <c r="J25" s="176" t="str">
        <f t="shared" si="1"/>
        <v/>
      </c>
      <c r="K25" s="186" t="str">
        <f t="shared" si="2"/>
        <v/>
      </c>
      <c r="L25" s="187" t="str">
        <f>IF(B25=FALSE,"",Length_1!D64)</f>
        <v/>
      </c>
      <c r="M25" s="188" t="str">
        <f>IF(B25=FALSE,"",Calcu!J25*J$3)</f>
        <v/>
      </c>
      <c r="N25" s="189" t="str">
        <f t="shared" si="3"/>
        <v/>
      </c>
      <c r="O25" s="189" t="str">
        <f>IF(B25=FALSE,"",Length_1!F64)</f>
        <v/>
      </c>
      <c r="P25" s="189" t="str">
        <f t="shared" si="4"/>
        <v/>
      </c>
      <c r="Q25" s="176" t="str">
        <f t="shared" si="5"/>
        <v/>
      </c>
      <c r="R25" s="176" t="str">
        <f t="shared" si="6"/>
        <v/>
      </c>
      <c r="S25" s="283" t="str">
        <f t="shared" si="7"/>
        <v/>
      </c>
      <c r="T25" s="190" t="str">
        <f t="shared" si="8"/>
        <v/>
      </c>
      <c r="U25" s="191" t="str">
        <f t="shared" si="9"/>
        <v/>
      </c>
      <c r="V25" s="176" t="str">
        <f t="shared" si="21"/>
        <v/>
      </c>
      <c r="W25" s="176" t="str">
        <f t="shared" si="22"/>
        <v/>
      </c>
      <c r="X25" s="125"/>
      <c r="Y25" s="176">
        <f>IF(Length_1!J20&lt;0,ROUNDUP(Length_1!J20*J$3,$L$66),ROUNDDOWN(Length_1!J20*J$3,$L$66))</f>
        <v>0</v>
      </c>
      <c r="Z25" s="176">
        <f>IF(Length_1!K20&lt;0,ROUNDDOWN(Length_1!K20*J$3,$L$66),ROUNDUP(Length_1!K20*J$3,$L$66))</f>
        <v>0</v>
      </c>
      <c r="AA25" s="176" t="str">
        <f t="shared" ca="1" si="10"/>
        <v/>
      </c>
      <c r="AB25" s="179" t="str">
        <f t="shared" ca="1" si="11"/>
        <v/>
      </c>
      <c r="AC25" s="176" t="str">
        <f t="shared" ca="1" si="12"/>
        <v/>
      </c>
      <c r="AD25" s="176" t="e">
        <f t="shared" ca="1" si="13"/>
        <v>#VALUE!</v>
      </c>
      <c r="AE25" s="176" t="str">
        <f t="shared" si="23"/>
        <v/>
      </c>
      <c r="AF25" s="176" t="e">
        <f t="shared" ca="1" si="14"/>
        <v>#N/A</v>
      </c>
      <c r="AH25" s="126" t="str">
        <f t="shared" si="15"/>
        <v/>
      </c>
      <c r="AI25" s="126">
        <f>Length_1!G64</f>
        <v>0</v>
      </c>
      <c r="AJ25" s="126">
        <f>Length_1!H64</f>
        <v>0</v>
      </c>
      <c r="AK25" s="126">
        <f>Length_1!I64</f>
        <v>0</v>
      </c>
      <c r="AL25" s="126">
        <f>Length_1!J64</f>
        <v>0</v>
      </c>
      <c r="AM25" s="126">
        <f>Length_1!K64</f>
        <v>0</v>
      </c>
      <c r="AN25" s="126">
        <f>Length_1!A64</f>
        <v>0</v>
      </c>
      <c r="AO25" s="126">
        <f>Length_1!Q64</f>
        <v>0</v>
      </c>
      <c r="AP25" s="126">
        <f>Length_1!R64</f>
        <v>0</v>
      </c>
      <c r="AQ25" s="126">
        <f>Length_1!S64</f>
        <v>0</v>
      </c>
      <c r="AR25" s="126">
        <f>Length_1!T64</f>
        <v>0</v>
      </c>
      <c r="AS25" s="245">
        <f t="shared" si="16"/>
        <v>0</v>
      </c>
      <c r="AT25" s="245">
        <f t="shared" si="17"/>
        <v>0</v>
      </c>
      <c r="AU25" s="245">
        <f t="shared" si="18"/>
        <v>0</v>
      </c>
      <c r="AV25" s="245">
        <f t="shared" si="19"/>
        <v>0</v>
      </c>
      <c r="AW25" s="245">
        <f t="shared" si="20"/>
        <v>0</v>
      </c>
      <c r="AX25" s="246">
        <f>SQRT(SUMSQ(AS25,AT25,AU25,AV25,AW25)+SUM(2*(AS25*AT25),2*(AS25*AU25),2*(AS25*AV25),2*(AS25*AW25),2*(AT25*AU25),2*(AT25*AV25),2*(AT25*AW25),2*(AU25*AV25),2*(AU25*AW25),2*(AV25*AW25)))</f>
        <v>0</v>
      </c>
      <c r="AY25" s="246">
        <f t="shared" si="25"/>
        <v>0</v>
      </c>
      <c r="AZ25" s="126">
        <f t="shared" si="26"/>
        <v>0</v>
      </c>
    </row>
    <row r="26" spans="2:52" ht="15" customHeight="1">
      <c r="B26" s="182" t="b">
        <f>IF(TRIM(Length_1!A21)="",FALSE,TRUE)</f>
        <v>0</v>
      </c>
      <c r="C26" s="176" t="str">
        <f>IF($B26=FALSE,"",VALUE(Length_1!A21))</f>
        <v/>
      </c>
      <c r="D26" s="176" t="str">
        <f>IF($B26=FALSE,"",Length_1!B21)</f>
        <v/>
      </c>
      <c r="E26" s="182" t="str">
        <f>IF(B26=FALSE,"",Length_1!M21)</f>
        <v/>
      </c>
      <c r="F26" s="182" t="str">
        <f>IF(B26=FALSE,"",Length_1!N21)</f>
        <v/>
      </c>
      <c r="G26" s="182" t="str">
        <f>IF(B26=FALSE,"",Length_1!O21)</f>
        <v/>
      </c>
      <c r="H26" s="182" t="str">
        <f>IF(B26=FALSE,"",Length_1!P21)</f>
        <v/>
      </c>
      <c r="I26" s="182" t="str">
        <f>IF(B26=FALSE,"",Length_1!Q21)</f>
        <v/>
      </c>
      <c r="J26" s="176" t="str">
        <f t="shared" si="1"/>
        <v/>
      </c>
      <c r="K26" s="186" t="str">
        <f t="shared" si="2"/>
        <v/>
      </c>
      <c r="L26" s="187" t="str">
        <f>IF(B26=FALSE,"",Length_1!D65)</f>
        <v/>
      </c>
      <c r="M26" s="188" t="str">
        <f>IF(B26=FALSE,"",Calcu!J26*J$3)</f>
        <v/>
      </c>
      <c r="N26" s="189" t="str">
        <f t="shared" si="3"/>
        <v/>
      </c>
      <c r="O26" s="189" t="str">
        <f>IF(B26=FALSE,"",Length_1!F65)</f>
        <v/>
      </c>
      <c r="P26" s="189" t="str">
        <f t="shared" si="4"/>
        <v/>
      </c>
      <c r="Q26" s="176" t="str">
        <f t="shared" si="5"/>
        <v/>
      </c>
      <c r="R26" s="176" t="str">
        <f t="shared" si="6"/>
        <v/>
      </c>
      <c r="S26" s="283" t="str">
        <f t="shared" si="7"/>
        <v/>
      </c>
      <c r="T26" s="190" t="str">
        <f t="shared" si="8"/>
        <v/>
      </c>
      <c r="U26" s="191" t="str">
        <f t="shared" si="9"/>
        <v/>
      </c>
      <c r="V26" s="176" t="str">
        <f t="shared" si="21"/>
        <v/>
      </c>
      <c r="W26" s="176" t="str">
        <f t="shared" si="22"/>
        <v/>
      </c>
      <c r="X26" s="125"/>
      <c r="Y26" s="176">
        <f>IF(Length_1!J21&lt;0,ROUNDUP(Length_1!J21*J$3,$L$66),ROUNDDOWN(Length_1!J21*J$3,$L$66))</f>
        <v>0</v>
      </c>
      <c r="Z26" s="176">
        <f>IF(Length_1!K21&lt;0,ROUNDDOWN(Length_1!K21*J$3,$L$66),ROUNDUP(Length_1!K21*J$3,$L$66))</f>
        <v>0</v>
      </c>
      <c r="AA26" s="176" t="str">
        <f t="shared" ca="1" si="10"/>
        <v/>
      </c>
      <c r="AB26" s="179" t="str">
        <f t="shared" ca="1" si="11"/>
        <v/>
      </c>
      <c r="AC26" s="176" t="str">
        <f t="shared" ca="1" si="12"/>
        <v/>
      </c>
      <c r="AD26" s="176" t="e">
        <f t="shared" ca="1" si="13"/>
        <v>#VALUE!</v>
      </c>
      <c r="AE26" s="176" t="str">
        <f t="shared" si="23"/>
        <v/>
      </c>
      <c r="AF26" s="176" t="e">
        <f t="shared" ca="1" si="14"/>
        <v>#N/A</v>
      </c>
      <c r="AH26" s="126" t="str">
        <f t="shared" si="15"/>
        <v/>
      </c>
      <c r="AI26" s="126">
        <f>Length_1!G65</f>
        <v>0</v>
      </c>
      <c r="AJ26" s="126">
        <f>Length_1!H65</f>
        <v>0</v>
      </c>
      <c r="AK26" s="126">
        <f>Length_1!I65</f>
        <v>0</v>
      </c>
      <c r="AL26" s="126">
        <f>Length_1!J65</f>
        <v>0</v>
      </c>
      <c r="AM26" s="126">
        <f>Length_1!K65</f>
        <v>0</v>
      </c>
      <c r="AN26" s="126">
        <f>Length_1!A65</f>
        <v>0</v>
      </c>
      <c r="AO26" s="126">
        <f>Length_1!Q65</f>
        <v>0</v>
      </c>
      <c r="AP26" s="126">
        <f>Length_1!R65</f>
        <v>0</v>
      </c>
      <c r="AQ26" s="126">
        <f>Length_1!S65</f>
        <v>0</v>
      </c>
      <c r="AR26" s="126">
        <f>Length_1!T65</f>
        <v>0</v>
      </c>
      <c r="AS26" s="245">
        <f t="shared" si="16"/>
        <v>0</v>
      </c>
      <c r="AT26" s="245">
        <f t="shared" si="17"/>
        <v>0</v>
      </c>
      <c r="AU26" s="245">
        <f t="shared" si="18"/>
        <v>0</v>
      </c>
      <c r="AV26" s="245">
        <f t="shared" si="19"/>
        <v>0</v>
      </c>
      <c r="AW26" s="245">
        <f t="shared" si="20"/>
        <v>0</v>
      </c>
      <c r="AX26" s="246">
        <f t="shared" si="24"/>
        <v>0</v>
      </c>
      <c r="AY26" s="246">
        <f t="shared" si="25"/>
        <v>0</v>
      </c>
      <c r="AZ26" s="126">
        <f t="shared" si="26"/>
        <v>0</v>
      </c>
    </row>
    <row r="27" spans="2:52" ht="15" customHeight="1">
      <c r="B27" s="182" t="b">
        <f>IF(TRIM(Length_1!A22)="",FALSE,TRUE)</f>
        <v>0</v>
      </c>
      <c r="C27" s="176" t="str">
        <f>IF($B27=FALSE,"",VALUE(Length_1!A22))</f>
        <v/>
      </c>
      <c r="D27" s="176" t="str">
        <f>IF($B27=FALSE,"",Length_1!B22)</f>
        <v/>
      </c>
      <c r="E27" s="182" t="str">
        <f>IF(B27=FALSE,"",Length_1!M22)</f>
        <v/>
      </c>
      <c r="F27" s="182" t="str">
        <f>IF(B27=FALSE,"",Length_1!N22)</f>
        <v/>
      </c>
      <c r="G27" s="182" t="str">
        <f>IF(B27=FALSE,"",Length_1!O22)</f>
        <v/>
      </c>
      <c r="H27" s="182" t="str">
        <f>IF(B27=FALSE,"",Length_1!P22)</f>
        <v/>
      </c>
      <c r="I27" s="182" t="str">
        <f>IF(B27=FALSE,"",Length_1!Q22)</f>
        <v/>
      </c>
      <c r="J27" s="176" t="str">
        <f t="shared" si="1"/>
        <v/>
      </c>
      <c r="K27" s="186" t="str">
        <f t="shared" si="2"/>
        <v/>
      </c>
      <c r="L27" s="187" t="str">
        <f>IF(B27=FALSE,"",Length_1!D66)</f>
        <v/>
      </c>
      <c r="M27" s="188" t="str">
        <f>IF(B27=FALSE,"",Calcu!J27*J$3)</f>
        <v/>
      </c>
      <c r="N27" s="189" t="str">
        <f t="shared" si="3"/>
        <v/>
      </c>
      <c r="O27" s="189" t="str">
        <f>IF(B27=FALSE,"",Length_1!F66)</f>
        <v/>
      </c>
      <c r="P27" s="189" t="str">
        <f t="shared" si="4"/>
        <v/>
      </c>
      <c r="Q27" s="176" t="str">
        <f t="shared" si="5"/>
        <v/>
      </c>
      <c r="R27" s="176" t="str">
        <f t="shared" si="6"/>
        <v/>
      </c>
      <c r="S27" s="283" t="str">
        <f t="shared" si="7"/>
        <v/>
      </c>
      <c r="T27" s="190" t="str">
        <f t="shared" si="8"/>
        <v/>
      </c>
      <c r="U27" s="191" t="str">
        <f t="shared" si="9"/>
        <v/>
      </c>
      <c r="V27" s="176" t="str">
        <f t="shared" si="21"/>
        <v/>
      </c>
      <c r="W27" s="176" t="str">
        <f t="shared" si="22"/>
        <v/>
      </c>
      <c r="X27" s="125"/>
      <c r="Y27" s="176">
        <f>IF(Length_1!J22&lt;0,ROUNDUP(Length_1!J22*J$3,$L$66),ROUNDDOWN(Length_1!J22*J$3,$L$66))</f>
        <v>0</v>
      </c>
      <c r="Z27" s="176">
        <f>IF(Length_1!K22&lt;0,ROUNDDOWN(Length_1!K22*J$3,$L$66),ROUNDUP(Length_1!K22*J$3,$L$66))</f>
        <v>0</v>
      </c>
      <c r="AA27" s="176" t="str">
        <f t="shared" ca="1" si="10"/>
        <v/>
      </c>
      <c r="AB27" s="179" t="str">
        <f t="shared" ca="1" si="11"/>
        <v/>
      </c>
      <c r="AC27" s="176" t="str">
        <f t="shared" ca="1" si="12"/>
        <v/>
      </c>
      <c r="AD27" s="176" t="e">
        <f t="shared" ca="1" si="13"/>
        <v>#VALUE!</v>
      </c>
      <c r="AE27" s="176" t="str">
        <f t="shared" si="23"/>
        <v/>
      </c>
      <c r="AF27" s="176" t="e">
        <f t="shared" ca="1" si="14"/>
        <v>#N/A</v>
      </c>
      <c r="AH27" s="126" t="str">
        <f t="shared" si="15"/>
        <v/>
      </c>
      <c r="AI27" s="126">
        <f>Length_1!G66</f>
        <v>0</v>
      </c>
      <c r="AJ27" s="126">
        <f>Length_1!H66</f>
        <v>0</v>
      </c>
      <c r="AK27" s="126">
        <f>Length_1!I66</f>
        <v>0</v>
      </c>
      <c r="AL27" s="126">
        <f>Length_1!J66</f>
        <v>0</v>
      </c>
      <c r="AM27" s="126">
        <f>Length_1!K66</f>
        <v>0</v>
      </c>
      <c r="AN27" s="126">
        <f>Length_1!A66</f>
        <v>0</v>
      </c>
      <c r="AO27" s="126">
        <f>Length_1!Q66</f>
        <v>0</v>
      </c>
      <c r="AP27" s="126">
        <f>Length_1!R66</f>
        <v>0</v>
      </c>
      <c r="AQ27" s="126">
        <f>Length_1!S66</f>
        <v>0</v>
      </c>
      <c r="AR27" s="126">
        <f>Length_1!T66</f>
        <v>0</v>
      </c>
      <c r="AS27" s="245">
        <f t="shared" si="16"/>
        <v>0</v>
      </c>
      <c r="AT27" s="245">
        <f t="shared" si="17"/>
        <v>0</v>
      </c>
      <c r="AU27" s="245">
        <f t="shared" si="18"/>
        <v>0</v>
      </c>
      <c r="AV27" s="245">
        <f t="shared" si="19"/>
        <v>0</v>
      </c>
      <c r="AW27" s="245">
        <f t="shared" si="20"/>
        <v>0</v>
      </c>
      <c r="AX27" s="246">
        <f t="shared" si="24"/>
        <v>0</v>
      </c>
      <c r="AY27" s="246">
        <f t="shared" si="25"/>
        <v>0</v>
      </c>
      <c r="AZ27" s="126">
        <f t="shared" si="26"/>
        <v>0</v>
      </c>
    </row>
    <row r="28" spans="2:52" ht="15" customHeight="1">
      <c r="B28" s="182" t="b">
        <f>IF(TRIM(Length_1!A23)="",FALSE,TRUE)</f>
        <v>0</v>
      </c>
      <c r="C28" s="176" t="str">
        <f>IF($B28=FALSE,"",VALUE(Length_1!A23))</f>
        <v/>
      </c>
      <c r="D28" s="176" t="str">
        <f>IF($B28=FALSE,"",Length_1!B23)</f>
        <v/>
      </c>
      <c r="E28" s="182" t="str">
        <f>IF(B28=FALSE,"",Length_1!M23)</f>
        <v/>
      </c>
      <c r="F28" s="182" t="str">
        <f>IF(B28=FALSE,"",Length_1!N23)</f>
        <v/>
      </c>
      <c r="G28" s="182" t="str">
        <f>IF(B28=FALSE,"",Length_1!O23)</f>
        <v/>
      </c>
      <c r="H28" s="182" t="str">
        <f>IF(B28=FALSE,"",Length_1!P23)</f>
        <v/>
      </c>
      <c r="I28" s="182" t="str">
        <f>IF(B28=FALSE,"",Length_1!Q23)</f>
        <v/>
      </c>
      <c r="J28" s="176" t="str">
        <f t="shared" si="1"/>
        <v/>
      </c>
      <c r="K28" s="186" t="str">
        <f t="shared" si="2"/>
        <v/>
      </c>
      <c r="L28" s="187" t="str">
        <f>IF(B28=FALSE,"",Length_1!D67)</f>
        <v/>
      </c>
      <c r="M28" s="188" t="str">
        <f>IF(B28=FALSE,"",Calcu!J28*J$3)</f>
        <v/>
      </c>
      <c r="N28" s="189" t="str">
        <f t="shared" si="3"/>
        <v/>
      </c>
      <c r="O28" s="189" t="str">
        <f>IF(B28=FALSE,"",Length_1!F67)</f>
        <v/>
      </c>
      <c r="P28" s="189" t="str">
        <f t="shared" si="4"/>
        <v/>
      </c>
      <c r="Q28" s="176" t="str">
        <f t="shared" si="5"/>
        <v/>
      </c>
      <c r="R28" s="176" t="str">
        <f t="shared" si="6"/>
        <v/>
      </c>
      <c r="S28" s="283" t="str">
        <f t="shared" si="7"/>
        <v/>
      </c>
      <c r="T28" s="190" t="str">
        <f t="shared" si="8"/>
        <v/>
      </c>
      <c r="U28" s="191" t="str">
        <f t="shared" si="9"/>
        <v/>
      </c>
      <c r="V28" s="176" t="str">
        <f t="shared" si="21"/>
        <v/>
      </c>
      <c r="W28" s="176" t="str">
        <f t="shared" si="22"/>
        <v/>
      </c>
      <c r="X28" s="125"/>
      <c r="Y28" s="176">
        <f>IF(Length_1!J23&lt;0,ROUNDUP(Length_1!J23*J$3,$L$66),ROUNDDOWN(Length_1!J23*J$3,$L$66))</f>
        <v>0</v>
      </c>
      <c r="Z28" s="176">
        <f>IF(Length_1!K23&lt;0,ROUNDDOWN(Length_1!K23*J$3,$L$66),ROUNDUP(Length_1!K23*J$3,$L$66))</f>
        <v>0</v>
      </c>
      <c r="AA28" s="176" t="str">
        <f t="shared" ca="1" si="10"/>
        <v/>
      </c>
      <c r="AB28" s="179" t="str">
        <f t="shared" ca="1" si="11"/>
        <v/>
      </c>
      <c r="AC28" s="176" t="str">
        <f t="shared" ca="1" si="12"/>
        <v/>
      </c>
      <c r="AD28" s="176" t="e">
        <f t="shared" ca="1" si="13"/>
        <v>#VALUE!</v>
      </c>
      <c r="AE28" s="176" t="str">
        <f t="shared" si="23"/>
        <v/>
      </c>
      <c r="AF28" s="176" t="e">
        <f t="shared" ca="1" si="14"/>
        <v>#N/A</v>
      </c>
      <c r="AH28" s="126" t="str">
        <f t="shared" si="15"/>
        <v/>
      </c>
      <c r="AI28" s="126">
        <f>Length_1!G67</f>
        <v>0</v>
      </c>
      <c r="AJ28" s="126">
        <f>Length_1!H67</f>
        <v>0</v>
      </c>
      <c r="AK28" s="126">
        <f>Length_1!I67</f>
        <v>0</v>
      </c>
      <c r="AL28" s="126">
        <f>Length_1!J67</f>
        <v>0</v>
      </c>
      <c r="AM28" s="126">
        <f>Length_1!K67</f>
        <v>0</v>
      </c>
      <c r="AN28" s="126">
        <f>Length_1!A67</f>
        <v>0</v>
      </c>
      <c r="AO28" s="126">
        <f>Length_1!Q67</f>
        <v>0</v>
      </c>
      <c r="AP28" s="126">
        <f>Length_1!R67</f>
        <v>0</v>
      </c>
      <c r="AQ28" s="126">
        <f>Length_1!S67</f>
        <v>0</v>
      </c>
      <c r="AR28" s="126">
        <f>Length_1!T67</f>
        <v>0</v>
      </c>
      <c r="AS28" s="245">
        <f t="shared" si="16"/>
        <v>0</v>
      </c>
      <c r="AT28" s="245">
        <f t="shared" si="17"/>
        <v>0</v>
      </c>
      <c r="AU28" s="245">
        <f t="shared" si="18"/>
        <v>0</v>
      </c>
      <c r="AV28" s="245">
        <f t="shared" si="19"/>
        <v>0</v>
      </c>
      <c r="AW28" s="245">
        <f t="shared" si="20"/>
        <v>0</v>
      </c>
      <c r="AX28" s="246">
        <f t="shared" si="24"/>
        <v>0</v>
      </c>
      <c r="AY28" s="246">
        <f t="shared" si="25"/>
        <v>0</v>
      </c>
      <c r="AZ28" s="126">
        <f t="shared" si="26"/>
        <v>0</v>
      </c>
    </row>
    <row r="29" spans="2:52" ht="15" customHeight="1">
      <c r="B29" s="182" t="b">
        <f>IF(TRIM(Length_1!A24)="",FALSE,TRUE)</f>
        <v>0</v>
      </c>
      <c r="C29" s="176" t="str">
        <f>IF($B29=FALSE,"",VALUE(Length_1!A24))</f>
        <v/>
      </c>
      <c r="D29" s="176" t="str">
        <f>IF($B29=FALSE,"",Length_1!B24)</f>
        <v/>
      </c>
      <c r="E29" s="182" t="str">
        <f>IF(B29=FALSE,"",Length_1!M24)</f>
        <v/>
      </c>
      <c r="F29" s="182" t="str">
        <f>IF(B29=FALSE,"",Length_1!N24)</f>
        <v/>
      </c>
      <c r="G29" s="182" t="str">
        <f>IF(B29=FALSE,"",Length_1!O24)</f>
        <v/>
      </c>
      <c r="H29" s="182" t="str">
        <f>IF(B29=FALSE,"",Length_1!P24)</f>
        <v/>
      </c>
      <c r="I29" s="182" t="str">
        <f>IF(B29=FALSE,"",Length_1!Q24)</f>
        <v/>
      </c>
      <c r="J29" s="176" t="str">
        <f t="shared" si="1"/>
        <v/>
      </c>
      <c r="K29" s="186" t="str">
        <f t="shared" si="2"/>
        <v/>
      </c>
      <c r="L29" s="187" t="str">
        <f>IF(B29=FALSE,"",Length_1!D68)</f>
        <v/>
      </c>
      <c r="M29" s="188" t="str">
        <f>IF(B29=FALSE,"",Calcu!J29*J$3)</f>
        <v/>
      </c>
      <c r="N29" s="189" t="str">
        <f t="shared" si="3"/>
        <v/>
      </c>
      <c r="O29" s="189" t="str">
        <f>IF(B29=FALSE,"",Length_1!F68)</f>
        <v/>
      </c>
      <c r="P29" s="189" t="str">
        <f t="shared" si="4"/>
        <v/>
      </c>
      <c r="Q29" s="176" t="str">
        <f t="shared" si="5"/>
        <v/>
      </c>
      <c r="R29" s="176" t="str">
        <f t="shared" si="6"/>
        <v/>
      </c>
      <c r="S29" s="283" t="str">
        <f t="shared" si="7"/>
        <v/>
      </c>
      <c r="T29" s="190" t="str">
        <f t="shared" si="8"/>
        <v/>
      </c>
      <c r="U29" s="191" t="str">
        <f t="shared" si="9"/>
        <v/>
      </c>
      <c r="V29" s="176" t="str">
        <f t="shared" si="21"/>
        <v/>
      </c>
      <c r="W29" s="176" t="str">
        <f t="shared" si="22"/>
        <v/>
      </c>
      <c r="X29" s="125"/>
      <c r="Y29" s="176">
        <f>IF(Length_1!J24&lt;0,ROUNDUP(Length_1!J24*J$3,$L$66),ROUNDDOWN(Length_1!J24*J$3,$L$66))</f>
        <v>0</v>
      </c>
      <c r="Z29" s="176">
        <f>IF(Length_1!K24&lt;0,ROUNDDOWN(Length_1!K24*J$3,$L$66),ROUNDUP(Length_1!K24*J$3,$L$66))</f>
        <v>0</v>
      </c>
      <c r="AA29" s="176" t="str">
        <f t="shared" ca="1" si="10"/>
        <v/>
      </c>
      <c r="AB29" s="179" t="str">
        <f t="shared" ca="1" si="11"/>
        <v/>
      </c>
      <c r="AC29" s="176" t="str">
        <f t="shared" ca="1" si="12"/>
        <v/>
      </c>
      <c r="AD29" s="176" t="e">
        <f t="shared" ca="1" si="13"/>
        <v>#VALUE!</v>
      </c>
      <c r="AE29" s="176" t="str">
        <f t="shared" si="23"/>
        <v/>
      </c>
      <c r="AF29" s="176" t="e">
        <f t="shared" ca="1" si="14"/>
        <v>#N/A</v>
      </c>
      <c r="AH29" s="126" t="str">
        <f t="shared" si="15"/>
        <v/>
      </c>
      <c r="AI29" s="126">
        <f>Length_1!G68</f>
        <v>0</v>
      </c>
      <c r="AJ29" s="126">
        <f>Length_1!H68</f>
        <v>0</v>
      </c>
      <c r="AK29" s="126">
        <f>Length_1!I68</f>
        <v>0</v>
      </c>
      <c r="AL29" s="126">
        <f>Length_1!J68</f>
        <v>0</v>
      </c>
      <c r="AM29" s="126">
        <f>Length_1!K68</f>
        <v>0</v>
      </c>
      <c r="AN29" s="126">
        <f>Length_1!A68</f>
        <v>0</v>
      </c>
      <c r="AO29" s="126">
        <f>Length_1!Q68</f>
        <v>0</v>
      </c>
      <c r="AP29" s="126">
        <f>Length_1!R68</f>
        <v>0</v>
      </c>
      <c r="AQ29" s="126">
        <f>Length_1!S68</f>
        <v>0</v>
      </c>
      <c r="AR29" s="126">
        <f>Length_1!T68</f>
        <v>0</v>
      </c>
      <c r="AS29" s="245">
        <f t="shared" si="16"/>
        <v>0</v>
      </c>
      <c r="AT29" s="245">
        <f t="shared" si="17"/>
        <v>0</v>
      </c>
      <c r="AU29" s="245">
        <f t="shared" si="18"/>
        <v>0</v>
      </c>
      <c r="AV29" s="245">
        <f t="shared" si="19"/>
        <v>0</v>
      </c>
      <c r="AW29" s="245">
        <f t="shared" si="20"/>
        <v>0</v>
      </c>
      <c r="AX29" s="246">
        <f t="shared" si="24"/>
        <v>0</v>
      </c>
      <c r="AY29" s="246">
        <f t="shared" si="25"/>
        <v>0</v>
      </c>
      <c r="AZ29" s="126">
        <f t="shared" si="26"/>
        <v>0</v>
      </c>
    </row>
    <row r="30" spans="2:52" ht="15" customHeight="1">
      <c r="B30" s="182" t="b">
        <f>IF(TRIM(Length_1!A25)="",FALSE,TRUE)</f>
        <v>0</v>
      </c>
      <c r="C30" s="176" t="str">
        <f>IF($B30=FALSE,"",VALUE(Length_1!A25))</f>
        <v/>
      </c>
      <c r="D30" s="176" t="str">
        <f>IF($B30=FALSE,"",Length_1!B25)</f>
        <v/>
      </c>
      <c r="E30" s="182" t="str">
        <f>IF(B30=FALSE,"",Length_1!M25)</f>
        <v/>
      </c>
      <c r="F30" s="182" t="str">
        <f>IF(B30=FALSE,"",Length_1!N25)</f>
        <v/>
      </c>
      <c r="G30" s="182" t="str">
        <f>IF(B30=FALSE,"",Length_1!O25)</f>
        <v/>
      </c>
      <c r="H30" s="182" t="str">
        <f>IF(B30=FALSE,"",Length_1!P25)</f>
        <v/>
      </c>
      <c r="I30" s="182" t="str">
        <f>IF(B30=FALSE,"",Length_1!Q25)</f>
        <v/>
      </c>
      <c r="J30" s="176" t="str">
        <f t="shared" si="1"/>
        <v/>
      </c>
      <c r="K30" s="186" t="str">
        <f t="shared" si="2"/>
        <v/>
      </c>
      <c r="L30" s="187" t="str">
        <f>IF(B30=FALSE,"",Length_1!D69)</f>
        <v/>
      </c>
      <c r="M30" s="188" t="str">
        <f>IF(B30=FALSE,"",Calcu!J30*J$3)</f>
        <v/>
      </c>
      <c r="N30" s="189" t="str">
        <f t="shared" si="3"/>
        <v/>
      </c>
      <c r="O30" s="189" t="str">
        <f>IF(B30=FALSE,"",Length_1!F69)</f>
        <v/>
      </c>
      <c r="P30" s="189" t="str">
        <f t="shared" si="4"/>
        <v/>
      </c>
      <c r="Q30" s="176" t="str">
        <f t="shared" si="5"/>
        <v/>
      </c>
      <c r="R30" s="176" t="str">
        <f t="shared" si="6"/>
        <v/>
      </c>
      <c r="S30" s="283" t="str">
        <f t="shared" si="7"/>
        <v/>
      </c>
      <c r="T30" s="190" t="str">
        <f t="shared" si="8"/>
        <v/>
      </c>
      <c r="U30" s="191" t="str">
        <f t="shared" si="9"/>
        <v/>
      </c>
      <c r="V30" s="176" t="str">
        <f t="shared" si="21"/>
        <v/>
      </c>
      <c r="W30" s="176" t="str">
        <f t="shared" si="22"/>
        <v/>
      </c>
      <c r="X30" s="125"/>
      <c r="Y30" s="176">
        <f>IF(Length_1!J25&lt;0,ROUNDUP(Length_1!J25*J$3,$L$66),ROUNDDOWN(Length_1!J25*J$3,$L$66))</f>
        <v>0</v>
      </c>
      <c r="Z30" s="176">
        <f>IF(Length_1!K25&lt;0,ROUNDDOWN(Length_1!K25*J$3,$L$66),ROUNDUP(Length_1!K25*J$3,$L$66))</f>
        <v>0</v>
      </c>
      <c r="AA30" s="176" t="str">
        <f t="shared" ca="1" si="10"/>
        <v/>
      </c>
      <c r="AB30" s="179" t="str">
        <f t="shared" ca="1" si="11"/>
        <v/>
      </c>
      <c r="AC30" s="176" t="str">
        <f t="shared" ca="1" si="12"/>
        <v/>
      </c>
      <c r="AD30" s="176" t="e">
        <f t="shared" ca="1" si="13"/>
        <v>#VALUE!</v>
      </c>
      <c r="AE30" s="176" t="str">
        <f t="shared" si="23"/>
        <v/>
      </c>
      <c r="AF30" s="176" t="e">
        <f t="shared" ca="1" si="14"/>
        <v>#N/A</v>
      </c>
      <c r="AH30" s="126" t="str">
        <f t="shared" si="15"/>
        <v/>
      </c>
      <c r="AI30" s="126">
        <f>Length_1!G69</f>
        <v>0</v>
      </c>
      <c r="AJ30" s="126">
        <f>Length_1!H69</f>
        <v>0</v>
      </c>
      <c r="AK30" s="126">
        <f>Length_1!I69</f>
        <v>0</v>
      </c>
      <c r="AL30" s="126">
        <f>Length_1!J69</f>
        <v>0</v>
      </c>
      <c r="AM30" s="126">
        <f>Length_1!K69</f>
        <v>0</v>
      </c>
      <c r="AN30" s="126">
        <f>Length_1!A69</f>
        <v>0</v>
      </c>
      <c r="AO30" s="126">
        <f>Length_1!Q69</f>
        <v>0</v>
      </c>
      <c r="AP30" s="126">
        <f>Length_1!R69</f>
        <v>0</v>
      </c>
      <c r="AQ30" s="126">
        <f>Length_1!S69</f>
        <v>0</v>
      </c>
      <c r="AR30" s="126">
        <f>Length_1!T69</f>
        <v>0</v>
      </c>
      <c r="AS30" s="245">
        <f t="shared" si="16"/>
        <v>0</v>
      </c>
      <c r="AT30" s="245">
        <f t="shared" si="17"/>
        <v>0</v>
      </c>
      <c r="AU30" s="245">
        <f t="shared" si="18"/>
        <v>0</v>
      </c>
      <c r="AV30" s="245">
        <f t="shared" si="19"/>
        <v>0</v>
      </c>
      <c r="AW30" s="245">
        <f t="shared" si="20"/>
        <v>0</v>
      </c>
      <c r="AX30" s="246">
        <f t="shared" si="24"/>
        <v>0</v>
      </c>
      <c r="AY30" s="246">
        <f t="shared" si="25"/>
        <v>0</v>
      </c>
      <c r="AZ30" s="126">
        <f t="shared" si="26"/>
        <v>0</v>
      </c>
    </row>
    <row r="31" spans="2:52" ht="15" customHeight="1">
      <c r="B31" s="182" t="b">
        <f>IF(TRIM(Length_1!A26)="",FALSE,TRUE)</f>
        <v>0</v>
      </c>
      <c r="C31" s="176" t="str">
        <f>IF($B31=FALSE,"",VALUE(Length_1!A26))</f>
        <v/>
      </c>
      <c r="D31" s="176" t="str">
        <f>IF($B31=FALSE,"",Length_1!B26)</f>
        <v/>
      </c>
      <c r="E31" s="182" t="str">
        <f>IF(B31=FALSE,"",Length_1!M26)</f>
        <v/>
      </c>
      <c r="F31" s="182" t="str">
        <f>IF(B31=FALSE,"",Length_1!N26)</f>
        <v/>
      </c>
      <c r="G31" s="182" t="str">
        <f>IF(B31=FALSE,"",Length_1!O26)</f>
        <v/>
      </c>
      <c r="H31" s="182" t="str">
        <f>IF(B31=FALSE,"",Length_1!P26)</f>
        <v/>
      </c>
      <c r="I31" s="182" t="str">
        <f>IF(B31=FALSE,"",Length_1!Q26)</f>
        <v/>
      </c>
      <c r="J31" s="176" t="str">
        <f t="shared" si="1"/>
        <v/>
      </c>
      <c r="K31" s="186" t="str">
        <f t="shared" si="2"/>
        <v/>
      </c>
      <c r="L31" s="187" t="str">
        <f>IF(B31=FALSE,"",Length_1!D70)</f>
        <v/>
      </c>
      <c r="M31" s="188" t="str">
        <f>IF(B31=FALSE,"",Calcu!J31*J$3)</f>
        <v/>
      </c>
      <c r="N31" s="189" t="str">
        <f t="shared" si="3"/>
        <v/>
      </c>
      <c r="O31" s="189" t="str">
        <f>IF(B31=FALSE,"",Length_1!F70)</f>
        <v/>
      </c>
      <c r="P31" s="189" t="str">
        <f t="shared" si="4"/>
        <v/>
      </c>
      <c r="Q31" s="176" t="str">
        <f t="shared" si="5"/>
        <v/>
      </c>
      <c r="R31" s="176" t="str">
        <f t="shared" si="6"/>
        <v/>
      </c>
      <c r="S31" s="283" t="str">
        <f t="shared" si="7"/>
        <v/>
      </c>
      <c r="T31" s="190" t="str">
        <f t="shared" si="8"/>
        <v/>
      </c>
      <c r="U31" s="191" t="str">
        <f t="shared" si="9"/>
        <v/>
      </c>
      <c r="V31" s="176" t="str">
        <f t="shared" si="21"/>
        <v/>
      </c>
      <c r="W31" s="176" t="str">
        <f t="shared" si="22"/>
        <v/>
      </c>
      <c r="X31" s="125"/>
      <c r="Y31" s="176">
        <f>IF(Length_1!J26&lt;0,ROUNDUP(Length_1!J26*J$3,$L$66),ROUNDDOWN(Length_1!J26*J$3,$L$66))</f>
        <v>0</v>
      </c>
      <c r="Z31" s="176">
        <f>IF(Length_1!K26&lt;0,ROUNDDOWN(Length_1!K26*J$3,$L$66),ROUNDUP(Length_1!K26*J$3,$L$66))</f>
        <v>0</v>
      </c>
      <c r="AA31" s="176" t="str">
        <f t="shared" ca="1" si="10"/>
        <v/>
      </c>
      <c r="AB31" s="179" t="str">
        <f t="shared" ca="1" si="11"/>
        <v/>
      </c>
      <c r="AC31" s="176" t="str">
        <f t="shared" ca="1" si="12"/>
        <v/>
      </c>
      <c r="AD31" s="176" t="e">
        <f t="shared" ca="1" si="13"/>
        <v>#VALUE!</v>
      </c>
      <c r="AE31" s="176" t="str">
        <f t="shared" si="23"/>
        <v/>
      </c>
      <c r="AF31" s="176" t="e">
        <f t="shared" ca="1" si="14"/>
        <v>#N/A</v>
      </c>
      <c r="AH31" s="126" t="str">
        <f t="shared" si="15"/>
        <v/>
      </c>
      <c r="AI31" s="126">
        <f>Length_1!G70</f>
        <v>0</v>
      </c>
      <c r="AJ31" s="126">
        <f>Length_1!H70</f>
        <v>0</v>
      </c>
      <c r="AK31" s="126">
        <f>Length_1!I70</f>
        <v>0</v>
      </c>
      <c r="AL31" s="126">
        <f>Length_1!J70</f>
        <v>0</v>
      </c>
      <c r="AM31" s="126">
        <f>Length_1!K70</f>
        <v>0</v>
      </c>
      <c r="AN31" s="126">
        <f>Length_1!A70</f>
        <v>0</v>
      </c>
      <c r="AO31" s="126">
        <f>Length_1!Q70</f>
        <v>0</v>
      </c>
      <c r="AP31" s="126">
        <f>Length_1!R70</f>
        <v>0</v>
      </c>
      <c r="AQ31" s="126">
        <f>Length_1!S70</f>
        <v>0</v>
      </c>
      <c r="AR31" s="126">
        <f>Length_1!T70</f>
        <v>0</v>
      </c>
      <c r="AS31" s="245">
        <f t="shared" si="16"/>
        <v>0</v>
      </c>
      <c r="AT31" s="245">
        <f t="shared" si="17"/>
        <v>0</v>
      </c>
      <c r="AU31" s="245">
        <f t="shared" si="18"/>
        <v>0</v>
      </c>
      <c r="AV31" s="245">
        <f t="shared" si="19"/>
        <v>0</v>
      </c>
      <c r="AW31" s="245">
        <f t="shared" si="20"/>
        <v>0</v>
      </c>
      <c r="AX31" s="246">
        <f t="shared" si="24"/>
        <v>0</v>
      </c>
      <c r="AY31" s="246">
        <f t="shared" si="25"/>
        <v>0</v>
      </c>
      <c r="AZ31" s="126">
        <f t="shared" si="26"/>
        <v>0</v>
      </c>
    </row>
    <row r="32" spans="2:52" ht="15" customHeight="1">
      <c r="B32" s="182" t="b">
        <f>IF(TRIM(Length_1!A27)="",FALSE,TRUE)</f>
        <v>0</v>
      </c>
      <c r="C32" s="176" t="str">
        <f>IF($B32=FALSE,"",VALUE(Length_1!A27))</f>
        <v/>
      </c>
      <c r="D32" s="176" t="str">
        <f>IF($B32=FALSE,"",Length_1!B27)</f>
        <v/>
      </c>
      <c r="E32" s="182" t="str">
        <f>IF(B32=FALSE,"",Length_1!M27)</f>
        <v/>
      </c>
      <c r="F32" s="182" t="str">
        <f>IF(B32=FALSE,"",Length_1!N27)</f>
        <v/>
      </c>
      <c r="G32" s="182" t="str">
        <f>IF(B32=FALSE,"",Length_1!O27)</f>
        <v/>
      </c>
      <c r="H32" s="182" t="str">
        <f>IF(B32=FALSE,"",Length_1!P27)</f>
        <v/>
      </c>
      <c r="I32" s="182" t="str">
        <f>IF(B32=FALSE,"",Length_1!Q27)</f>
        <v/>
      </c>
      <c r="J32" s="176" t="str">
        <f t="shared" si="1"/>
        <v/>
      </c>
      <c r="K32" s="186" t="str">
        <f t="shared" si="2"/>
        <v/>
      </c>
      <c r="L32" s="187" t="str">
        <f>IF(B32=FALSE,"",Length_1!D71)</f>
        <v/>
      </c>
      <c r="M32" s="188" t="str">
        <f>IF(B32=FALSE,"",Calcu!J32*J$3)</f>
        <v/>
      </c>
      <c r="N32" s="189" t="str">
        <f t="shared" si="3"/>
        <v/>
      </c>
      <c r="O32" s="189" t="str">
        <f>IF(B32=FALSE,"",Length_1!F71)</f>
        <v/>
      </c>
      <c r="P32" s="189" t="str">
        <f t="shared" si="4"/>
        <v/>
      </c>
      <c r="Q32" s="176" t="str">
        <f t="shared" si="5"/>
        <v/>
      </c>
      <c r="R32" s="176" t="str">
        <f t="shared" si="6"/>
        <v/>
      </c>
      <c r="S32" s="283" t="str">
        <f t="shared" si="7"/>
        <v/>
      </c>
      <c r="T32" s="190" t="str">
        <f t="shared" si="8"/>
        <v/>
      </c>
      <c r="U32" s="191" t="str">
        <f t="shared" si="9"/>
        <v/>
      </c>
      <c r="V32" s="176" t="str">
        <f t="shared" si="21"/>
        <v/>
      </c>
      <c r="W32" s="176" t="str">
        <f t="shared" si="22"/>
        <v/>
      </c>
      <c r="X32" s="125"/>
      <c r="Y32" s="176">
        <f>IF(Length_1!J27&lt;0,ROUNDUP(Length_1!J27*J$3,$L$66),ROUNDDOWN(Length_1!J27*J$3,$L$66))</f>
        <v>0</v>
      </c>
      <c r="Z32" s="176">
        <f>IF(Length_1!K27&lt;0,ROUNDDOWN(Length_1!K27*J$3,$L$66),ROUNDUP(Length_1!K27*J$3,$L$66))</f>
        <v>0</v>
      </c>
      <c r="AA32" s="176" t="str">
        <f t="shared" ca="1" si="10"/>
        <v/>
      </c>
      <c r="AB32" s="179" t="str">
        <f t="shared" ca="1" si="11"/>
        <v/>
      </c>
      <c r="AC32" s="176" t="str">
        <f t="shared" ca="1" si="12"/>
        <v/>
      </c>
      <c r="AD32" s="176" t="e">
        <f t="shared" ca="1" si="13"/>
        <v>#VALUE!</v>
      </c>
      <c r="AE32" s="176" t="str">
        <f t="shared" si="23"/>
        <v/>
      </c>
      <c r="AF32" s="176" t="e">
        <f t="shared" ca="1" si="14"/>
        <v>#N/A</v>
      </c>
      <c r="AH32" s="126" t="str">
        <f t="shared" si="15"/>
        <v/>
      </c>
      <c r="AI32" s="126">
        <f>Length_1!G71</f>
        <v>0</v>
      </c>
      <c r="AJ32" s="126">
        <f>Length_1!H71</f>
        <v>0</v>
      </c>
      <c r="AK32" s="126">
        <f>Length_1!I71</f>
        <v>0</v>
      </c>
      <c r="AL32" s="126">
        <f>Length_1!J71</f>
        <v>0</v>
      </c>
      <c r="AM32" s="126">
        <f>Length_1!K71</f>
        <v>0</v>
      </c>
      <c r="AN32" s="126">
        <f>Length_1!A71</f>
        <v>0</v>
      </c>
      <c r="AO32" s="126">
        <f>Length_1!Q71</f>
        <v>0</v>
      </c>
      <c r="AP32" s="126">
        <f>Length_1!R71</f>
        <v>0</v>
      </c>
      <c r="AQ32" s="126">
        <f>Length_1!S71</f>
        <v>0</v>
      </c>
      <c r="AR32" s="126">
        <f>Length_1!T71</f>
        <v>0</v>
      </c>
      <c r="AS32" s="245">
        <f t="shared" si="16"/>
        <v>0</v>
      </c>
      <c r="AT32" s="245">
        <f t="shared" si="17"/>
        <v>0</v>
      </c>
      <c r="AU32" s="245">
        <f t="shared" si="18"/>
        <v>0</v>
      </c>
      <c r="AV32" s="245">
        <f t="shared" si="19"/>
        <v>0</v>
      </c>
      <c r="AW32" s="245">
        <f t="shared" si="20"/>
        <v>0</v>
      </c>
      <c r="AX32" s="246">
        <f t="shared" si="24"/>
        <v>0</v>
      </c>
      <c r="AY32" s="246">
        <f t="shared" si="25"/>
        <v>0</v>
      </c>
      <c r="AZ32" s="126">
        <f t="shared" si="26"/>
        <v>0</v>
      </c>
    </row>
    <row r="33" spans="2:52" ht="15" customHeight="1">
      <c r="B33" s="182" t="b">
        <f>IF(TRIM(Length_1!A28)="",FALSE,TRUE)</f>
        <v>0</v>
      </c>
      <c r="C33" s="176" t="str">
        <f>IF($B33=FALSE,"",VALUE(Length_1!A28))</f>
        <v/>
      </c>
      <c r="D33" s="176" t="str">
        <f>IF($B33=FALSE,"",Length_1!B28)</f>
        <v/>
      </c>
      <c r="E33" s="182" t="str">
        <f>IF(B33=FALSE,"",Length_1!M28)</f>
        <v/>
      </c>
      <c r="F33" s="182" t="str">
        <f>IF(B33=FALSE,"",Length_1!N28)</f>
        <v/>
      </c>
      <c r="G33" s="182" t="str">
        <f>IF(B33=FALSE,"",Length_1!O28)</f>
        <v/>
      </c>
      <c r="H33" s="182" t="str">
        <f>IF(B33=FALSE,"",Length_1!P28)</f>
        <v/>
      </c>
      <c r="I33" s="182" t="str">
        <f>IF(B33=FALSE,"",Length_1!Q28)</f>
        <v/>
      </c>
      <c r="J33" s="176" t="str">
        <f t="shared" si="1"/>
        <v/>
      </c>
      <c r="K33" s="186" t="str">
        <f t="shared" si="2"/>
        <v/>
      </c>
      <c r="L33" s="187" t="str">
        <f>IF(B33=FALSE,"",Length_1!D72)</f>
        <v/>
      </c>
      <c r="M33" s="188" t="str">
        <f>IF(B33=FALSE,"",Calcu!J33*J$3)</f>
        <v/>
      </c>
      <c r="N33" s="189" t="str">
        <f t="shared" si="3"/>
        <v/>
      </c>
      <c r="O33" s="189" t="str">
        <f>IF(B33=FALSE,"",Length_1!F72)</f>
        <v/>
      </c>
      <c r="P33" s="189" t="str">
        <f t="shared" si="4"/>
        <v/>
      </c>
      <c r="Q33" s="176" t="str">
        <f t="shared" si="5"/>
        <v/>
      </c>
      <c r="R33" s="176" t="str">
        <f t="shared" si="6"/>
        <v/>
      </c>
      <c r="S33" s="283" t="str">
        <f t="shared" si="7"/>
        <v/>
      </c>
      <c r="T33" s="190" t="str">
        <f t="shared" si="8"/>
        <v/>
      </c>
      <c r="U33" s="191" t="str">
        <f t="shared" si="9"/>
        <v/>
      </c>
      <c r="V33" s="176" t="str">
        <f t="shared" si="21"/>
        <v/>
      </c>
      <c r="W33" s="176" t="str">
        <f t="shared" si="22"/>
        <v/>
      </c>
      <c r="X33" s="125"/>
      <c r="Y33" s="176">
        <f>IF(Length_1!J28&lt;0,ROUNDUP(Length_1!J28*J$3,$L$66),ROUNDDOWN(Length_1!J28*J$3,$L$66))</f>
        <v>0</v>
      </c>
      <c r="Z33" s="176">
        <f>IF(Length_1!K28&lt;0,ROUNDDOWN(Length_1!K28*J$3,$L$66),ROUNDUP(Length_1!K28*J$3,$L$66))</f>
        <v>0</v>
      </c>
      <c r="AA33" s="176" t="str">
        <f t="shared" ca="1" si="10"/>
        <v/>
      </c>
      <c r="AB33" s="179" t="str">
        <f t="shared" ca="1" si="11"/>
        <v/>
      </c>
      <c r="AC33" s="176" t="str">
        <f t="shared" ca="1" si="12"/>
        <v/>
      </c>
      <c r="AD33" s="176" t="e">
        <f t="shared" ca="1" si="13"/>
        <v>#VALUE!</v>
      </c>
      <c r="AE33" s="176" t="str">
        <f t="shared" si="23"/>
        <v/>
      </c>
      <c r="AF33" s="176" t="e">
        <f t="shared" ca="1" si="14"/>
        <v>#N/A</v>
      </c>
      <c r="AH33" s="126" t="str">
        <f t="shared" si="15"/>
        <v/>
      </c>
      <c r="AI33" s="126">
        <f>Length_1!G72</f>
        <v>0</v>
      </c>
      <c r="AJ33" s="126">
        <f>Length_1!H72</f>
        <v>0</v>
      </c>
      <c r="AK33" s="126">
        <f>Length_1!I72</f>
        <v>0</v>
      </c>
      <c r="AL33" s="126">
        <f>Length_1!J72</f>
        <v>0</v>
      </c>
      <c r="AM33" s="126">
        <f>Length_1!K72</f>
        <v>0</v>
      </c>
      <c r="AN33" s="126">
        <f>Length_1!A72</f>
        <v>0</v>
      </c>
      <c r="AO33" s="126">
        <f>Length_1!Q72</f>
        <v>0</v>
      </c>
      <c r="AP33" s="126">
        <f>Length_1!R72</f>
        <v>0</v>
      </c>
      <c r="AQ33" s="126">
        <f>Length_1!S72</f>
        <v>0</v>
      </c>
      <c r="AR33" s="126">
        <f>Length_1!T72</f>
        <v>0</v>
      </c>
      <c r="AS33" s="245">
        <f t="shared" si="16"/>
        <v>0</v>
      </c>
      <c r="AT33" s="245">
        <f t="shared" si="17"/>
        <v>0</v>
      </c>
      <c r="AU33" s="245">
        <f t="shared" si="18"/>
        <v>0</v>
      </c>
      <c r="AV33" s="245">
        <f t="shared" si="19"/>
        <v>0</v>
      </c>
      <c r="AW33" s="245">
        <f t="shared" si="20"/>
        <v>0</v>
      </c>
      <c r="AX33" s="246">
        <f t="shared" si="24"/>
        <v>0</v>
      </c>
      <c r="AY33" s="246">
        <f t="shared" si="25"/>
        <v>0</v>
      </c>
      <c r="AZ33" s="126">
        <f t="shared" si="26"/>
        <v>0</v>
      </c>
    </row>
    <row r="34" spans="2:52" ht="15" customHeight="1">
      <c r="B34" s="182" t="b">
        <f>IF(TRIM(Length_1!A29)="",FALSE,TRUE)</f>
        <v>0</v>
      </c>
      <c r="C34" s="176" t="str">
        <f>IF($B34=FALSE,"",VALUE(Length_1!A29))</f>
        <v/>
      </c>
      <c r="D34" s="176" t="str">
        <f>IF($B34=FALSE,"",Length_1!B29)</f>
        <v/>
      </c>
      <c r="E34" s="182" t="str">
        <f>IF(B34=FALSE,"",Length_1!M29)</f>
        <v/>
      </c>
      <c r="F34" s="182" t="str">
        <f>IF(B34=FALSE,"",Length_1!N29)</f>
        <v/>
      </c>
      <c r="G34" s="182" t="str">
        <f>IF(B34=FALSE,"",Length_1!O29)</f>
        <v/>
      </c>
      <c r="H34" s="182" t="str">
        <f>IF(B34=FALSE,"",Length_1!P29)</f>
        <v/>
      </c>
      <c r="I34" s="182" t="str">
        <f>IF(B34=FALSE,"",Length_1!Q29)</f>
        <v/>
      </c>
      <c r="J34" s="176" t="str">
        <f t="shared" si="1"/>
        <v/>
      </c>
      <c r="K34" s="186" t="str">
        <f t="shared" si="2"/>
        <v/>
      </c>
      <c r="L34" s="187" t="str">
        <f>IF(B34=FALSE,"",Length_1!D73)</f>
        <v/>
      </c>
      <c r="M34" s="188" t="str">
        <f>IF(B34=FALSE,"",Calcu!J34*J$3)</f>
        <v/>
      </c>
      <c r="N34" s="189" t="str">
        <f t="shared" si="3"/>
        <v/>
      </c>
      <c r="O34" s="189" t="str">
        <f>IF(B34=FALSE,"",Length_1!F73)</f>
        <v/>
      </c>
      <c r="P34" s="189" t="str">
        <f t="shared" si="4"/>
        <v/>
      </c>
      <c r="Q34" s="176" t="str">
        <f t="shared" si="5"/>
        <v/>
      </c>
      <c r="R34" s="176" t="str">
        <f t="shared" si="6"/>
        <v/>
      </c>
      <c r="S34" s="283" t="str">
        <f t="shared" si="7"/>
        <v/>
      </c>
      <c r="T34" s="190" t="str">
        <f t="shared" si="8"/>
        <v/>
      </c>
      <c r="U34" s="191" t="str">
        <f t="shared" si="9"/>
        <v/>
      </c>
      <c r="V34" s="176" t="str">
        <f t="shared" si="21"/>
        <v/>
      </c>
      <c r="W34" s="176" t="str">
        <f t="shared" si="22"/>
        <v/>
      </c>
      <c r="X34" s="125"/>
      <c r="Y34" s="176">
        <f>IF(Length_1!J29&lt;0,ROUNDUP(Length_1!J29*J$3,$L$66),ROUNDDOWN(Length_1!J29*J$3,$L$66))</f>
        <v>0</v>
      </c>
      <c r="Z34" s="176">
        <f>IF(Length_1!K29&lt;0,ROUNDDOWN(Length_1!K29*J$3,$L$66),ROUNDUP(Length_1!K29*J$3,$L$66))</f>
        <v>0</v>
      </c>
      <c r="AA34" s="176" t="str">
        <f t="shared" ca="1" si="10"/>
        <v/>
      </c>
      <c r="AB34" s="179" t="str">
        <f t="shared" ca="1" si="11"/>
        <v/>
      </c>
      <c r="AC34" s="176" t="str">
        <f t="shared" ca="1" si="12"/>
        <v/>
      </c>
      <c r="AD34" s="176" t="e">
        <f t="shared" ca="1" si="13"/>
        <v>#VALUE!</v>
      </c>
      <c r="AE34" s="176" t="str">
        <f t="shared" si="23"/>
        <v/>
      </c>
      <c r="AF34" s="176" t="e">
        <f t="shared" ca="1" si="14"/>
        <v>#N/A</v>
      </c>
      <c r="AH34" s="126" t="str">
        <f t="shared" si="15"/>
        <v/>
      </c>
      <c r="AI34" s="126">
        <f>Length_1!G73</f>
        <v>0</v>
      </c>
      <c r="AJ34" s="126">
        <f>Length_1!H73</f>
        <v>0</v>
      </c>
      <c r="AK34" s="126">
        <f>Length_1!I73</f>
        <v>0</v>
      </c>
      <c r="AL34" s="126">
        <f>Length_1!J73</f>
        <v>0</v>
      </c>
      <c r="AM34" s="126">
        <f>Length_1!K73</f>
        <v>0</v>
      </c>
      <c r="AN34" s="126">
        <f>Length_1!A73</f>
        <v>0</v>
      </c>
      <c r="AO34" s="126">
        <f>Length_1!Q73</f>
        <v>0</v>
      </c>
      <c r="AP34" s="126">
        <f>Length_1!R73</f>
        <v>0</v>
      </c>
      <c r="AQ34" s="126">
        <f>Length_1!S73</f>
        <v>0</v>
      </c>
      <c r="AR34" s="126">
        <f>Length_1!T73</f>
        <v>0</v>
      </c>
      <c r="AS34" s="245">
        <f t="shared" si="16"/>
        <v>0</v>
      </c>
      <c r="AT34" s="245">
        <f t="shared" si="17"/>
        <v>0</v>
      </c>
      <c r="AU34" s="245">
        <f t="shared" si="18"/>
        <v>0</v>
      </c>
      <c r="AV34" s="245">
        <f t="shared" si="19"/>
        <v>0</v>
      </c>
      <c r="AW34" s="245">
        <f t="shared" si="20"/>
        <v>0</v>
      </c>
      <c r="AX34" s="246">
        <f t="shared" si="24"/>
        <v>0</v>
      </c>
      <c r="AY34" s="246">
        <f t="shared" si="25"/>
        <v>0</v>
      </c>
      <c r="AZ34" s="126">
        <f t="shared" si="26"/>
        <v>0</v>
      </c>
    </row>
    <row r="35" spans="2:52" ht="15" customHeight="1">
      <c r="B35" s="182" t="b">
        <f>IF(TRIM(Length_1!A30)="",FALSE,TRUE)</f>
        <v>0</v>
      </c>
      <c r="C35" s="176" t="str">
        <f>IF($B35=FALSE,"",VALUE(Length_1!A30))</f>
        <v/>
      </c>
      <c r="D35" s="176" t="str">
        <f>IF($B35=FALSE,"",Length_1!B30)</f>
        <v/>
      </c>
      <c r="E35" s="182" t="str">
        <f>IF(B35=FALSE,"",Length_1!M30)</f>
        <v/>
      </c>
      <c r="F35" s="182" t="str">
        <f>IF(B35=FALSE,"",Length_1!N30)</f>
        <v/>
      </c>
      <c r="G35" s="182" t="str">
        <f>IF(B35=FALSE,"",Length_1!O30)</f>
        <v/>
      </c>
      <c r="H35" s="182" t="str">
        <f>IF(B35=FALSE,"",Length_1!P30)</f>
        <v/>
      </c>
      <c r="I35" s="182" t="str">
        <f>IF(B35=FALSE,"",Length_1!Q30)</f>
        <v/>
      </c>
      <c r="J35" s="176" t="str">
        <f t="shared" si="1"/>
        <v/>
      </c>
      <c r="K35" s="186" t="str">
        <f t="shared" si="2"/>
        <v/>
      </c>
      <c r="L35" s="187" t="str">
        <f>IF(B35=FALSE,"",Length_1!D74)</f>
        <v/>
      </c>
      <c r="M35" s="188" t="str">
        <f>IF(B35=FALSE,"",Calcu!J35*J$3)</f>
        <v/>
      </c>
      <c r="N35" s="189" t="str">
        <f t="shared" si="3"/>
        <v/>
      </c>
      <c r="O35" s="189" t="str">
        <f>IF(B35=FALSE,"",Length_1!F74)</f>
        <v/>
      </c>
      <c r="P35" s="189" t="str">
        <f t="shared" si="4"/>
        <v/>
      </c>
      <c r="Q35" s="176" t="str">
        <f t="shared" si="5"/>
        <v/>
      </c>
      <c r="R35" s="176" t="str">
        <f t="shared" si="6"/>
        <v/>
      </c>
      <c r="S35" s="283" t="str">
        <f t="shared" si="7"/>
        <v/>
      </c>
      <c r="T35" s="190" t="str">
        <f t="shared" si="8"/>
        <v/>
      </c>
      <c r="U35" s="191" t="str">
        <f t="shared" si="9"/>
        <v/>
      </c>
      <c r="V35" s="176" t="str">
        <f t="shared" si="21"/>
        <v/>
      </c>
      <c r="W35" s="176" t="str">
        <f t="shared" si="22"/>
        <v/>
      </c>
      <c r="X35" s="125"/>
      <c r="Y35" s="176">
        <f>IF(Length_1!J30&lt;0,ROUNDUP(Length_1!J30*J$3,$L$66),ROUNDDOWN(Length_1!J30*J$3,$L$66))</f>
        <v>0</v>
      </c>
      <c r="Z35" s="176">
        <f>IF(Length_1!K30&lt;0,ROUNDDOWN(Length_1!K30*J$3,$L$66),ROUNDUP(Length_1!K30*J$3,$L$66))</f>
        <v>0</v>
      </c>
      <c r="AA35" s="176" t="str">
        <f t="shared" ca="1" si="10"/>
        <v/>
      </c>
      <c r="AB35" s="179" t="str">
        <f t="shared" ca="1" si="11"/>
        <v/>
      </c>
      <c r="AC35" s="176" t="str">
        <f t="shared" ca="1" si="12"/>
        <v/>
      </c>
      <c r="AD35" s="176" t="e">
        <f t="shared" ca="1" si="13"/>
        <v>#VALUE!</v>
      </c>
      <c r="AE35" s="176" t="str">
        <f t="shared" si="23"/>
        <v/>
      </c>
      <c r="AF35" s="176" t="e">
        <f t="shared" ca="1" si="14"/>
        <v>#N/A</v>
      </c>
      <c r="AH35" s="126" t="str">
        <f t="shared" si="15"/>
        <v/>
      </c>
      <c r="AI35" s="126">
        <f>Length_1!G74</f>
        <v>0</v>
      </c>
      <c r="AJ35" s="126">
        <f>Length_1!H74</f>
        <v>0</v>
      </c>
      <c r="AK35" s="126">
        <f>Length_1!I74</f>
        <v>0</v>
      </c>
      <c r="AL35" s="126">
        <f>Length_1!J74</f>
        <v>0</v>
      </c>
      <c r="AM35" s="126">
        <f>Length_1!K74</f>
        <v>0</v>
      </c>
      <c r="AN35" s="126">
        <f>Length_1!A74</f>
        <v>0</v>
      </c>
      <c r="AO35" s="126">
        <f>Length_1!Q74</f>
        <v>0</v>
      </c>
      <c r="AP35" s="126">
        <f>Length_1!R74</f>
        <v>0</v>
      </c>
      <c r="AQ35" s="126">
        <f>Length_1!S74</f>
        <v>0</v>
      </c>
      <c r="AR35" s="126">
        <f>Length_1!T74</f>
        <v>0</v>
      </c>
      <c r="AS35" s="245">
        <f t="shared" si="16"/>
        <v>0</v>
      </c>
      <c r="AT35" s="245">
        <f t="shared" si="17"/>
        <v>0</v>
      </c>
      <c r="AU35" s="245">
        <f t="shared" si="18"/>
        <v>0</v>
      </c>
      <c r="AV35" s="245">
        <f t="shared" si="19"/>
        <v>0</v>
      </c>
      <c r="AW35" s="245">
        <f t="shared" si="20"/>
        <v>0</v>
      </c>
      <c r="AX35" s="246">
        <f t="shared" si="24"/>
        <v>0</v>
      </c>
      <c r="AY35" s="246">
        <f t="shared" si="25"/>
        <v>0</v>
      </c>
      <c r="AZ35" s="126">
        <f t="shared" si="26"/>
        <v>0</v>
      </c>
    </row>
    <row r="36" spans="2:52" ht="15" customHeight="1">
      <c r="B36" s="182" t="b">
        <f>IF(TRIM(Length_1!A31)="",FALSE,TRUE)</f>
        <v>0</v>
      </c>
      <c r="C36" s="176" t="str">
        <f>IF($B36=FALSE,"",VALUE(Length_1!A31))</f>
        <v/>
      </c>
      <c r="D36" s="176" t="str">
        <f>IF($B36=FALSE,"",Length_1!B31)</f>
        <v/>
      </c>
      <c r="E36" s="182" t="str">
        <f>IF(B36=FALSE,"",Length_1!M31)</f>
        <v/>
      </c>
      <c r="F36" s="182" t="str">
        <f>IF(B36=FALSE,"",Length_1!N31)</f>
        <v/>
      </c>
      <c r="G36" s="182" t="str">
        <f>IF(B36=FALSE,"",Length_1!O31)</f>
        <v/>
      </c>
      <c r="H36" s="182" t="str">
        <f>IF(B36=FALSE,"",Length_1!P31)</f>
        <v/>
      </c>
      <c r="I36" s="182" t="str">
        <f>IF(B36=FALSE,"",Length_1!Q31)</f>
        <v/>
      </c>
      <c r="J36" s="176" t="str">
        <f t="shared" si="1"/>
        <v/>
      </c>
      <c r="K36" s="186" t="str">
        <f t="shared" si="2"/>
        <v/>
      </c>
      <c r="L36" s="187" t="str">
        <f>IF(B36=FALSE,"",Length_1!D75)</f>
        <v/>
      </c>
      <c r="M36" s="188" t="str">
        <f>IF(B36=FALSE,"",Calcu!J36*J$3)</f>
        <v/>
      </c>
      <c r="N36" s="189" t="str">
        <f t="shared" si="3"/>
        <v/>
      </c>
      <c r="O36" s="189" t="str">
        <f>IF(B36=FALSE,"",Length_1!F75)</f>
        <v/>
      </c>
      <c r="P36" s="189" t="str">
        <f t="shared" si="4"/>
        <v/>
      </c>
      <c r="Q36" s="176" t="str">
        <f t="shared" si="5"/>
        <v/>
      </c>
      <c r="R36" s="176" t="str">
        <f t="shared" si="6"/>
        <v/>
      </c>
      <c r="S36" s="283" t="str">
        <f t="shared" si="7"/>
        <v/>
      </c>
      <c r="T36" s="190" t="str">
        <f t="shared" si="8"/>
        <v/>
      </c>
      <c r="U36" s="191" t="str">
        <f t="shared" si="9"/>
        <v/>
      </c>
      <c r="V36" s="176" t="str">
        <f t="shared" si="21"/>
        <v/>
      </c>
      <c r="W36" s="176" t="str">
        <f t="shared" si="22"/>
        <v/>
      </c>
      <c r="X36" s="125"/>
      <c r="Y36" s="176">
        <f>IF(Length_1!J31&lt;0,ROUNDUP(Length_1!J31*J$3,$L$66),ROUNDDOWN(Length_1!J31*J$3,$L$66))</f>
        <v>0</v>
      </c>
      <c r="Z36" s="176">
        <f>IF(Length_1!K31&lt;0,ROUNDDOWN(Length_1!K31*J$3,$L$66),ROUNDUP(Length_1!K31*J$3,$L$66))</f>
        <v>0</v>
      </c>
      <c r="AA36" s="176" t="str">
        <f t="shared" ca="1" si="10"/>
        <v/>
      </c>
      <c r="AB36" s="179" t="str">
        <f t="shared" ca="1" si="11"/>
        <v/>
      </c>
      <c r="AC36" s="176" t="str">
        <f t="shared" ca="1" si="12"/>
        <v/>
      </c>
      <c r="AD36" s="176" t="e">
        <f t="shared" ca="1" si="13"/>
        <v>#VALUE!</v>
      </c>
      <c r="AE36" s="176" t="str">
        <f t="shared" si="23"/>
        <v/>
      </c>
      <c r="AF36" s="176" t="e">
        <f t="shared" ca="1" si="14"/>
        <v>#N/A</v>
      </c>
      <c r="AH36" s="126" t="str">
        <f t="shared" si="15"/>
        <v/>
      </c>
      <c r="AI36" s="126">
        <f>Length_1!G75</f>
        <v>0</v>
      </c>
      <c r="AJ36" s="126">
        <f>Length_1!H75</f>
        <v>0</v>
      </c>
      <c r="AK36" s="126">
        <f>Length_1!I75</f>
        <v>0</v>
      </c>
      <c r="AL36" s="126">
        <f>Length_1!J75</f>
        <v>0</v>
      </c>
      <c r="AM36" s="126">
        <f>Length_1!K75</f>
        <v>0</v>
      </c>
      <c r="AN36" s="126">
        <f>Length_1!A75</f>
        <v>0</v>
      </c>
      <c r="AO36" s="126">
        <f>Length_1!Q75</f>
        <v>0</v>
      </c>
      <c r="AP36" s="126">
        <f>Length_1!R75</f>
        <v>0</v>
      </c>
      <c r="AQ36" s="126">
        <f>Length_1!S75</f>
        <v>0</v>
      </c>
      <c r="AR36" s="126">
        <f>Length_1!T75</f>
        <v>0</v>
      </c>
      <c r="AS36" s="245">
        <f t="shared" si="16"/>
        <v>0</v>
      </c>
      <c r="AT36" s="245">
        <f t="shared" si="17"/>
        <v>0</v>
      </c>
      <c r="AU36" s="245">
        <f t="shared" si="18"/>
        <v>0</v>
      </c>
      <c r="AV36" s="245">
        <f t="shared" si="19"/>
        <v>0</v>
      </c>
      <c r="AW36" s="245">
        <f t="shared" si="20"/>
        <v>0</v>
      </c>
      <c r="AX36" s="246">
        <f t="shared" si="24"/>
        <v>0</v>
      </c>
      <c r="AY36" s="246">
        <f t="shared" si="25"/>
        <v>0</v>
      </c>
      <c r="AZ36" s="126">
        <f t="shared" si="26"/>
        <v>0</v>
      </c>
    </row>
    <row r="37" spans="2:52" ht="15" customHeight="1">
      <c r="B37" s="182" t="b">
        <f>IF(TRIM(Length_1!A32)="",FALSE,TRUE)</f>
        <v>0</v>
      </c>
      <c r="C37" s="176" t="str">
        <f>IF($B37=FALSE,"",VALUE(Length_1!A32))</f>
        <v/>
      </c>
      <c r="D37" s="176" t="str">
        <f>IF($B37=FALSE,"",Length_1!B32)</f>
        <v/>
      </c>
      <c r="E37" s="182" t="str">
        <f>IF(B37=FALSE,"",Length_1!M32)</f>
        <v/>
      </c>
      <c r="F37" s="182" t="str">
        <f>IF(B37=FALSE,"",Length_1!N32)</f>
        <v/>
      </c>
      <c r="G37" s="182" t="str">
        <f>IF(B37=FALSE,"",Length_1!O32)</f>
        <v/>
      </c>
      <c r="H37" s="182" t="str">
        <f>IF(B37=FALSE,"",Length_1!P32)</f>
        <v/>
      </c>
      <c r="I37" s="182" t="str">
        <f>IF(B37=FALSE,"",Length_1!Q32)</f>
        <v/>
      </c>
      <c r="J37" s="176" t="str">
        <f t="shared" si="1"/>
        <v/>
      </c>
      <c r="K37" s="186" t="str">
        <f t="shared" si="2"/>
        <v/>
      </c>
      <c r="L37" s="187" t="str">
        <f>IF(B37=FALSE,"",Length_1!D76)</f>
        <v/>
      </c>
      <c r="M37" s="188" t="str">
        <f>IF(B37=FALSE,"",Calcu!J37*J$3)</f>
        <v/>
      </c>
      <c r="N37" s="189" t="str">
        <f t="shared" si="3"/>
        <v/>
      </c>
      <c r="O37" s="189" t="str">
        <f>IF(B37=FALSE,"",Length_1!F76)</f>
        <v/>
      </c>
      <c r="P37" s="189" t="str">
        <f t="shared" si="4"/>
        <v/>
      </c>
      <c r="Q37" s="176" t="str">
        <f t="shared" si="5"/>
        <v/>
      </c>
      <c r="R37" s="176" t="str">
        <f t="shared" si="6"/>
        <v/>
      </c>
      <c r="S37" s="283" t="str">
        <f t="shared" si="7"/>
        <v/>
      </c>
      <c r="T37" s="190" t="str">
        <f t="shared" si="8"/>
        <v/>
      </c>
      <c r="U37" s="191" t="str">
        <f t="shared" si="9"/>
        <v/>
      </c>
      <c r="V37" s="176" t="str">
        <f t="shared" si="21"/>
        <v/>
      </c>
      <c r="W37" s="176" t="str">
        <f t="shared" si="22"/>
        <v/>
      </c>
      <c r="X37" s="125"/>
      <c r="Y37" s="176">
        <f>IF(Length_1!J32&lt;0,ROUNDUP(Length_1!J32*J$3,$L$66),ROUNDDOWN(Length_1!J32*J$3,$L$66))</f>
        <v>0</v>
      </c>
      <c r="Z37" s="176">
        <f>IF(Length_1!K32&lt;0,ROUNDDOWN(Length_1!K32*J$3,$L$66),ROUNDUP(Length_1!K32*J$3,$L$66))</f>
        <v>0</v>
      </c>
      <c r="AA37" s="176" t="str">
        <f t="shared" ca="1" si="10"/>
        <v/>
      </c>
      <c r="AB37" s="179" t="str">
        <f t="shared" ca="1" si="11"/>
        <v/>
      </c>
      <c r="AC37" s="176" t="str">
        <f t="shared" ca="1" si="12"/>
        <v/>
      </c>
      <c r="AD37" s="176" t="e">
        <f t="shared" ca="1" si="13"/>
        <v>#VALUE!</v>
      </c>
      <c r="AE37" s="176" t="str">
        <f t="shared" si="23"/>
        <v/>
      </c>
      <c r="AF37" s="176" t="e">
        <f t="shared" ca="1" si="14"/>
        <v>#N/A</v>
      </c>
      <c r="AH37" s="126" t="str">
        <f t="shared" si="15"/>
        <v/>
      </c>
      <c r="AI37" s="126">
        <f>Length_1!G76</f>
        <v>0</v>
      </c>
      <c r="AJ37" s="126">
        <f>Length_1!H76</f>
        <v>0</v>
      </c>
      <c r="AK37" s="126">
        <f>Length_1!I76</f>
        <v>0</v>
      </c>
      <c r="AL37" s="126">
        <f>Length_1!J76</f>
        <v>0</v>
      </c>
      <c r="AM37" s="126">
        <f>Length_1!K76</f>
        <v>0</v>
      </c>
      <c r="AN37" s="126">
        <f>Length_1!A76</f>
        <v>0</v>
      </c>
      <c r="AO37" s="126">
        <f>Length_1!Q76</f>
        <v>0</v>
      </c>
      <c r="AP37" s="126">
        <f>Length_1!R76</f>
        <v>0</v>
      </c>
      <c r="AQ37" s="126">
        <f>Length_1!S76</f>
        <v>0</v>
      </c>
      <c r="AR37" s="126">
        <f>Length_1!T76</f>
        <v>0</v>
      </c>
      <c r="AS37" s="245">
        <f t="shared" si="16"/>
        <v>0</v>
      </c>
      <c r="AT37" s="245">
        <f t="shared" si="17"/>
        <v>0</v>
      </c>
      <c r="AU37" s="245">
        <f t="shared" si="18"/>
        <v>0</v>
      </c>
      <c r="AV37" s="245">
        <f t="shared" si="19"/>
        <v>0</v>
      </c>
      <c r="AW37" s="245">
        <f t="shared" si="20"/>
        <v>0</v>
      </c>
      <c r="AX37" s="246">
        <f t="shared" si="24"/>
        <v>0</v>
      </c>
      <c r="AY37" s="246">
        <f t="shared" si="25"/>
        <v>0</v>
      </c>
      <c r="AZ37" s="126">
        <f t="shared" si="26"/>
        <v>0</v>
      </c>
    </row>
    <row r="38" spans="2:52" ht="15" customHeight="1">
      <c r="B38" s="182" t="b">
        <f>IF(TRIM(Length_1!A33)="",FALSE,TRUE)</f>
        <v>0</v>
      </c>
      <c r="C38" s="176" t="str">
        <f>IF($B38=FALSE,"",VALUE(Length_1!A33))</f>
        <v/>
      </c>
      <c r="D38" s="176" t="str">
        <f>IF($B38=FALSE,"",Length_1!B33)</f>
        <v/>
      </c>
      <c r="E38" s="182" t="str">
        <f>IF(B38=FALSE,"",Length_1!M33)</f>
        <v/>
      </c>
      <c r="F38" s="182" t="str">
        <f>IF(B38=FALSE,"",Length_1!N33)</f>
        <v/>
      </c>
      <c r="G38" s="182" t="str">
        <f>IF(B38=FALSE,"",Length_1!O33)</f>
        <v/>
      </c>
      <c r="H38" s="182" t="str">
        <f>IF(B38=FALSE,"",Length_1!P33)</f>
        <v/>
      </c>
      <c r="I38" s="182" t="str">
        <f>IF(B38=FALSE,"",Length_1!Q33)</f>
        <v/>
      </c>
      <c r="J38" s="176" t="str">
        <f t="shared" si="1"/>
        <v/>
      </c>
      <c r="K38" s="186" t="str">
        <f t="shared" si="2"/>
        <v/>
      </c>
      <c r="L38" s="187" t="str">
        <f>IF(B38=FALSE,"",Length_1!D77)</f>
        <v/>
      </c>
      <c r="M38" s="188" t="str">
        <f>IF(B38=FALSE,"",Calcu!J38*J$3)</f>
        <v/>
      </c>
      <c r="N38" s="189" t="str">
        <f t="shared" si="3"/>
        <v/>
      </c>
      <c r="O38" s="189" t="str">
        <f>IF(B38=FALSE,"",Length_1!F77)</f>
        <v/>
      </c>
      <c r="P38" s="189" t="str">
        <f t="shared" si="4"/>
        <v/>
      </c>
      <c r="Q38" s="176" t="str">
        <f t="shared" si="5"/>
        <v/>
      </c>
      <c r="R38" s="176" t="str">
        <f t="shared" si="6"/>
        <v/>
      </c>
      <c r="S38" s="283" t="str">
        <f t="shared" si="7"/>
        <v/>
      </c>
      <c r="T38" s="190" t="str">
        <f t="shared" si="8"/>
        <v/>
      </c>
      <c r="U38" s="191" t="str">
        <f t="shared" si="9"/>
        <v/>
      </c>
      <c r="V38" s="176" t="str">
        <f t="shared" si="21"/>
        <v/>
      </c>
      <c r="W38" s="176" t="str">
        <f t="shared" si="22"/>
        <v/>
      </c>
      <c r="X38" s="125"/>
      <c r="Y38" s="176">
        <f>IF(Length_1!J33&lt;0,ROUNDUP(Length_1!J33*J$3,$L$66),ROUNDDOWN(Length_1!J33*J$3,$L$66))</f>
        <v>0</v>
      </c>
      <c r="Z38" s="176">
        <f>IF(Length_1!K33&lt;0,ROUNDDOWN(Length_1!K33*J$3,$L$66),ROUNDUP(Length_1!K33*J$3,$L$66))</f>
        <v>0</v>
      </c>
      <c r="AA38" s="176" t="str">
        <f t="shared" ca="1" si="10"/>
        <v/>
      </c>
      <c r="AB38" s="179" t="str">
        <f t="shared" ca="1" si="11"/>
        <v/>
      </c>
      <c r="AC38" s="176" t="str">
        <f t="shared" ca="1" si="12"/>
        <v/>
      </c>
      <c r="AD38" s="176" t="e">
        <f t="shared" ca="1" si="13"/>
        <v>#VALUE!</v>
      </c>
      <c r="AE38" s="176" t="str">
        <f t="shared" si="23"/>
        <v/>
      </c>
      <c r="AF38" s="176" t="e">
        <f t="shared" ca="1" si="14"/>
        <v>#N/A</v>
      </c>
      <c r="AH38" s="126" t="str">
        <f t="shared" si="15"/>
        <v/>
      </c>
      <c r="AI38" s="126">
        <f>Length_1!G77</f>
        <v>0</v>
      </c>
      <c r="AJ38" s="126">
        <f>Length_1!H77</f>
        <v>0</v>
      </c>
      <c r="AK38" s="126">
        <f>Length_1!I77</f>
        <v>0</v>
      </c>
      <c r="AL38" s="126">
        <f>Length_1!J77</f>
        <v>0</v>
      </c>
      <c r="AM38" s="126">
        <f>Length_1!K77</f>
        <v>0</v>
      </c>
      <c r="AN38" s="126">
        <f>Length_1!A77</f>
        <v>0</v>
      </c>
      <c r="AO38" s="126">
        <f>Length_1!Q77</f>
        <v>0</v>
      </c>
      <c r="AP38" s="126">
        <f>Length_1!R77</f>
        <v>0</v>
      </c>
      <c r="AQ38" s="126">
        <f>Length_1!S77</f>
        <v>0</v>
      </c>
      <c r="AR38" s="126">
        <f>Length_1!T77</f>
        <v>0</v>
      </c>
      <c r="AS38" s="245">
        <f t="shared" si="16"/>
        <v>0</v>
      </c>
      <c r="AT38" s="245">
        <f t="shared" si="17"/>
        <v>0</v>
      </c>
      <c r="AU38" s="245">
        <f t="shared" si="18"/>
        <v>0</v>
      </c>
      <c r="AV38" s="245">
        <f t="shared" si="19"/>
        <v>0</v>
      </c>
      <c r="AW38" s="245">
        <f t="shared" si="20"/>
        <v>0</v>
      </c>
      <c r="AX38" s="246">
        <f t="shared" si="24"/>
        <v>0</v>
      </c>
      <c r="AY38" s="246">
        <f t="shared" si="25"/>
        <v>0</v>
      </c>
      <c r="AZ38" s="126">
        <f t="shared" si="26"/>
        <v>0</v>
      </c>
    </row>
    <row r="39" spans="2:52" ht="15" customHeight="1">
      <c r="B39" s="182" t="b">
        <f>IF(TRIM(Length_1!A34)="",FALSE,TRUE)</f>
        <v>0</v>
      </c>
      <c r="C39" s="176" t="str">
        <f>IF($B39=FALSE,"",VALUE(Length_1!A34))</f>
        <v/>
      </c>
      <c r="D39" s="176" t="str">
        <f>IF($B39=FALSE,"",Length_1!B34)</f>
        <v/>
      </c>
      <c r="E39" s="182" t="str">
        <f>IF(B39=FALSE,"",Length_1!M34)</f>
        <v/>
      </c>
      <c r="F39" s="182" t="str">
        <f>IF(B39=FALSE,"",Length_1!N34)</f>
        <v/>
      </c>
      <c r="G39" s="182" t="str">
        <f>IF(B39=FALSE,"",Length_1!O34)</f>
        <v/>
      </c>
      <c r="H39" s="182" t="str">
        <f>IF(B39=FALSE,"",Length_1!P34)</f>
        <v/>
      </c>
      <c r="I39" s="182" t="str">
        <f>IF(B39=FALSE,"",Length_1!Q34)</f>
        <v/>
      </c>
      <c r="J39" s="176" t="str">
        <f t="shared" si="1"/>
        <v/>
      </c>
      <c r="K39" s="186" t="str">
        <f t="shared" si="2"/>
        <v/>
      </c>
      <c r="L39" s="187" t="str">
        <f>IF(B39=FALSE,"",Length_1!D78)</f>
        <v/>
      </c>
      <c r="M39" s="188" t="str">
        <f>IF(B39=FALSE,"",Calcu!J39*J$3)</f>
        <v/>
      </c>
      <c r="N39" s="189" t="str">
        <f t="shared" si="3"/>
        <v/>
      </c>
      <c r="O39" s="189" t="str">
        <f>IF(B39=FALSE,"",Length_1!F78)</f>
        <v/>
      </c>
      <c r="P39" s="189" t="str">
        <f t="shared" si="4"/>
        <v/>
      </c>
      <c r="Q39" s="176" t="str">
        <f t="shared" si="5"/>
        <v/>
      </c>
      <c r="R39" s="176" t="str">
        <f t="shared" si="6"/>
        <v/>
      </c>
      <c r="S39" s="283" t="str">
        <f t="shared" si="7"/>
        <v/>
      </c>
      <c r="T39" s="190" t="str">
        <f t="shared" si="8"/>
        <v/>
      </c>
      <c r="U39" s="191" t="str">
        <f t="shared" si="9"/>
        <v/>
      </c>
      <c r="V39" s="176" t="str">
        <f t="shared" si="21"/>
        <v/>
      </c>
      <c r="W39" s="176" t="str">
        <f t="shared" si="22"/>
        <v/>
      </c>
      <c r="X39" s="125"/>
      <c r="Y39" s="176">
        <f>IF(Length_1!J34&lt;0,ROUNDUP(Length_1!J34*J$3,$L$66),ROUNDDOWN(Length_1!J34*J$3,$L$66))</f>
        <v>0</v>
      </c>
      <c r="Z39" s="176">
        <f>IF(Length_1!K34&lt;0,ROUNDDOWN(Length_1!K34*J$3,$L$66),ROUNDUP(Length_1!K34*J$3,$L$66))</f>
        <v>0</v>
      </c>
      <c r="AA39" s="176" t="str">
        <f t="shared" ca="1" si="10"/>
        <v/>
      </c>
      <c r="AB39" s="179" t="str">
        <f t="shared" ca="1" si="11"/>
        <v/>
      </c>
      <c r="AC39" s="176" t="str">
        <f t="shared" ca="1" si="12"/>
        <v/>
      </c>
      <c r="AD39" s="176" t="e">
        <f t="shared" ca="1" si="13"/>
        <v>#VALUE!</v>
      </c>
      <c r="AE39" s="176" t="str">
        <f t="shared" si="23"/>
        <v/>
      </c>
      <c r="AF39" s="176" t="e">
        <f t="shared" ca="1" si="14"/>
        <v>#N/A</v>
      </c>
      <c r="AH39" s="126" t="str">
        <f t="shared" si="15"/>
        <v/>
      </c>
      <c r="AI39" s="126">
        <f>Length_1!G78</f>
        <v>0</v>
      </c>
      <c r="AJ39" s="126">
        <f>Length_1!H78</f>
        <v>0</v>
      </c>
      <c r="AK39" s="126">
        <f>Length_1!I78</f>
        <v>0</v>
      </c>
      <c r="AL39" s="126">
        <f>Length_1!J78</f>
        <v>0</v>
      </c>
      <c r="AM39" s="126">
        <f>Length_1!K78</f>
        <v>0</v>
      </c>
      <c r="AN39" s="126">
        <f>Length_1!A78</f>
        <v>0</v>
      </c>
      <c r="AO39" s="126">
        <f>Length_1!Q78</f>
        <v>0</v>
      </c>
      <c r="AP39" s="126">
        <f>Length_1!R78</f>
        <v>0</v>
      </c>
      <c r="AQ39" s="126">
        <f>Length_1!S78</f>
        <v>0</v>
      </c>
      <c r="AR39" s="126">
        <f>Length_1!T78</f>
        <v>0</v>
      </c>
      <c r="AS39" s="245">
        <f t="shared" si="16"/>
        <v>0</v>
      </c>
      <c r="AT39" s="245">
        <f t="shared" si="17"/>
        <v>0</v>
      </c>
      <c r="AU39" s="245">
        <f t="shared" si="18"/>
        <v>0</v>
      </c>
      <c r="AV39" s="245">
        <f t="shared" si="19"/>
        <v>0</v>
      </c>
      <c r="AW39" s="245">
        <f t="shared" si="20"/>
        <v>0</v>
      </c>
      <c r="AX39" s="246">
        <f t="shared" si="24"/>
        <v>0</v>
      </c>
      <c r="AY39" s="246">
        <f t="shared" si="25"/>
        <v>0</v>
      </c>
      <c r="AZ39" s="126">
        <f t="shared" si="26"/>
        <v>0</v>
      </c>
    </row>
    <row r="40" spans="2:52" ht="15" customHeight="1">
      <c r="B40" s="182" t="b">
        <f>IF(TRIM(Length_1!A35)="",FALSE,TRUE)</f>
        <v>0</v>
      </c>
      <c r="C40" s="176" t="str">
        <f>IF($B40=FALSE,"",VALUE(Length_1!A35))</f>
        <v/>
      </c>
      <c r="D40" s="176" t="str">
        <f>IF($B40=FALSE,"",Length_1!B35)</f>
        <v/>
      </c>
      <c r="E40" s="182" t="str">
        <f>IF(B40=FALSE,"",Length_1!M35)</f>
        <v/>
      </c>
      <c r="F40" s="182" t="str">
        <f>IF(B40=FALSE,"",Length_1!N35)</f>
        <v/>
      </c>
      <c r="G40" s="182" t="str">
        <f>IF(B40=FALSE,"",Length_1!O35)</f>
        <v/>
      </c>
      <c r="H40" s="182" t="str">
        <f>IF(B40=FALSE,"",Length_1!P35)</f>
        <v/>
      </c>
      <c r="I40" s="182" t="str">
        <f>IF(B40=FALSE,"",Length_1!Q35)</f>
        <v/>
      </c>
      <c r="J40" s="176" t="str">
        <f t="shared" si="1"/>
        <v/>
      </c>
      <c r="K40" s="186" t="str">
        <f t="shared" si="2"/>
        <v/>
      </c>
      <c r="L40" s="187" t="str">
        <f>IF(B40=FALSE,"",Length_1!D79)</f>
        <v/>
      </c>
      <c r="M40" s="188" t="str">
        <f>IF(B40=FALSE,"",Calcu!J40*J$3)</f>
        <v/>
      </c>
      <c r="N40" s="189" t="str">
        <f t="shared" si="3"/>
        <v/>
      </c>
      <c r="O40" s="189" t="str">
        <f>IF(B40=FALSE,"",Length_1!F79)</f>
        <v/>
      </c>
      <c r="P40" s="189" t="str">
        <f t="shared" si="4"/>
        <v/>
      </c>
      <c r="Q40" s="176" t="str">
        <f t="shared" si="5"/>
        <v/>
      </c>
      <c r="R40" s="176" t="str">
        <f t="shared" si="6"/>
        <v/>
      </c>
      <c r="S40" s="283" t="str">
        <f t="shared" si="7"/>
        <v/>
      </c>
      <c r="T40" s="190" t="str">
        <f t="shared" si="8"/>
        <v/>
      </c>
      <c r="U40" s="191" t="str">
        <f t="shared" si="9"/>
        <v/>
      </c>
      <c r="V40" s="176" t="str">
        <f t="shared" si="21"/>
        <v/>
      </c>
      <c r="W40" s="176" t="str">
        <f t="shared" si="22"/>
        <v/>
      </c>
      <c r="X40" s="125"/>
      <c r="Y40" s="176">
        <f>IF(Length_1!J35&lt;0,ROUNDUP(Length_1!J35*J$3,$L$66),ROUNDDOWN(Length_1!J35*J$3,$L$66))</f>
        <v>0</v>
      </c>
      <c r="Z40" s="176">
        <f>IF(Length_1!K35&lt;0,ROUNDDOWN(Length_1!K35*J$3,$L$66),ROUNDUP(Length_1!K35*J$3,$L$66))</f>
        <v>0</v>
      </c>
      <c r="AA40" s="176" t="str">
        <f t="shared" ca="1" si="10"/>
        <v/>
      </c>
      <c r="AB40" s="179" t="str">
        <f t="shared" ca="1" si="11"/>
        <v/>
      </c>
      <c r="AC40" s="176" t="str">
        <f t="shared" ca="1" si="12"/>
        <v/>
      </c>
      <c r="AD40" s="176" t="e">
        <f t="shared" ca="1" si="13"/>
        <v>#VALUE!</v>
      </c>
      <c r="AE40" s="176" t="str">
        <f t="shared" si="23"/>
        <v/>
      </c>
      <c r="AF40" s="176" t="e">
        <f t="shared" ca="1" si="14"/>
        <v>#N/A</v>
      </c>
      <c r="AH40" s="126" t="str">
        <f t="shared" si="15"/>
        <v/>
      </c>
      <c r="AI40" s="126">
        <f>Length_1!G79</f>
        <v>0</v>
      </c>
      <c r="AJ40" s="126">
        <f>Length_1!H79</f>
        <v>0</v>
      </c>
      <c r="AK40" s="126">
        <f>Length_1!I79</f>
        <v>0</v>
      </c>
      <c r="AL40" s="126">
        <f>Length_1!J79</f>
        <v>0</v>
      </c>
      <c r="AM40" s="126">
        <f>Length_1!K79</f>
        <v>0</v>
      </c>
      <c r="AN40" s="126">
        <f>Length_1!A79</f>
        <v>0</v>
      </c>
      <c r="AO40" s="126">
        <f>Length_1!Q79</f>
        <v>0</v>
      </c>
      <c r="AP40" s="126">
        <f>Length_1!R79</f>
        <v>0</v>
      </c>
      <c r="AQ40" s="126">
        <f>Length_1!S79</f>
        <v>0</v>
      </c>
      <c r="AR40" s="126">
        <f>Length_1!T79</f>
        <v>0</v>
      </c>
      <c r="AS40" s="245">
        <f t="shared" si="16"/>
        <v>0</v>
      </c>
      <c r="AT40" s="245">
        <f t="shared" si="17"/>
        <v>0</v>
      </c>
      <c r="AU40" s="245">
        <f t="shared" si="18"/>
        <v>0</v>
      </c>
      <c r="AV40" s="245">
        <f t="shared" si="19"/>
        <v>0</v>
      </c>
      <c r="AW40" s="245">
        <f t="shared" si="20"/>
        <v>0</v>
      </c>
      <c r="AX40" s="246">
        <f t="shared" si="24"/>
        <v>0</v>
      </c>
      <c r="AY40" s="246">
        <f t="shared" si="25"/>
        <v>0</v>
      </c>
      <c r="AZ40" s="126">
        <f t="shared" si="26"/>
        <v>0</v>
      </c>
    </row>
    <row r="41" spans="2:52" ht="15" customHeight="1">
      <c r="B41" s="182" t="b">
        <f>IF(TRIM(Length_1!A36)="",FALSE,TRUE)</f>
        <v>0</v>
      </c>
      <c r="C41" s="176" t="str">
        <f>IF($B41=FALSE,"",VALUE(Length_1!A36))</f>
        <v/>
      </c>
      <c r="D41" s="176" t="str">
        <f>IF($B41=FALSE,"",Length_1!B36)</f>
        <v/>
      </c>
      <c r="E41" s="182" t="str">
        <f>IF(B41=FALSE,"",Length_1!M36)</f>
        <v/>
      </c>
      <c r="F41" s="182" t="str">
        <f>IF(B41=FALSE,"",Length_1!N36)</f>
        <v/>
      </c>
      <c r="G41" s="182" t="str">
        <f>IF(B41=FALSE,"",Length_1!O36)</f>
        <v/>
      </c>
      <c r="H41" s="182" t="str">
        <f>IF(B41=FALSE,"",Length_1!P36)</f>
        <v/>
      </c>
      <c r="I41" s="182" t="str">
        <f>IF(B41=FALSE,"",Length_1!Q36)</f>
        <v/>
      </c>
      <c r="J41" s="176" t="str">
        <f t="shared" si="1"/>
        <v/>
      </c>
      <c r="K41" s="186" t="str">
        <f t="shared" si="2"/>
        <v/>
      </c>
      <c r="L41" s="187" t="str">
        <f>IF(B41=FALSE,"",Length_1!D80)</f>
        <v/>
      </c>
      <c r="M41" s="188" t="str">
        <f>IF(B41=FALSE,"",Calcu!J41*J$3)</f>
        <v/>
      </c>
      <c r="N41" s="189" t="str">
        <f t="shared" si="3"/>
        <v/>
      </c>
      <c r="O41" s="189" t="str">
        <f>IF(B41=FALSE,"",Length_1!F80)</f>
        <v/>
      </c>
      <c r="P41" s="189" t="str">
        <f t="shared" si="4"/>
        <v/>
      </c>
      <c r="Q41" s="176" t="str">
        <f t="shared" si="5"/>
        <v/>
      </c>
      <c r="R41" s="176" t="str">
        <f t="shared" si="6"/>
        <v/>
      </c>
      <c r="S41" s="283" t="str">
        <f t="shared" si="7"/>
        <v/>
      </c>
      <c r="T41" s="190" t="str">
        <f t="shared" si="8"/>
        <v/>
      </c>
      <c r="U41" s="191" t="str">
        <f t="shared" si="9"/>
        <v/>
      </c>
      <c r="V41" s="176" t="str">
        <f t="shared" si="21"/>
        <v/>
      </c>
      <c r="W41" s="176" t="str">
        <f t="shared" si="22"/>
        <v/>
      </c>
      <c r="X41" s="125"/>
      <c r="Y41" s="176">
        <f>IF(Length_1!J36&lt;0,ROUNDUP(Length_1!J36*J$3,$L$66),ROUNDDOWN(Length_1!J36*J$3,$L$66))</f>
        <v>0</v>
      </c>
      <c r="Z41" s="176">
        <f>IF(Length_1!K36&lt;0,ROUNDDOWN(Length_1!K36*J$3,$L$66),ROUNDUP(Length_1!K36*J$3,$L$66))</f>
        <v>0</v>
      </c>
      <c r="AA41" s="176" t="str">
        <f t="shared" ca="1" si="10"/>
        <v/>
      </c>
      <c r="AB41" s="179" t="str">
        <f t="shared" ca="1" si="11"/>
        <v/>
      </c>
      <c r="AC41" s="176" t="str">
        <f t="shared" ca="1" si="12"/>
        <v/>
      </c>
      <c r="AD41" s="176" t="e">
        <f t="shared" ca="1" si="13"/>
        <v>#VALUE!</v>
      </c>
      <c r="AE41" s="176" t="str">
        <f t="shared" si="23"/>
        <v/>
      </c>
      <c r="AF41" s="176" t="e">
        <f t="shared" ca="1" si="14"/>
        <v>#N/A</v>
      </c>
      <c r="AH41" s="126" t="str">
        <f t="shared" si="15"/>
        <v/>
      </c>
      <c r="AI41" s="126">
        <f>Length_1!G80</f>
        <v>0</v>
      </c>
      <c r="AJ41" s="126">
        <f>Length_1!H80</f>
        <v>0</v>
      </c>
      <c r="AK41" s="126">
        <f>Length_1!I80</f>
        <v>0</v>
      </c>
      <c r="AL41" s="126">
        <f>Length_1!J80</f>
        <v>0</v>
      </c>
      <c r="AM41" s="126">
        <f>Length_1!K80</f>
        <v>0</v>
      </c>
      <c r="AN41" s="126">
        <f>Length_1!A80</f>
        <v>0</v>
      </c>
      <c r="AO41" s="126">
        <f>Length_1!Q80</f>
        <v>0</v>
      </c>
      <c r="AP41" s="126">
        <f>Length_1!R80</f>
        <v>0</v>
      </c>
      <c r="AQ41" s="126">
        <f>Length_1!S80</f>
        <v>0</v>
      </c>
      <c r="AR41" s="126">
        <f>Length_1!T80</f>
        <v>0</v>
      </c>
      <c r="AS41" s="245">
        <f t="shared" si="16"/>
        <v>0</v>
      </c>
      <c r="AT41" s="245">
        <f t="shared" si="17"/>
        <v>0</v>
      </c>
      <c r="AU41" s="245">
        <f t="shared" si="18"/>
        <v>0</v>
      </c>
      <c r="AV41" s="245">
        <f t="shared" si="19"/>
        <v>0</v>
      </c>
      <c r="AW41" s="245">
        <f t="shared" si="20"/>
        <v>0</v>
      </c>
      <c r="AX41" s="246">
        <f t="shared" si="24"/>
        <v>0</v>
      </c>
      <c r="AY41" s="246">
        <f t="shared" si="25"/>
        <v>0</v>
      </c>
      <c r="AZ41" s="126">
        <f t="shared" si="26"/>
        <v>0</v>
      </c>
    </row>
    <row r="42" spans="2:52" ht="15" customHeight="1">
      <c r="B42" s="182" t="b">
        <f>IF(TRIM(Length_1!A37)="",FALSE,TRUE)</f>
        <v>0</v>
      </c>
      <c r="C42" s="176" t="str">
        <f>IF($B42=FALSE,"",VALUE(Length_1!A37))</f>
        <v/>
      </c>
      <c r="D42" s="176" t="str">
        <f>IF($B42=FALSE,"",Length_1!B37)</f>
        <v/>
      </c>
      <c r="E42" s="182" t="str">
        <f>IF(B42=FALSE,"",Length_1!M37)</f>
        <v/>
      </c>
      <c r="F42" s="182" t="str">
        <f>IF(B42=FALSE,"",Length_1!N37)</f>
        <v/>
      </c>
      <c r="G42" s="182" t="str">
        <f>IF(B42=FALSE,"",Length_1!O37)</f>
        <v/>
      </c>
      <c r="H42" s="182" t="str">
        <f>IF(B42=FALSE,"",Length_1!P37)</f>
        <v/>
      </c>
      <c r="I42" s="182" t="str">
        <f>IF(B42=FALSE,"",Length_1!Q37)</f>
        <v/>
      </c>
      <c r="J42" s="176" t="str">
        <f t="shared" si="1"/>
        <v/>
      </c>
      <c r="K42" s="186" t="str">
        <f t="shared" si="2"/>
        <v/>
      </c>
      <c r="L42" s="187" t="str">
        <f>IF(B42=FALSE,"",Length_1!D81)</f>
        <v/>
      </c>
      <c r="M42" s="188" t="str">
        <f>IF(B42=FALSE,"",Calcu!J42*J$3)</f>
        <v/>
      </c>
      <c r="N42" s="189" t="str">
        <f t="shared" si="3"/>
        <v/>
      </c>
      <c r="O42" s="189" t="str">
        <f>IF(B42=FALSE,"",Length_1!F81)</f>
        <v/>
      </c>
      <c r="P42" s="189" t="str">
        <f t="shared" si="4"/>
        <v/>
      </c>
      <c r="Q42" s="176" t="str">
        <f t="shared" si="5"/>
        <v/>
      </c>
      <c r="R42" s="176" t="str">
        <f t="shared" si="6"/>
        <v/>
      </c>
      <c r="S42" s="283" t="str">
        <f t="shared" si="7"/>
        <v/>
      </c>
      <c r="T42" s="190" t="str">
        <f t="shared" si="8"/>
        <v/>
      </c>
      <c r="U42" s="191" t="str">
        <f t="shared" si="9"/>
        <v/>
      </c>
      <c r="V42" s="176" t="str">
        <f t="shared" si="21"/>
        <v/>
      </c>
      <c r="W42" s="176" t="str">
        <f t="shared" si="22"/>
        <v/>
      </c>
      <c r="X42" s="125"/>
      <c r="Y42" s="176">
        <f>IF(Length_1!J37&lt;0,ROUNDUP(Length_1!J37*J$3,$L$66),ROUNDDOWN(Length_1!J37*J$3,$L$66))</f>
        <v>0</v>
      </c>
      <c r="Z42" s="176">
        <f>IF(Length_1!K37&lt;0,ROUNDDOWN(Length_1!K37*J$3,$L$66),ROUNDUP(Length_1!K37*J$3,$L$66))</f>
        <v>0</v>
      </c>
      <c r="AA42" s="176" t="str">
        <f t="shared" ca="1" si="10"/>
        <v/>
      </c>
      <c r="AB42" s="179" t="str">
        <f t="shared" ca="1" si="11"/>
        <v/>
      </c>
      <c r="AC42" s="176" t="str">
        <f t="shared" ca="1" si="12"/>
        <v/>
      </c>
      <c r="AD42" s="176" t="e">
        <f t="shared" ca="1" si="13"/>
        <v>#VALUE!</v>
      </c>
      <c r="AE42" s="176" t="str">
        <f t="shared" si="23"/>
        <v/>
      </c>
      <c r="AF42" s="176" t="e">
        <f t="shared" ca="1" si="14"/>
        <v>#N/A</v>
      </c>
      <c r="AH42" s="126" t="str">
        <f t="shared" si="15"/>
        <v/>
      </c>
      <c r="AI42" s="126">
        <f>Length_1!G81</f>
        <v>0</v>
      </c>
      <c r="AJ42" s="126">
        <f>Length_1!H81</f>
        <v>0</v>
      </c>
      <c r="AK42" s="126">
        <f>Length_1!I81</f>
        <v>0</v>
      </c>
      <c r="AL42" s="126">
        <f>Length_1!J81</f>
        <v>0</v>
      </c>
      <c r="AM42" s="126">
        <f>Length_1!K81</f>
        <v>0</v>
      </c>
      <c r="AN42" s="126">
        <f>Length_1!A81</f>
        <v>0</v>
      </c>
      <c r="AO42" s="126">
        <f>Length_1!Q81</f>
        <v>0</v>
      </c>
      <c r="AP42" s="126">
        <f>Length_1!R81</f>
        <v>0</v>
      </c>
      <c r="AQ42" s="126">
        <f>Length_1!S81</f>
        <v>0</v>
      </c>
      <c r="AR42" s="126">
        <f>Length_1!T81</f>
        <v>0</v>
      </c>
      <c r="AS42" s="245">
        <f t="shared" si="16"/>
        <v>0</v>
      </c>
      <c r="AT42" s="245">
        <f t="shared" si="17"/>
        <v>0</v>
      </c>
      <c r="AU42" s="245">
        <f t="shared" si="18"/>
        <v>0</v>
      </c>
      <c r="AV42" s="245">
        <f t="shared" si="19"/>
        <v>0</v>
      </c>
      <c r="AW42" s="245">
        <f t="shared" si="20"/>
        <v>0</v>
      </c>
      <c r="AX42" s="246">
        <f t="shared" si="24"/>
        <v>0</v>
      </c>
      <c r="AY42" s="246">
        <f t="shared" si="25"/>
        <v>0</v>
      </c>
      <c r="AZ42" s="126">
        <f t="shared" si="26"/>
        <v>0</v>
      </c>
    </row>
    <row r="43" spans="2:52" ht="15" customHeight="1">
      <c r="B43" s="182" t="b">
        <f>IF(TRIM(Length_1!A38)="",FALSE,TRUE)</f>
        <v>0</v>
      </c>
      <c r="C43" s="176" t="str">
        <f>IF($B43=FALSE,"",VALUE(Length_1!A38))</f>
        <v/>
      </c>
      <c r="D43" s="176" t="str">
        <f>IF($B43=FALSE,"",Length_1!B38)</f>
        <v/>
      </c>
      <c r="E43" s="182" t="str">
        <f>IF(B43=FALSE,"",Length_1!M38)</f>
        <v/>
      </c>
      <c r="F43" s="182" t="str">
        <f>IF(B43=FALSE,"",Length_1!N38)</f>
        <v/>
      </c>
      <c r="G43" s="182" t="str">
        <f>IF(B43=FALSE,"",Length_1!O38)</f>
        <v/>
      </c>
      <c r="H43" s="182" t="str">
        <f>IF(B43=FALSE,"",Length_1!P38)</f>
        <v/>
      </c>
      <c r="I43" s="182" t="str">
        <f>IF(B43=FALSE,"",Length_1!Q38)</f>
        <v/>
      </c>
      <c r="J43" s="176" t="str">
        <f t="shared" si="1"/>
        <v/>
      </c>
      <c r="K43" s="186" t="str">
        <f t="shared" si="2"/>
        <v/>
      </c>
      <c r="L43" s="187" t="str">
        <f>IF(B43=FALSE,"",Length_1!D82)</f>
        <v/>
      </c>
      <c r="M43" s="188" t="str">
        <f>IF(B43=FALSE,"",Calcu!J43*J$3)</f>
        <v/>
      </c>
      <c r="N43" s="189" t="str">
        <f t="shared" si="3"/>
        <v/>
      </c>
      <c r="O43" s="189" t="str">
        <f>IF(B43=FALSE,"",Length_1!F82)</f>
        <v/>
      </c>
      <c r="P43" s="189" t="str">
        <f t="shared" si="4"/>
        <v/>
      </c>
      <c r="Q43" s="176" t="str">
        <f t="shared" si="5"/>
        <v/>
      </c>
      <c r="R43" s="176" t="str">
        <f t="shared" si="6"/>
        <v/>
      </c>
      <c r="S43" s="283" t="str">
        <f t="shared" si="7"/>
        <v/>
      </c>
      <c r="T43" s="190" t="str">
        <f t="shared" si="8"/>
        <v/>
      </c>
      <c r="U43" s="191" t="str">
        <f t="shared" si="9"/>
        <v/>
      </c>
      <c r="V43" s="176" t="str">
        <f t="shared" si="21"/>
        <v/>
      </c>
      <c r="W43" s="176" t="str">
        <f t="shared" si="22"/>
        <v/>
      </c>
      <c r="X43" s="125"/>
      <c r="Y43" s="176">
        <f>IF(Length_1!J38&lt;0,ROUNDUP(Length_1!J38*J$3,$L$66),ROUNDDOWN(Length_1!J38*J$3,$L$66))</f>
        <v>0</v>
      </c>
      <c r="Z43" s="176">
        <f>IF(Length_1!K38&lt;0,ROUNDDOWN(Length_1!K38*J$3,$L$66),ROUNDUP(Length_1!K38*J$3,$L$66))</f>
        <v>0</v>
      </c>
      <c r="AA43" s="176" t="str">
        <f t="shared" ca="1" si="10"/>
        <v/>
      </c>
      <c r="AB43" s="179" t="str">
        <f t="shared" ca="1" si="11"/>
        <v/>
      </c>
      <c r="AC43" s="176" t="str">
        <f t="shared" ca="1" si="12"/>
        <v/>
      </c>
      <c r="AD43" s="176" t="e">
        <f t="shared" ca="1" si="13"/>
        <v>#VALUE!</v>
      </c>
      <c r="AE43" s="176" t="str">
        <f t="shared" si="23"/>
        <v/>
      </c>
      <c r="AF43" s="176" t="e">
        <f t="shared" ca="1" si="14"/>
        <v>#N/A</v>
      </c>
      <c r="AH43" s="126" t="str">
        <f t="shared" si="15"/>
        <v/>
      </c>
      <c r="AI43" s="126">
        <f>Length_1!G82</f>
        <v>0</v>
      </c>
      <c r="AJ43" s="126">
        <f>Length_1!H82</f>
        <v>0</v>
      </c>
      <c r="AK43" s="126">
        <f>Length_1!I82</f>
        <v>0</v>
      </c>
      <c r="AL43" s="126">
        <f>Length_1!J82</f>
        <v>0</v>
      </c>
      <c r="AM43" s="126">
        <f>Length_1!K82</f>
        <v>0</v>
      </c>
      <c r="AN43" s="126">
        <f>Length_1!A82</f>
        <v>0</v>
      </c>
      <c r="AO43" s="126">
        <f>Length_1!Q82</f>
        <v>0</v>
      </c>
      <c r="AP43" s="126">
        <f>Length_1!R82</f>
        <v>0</v>
      </c>
      <c r="AQ43" s="126">
        <f>Length_1!S82</f>
        <v>0</v>
      </c>
      <c r="AR43" s="126">
        <f>Length_1!T82</f>
        <v>0</v>
      </c>
      <c r="AS43" s="245">
        <f t="shared" si="16"/>
        <v>0</v>
      </c>
      <c r="AT43" s="245">
        <f t="shared" si="17"/>
        <v>0</v>
      </c>
      <c r="AU43" s="245">
        <f t="shared" si="18"/>
        <v>0</v>
      </c>
      <c r="AV43" s="245">
        <f t="shared" si="19"/>
        <v>0</v>
      </c>
      <c r="AW43" s="245">
        <f t="shared" si="20"/>
        <v>0</v>
      </c>
      <c r="AX43" s="246">
        <f t="shared" si="24"/>
        <v>0</v>
      </c>
      <c r="AY43" s="246">
        <f t="shared" si="25"/>
        <v>0</v>
      </c>
      <c r="AZ43" s="126">
        <f t="shared" si="26"/>
        <v>0</v>
      </c>
    </row>
    <row r="44" spans="2:52" ht="15" customHeight="1">
      <c r="B44" s="182" t="b">
        <f>IF(TRIM(Length_1!A39)="",FALSE,TRUE)</f>
        <v>0</v>
      </c>
      <c r="C44" s="176" t="str">
        <f>IF($B44=FALSE,"",VALUE(Length_1!A39))</f>
        <v/>
      </c>
      <c r="D44" s="176" t="str">
        <f>IF($B44=FALSE,"",Length_1!B39)</f>
        <v/>
      </c>
      <c r="E44" s="182" t="str">
        <f>IF(B44=FALSE,"",Length_1!M39)</f>
        <v/>
      </c>
      <c r="F44" s="182" t="str">
        <f>IF(B44=FALSE,"",Length_1!N39)</f>
        <v/>
      </c>
      <c r="G44" s="182" t="str">
        <f>IF(B44=FALSE,"",Length_1!O39)</f>
        <v/>
      </c>
      <c r="H44" s="182" t="str">
        <f>IF(B44=FALSE,"",Length_1!P39)</f>
        <v/>
      </c>
      <c r="I44" s="182" t="str">
        <f>IF(B44=FALSE,"",Length_1!Q39)</f>
        <v/>
      </c>
      <c r="J44" s="176" t="str">
        <f t="shared" si="1"/>
        <v/>
      </c>
      <c r="K44" s="186" t="str">
        <f t="shared" si="2"/>
        <v/>
      </c>
      <c r="L44" s="187" t="str">
        <f>IF(B44=FALSE,"",Length_1!D83)</f>
        <v/>
      </c>
      <c r="M44" s="188" t="str">
        <f>IF(B44=FALSE,"",Calcu!J44*J$3)</f>
        <v/>
      </c>
      <c r="N44" s="189" t="str">
        <f t="shared" si="3"/>
        <v/>
      </c>
      <c r="O44" s="189" t="str">
        <f>IF(B44=FALSE,"",Length_1!F83)</f>
        <v/>
      </c>
      <c r="P44" s="189" t="str">
        <f t="shared" si="4"/>
        <v/>
      </c>
      <c r="Q44" s="176" t="str">
        <f t="shared" si="5"/>
        <v/>
      </c>
      <c r="R44" s="176" t="str">
        <f t="shared" si="6"/>
        <v/>
      </c>
      <c r="S44" s="283" t="str">
        <f t="shared" si="7"/>
        <v/>
      </c>
      <c r="T44" s="190" t="str">
        <f t="shared" si="8"/>
        <v/>
      </c>
      <c r="U44" s="191" t="str">
        <f t="shared" si="9"/>
        <v/>
      </c>
      <c r="V44" s="176" t="str">
        <f t="shared" si="21"/>
        <v/>
      </c>
      <c r="W44" s="176" t="str">
        <f t="shared" si="22"/>
        <v/>
      </c>
      <c r="X44" s="125"/>
      <c r="Y44" s="176">
        <f>IF(Length_1!J39&lt;0,ROUNDUP(Length_1!J39*J$3,$L$66),ROUNDDOWN(Length_1!J39*J$3,$L$66))</f>
        <v>0</v>
      </c>
      <c r="Z44" s="176">
        <f>IF(Length_1!K39&lt;0,ROUNDDOWN(Length_1!K39*J$3,$L$66),ROUNDUP(Length_1!K39*J$3,$L$66))</f>
        <v>0</v>
      </c>
      <c r="AA44" s="176" t="str">
        <f t="shared" ca="1" si="10"/>
        <v/>
      </c>
      <c r="AB44" s="179" t="str">
        <f t="shared" ca="1" si="11"/>
        <v/>
      </c>
      <c r="AC44" s="176" t="str">
        <f t="shared" ca="1" si="12"/>
        <v/>
      </c>
      <c r="AD44" s="176" t="e">
        <f t="shared" ca="1" si="13"/>
        <v>#VALUE!</v>
      </c>
      <c r="AE44" s="176" t="str">
        <f t="shared" si="23"/>
        <v/>
      </c>
      <c r="AF44" s="176" t="e">
        <f t="shared" ca="1" si="14"/>
        <v>#N/A</v>
      </c>
      <c r="AH44" s="126" t="str">
        <f t="shared" si="15"/>
        <v/>
      </c>
      <c r="AI44" s="126">
        <f>Length_1!G83</f>
        <v>0</v>
      </c>
      <c r="AJ44" s="126">
        <f>Length_1!H83</f>
        <v>0</v>
      </c>
      <c r="AK44" s="126">
        <f>Length_1!I83</f>
        <v>0</v>
      </c>
      <c r="AL44" s="126">
        <f>Length_1!J83</f>
        <v>0</v>
      </c>
      <c r="AM44" s="126">
        <f>Length_1!K83</f>
        <v>0</v>
      </c>
      <c r="AN44" s="126">
        <f>Length_1!A83</f>
        <v>0</v>
      </c>
      <c r="AO44" s="126">
        <f>Length_1!Q83</f>
        <v>0</v>
      </c>
      <c r="AP44" s="126">
        <f>Length_1!R83</f>
        <v>0</v>
      </c>
      <c r="AQ44" s="126">
        <f>Length_1!S83</f>
        <v>0</v>
      </c>
      <c r="AR44" s="126">
        <f>Length_1!T83</f>
        <v>0</v>
      </c>
      <c r="AS44" s="245">
        <f t="shared" si="16"/>
        <v>0</v>
      </c>
      <c r="AT44" s="245">
        <f t="shared" si="17"/>
        <v>0</v>
      </c>
      <c r="AU44" s="245">
        <f t="shared" si="18"/>
        <v>0</v>
      </c>
      <c r="AV44" s="245">
        <f t="shared" si="19"/>
        <v>0</v>
      </c>
      <c r="AW44" s="245">
        <f t="shared" si="20"/>
        <v>0</v>
      </c>
      <c r="AX44" s="246">
        <f t="shared" si="24"/>
        <v>0</v>
      </c>
      <c r="AY44" s="246">
        <f t="shared" si="25"/>
        <v>0</v>
      </c>
      <c r="AZ44" s="126">
        <f t="shared" si="26"/>
        <v>0</v>
      </c>
    </row>
    <row r="45" spans="2:52" ht="15" customHeight="1">
      <c r="B45" s="182" t="b">
        <f>IF(TRIM(Length_1!A40)="",FALSE,TRUE)</f>
        <v>0</v>
      </c>
      <c r="C45" s="176" t="str">
        <f>IF($B45=FALSE,"",VALUE(Length_1!A40))</f>
        <v/>
      </c>
      <c r="D45" s="176" t="str">
        <f>IF($B45=FALSE,"",Length_1!B40)</f>
        <v/>
      </c>
      <c r="E45" s="182" t="str">
        <f>IF(B45=FALSE,"",Length_1!M40)</f>
        <v/>
      </c>
      <c r="F45" s="182" t="str">
        <f>IF(B45=FALSE,"",Length_1!N40)</f>
        <v/>
      </c>
      <c r="G45" s="182" t="str">
        <f>IF(B45=FALSE,"",Length_1!O40)</f>
        <v/>
      </c>
      <c r="H45" s="182" t="str">
        <f>IF(B45=FALSE,"",Length_1!P40)</f>
        <v/>
      </c>
      <c r="I45" s="182" t="str">
        <f>IF(B45=FALSE,"",Length_1!Q40)</f>
        <v/>
      </c>
      <c r="J45" s="176" t="str">
        <f t="shared" si="1"/>
        <v/>
      </c>
      <c r="K45" s="186" t="str">
        <f t="shared" si="2"/>
        <v/>
      </c>
      <c r="L45" s="187" t="str">
        <f>IF(B45=FALSE,"",Length_1!D84)</f>
        <v/>
      </c>
      <c r="M45" s="188" t="str">
        <f>IF(B45=FALSE,"",Calcu!J45*J$3)</f>
        <v/>
      </c>
      <c r="N45" s="189" t="str">
        <f t="shared" si="3"/>
        <v/>
      </c>
      <c r="O45" s="189" t="str">
        <f>IF(B45=FALSE,"",Length_1!F84)</f>
        <v/>
      </c>
      <c r="P45" s="189" t="str">
        <f t="shared" si="4"/>
        <v/>
      </c>
      <c r="Q45" s="176" t="str">
        <f t="shared" si="5"/>
        <v/>
      </c>
      <c r="R45" s="176" t="str">
        <f t="shared" si="6"/>
        <v/>
      </c>
      <c r="S45" s="283" t="str">
        <f t="shared" si="7"/>
        <v/>
      </c>
      <c r="T45" s="190" t="str">
        <f t="shared" si="8"/>
        <v/>
      </c>
      <c r="U45" s="191" t="str">
        <f t="shared" si="9"/>
        <v/>
      </c>
      <c r="V45" s="176" t="str">
        <f t="shared" si="21"/>
        <v/>
      </c>
      <c r="W45" s="176" t="str">
        <f t="shared" si="22"/>
        <v/>
      </c>
      <c r="X45" s="125"/>
      <c r="Y45" s="176">
        <f>IF(Length_1!J40&lt;0,ROUNDUP(Length_1!J40*J$3,$L$66),ROUNDDOWN(Length_1!J40*J$3,$L$66))</f>
        <v>0</v>
      </c>
      <c r="Z45" s="176">
        <f>IF(Length_1!K40&lt;0,ROUNDDOWN(Length_1!K40*J$3,$L$66),ROUNDUP(Length_1!K40*J$3,$L$66))</f>
        <v>0</v>
      </c>
      <c r="AA45" s="176" t="str">
        <f t="shared" ca="1" si="10"/>
        <v/>
      </c>
      <c r="AB45" s="179" t="str">
        <f t="shared" ca="1" si="11"/>
        <v/>
      </c>
      <c r="AC45" s="176" t="str">
        <f t="shared" ca="1" si="12"/>
        <v/>
      </c>
      <c r="AD45" s="176" t="e">
        <f t="shared" ca="1" si="13"/>
        <v>#VALUE!</v>
      </c>
      <c r="AE45" s="176" t="str">
        <f t="shared" si="23"/>
        <v/>
      </c>
      <c r="AF45" s="176" t="e">
        <f t="shared" ca="1" si="14"/>
        <v>#N/A</v>
      </c>
      <c r="AH45" s="126" t="str">
        <f t="shared" si="15"/>
        <v/>
      </c>
      <c r="AI45" s="126">
        <f>Length_1!G84</f>
        <v>0</v>
      </c>
      <c r="AJ45" s="126">
        <f>Length_1!H84</f>
        <v>0</v>
      </c>
      <c r="AK45" s="126">
        <f>Length_1!I84</f>
        <v>0</v>
      </c>
      <c r="AL45" s="126">
        <f>Length_1!J84</f>
        <v>0</v>
      </c>
      <c r="AM45" s="126">
        <f>Length_1!K84</f>
        <v>0</v>
      </c>
      <c r="AN45" s="126">
        <f>Length_1!A84</f>
        <v>0</v>
      </c>
      <c r="AO45" s="126">
        <f>Length_1!Q84</f>
        <v>0</v>
      </c>
      <c r="AP45" s="126">
        <f>Length_1!R84</f>
        <v>0</v>
      </c>
      <c r="AQ45" s="126">
        <f>Length_1!S84</f>
        <v>0</v>
      </c>
      <c r="AR45" s="126">
        <f>Length_1!T84</f>
        <v>0</v>
      </c>
      <c r="AS45" s="245">
        <f t="shared" si="16"/>
        <v>0</v>
      </c>
      <c r="AT45" s="245">
        <f t="shared" si="17"/>
        <v>0</v>
      </c>
      <c r="AU45" s="245">
        <f t="shared" si="18"/>
        <v>0</v>
      </c>
      <c r="AV45" s="245">
        <f t="shared" si="19"/>
        <v>0</v>
      </c>
      <c r="AW45" s="245">
        <f t="shared" si="20"/>
        <v>0</v>
      </c>
      <c r="AX45" s="246">
        <f t="shared" si="24"/>
        <v>0</v>
      </c>
      <c r="AY45" s="246">
        <f t="shared" si="25"/>
        <v>0</v>
      </c>
      <c r="AZ45" s="126">
        <f t="shared" si="26"/>
        <v>0</v>
      </c>
    </row>
    <row r="46" spans="2:52" ht="15" customHeight="1">
      <c r="B46" s="182" t="b">
        <f>IF(TRIM(Length_1!A41)="",FALSE,TRUE)</f>
        <v>0</v>
      </c>
      <c r="C46" s="176" t="str">
        <f>IF($B46=FALSE,"",VALUE(Length_1!A41))</f>
        <v/>
      </c>
      <c r="D46" s="176" t="str">
        <f>IF($B46=FALSE,"",Length_1!B41)</f>
        <v/>
      </c>
      <c r="E46" s="182" t="str">
        <f>IF(B46=FALSE,"",Length_1!M41)</f>
        <v/>
      </c>
      <c r="F46" s="182" t="str">
        <f>IF(B46=FALSE,"",Length_1!N41)</f>
        <v/>
      </c>
      <c r="G46" s="182" t="str">
        <f>IF(B46=FALSE,"",Length_1!O41)</f>
        <v/>
      </c>
      <c r="H46" s="182" t="str">
        <f>IF(B46=FALSE,"",Length_1!P41)</f>
        <v/>
      </c>
      <c r="I46" s="182" t="str">
        <f>IF(B46=FALSE,"",Length_1!Q41)</f>
        <v/>
      </c>
      <c r="J46" s="176" t="str">
        <f t="shared" si="1"/>
        <v/>
      </c>
      <c r="K46" s="186" t="str">
        <f t="shared" si="2"/>
        <v/>
      </c>
      <c r="L46" s="187" t="str">
        <f>IF(B46=FALSE,"",Length_1!D85)</f>
        <v/>
      </c>
      <c r="M46" s="188" t="str">
        <f>IF(B46=FALSE,"",Calcu!J46*J$3)</f>
        <v/>
      </c>
      <c r="N46" s="189" t="str">
        <f t="shared" si="3"/>
        <v/>
      </c>
      <c r="O46" s="189" t="str">
        <f>IF(B46=FALSE,"",Length_1!F85)</f>
        <v/>
      </c>
      <c r="P46" s="189" t="str">
        <f t="shared" si="4"/>
        <v/>
      </c>
      <c r="Q46" s="176" t="str">
        <f t="shared" si="5"/>
        <v/>
      </c>
      <c r="R46" s="176" t="str">
        <f t="shared" si="6"/>
        <v/>
      </c>
      <c r="S46" s="283" t="str">
        <f t="shared" si="7"/>
        <v/>
      </c>
      <c r="T46" s="190" t="str">
        <f t="shared" si="8"/>
        <v/>
      </c>
      <c r="U46" s="191" t="str">
        <f t="shared" si="9"/>
        <v/>
      </c>
      <c r="V46" s="176" t="str">
        <f t="shared" si="21"/>
        <v/>
      </c>
      <c r="W46" s="176" t="str">
        <f t="shared" si="22"/>
        <v/>
      </c>
      <c r="X46" s="125"/>
      <c r="Y46" s="176">
        <f>IF(Length_1!J41&lt;0,ROUNDUP(Length_1!J41*J$3,$L$66),ROUNDDOWN(Length_1!J41*J$3,$L$66))</f>
        <v>0</v>
      </c>
      <c r="Z46" s="176">
        <f>IF(Length_1!K41&lt;0,ROUNDDOWN(Length_1!K41*J$3,$L$66),ROUNDUP(Length_1!K41*J$3,$L$66))</f>
        <v>0</v>
      </c>
      <c r="AA46" s="176" t="str">
        <f t="shared" ca="1" si="10"/>
        <v/>
      </c>
      <c r="AB46" s="179" t="str">
        <f t="shared" ca="1" si="11"/>
        <v/>
      </c>
      <c r="AC46" s="176" t="str">
        <f t="shared" ca="1" si="12"/>
        <v/>
      </c>
      <c r="AD46" s="176" t="e">
        <f t="shared" ca="1" si="13"/>
        <v>#VALUE!</v>
      </c>
      <c r="AE46" s="176" t="str">
        <f t="shared" si="23"/>
        <v/>
      </c>
      <c r="AF46" s="176" t="e">
        <f t="shared" ca="1" si="14"/>
        <v>#N/A</v>
      </c>
      <c r="AH46" s="126" t="str">
        <f t="shared" si="15"/>
        <v/>
      </c>
      <c r="AI46" s="126">
        <f>Length_1!G85</f>
        <v>0</v>
      </c>
      <c r="AJ46" s="126">
        <f>Length_1!H85</f>
        <v>0</v>
      </c>
      <c r="AK46" s="126">
        <f>Length_1!I85</f>
        <v>0</v>
      </c>
      <c r="AL46" s="126">
        <f>Length_1!J85</f>
        <v>0</v>
      </c>
      <c r="AM46" s="126">
        <f>Length_1!K85</f>
        <v>0</v>
      </c>
      <c r="AN46" s="126">
        <f>Length_1!A85</f>
        <v>0</v>
      </c>
      <c r="AO46" s="126">
        <f>Length_1!Q85</f>
        <v>0</v>
      </c>
      <c r="AP46" s="126">
        <f>Length_1!R85</f>
        <v>0</v>
      </c>
      <c r="AQ46" s="126">
        <f>Length_1!S85</f>
        <v>0</v>
      </c>
      <c r="AR46" s="126">
        <f>Length_1!T85</f>
        <v>0</v>
      </c>
      <c r="AS46" s="245">
        <f t="shared" si="16"/>
        <v>0</v>
      </c>
      <c r="AT46" s="245">
        <f t="shared" si="17"/>
        <v>0</v>
      </c>
      <c r="AU46" s="245">
        <f t="shared" si="18"/>
        <v>0</v>
      </c>
      <c r="AV46" s="245">
        <f t="shared" si="19"/>
        <v>0</v>
      </c>
      <c r="AW46" s="245">
        <f t="shared" si="20"/>
        <v>0</v>
      </c>
      <c r="AX46" s="246">
        <f t="shared" si="24"/>
        <v>0</v>
      </c>
      <c r="AY46" s="246">
        <f t="shared" si="25"/>
        <v>0</v>
      </c>
      <c r="AZ46" s="126">
        <f t="shared" si="26"/>
        <v>0</v>
      </c>
    </row>
    <row r="47" spans="2:52" ht="15" customHeight="1">
      <c r="B47" s="182" t="b">
        <f>IF(TRIM(Length_1!A42)="",FALSE,TRUE)</f>
        <v>0</v>
      </c>
      <c r="C47" s="176" t="str">
        <f>IF($B47=FALSE,"",VALUE(Length_1!A42))</f>
        <v/>
      </c>
      <c r="D47" s="176" t="str">
        <f>IF($B47=FALSE,"",Length_1!B42)</f>
        <v/>
      </c>
      <c r="E47" s="182" t="str">
        <f>IF(B47=FALSE,"",Length_1!M42)</f>
        <v/>
      </c>
      <c r="F47" s="182" t="str">
        <f>IF(B47=FALSE,"",Length_1!N42)</f>
        <v/>
      </c>
      <c r="G47" s="182" t="str">
        <f>IF(B47=FALSE,"",Length_1!O42)</f>
        <v/>
      </c>
      <c r="H47" s="182" t="str">
        <f>IF(B47=FALSE,"",Length_1!P42)</f>
        <v/>
      </c>
      <c r="I47" s="182" t="str">
        <f>IF(B47=FALSE,"",Length_1!Q42)</f>
        <v/>
      </c>
      <c r="J47" s="176" t="str">
        <f t="shared" si="1"/>
        <v/>
      </c>
      <c r="K47" s="186" t="str">
        <f t="shared" si="2"/>
        <v/>
      </c>
      <c r="L47" s="187" t="str">
        <f>IF(B47=FALSE,"",Length_1!D86)</f>
        <v/>
      </c>
      <c r="M47" s="188" t="str">
        <f>IF(B47=FALSE,"",Calcu!J47*J$3)</f>
        <v/>
      </c>
      <c r="N47" s="189" t="str">
        <f t="shared" si="3"/>
        <v/>
      </c>
      <c r="O47" s="189" t="str">
        <f>IF(B47=FALSE,"",Length_1!F86)</f>
        <v/>
      </c>
      <c r="P47" s="189" t="str">
        <f t="shared" si="4"/>
        <v/>
      </c>
      <c r="Q47" s="176" t="str">
        <f t="shared" si="5"/>
        <v/>
      </c>
      <c r="R47" s="176" t="str">
        <f t="shared" si="6"/>
        <v/>
      </c>
      <c r="S47" s="283" t="str">
        <f t="shared" si="7"/>
        <v/>
      </c>
      <c r="T47" s="190" t="str">
        <f t="shared" si="8"/>
        <v/>
      </c>
      <c r="U47" s="191" t="str">
        <f t="shared" si="9"/>
        <v/>
      </c>
      <c r="V47" s="176" t="str">
        <f t="shared" si="21"/>
        <v/>
      </c>
      <c r="W47" s="176" t="str">
        <f t="shared" si="22"/>
        <v/>
      </c>
      <c r="X47" s="125"/>
      <c r="Y47" s="176">
        <f>IF(Length_1!J42&lt;0,ROUNDUP(Length_1!J42*J$3,$L$66),ROUNDDOWN(Length_1!J42*J$3,$L$66))</f>
        <v>0</v>
      </c>
      <c r="Z47" s="176">
        <f>IF(Length_1!K42&lt;0,ROUNDDOWN(Length_1!K42*J$3,$L$66),ROUNDUP(Length_1!K42*J$3,$L$66))</f>
        <v>0</v>
      </c>
      <c r="AA47" s="176" t="str">
        <f t="shared" ca="1" si="10"/>
        <v/>
      </c>
      <c r="AB47" s="179" t="str">
        <f t="shared" ca="1" si="11"/>
        <v/>
      </c>
      <c r="AC47" s="176" t="str">
        <f t="shared" ca="1" si="12"/>
        <v/>
      </c>
      <c r="AD47" s="176" t="e">
        <f t="shared" ca="1" si="13"/>
        <v>#VALUE!</v>
      </c>
      <c r="AE47" s="176" t="str">
        <f t="shared" si="23"/>
        <v/>
      </c>
      <c r="AF47" s="176" t="e">
        <f t="shared" ca="1" si="14"/>
        <v>#N/A</v>
      </c>
      <c r="AH47" s="126" t="str">
        <f t="shared" si="15"/>
        <v/>
      </c>
      <c r="AI47" s="126">
        <f>Length_1!G86</f>
        <v>0</v>
      </c>
      <c r="AJ47" s="126">
        <f>Length_1!H86</f>
        <v>0</v>
      </c>
      <c r="AK47" s="126">
        <f>Length_1!I86</f>
        <v>0</v>
      </c>
      <c r="AL47" s="126">
        <f>Length_1!J86</f>
        <v>0</v>
      </c>
      <c r="AM47" s="126">
        <f>Length_1!K86</f>
        <v>0</v>
      </c>
      <c r="AN47" s="126">
        <f>Length_1!A86</f>
        <v>0</v>
      </c>
      <c r="AO47" s="126">
        <f>Length_1!Q86</f>
        <v>0</v>
      </c>
      <c r="AP47" s="126">
        <f>Length_1!R86</f>
        <v>0</v>
      </c>
      <c r="AQ47" s="126">
        <f>Length_1!S86</f>
        <v>0</v>
      </c>
      <c r="AR47" s="126">
        <f>Length_1!T86</f>
        <v>0</v>
      </c>
      <c r="AS47" s="245">
        <f t="shared" si="16"/>
        <v>0</v>
      </c>
      <c r="AT47" s="245">
        <f t="shared" si="17"/>
        <v>0</v>
      </c>
      <c r="AU47" s="245">
        <f t="shared" si="18"/>
        <v>0</v>
      </c>
      <c r="AV47" s="245">
        <f t="shared" si="19"/>
        <v>0</v>
      </c>
      <c r="AW47" s="245">
        <f t="shared" si="20"/>
        <v>0</v>
      </c>
      <c r="AX47" s="246">
        <f t="shared" si="24"/>
        <v>0</v>
      </c>
      <c r="AY47" s="246">
        <f t="shared" si="25"/>
        <v>0</v>
      </c>
      <c r="AZ47" s="126">
        <f t="shared" si="26"/>
        <v>0</v>
      </c>
    </row>
    <row r="48" spans="2:52" ht="15" customHeight="1">
      <c r="B48" s="182" t="b">
        <f>IF(TRIM(Length_1!A43)="",FALSE,TRUE)</f>
        <v>0</v>
      </c>
      <c r="C48" s="176" t="str">
        <f>IF($B48=FALSE,"",VALUE(Length_1!A43))</f>
        <v/>
      </c>
      <c r="D48" s="176" t="str">
        <f>IF($B48=FALSE,"",Length_1!B43)</f>
        <v/>
      </c>
      <c r="E48" s="182" t="str">
        <f>IF(B48=FALSE,"",Length_1!M43)</f>
        <v/>
      </c>
      <c r="F48" s="182" t="str">
        <f>IF(B48=FALSE,"",Length_1!N43)</f>
        <v/>
      </c>
      <c r="G48" s="182" t="str">
        <f>IF(B48=FALSE,"",Length_1!O43)</f>
        <v/>
      </c>
      <c r="H48" s="182" t="str">
        <f>IF(B48=FALSE,"",Length_1!P43)</f>
        <v/>
      </c>
      <c r="I48" s="182" t="str">
        <f>IF(B48=FALSE,"",Length_1!Q43)</f>
        <v/>
      </c>
      <c r="J48" s="176" t="str">
        <f t="shared" si="1"/>
        <v/>
      </c>
      <c r="K48" s="186" t="str">
        <f t="shared" si="2"/>
        <v/>
      </c>
      <c r="L48" s="187" t="str">
        <f>IF(B48=FALSE,"",Length_1!D87)</f>
        <v/>
      </c>
      <c r="M48" s="188" t="str">
        <f>IF(B48=FALSE,"",Calcu!J48*J$3)</f>
        <v/>
      </c>
      <c r="N48" s="189" t="str">
        <f t="shared" si="3"/>
        <v/>
      </c>
      <c r="O48" s="189" t="str">
        <f>IF(B48=FALSE,"",Length_1!F87)</f>
        <v/>
      </c>
      <c r="P48" s="189" t="str">
        <f t="shared" si="4"/>
        <v/>
      </c>
      <c r="Q48" s="176" t="str">
        <f t="shared" si="5"/>
        <v/>
      </c>
      <c r="R48" s="176" t="str">
        <f t="shared" si="6"/>
        <v/>
      </c>
      <c r="S48" s="283" t="str">
        <f t="shared" si="7"/>
        <v/>
      </c>
      <c r="T48" s="190" t="str">
        <f t="shared" si="8"/>
        <v/>
      </c>
      <c r="U48" s="191" t="str">
        <f t="shared" si="9"/>
        <v/>
      </c>
      <c r="V48" s="176" t="str">
        <f t="shared" si="21"/>
        <v/>
      </c>
      <c r="W48" s="176" t="str">
        <f t="shared" si="22"/>
        <v/>
      </c>
      <c r="X48" s="125"/>
      <c r="Y48" s="176">
        <f>IF(Length_1!J43&lt;0,ROUNDUP(Length_1!J43*J$3,$L$66),ROUNDDOWN(Length_1!J43*J$3,$L$66))</f>
        <v>0</v>
      </c>
      <c r="Z48" s="176">
        <f>IF(Length_1!K43&lt;0,ROUNDDOWN(Length_1!K43*J$3,$L$66),ROUNDUP(Length_1!K43*J$3,$L$66))</f>
        <v>0</v>
      </c>
      <c r="AA48" s="176" t="str">
        <f t="shared" ca="1" si="10"/>
        <v/>
      </c>
      <c r="AB48" s="179" t="str">
        <f t="shared" ca="1" si="11"/>
        <v/>
      </c>
      <c r="AC48" s="176" t="str">
        <f t="shared" ca="1" si="12"/>
        <v/>
      </c>
      <c r="AD48" s="176" t="e">
        <f t="shared" ca="1" si="13"/>
        <v>#VALUE!</v>
      </c>
      <c r="AE48" s="176" t="str">
        <f t="shared" si="23"/>
        <v/>
      </c>
      <c r="AF48" s="176" t="e">
        <f t="shared" ca="1" si="14"/>
        <v>#N/A</v>
      </c>
      <c r="AH48" s="126" t="str">
        <f t="shared" si="15"/>
        <v/>
      </c>
      <c r="AI48" s="126">
        <f>Length_1!G87</f>
        <v>0</v>
      </c>
      <c r="AJ48" s="126">
        <f>Length_1!H87</f>
        <v>0</v>
      </c>
      <c r="AK48" s="126">
        <f>Length_1!I87</f>
        <v>0</v>
      </c>
      <c r="AL48" s="126">
        <f>Length_1!J87</f>
        <v>0</v>
      </c>
      <c r="AM48" s="126">
        <f>Length_1!K87</f>
        <v>0</v>
      </c>
      <c r="AN48" s="126">
        <f>Length_1!A87</f>
        <v>0</v>
      </c>
      <c r="AO48" s="126">
        <f>Length_1!Q87</f>
        <v>0</v>
      </c>
      <c r="AP48" s="126">
        <f>Length_1!R87</f>
        <v>0</v>
      </c>
      <c r="AQ48" s="126">
        <f>Length_1!S87</f>
        <v>0</v>
      </c>
      <c r="AR48" s="126">
        <f>Length_1!T87</f>
        <v>0</v>
      </c>
      <c r="AS48" s="245">
        <f t="shared" si="16"/>
        <v>0</v>
      </c>
      <c r="AT48" s="245">
        <f t="shared" si="17"/>
        <v>0</v>
      </c>
      <c r="AU48" s="245">
        <f t="shared" si="18"/>
        <v>0</v>
      </c>
      <c r="AV48" s="245">
        <f t="shared" si="19"/>
        <v>0</v>
      </c>
      <c r="AW48" s="245">
        <f t="shared" si="20"/>
        <v>0</v>
      </c>
      <c r="AX48" s="246">
        <f t="shared" si="24"/>
        <v>0</v>
      </c>
      <c r="AY48" s="246">
        <f t="shared" si="25"/>
        <v>0</v>
      </c>
      <c r="AZ48" s="126">
        <f t="shared" si="26"/>
        <v>0</v>
      </c>
    </row>
    <row r="49" spans="1:52" ht="15" customHeight="1">
      <c r="B49" s="182" t="b">
        <f>IF(TRIM(Length_1!A44)="",FALSE,TRUE)</f>
        <v>0</v>
      </c>
      <c r="C49" s="176" t="str">
        <f>IF($B49=FALSE,"",VALUE(Length_1!A44))</f>
        <v/>
      </c>
      <c r="D49" s="176" t="str">
        <f>IF($B49=FALSE,"",Length_1!B44)</f>
        <v/>
      </c>
      <c r="E49" s="182" t="str">
        <f>IF(B49=FALSE,"",Length_1!M44)</f>
        <v/>
      </c>
      <c r="F49" s="182" t="str">
        <f>IF(B49=FALSE,"",Length_1!N44)</f>
        <v/>
      </c>
      <c r="G49" s="182" t="str">
        <f>IF(B49=FALSE,"",Length_1!O44)</f>
        <v/>
      </c>
      <c r="H49" s="182" t="str">
        <f>IF(B49=FALSE,"",Length_1!P44)</f>
        <v/>
      </c>
      <c r="I49" s="182" t="str">
        <f>IF(B49=FALSE,"",Length_1!Q44)</f>
        <v/>
      </c>
      <c r="J49" s="176" t="str">
        <f t="shared" si="1"/>
        <v/>
      </c>
      <c r="K49" s="186" t="str">
        <f t="shared" si="2"/>
        <v/>
      </c>
      <c r="L49" s="187" t="str">
        <f>IF(B49=FALSE,"",Length_1!D88)</f>
        <v/>
      </c>
      <c r="M49" s="188" t="str">
        <f>IF(B49=FALSE,"",Calcu!J49*J$3)</f>
        <v/>
      </c>
      <c r="N49" s="189" t="str">
        <f t="shared" si="3"/>
        <v/>
      </c>
      <c r="O49" s="189" t="str">
        <f>IF(B49=FALSE,"",Length_1!F88)</f>
        <v/>
      </c>
      <c r="P49" s="189" t="str">
        <f t="shared" si="4"/>
        <v/>
      </c>
      <c r="Q49" s="176" t="str">
        <f t="shared" si="5"/>
        <v/>
      </c>
      <c r="R49" s="176" t="str">
        <f t="shared" si="6"/>
        <v/>
      </c>
      <c r="S49" s="283" t="str">
        <f t="shared" si="7"/>
        <v/>
      </c>
      <c r="T49" s="190" t="str">
        <f t="shared" si="8"/>
        <v/>
      </c>
      <c r="U49" s="191" t="str">
        <f t="shared" si="9"/>
        <v/>
      </c>
      <c r="V49" s="176" t="str">
        <f t="shared" si="21"/>
        <v/>
      </c>
      <c r="W49" s="176" t="str">
        <f t="shared" si="22"/>
        <v/>
      </c>
      <c r="X49" s="125"/>
      <c r="Y49" s="176">
        <f>IF(Length_1!J44&lt;0,ROUNDUP(Length_1!J44*J$3,$L$66),ROUNDDOWN(Length_1!J44*J$3,$L$66))</f>
        <v>0</v>
      </c>
      <c r="Z49" s="176">
        <f>IF(Length_1!K44&lt;0,ROUNDDOWN(Length_1!K44*J$3,$L$66),ROUNDUP(Length_1!K44*J$3,$L$66))</f>
        <v>0</v>
      </c>
      <c r="AA49" s="176" t="str">
        <f t="shared" ca="1" si="10"/>
        <v/>
      </c>
      <c r="AB49" s="179" t="str">
        <f t="shared" ca="1" si="11"/>
        <v/>
      </c>
      <c r="AC49" s="176" t="str">
        <f t="shared" ca="1" si="12"/>
        <v/>
      </c>
      <c r="AD49" s="176" t="e">
        <f t="shared" ca="1" si="13"/>
        <v>#VALUE!</v>
      </c>
      <c r="AE49" s="176" t="str">
        <f t="shared" si="23"/>
        <v/>
      </c>
      <c r="AF49" s="176" t="e">
        <f t="shared" ca="1" si="14"/>
        <v>#N/A</v>
      </c>
      <c r="AH49" s="126" t="str">
        <f t="shared" si="15"/>
        <v/>
      </c>
      <c r="AI49" s="126">
        <f>Length_1!G88</f>
        <v>0</v>
      </c>
      <c r="AJ49" s="126">
        <f>Length_1!H88</f>
        <v>0</v>
      </c>
      <c r="AK49" s="126">
        <f>Length_1!I88</f>
        <v>0</v>
      </c>
      <c r="AL49" s="126">
        <f>Length_1!J88</f>
        <v>0</v>
      </c>
      <c r="AM49" s="126">
        <f>Length_1!K88</f>
        <v>0</v>
      </c>
      <c r="AN49" s="126">
        <f>Length_1!A88</f>
        <v>0</v>
      </c>
      <c r="AO49" s="126">
        <f>Length_1!Q88</f>
        <v>0</v>
      </c>
      <c r="AP49" s="126">
        <f>Length_1!R88</f>
        <v>0</v>
      </c>
      <c r="AQ49" s="126">
        <f>Length_1!S88</f>
        <v>0</v>
      </c>
      <c r="AR49" s="126">
        <f>Length_1!T88</f>
        <v>0</v>
      </c>
      <c r="AS49" s="245">
        <f t="shared" si="16"/>
        <v>0</v>
      </c>
      <c r="AT49" s="245">
        <f t="shared" si="17"/>
        <v>0</v>
      </c>
      <c r="AU49" s="245">
        <f t="shared" si="18"/>
        <v>0</v>
      </c>
      <c r="AV49" s="245">
        <f t="shared" si="19"/>
        <v>0</v>
      </c>
      <c r="AW49" s="245">
        <f t="shared" si="20"/>
        <v>0</v>
      </c>
      <c r="AX49" s="246">
        <f t="shared" si="24"/>
        <v>0</v>
      </c>
      <c r="AY49" s="246">
        <f t="shared" si="25"/>
        <v>0</v>
      </c>
      <c r="AZ49" s="126">
        <f t="shared" si="26"/>
        <v>0</v>
      </c>
    </row>
    <row r="50" spans="1:52" ht="15" customHeight="1">
      <c r="N50" s="121"/>
      <c r="O50" s="121"/>
      <c r="P50" s="121"/>
      <c r="Q50" s="121"/>
      <c r="R50" s="121"/>
      <c r="S50" s="121"/>
      <c r="T50" s="121"/>
      <c r="Y50" s="121"/>
    </row>
    <row r="51" spans="1:52" ht="15" customHeight="1">
      <c r="A51" s="119" t="s">
        <v>282</v>
      </c>
      <c r="C51" s="120"/>
      <c r="D51" s="120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</row>
    <row r="52" spans="1:52" ht="15" customHeight="1">
      <c r="A52" s="119"/>
      <c r="B52" s="538"/>
      <c r="C52" s="538" t="s">
        <v>174</v>
      </c>
      <c r="D52" s="531" t="s">
        <v>175</v>
      </c>
      <c r="E52" s="538" t="s">
        <v>176</v>
      </c>
      <c r="F52" s="538" t="s">
        <v>177</v>
      </c>
      <c r="G52" s="528">
        <v>1</v>
      </c>
      <c r="H52" s="529"/>
      <c r="I52" s="529"/>
      <c r="J52" s="529"/>
      <c r="K52" s="529"/>
      <c r="L52" s="529"/>
      <c r="M52" s="530"/>
      <c r="N52" s="226">
        <v>2</v>
      </c>
      <c r="O52" s="528">
        <v>3</v>
      </c>
      <c r="P52" s="529"/>
      <c r="Q52" s="529"/>
      <c r="R52" s="530"/>
      <c r="S52" s="528">
        <v>4</v>
      </c>
      <c r="T52" s="529"/>
      <c r="U52" s="530"/>
      <c r="V52" s="226">
        <v>5</v>
      </c>
      <c r="W52" s="538" t="s">
        <v>178</v>
      </c>
      <c r="X52" s="538" t="s">
        <v>179</v>
      </c>
      <c r="Y52" s="528" t="s">
        <v>580</v>
      </c>
      <c r="Z52" s="530"/>
      <c r="AA52" s="125"/>
    </row>
    <row r="53" spans="1:52" ht="15" customHeight="1">
      <c r="A53" s="119"/>
      <c r="B53" s="543"/>
      <c r="C53" s="543"/>
      <c r="D53" s="533"/>
      <c r="E53" s="543"/>
      <c r="F53" s="543"/>
      <c r="G53" s="248"/>
      <c r="H53" s="282" t="s">
        <v>550</v>
      </c>
      <c r="I53" s="282" t="s">
        <v>551</v>
      </c>
      <c r="J53" s="282" t="s">
        <v>552</v>
      </c>
      <c r="K53" s="528" t="s">
        <v>178</v>
      </c>
      <c r="L53" s="529"/>
      <c r="M53" s="530"/>
      <c r="N53" s="226" t="s">
        <v>184</v>
      </c>
      <c r="O53" s="528" t="s">
        <v>183</v>
      </c>
      <c r="P53" s="530"/>
      <c r="Q53" s="528" t="s">
        <v>185</v>
      </c>
      <c r="R53" s="530"/>
      <c r="S53" s="528" t="s">
        <v>186</v>
      </c>
      <c r="T53" s="529"/>
      <c r="U53" s="530"/>
      <c r="V53" s="226" t="s">
        <v>187</v>
      </c>
      <c r="W53" s="546"/>
      <c r="X53" s="540"/>
      <c r="Y53" s="299" t="s">
        <v>581</v>
      </c>
      <c r="Z53" s="299" t="s">
        <v>582</v>
      </c>
      <c r="AA53" s="125"/>
    </row>
    <row r="54" spans="1:52" ht="15" customHeight="1">
      <c r="B54" s="226" t="s">
        <v>190</v>
      </c>
      <c r="C54" s="192" t="s">
        <v>191</v>
      </c>
      <c r="D54" s="193" t="s">
        <v>192</v>
      </c>
      <c r="E54" s="224" t="e">
        <f ca="1">OFFSET(L$8,MATCH(L$3,T$9:T$49,0),0)</f>
        <v>#N/A</v>
      </c>
      <c r="F54" s="194" t="s">
        <v>193</v>
      </c>
      <c r="G54" s="258">
        <f ca="1">OFFSET(AN8,MATCH(MAX(AX9:AX49),AX9:AX49,0),0)</f>
        <v>0</v>
      </c>
      <c r="H54" s="250">
        <f ca="1">OFFSET(AO8,MATCH(MAX(AX9:AX49),AX9:AX49,0),0)</f>
        <v>0</v>
      </c>
      <c r="I54" s="176">
        <f ca="1">OFFSET(AP8,MATCH(MAX(AX9:AX49),AX9:AX49,0),0)</f>
        <v>0</v>
      </c>
      <c r="J54" s="176" t="e">
        <f ca="1">OFFSET(Length_1!Q47,MATCH(L3,Length_1!B48:B70,0),3)</f>
        <v>#N/A</v>
      </c>
      <c r="K54" s="204">
        <f ca="1">OFFSET(AY8,MATCH(MAX(AX9:AX49),AX9:AX49,0),0)</f>
        <v>0</v>
      </c>
      <c r="L54" s="188">
        <f ca="1">OFFSET(AZ8,MATCH(MAX(AX9:AX49),AX9:AX49,0),0)</f>
        <v>0</v>
      </c>
      <c r="M54" s="178" t="s">
        <v>194</v>
      </c>
      <c r="N54" s="195" t="s">
        <v>195</v>
      </c>
      <c r="O54" s="176"/>
      <c r="P54" s="176"/>
      <c r="Q54" s="188">
        <v>1</v>
      </c>
      <c r="R54" s="176"/>
      <c r="S54" s="196">
        <f ca="1">ABS(K54*Q54)</f>
        <v>0</v>
      </c>
      <c r="T54" s="176">
        <f ca="1">ABS(L54*Q54)</f>
        <v>0</v>
      </c>
      <c r="U54" s="178" t="s">
        <v>194</v>
      </c>
      <c r="V54" s="176" t="s">
        <v>196</v>
      </c>
      <c r="W54" s="204">
        <f t="shared" ref="W54:W61" ca="1" si="27">SQRT(SUMSQ(S54,T54*L$3))</f>
        <v>0</v>
      </c>
      <c r="X54" s="200">
        <f t="shared" ref="X54:X61" si="28">IF(V54="∞",0,W54^4/V54)</f>
        <v>0</v>
      </c>
      <c r="Y54" s="196" t="str">
        <f t="shared" ref="Y54:Y61" si="29">IF(OR(N54="직사각형",N54="삼각형"),W54,"")</f>
        <v/>
      </c>
      <c r="Z54" s="196">
        <f t="shared" ref="Z54:Z61" ca="1" si="30">IF(OR(N54="직사각형",N54="삼각형"),"",W54)</f>
        <v>0</v>
      </c>
      <c r="AA54" s="125"/>
      <c r="AV54" s="251"/>
    </row>
    <row r="55" spans="1:52" ht="15" customHeight="1">
      <c r="B55" s="226" t="s">
        <v>198</v>
      </c>
      <c r="C55" s="192" t="s">
        <v>199</v>
      </c>
      <c r="D55" s="193" t="s">
        <v>202</v>
      </c>
      <c r="E55" s="224" t="e">
        <f ca="1">OFFSET(M$8,MATCH(L$3,T$9:T$49,0),0)</f>
        <v>#N/A</v>
      </c>
      <c r="F55" s="194" t="s">
        <v>193</v>
      </c>
      <c r="G55" s="176"/>
      <c r="H55" s="178">
        <f>IF(MAX(K9:K49)=0,P3*1000,MAX(K9:K49)*1000)</f>
        <v>0</v>
      </c>
      <c r="I55" s="176">
        <f>IF(MAX(K9:K49)=0,2,1)</f>
        <v>2</v>
      </c>
      <c r="J55" s="197">
        <v>5</v>
      </c>
      <c r="K55" s="204">
        <f>H55/(IF(I55="",1,I55)*SQRT(J55))</f>
        <v>0</v>
      </c>
      <c r="L55" s="204"/>
      <c r="M55" s="178" t="s">
        <v>194</v>
      </c>
      <c r="N55" s="195" t="s">
        <v>283</v>
      </c>
      <c r="O55" s="176"/>
      <c r="P55" s="176"/>
      <c r="Q55" s="188">
        <v>-1</v>
      </c>
      <c r="R55" s="176"/>
      <c r="S55" s="196">
        <f t="shared" ref="S55:S61" si="31">ABS(K55*Q55)</f>
        <v>0</v>
      </c>
      <c r="T55" s="176">
        <f t="shared" ref="T55:T61" si="32">ABS(L55*Q55)</f>
        <v>0</v>
      </c>
      <c r="U55" s="178" t="s">
        <v>194</v>
      </c>
      <c r="V55" s="176">
        <v>4</v>
      </c>
      <c r="W55" s="204">
        <f t="shared" si="27"/>
        <v>0</v>
      </c>
      <c r="X55" s="200">
        <f t="shared" si="28"/>
        <v>0</v>
      </c>
      <c r="Y55" s="196" t="str">
        <f t="shared" si="29"/>
        <v/>
      </c>
      <c r="Z55" s="196">
        <f t="shared" si="30"/>
        <v>0</v>
      </c>
      <c r="AA55" s="125"/>
      <c r="AV55" s="251"/>
    </row>
    <row r="56" spans="1:52" ht="15" customHeight="1">
      <c r="B56" s="226" t="s">
        <v>285</v>
      </c>
      <c r="C56" s="192" t="s">
        <v>286</v>
      </c>
      <c r="D56" s="193" t="s">
        <v>115</v>
      </c>
      <c r="E56" s="189" t="e">
        <f ca="1">OFFSET(P$8,MATCH(L$3,T$9:T$49,0),0)</f>
        <v>#N/A</v>
      </c>
      <c r="F56" s="194" t="s">
        <v>212</v>
      </c>
      <c r="G56" s="189"/>
      <c r="H56" s="189">
        <f>1*10^-6</f>
        <v>9.9999999999999995E-7</v>
      </c>
      <c r="I56" s="177"/>
      <c r="J56" s="197">
        <v>3</v>
      </c>
      <c r="K56" s="303"/>
      <c r="L56" s="303">
        <f>SQRT((H56/SQRT(J56)/2)^2+(H56/SQRT(J56)/2)^2)</f>
        <v>4.0824829046386305E-7</v>
      </c>
      <c r="M56" s="194" t="s">
        <v>212</v>
      </c>
      <c r="N56" s="195" t="s">
        <v>287</v>
      </c>
      <c r="O56" s="178">
        <f>H57</f>
        <v>0.5</v>
      </c>
      <c r="P56" s="176" t="s">
        <v>204</v>
      </c>
      <c r="Q56" s="188">
        <f>-O56*1000</f>
        <v>-500</v>
      </c>
      <c r="R56" s="176" t="s">
        <v>214</v>
      </c>
      <c r="S56" s="196"/>
      <c r="T56" s="304">
        <f t="shared" si="32"/>
        <v>2.0412414523193151E-4</v>
      </c>
      <c r="U56" s="178" t="s">
        <v>201</v>
      </c>
      <c r="V56" s="176">
        <v>100</v>
      </c>
      <c r="W56" s="204">
        <f t="shared" si="27"/>
        <v>0</v>
      </c>
      <c r="X56" s="200">
        <f t="shared" si="28"/>
        <v>0</v>
      </c>
      <c r="Y56" s="196">
        <f t="shared" si="29"/>
        <v>0</v>
      </c>
      <c r="Z56" s="196" t="str">
        <f t="shared" si="30"/>
        <v/>
      </c>
      <c r="AA56" s="125"/>
      <c r="AV56" s="251"/>
    </row>
    <row r="57" spans="1:52" ht="15" customHeight="1">
      <c r="B57" s="226" t="s">
        <v>288</v>
      </c>
      <c r="C57" s="192" t="s">
        <v>207</v>
      </c>
      <c r="D57" s="193" t="s">
        <v>117</v>
      </c>
      <c r="E57" s="178" t="str">
        <f>Q9</f>
        <v/>
      </c>
      <c r="F57" s="194" t="s">
        <v>289</v>
      </c>
      <c r="G57" s="177"/>
      <c r="H57" s="178">
        <f>IF(기본정보!H12=1,1,0.5)</f>
        <v>0.5</v>
      </c>
      <c r="I57" s="177"/>
      <c r="J57" s="197">
        <v>3</v>
      </c>
      <c r="K57" s="204"/>
      <c r="L57" s="204">
        <f>H57/(IF(I57="",1,I57)*SQRT(J57))</f>
        <v>0.28867513459481292</v>
      </c>
      <c r="M57" s="194" t="s">
        <v>289</v>
      </c>
      <c r="N57" s="195" t="s">
        <v>290</v>
      </c>
      <c r="O57" s="189" t="e">
        <f ca="1">E56</f>
        <v>#N/A</v>
      </c>
      <c r="P57" s="176" t="s">
        <v>291</v>
      </c>
      <c r="Q57" s="188" t="e">
        <f ca="1">-O57*1000</f>
        <v>#N/A</v>
      </c>
      <c r="R57" s="176" t="s">
        <v>209</v>
      </c>
      <c r="S57" s="196" t="e">
        <f ca="1">ABS(K57*Q57)</f>
        <v>#N/A</v>
      </c>
      <c r="T57" s="304" t="e">
        <f t="shared" ca="1" si="32"/>
        <v>#N/A</v>
      </c>
      <c r="U57" s="178" t="s">
        <v>194</v>
      </c>
      <c r="V57" s="176">
        <v>12</v>
      </c>
      <c r="W57" s="204" t="e">
        <f t="shared" ca="1" si="27"/>
        <v>#N/A</v>
      </c>
      <c r="X57" s="200" t="e">
        <f t="shared" ca="1" si="28"/>
        <v>#N/A</v>
      </c>
      <c r="Y57" s="196" t="e">
        <f t="shared" ca="1" si="29"/>
        <v>#N/A</v>
      </c>
      <c r="Z57" s="196" t="str">
        <f t="shared" si="30"/>
        <v/>
      </c>
      <c r="AA57" s="125"/>
      <c r="AV57" s="251"/>
    </row>
    <row r="58" spans="1:52" ht="15" customHeight="1">
      <c r="B58" s="226" t="s">
        <v>210</v>
      </c>
      <c r="C58" s="192" t="s">
        <v>211</v>
      </c>
      <c r="D58" s="193" t="s">
        <v>116</v>
      </c>
      <c r="E58" s="198" t="e">
        <f ca="1">OFFSET(R$8,MATCH(L$3,T$9:T$49,0),0)</f>
        <v>#N/A</v>
      </c>
      <c r="F58" s="194" t="s">
        <v>212</v>
      </c>
      <c r="G58" s="189"/>
      <c r="H58" s="189">
        <f>1*10^-6</f>
        <v>9.9999999999999995E-7</v>
      </c>
      <c r="I58" s="177"/>
      <c r="J58" s="197">
        <v>3</v>
      </c>
      <c r="K58" s="303"/>
      <c r="L58" s="303">
        <f>SQRT((H58/SQRT(J58))^2+(H58/SQRT(J58))^2)</f>
        <v>8.1649658092772609E-7</v>
      </c>
      <c r="M58" s="194" t="s">
        <v>203</v>
      </c>
      <c r="N58" s="195" t="s">
        <v>213</v>
      </c>
      <c r="O58" s="178">
        <f>E59</f>
        <v>0.1</v>
      </c>
      <c r="P58" s="176" t="s">
        <v>204</v>
      </c>
      <c r="Q58" s="188">
        <f>-O58*1000</f>
        <v>-100</v>
      </c>
      <c r="R58" s="176" t="s">
        <v>205</v>
      </c>
      <c r="S58" s="196">
        <f>ABS(K58*Q58)</f>
        <v>0</v>
      </c>
      <c r="T58" s="304">
        <f t="shared" si="32"/>
        <v>8.1649658092772609E-5</v>
      </c>
      <c r="U58" s="178" t="s">
        <v>194</v>
      </c>
      <c r="V58" s="176">
        <v>100</v>
      </c>
      <c r="W58" s="204">
        <f t="shared" si="27"/>
        <v>0</v>
      </c>
      <c r="X58" s="200">
        <f t="shared" si="28"/>
        <v>0</v>
      </c>
      <c r="Y58" s="196">
        <f t="shared" si="29"/>
        <v>0</v>
      </c>
      <c r="Z58" s="196" t="str">
        <f t="shared" si="30"/>
        <v/>
      </c>
      <c r="AA58" s="125"/>
      <c r="AV58" s="251"/>
    </row>
    <row r="59" spans="1:52" ht="15" customHeight="1">
      <c r="B59" s="226" t="s">
        <v>215</v>
      </c>
      <c r="C59" s="192" t="s">
        <v>118</v>
      </c>
      <c r="D59" s="193" t="s">
        <v>119</v>
      </c>
      <c r="E59" s="178">
        <f>MAX(S9,0.1)</f>
        <v>0.1</v>
      </c>
      <c r="F59" s="194" t="s">
        <v>208</v>
      </c>
      <c r="G59" s="177"/>
      <c r="H59" s="178">
        <f>IF(기본정보!H12=1,3,1)</f>
        <v>1</v>
      </c>
      <c r="I59" s="177"/>
      <c r="J59" s="197">
        <v>3</v>
      </c>
      <c r="K59" s="204"/>
      <c r="L59" s="204">
        <f>H59/(IF(I59="",1,I59)*SQRT(J59))</f>
        <v>0.57735026918962584</v>
      </c>
      <c r="M59" s="194" t="s">
        <v>208</v>
      </c>
      <c r="N59" s="195" t="s">
        <v>216</v>
      </c>
      <c r="O59" s="198" t="e">
        <f ca="1">E58</f>
        <v>#N/A</v>
      </c>
      <c r="P59" s="176" t="s">
        <v>204</v>
      </c>
      <c r="Q59" s="188" t="e">
        <f ca="1">-O59*1000</f>
        <v>#N/A</v>
      </c>
      <c r="R59" s="176" t="s">
        <v>209</v>
      </c>
      <c r="S59" s="196" t="e">
        <f t="shared" ca="1" si="31"/>
        <v>#N/A</v>
      </c>
      <c r="T59" s="304" t="e">
        <f t="shared" ca="1" si="32"/>
        <v>#N/A</v>
      </c>
      <c r="U59" s="178" t="s">
        <v>194</v>
      </c>
      <c r="V59" s="176">
        <v>12</v>
      </c>
      <c r="W59" s="204" t="e">
        <f ca="1">SQRT(SUMSQ(S59,T59*L$3))</f>
        <v>#N/A</v>
      </c>
      <c r="X59" s="200" t="e">
        <f t="shared" ca="1" si="28"/>
        <v>#N/A</v>
      </c>
      <c r="Y59" s="196" t="e">
        <f t="shared" ca="1" si="29"/>
        <v>#N/A</v>
      </c>
      <c r="Z59" s="196" t="str">
        <f t="shared" si="30"/>
        <v/>
      </c>
      <c r="AA59" s="125"/>
      <c r="AV59" s="251"/>
    </row>
    <row r="60" spans="1:52" ht="15" customHeight="1">
      <c r="B60" s="226" t="s">
        <v>218</v>
      </c>
      <c r="C60" s="192" t="s">
        <v>219</v>
      </c>
      <c r="D60" s="193" t="s">
        <v>583</v>
      </c>
      <c r="E60" s="176">
        <v>0</v>
      </c>
      <c r="F60" s="194" t="s">
        <v>193</v>
      </c>
      <c r="G60" s="258" t="str">
        <f>IF(TYPE(MATCH("Test Indicator",STD_Data!C:C,0))=1,"테스트 인디케이터","높이 게이지/측정기")</f>
        <v>높이 게이지/측정기</v>
      </c>
      <c r="H60" s="176">
        <f>IFERROR(VLOOKUP("Test Indicator",STD_Data!C:AJ,23,FALSE),P3)*1000</f>
        <v>0</v>
      </c>
      <c r="I60" s="176">
        <v>2</v>
      </c>
      <c r="J60" s="197">
        <v>3</v>
      </c>
      <c r="K60" s="204">
        <f t="shared" ref="K60:K61" si="33">H60/(IF(I60="",1,I60)*SQRT(J60))</f>
        <v>0</v>
      </c>
      <c r="L60" s="204"/>
      <c r="M60" s="178" t="s">
        <v>194</v>
      </c>
      <c r="N60" s="195" t="s">
        <v>216</v>
      </c>
      <c r="O60" s="176"/>
      <c r="P60" s="176"/>
      <c r="Q60" s="188">
        <v>1</v>
      </c>
      <c r="R60" s="176"/>
      <c r="S60" s="196">
        <f t="shared" si="31"/>
        <v>0</v>
      </c>
      <c r="T60" s="176">
        <f t="shared" si="32"/>
        <v>0</v>
      </c>
      <c r="U60" s="178" t="s">
        <v>194</v>
      </c>
      <c r="V60" s="176" t="s">
        <v>294</v>
      </c>
      <c r="W60" s="204">
        <f t="shared" si="27"/>
        <v>0</v>
      </c>
      <c r="X60" s="200">
        <f t="shared" si="28"/>
        <v>0</v>
      </c>
      <c r="Y60" s="196">
        <f t="shared" si="29"/>
        <v>0</v>
      </c>
      <c r="Z60" s="196" t="str">
        <f t="shared" si="30"/>
        <v/>
      </c>
      <c r="AA60" s="125"/>
      <c r="AV60" s="251"/>
    </row>
    <row r="61" spans="1:52" ht="15" customHeight="1">
      <c r="B61" s="226" t="s">
        <v>220</v>
      </c>
      <c r="C61" s="192" t="s">
        <v>296</v>
      </c>
      <c r="D61" s="193" t="s">
        <v>297</v>
      </c>
      <c r="E61" s="176">
        <v>0</v>
      </c>
      <c r="F61" s="194" t="s">
        <v>200</v>
      </c>
      <c r="G61" s="177"/>
      <c r="H61" s="176">
        <f>IFERROR(VLOOKUP("Surface Plate",STD_Data!C:AJ,14,FALSE),50)</f>
        <v>50</v>
      </c>
      <c r="I61" s="176">
        <v>4</v>
      </c>
      <c r="J61" s="197">
        <v>3</v>
      </c>
      <c r="K61" s="204">
        <f t="shared" si="33"/>
        <v>7.2168783648703227</v>
      </c>
      <c r="L61" s="204"/>
      <c r="M61" s="178" t="s">
        <v>194</v>
      </c>
      <c r="N61" s="195" t="s">
        <v>216</v>
      </c>
      <c r="O61" s="176"/>
      <c r="P61" s="176"/>
      <c r="Q61" s="188">
        <v>1</v>
      </c>
      <c r="R61" s="176"/>
      <c r="S61" s="196">
        <f t="shared" si="31"/>
        <v>7.2168783648703227</v>
      </c>
      <c r="T61" s="176">
        <f t="shared" si="32"/>
        <v>0</v>
      </c>
      <c r="U61" s="178" t="s">
        <v>194</v>
      </c>
      <c r="V61" s="176">
        <f>1/2*(100/10)^2</f>
        <v>50</v>
      </c>
      <c r="W61" s="204">
        <f t="shared" si="27"/>
        <v>7.2168783648703227</v>
      </c>
      <c r="X61" s="200">
        <f t="shared" si="28"/>
        <v>54.253472222222243</v>
      </c>
      <c r="Y61" s="196">
        <f t="shared" si="29"/>
        <v>7.2168783648703227</v>
      </c>
      <c r="Z61" s="196" t="str">
        <f t="shared" si="30"/>
        <v/>
      </c>
      <c r="AA61" s="125"/>
      <c r="AV61" s="251"/>
    </row>
    <row r="62" spans="1:52" ht="15" customHeight="1">
      <c r="B62" s="226" t="s">
        <v>221</v>
      </c>
      <c r="C62" s="192" t="s">
        <v>222</v>
      </c>
      <c r="D62" s="193" t="s">
        <v>299</v>
      </c>
      <c r="E62" s="224" t="e">
        <f ca="1">E54-E55-(E56*E57+E58*E59)*L3</f>
        <v>#N/A</v>
      </c>
      <c r="F62" s="194" t="s">
        <v>193</v>
      </c>
      <c r="G62" s="252"/>
      <c r="H62" s="253"/>
      <c r="I62" s="252"/>
      <c r="J62" s="252"/>
      <c r="K62" s="252"/>
      <c r="L62" s="252"/>
      <c r="M62" s="252"/>
      <c r="N62" s="252"/>
      <c r="O62" s="252"/>
      <c r="P62" s="252"/>
      <c r="Q62" s="252"/>
      <c r="R62" s="254"/>
      <c r="S62" s="199" t="e">
        <f ca="1">SQRT(SUMSQ(S54:S61))</f>
        <v>#N/A</v>
      </c>
      <c r="T62" s="199" t="e">
        <f ca="1">SQRT(SUMSQ(T54:T61))</f>
        <v>#N/A</v>
      </c>
      <c r="U62" s="178" t="s">
        <v>201</v>
      </c>
      <c r="V62" s="190" t="e">
        <f ca="1">IF(X62=0,"∞",ROUNDDOWN(W62^4/X62,0))</f>
        <v>#N/A</v>
      </c>
      <c r="W62" s="255" t="e">
        <f ca="1">SQRT(SUMSQ(W54:W61))</f>
        <v>#N/A</v>
      </c>
      <c r="X62" s="301" t="e">
        <f ca="1">SUM(X54:X61)</f>
        <v>#N/A</v>
      </c>
      <c r="Y62" s="255" t="e">
        <f ca="1">SQRT(SUMSQ(Y54:Y61))</f>
        <v>#N/A</v>
      </c>
      <c r="Z62" s="255">
        <f ca="1">SQRT(SUMSQ(Z54:Z61))</f>
        <v>0</v>
      </c>
      <c r="AA62" s="125"/>
      <c r="AB62" s="125"/>
      <c r="AV62" s="251"/>
    </row>
    <row r="63" spans="1:52" ht="15" customHeight="1">
      <c r="L63" s="125"/>
      <c r="U63" s="125"/>
      <c r="V63" s="125"/>
      <c r="W63" s="125"/>
      <c r="X63" s="125"/>
      <c r="Y63" s="125"/>
      <c r="AC63" s="125"/>
      <c r="AW63" s="251"/>
    </row>
    <row r="64" spans="1:52" ht="15" customHeight="1">
      <c r="B64" s="227"/>
      <c r="C64" s="528" t="s">
        <v>303</v>
      </c>
      <c r="D64" s="529"/>
      <c r="E64" s="529"/>
      <c r="F64" s="529"/>
      <c r="G64" s="530"/>
      <c r="H64" s="305" t="s">
        <v>586</v>
      </c>
      <c r="I64" s="305" t="s">
        <v>587</v>
      </c>
      <c r="J64" s="528" t="s">
        <v>588</v>
      </c>
      <c r="K64" s="529"/>
      <c r="L64" s="529"/>
      <c r="M64" s="530"/>
      <c r="N64" s="305" t="s">
        <v>589</v>
      </c>
      <c r="O64" s="528" t="s">
        <v>590</v>
      </c>
      <c r="P64" s="529"/>
      <c r="Q64" s="529"/>
      <c r="R64" s="538" t="s">
        <v>591</v>
      </c>
      <c r="S64" s="528" t="s">
        <v>602</v>
      </c>
      <c r="T64" s="529"/>
      <c r="U64" s="530"/>
      <c r="W64" s="125"/>
      <c r="AQ64" s="251"/>
    </row>
    <row r="65" spans="2:51" ht="15" customHeight="1">
      <c r="B65" s="227"/>
      <c r="C65" s="227">
        <v>1</v>
      </c>
      <c r="D65" s="227">
        <v>2</v>
      </c>
      <c r="E65" s="227" t="s">
        <v>266</v>
      </c>
      <c r="F65" s="227" t="s">
        <v>177</v>
      </c>
      <c r="G65" s="227" t="s">
        <v>304</v>
      </c>
      <c r="H65" s="306" t="s">
        <v>592</v>
      </c>
      <c r="I65" s="306" t="s">
        <v>592</v>
      </c>
      <c r="J65" s="305" t="s">
        <v>593</v>
      </c>
      <c r="K65" s="313" t="s">
        <v>606</v>
      </c>
      <c r="L65" s="305" t="s">
        <v>595</v>
      </c>
      <c r="M65" s="305" t="s">
        <v>596</v>
      </c>
      <c r="N65" s="306"/>
      <c r="O65" s="305" t="s">
        <v>593</v>
      </c>
      <c r="P65" s="305" t="s">
        <v>594</v>
      </c>
      <c r="Q65" s="305" t="s">
        <v>597</v>
      </c>
      <c r="R65" s="543"/>
      <c r="S65" s="308" t="s">
        <v>603</v>
      </c>
      <c r="T65" s="544" t="s">
        <v>604</v>
      </c>
      <c r="U65" s="545"/>
      <c r="W65" s="125"/>
      <c r="AQ65" s="251"/>
    </row>
    <row r="66" spans="2:51" ht="15" customHeight="1">
      <c r="B66" s="227" t="s">
        <v>223</v>
      </c>
      <c r="C66" s="127" t="e">
        <f ca="1">S62*E77</f>
        <v>#N/A</v>
      </c>
      <c r="D66" s="127" t="e">
        <f ca="1">T62*E77</f>
        <v>#N/A</v>
      </c>
      <c r="E66" s="127">
        <f>L3</f>
        <v>0</v>
      </c>
      <c r="F66" s="129" t="str">
        <f>U62</f>
        <v>μm</v>
      </c>
      <c r="G66" s="134" t="e">
        <f ca="1">SQRT(SUMSQ(C66,D66*E66))/1000</f>
        <v>#N/A</v>
      </c>
      <c r="H66" s="133" t="e">
        <f ca="1">MAX(G66:G67)</f>
        <v>#N/A</v>
      </c>
      <c r="I66" s="165">
        <f>P3</f>
        <v>0</v>
      </c>
      <c r="J66" s="126" t="e">
        <f ca="1">MAX(IF(H66&lt;0.00001,6,IF(H66&lt;0.0001,5,IF(H66&lt;0.001,4,IF(H66&lt;0.01,3,IF(H66&lt;0.1,2,IF(H66&lt;1,1,IF(H66&lt;10,0,IF(H66&lt;100,-1,-2))))))))+K67,0)</f>
        <v>#N/A</v>
      </c>
      <c r="K66" s="126" t="e">
        <f ca="1">IF(H67&lt;0.00001,6,IF(H67&lt;0.0001,5,IF(H67&lt;0.001,4,IF(H67&lt;0.01,3,IF(H67&lt;0.1,2,IF(H67&lt;1,1,IF(H67&lt;10,0,IF(H67&lt;100,-1,-2))))))))+1</f>
        <v>#N/A</v>
      </c>
      <c r="L66" s="176">
        <f>IFERROR(LEN(I66)-FIND(".",I66),0)</f>
        <v>0</v>
      </c>
      <c r="M66" s="297">
        <f>IF(Q67,IF(M67,IF(H67&lt;=10,L66,MIN(J66,L66)),J66),L66)</f>
        <v>0</v>
      </c>
      <c r="N66" s="165" t="e">
        <f ca="1">ABS((H66-ROUND(H66,M66))/H66*100)</f>
        <v>#N/A</v>
      </c>
      <c r="O66" s="176" t="str">
        <f ca="1">OFFSET(P70,MATCH(M66,O71:O80,0),0)</f>
        <v>0</v>
      </c>
      <c r="P66" s="176" t="str">
        <f ca="1">OFFSET(P70,MATCH(M66,O71:O80,0),0)</f>
        <v>0</v>
      </c>
      <c r="Q66" s="176" t="str">
        <f ca="1">OFFSET(P70,MATCH(L66,O71:O80,0),0)</f>
        <v>0</v>
      </c>
      <c r="R66" s="295" t="e">
        <f ca="1">IF(H66=G66,0,1)</f>
        <v>#N/A</v>
      </c>
      <c r="S66" s="307" t="e">
        <f ca="1">TEXT(IF(N66&gt;5,ROUNDUP(H66,M66),ROUND(H66,M66)),O66)</f>
        <v>#N/A</v>
      </c>
      <c r="T66" s="314" t="e">
        <f ca="1">ROUND(H67,K66)</f>
        <v>#N/A</v>
      </c>
      <c r="U66" s="307" t="e">
        <f ca="1">ROUNDUP(IF(G66=H66,D66,D67),3)</f>
        <v>#N/A</v>
      </c>
      <c r="W66" s="125"/>
      <c r="AQ66" s="251"/>
    </row>
    <row r="67" spans="2:51" ht="15" customHeight="1">
      <c r="B67" s="227" t="s">
        <v>306</v>
      </c>
      <c r="C67" s="128" t="e">
        <f ca="1">$Q$3</f>
        <v>#N/A</v>
      </c>
      <c r="D67" s="129" t="e">
        <f ca="1">$R$3</f>
        <v>#N/A</v>
      </c>
      <c r="E67" s="129">
        <f>L3</f>
        <v>0</v>
      </c>
      <c r="F67" s="129" t="e">
        <f ca="1">$S$3</f>
        <v>#N/A</v>
      </c>
      <c r="G67" s="134" t="e">
        <f ca="1">SQRT(SUMSQ(C67,D67*E67))/1000</f>
        <v>#N/A</v>
      </c>
      <c r="H67" s="310" t="e">
        <f ca="1">IF(G66=H66,C66,C67)</f>
        <v>#N/A</v>
      </c>
      <c r="I67" s="311" t="e">
        <f ca="1">IF(G66=H66,D66,D67)</f>
        <v>#N/A</v>
      </c>
      <c r="J67" s="305" t="s">
        <v>598</v>
      </c>
      <c r="K67" s="176">
        <f>IF(O67=TRUE,1,기본정보!$A$47)</f>
        <v>1</v>
      </c>
      <c r="L67" s="291" t="s">
        <v>599</v>
      </c>
      <c r="M67" s="176" t="b">
        <f>IF(O67=TRUE,FALSE,기본정보!$A$52)</f>
        <v>0</v>
      </c>
      <c r="N67" s="291" t="s">
        <v>600</v>
      </c>
      <c r="O67" s="176" t="b">
        <f>기본정보!$A$46=0</f>
        <v>1</v>
      </c>
      <c r="P67" s="305" t="s">
        <v>601</v>
      </c>
      <c r="Q67" s="296">
        <f>기본정보!A46</f>
        <v>0</v>
      </c>
      <c r="R67" s="293"/>
      <c r="S67" s="294"/>
      <c r="T67" s="307" t="e">
        <f ca="1">TEXT(T66,OFFSET(P70,MATCH(K66,O71:O80,0),0))</f>
        <v>#N/A</v>
      </c>
      <c r="U67" s="307" t="e">
        <f ca="1">TEXT(U66,OFFSET(P70,MATCH(3,O71:O80,0),0))</f>
        <v>#N/A</v>
      </c>
      <c r="W67" s="125"/>
      <c r="AQ67" s="251"/>
    </row>
    <row r="68" spans="2:51" ht="15" customHeight="1">
      <c r="B68" s="123"/>
      <c r="C68" s="123"/>
      <c r="D68" s="123"/>
      <c r="Q68" s="122"/>
      <c r="R68" s="122"/>
      <c r="S68" s="122"/>
      <c r="T68" s="122"/>
      <c r="U68" s="122"/>
      <c r="V68" s="125"/>
      <c r="AP68" s="251"/>
    </row>
    <row r="69" spans="2:51" ht="15" customHeight="1">
      <c r="B69" s="131" t="s">
        <v>302</v>
      </c>
      <c r="C69" s="293"/>
      <c r="D69" s="293"/>
      <c r="E69" s="293"/>
      <c r="F69" s="293"/>
      <c r="G69" s="293"/>
      <c r="H69" s="293"/>
      <c r="I69" s="192" t="s">
        <v>53</v>
      </c>
      <c r="J69" s="192" t="s">
        <v>180</v>
      </c>
      <c r="K69" s="122"/>
      <c r="L69" s="293"/>
      <c r="O69" s="223" t="s">
        <v>181</v>
      </c>
      <c r="P69" s="223" t="s">
        <v>182</v>
      </c>
      <c r="R69" s="157" t="s">
        <v>317</v>
      </c>
      <c r="S69" s="243"/>
      <c r="T69" s="157" t="s">
        <v>318</v>
      </c>
      <c r="U69" s="243"/>
      <c r="V69" s="123"/>
      <c r="W69" s="123"/>
      <c r="X69" s="123"/>
      <c r="Y69" s="123"/>
      <c r="AE69" s="125"/>
      <c r="AY69" s="251"/>
    </row>
    <row r="70" spans="2:51" ht="15" customHeight="1">
      <c r="B70" s="535" t="s">
        <v>570</v>
      </c>
      <c r="C70" s="537"/>
      <c r="D70" s="538" t="s">
        <v>572</v>
      </c>
      <c r="E70" s="299" t="s">
        <v>290</v>
      </c>
      <c r="F70" s="299" t="s">
        <v>573</v>
      </c>
      <c r="G70" s="299" t="s">
        <v>574</v>
      </c>
      <c r="H70" s="293"/>
      <c r="I70" s="192"/>
      <c r="J70" s="192">
        <v>95.45</v>
      </c>
      <c r="K70" s="122"/>
      <c r="L70" s="293"/>
      <c r="N70" s="294"/>
      <c r="O70" s="249" t="s">
        <v>188</v>
      </c>
      <c r="P70" s="249" t="s">
        <v>189</v>
      </c>
      <c r="R70" s="157" t="s">
        <v>319</v>
      </c>
      <c r="S70" s="243"/>
      <c r="T70" s="157" t="s">
        <v>320</v>
      </c>
      <c r="U70" s="243"/>
      <c r="V70" s="123"/>
      <c r="W70" s="123"/>
      <c r="X70" s="123"/>
      <c r="Y70" s="123"/>
      <c r="AE70" s="125"/>
      <c r="AY70" s="251"/>
    </row>
    <row r="71" spans="2:51" ht="15" customHeight="1">
      <c r="B71" s="298" t="s">
        <v>565</v>
      </c>
      <c r="C71" s="302" t="s">
        <v>571</v>
      </c>
      <c r="D71" s="543"/>
      <c r="E71" s="300" t="e">
        <f ca="1">Y62</f>
        <v>#N/A</v>
      </c>
      <c r="F71" s="300">
        <f ca="1">Z62</f>
        <v>0</v>
      </c>
      <c r="G71" s="284" t="e">
        <f ca="1">Z62/Y62</f>
        <v>#N/A</v>
      </c>
      <c r="H71" s="293"/>
      <c r="I71" s="176">
        <v>1</v>
      </c>
      <c r="J71" s="176">
        <v>13.97</v>
      </c>
      <c r="K71" s="122"/>
      <c r="L71" s="293"/>
      <c r="O71" s="201">
        <v>0</v>
      </c>
      <c r="P71" s="202" t="s">
        <v>197</v>
      </c>
      <c r="R71" s="157" t="s">
        <v>321</v>
      </c>
      <c r="S71" s="243"/>
      <c r="T71" s="157" t="s">
        <v>322</v>
      </c>
      <c r="U71" s="243"/>
      <c r="V71" s="123"/>
      <c r="W71" s="123"/>
      <c r="X71" s="123"/>
      <c r="Y71" s="123"/>
      <c r="AE71" s="125"/>
      <c r="AY71" s="251"/>
    </row>
    <row r="72" spans="2:51" ht="15" customHeight="1">
      <c r="B72" s="176">
        <v>1</v>
      </c>
      <c r="C72" s="196">
        <f ca="1">IFERROR(LARGE(Y54:Y61,B72),0)</f>
        <v>0</v>
      </c>
      <c r="D72" s="299" t="s">
        <v>575</v>
      </c>
      <c r="E72" s="552">
        <f ca="1">SQRT(SUMSQ(C74:C79,Z54:Z61))</f>
        <v>0</v>
      </c>
      <c r="F72" s="552"/>
      <c r="G72" s="553" t="e">
        <f ca="1">E72/SQRT(SUMSQ(E73,F73))</f>
        <v>#DIV/0!</v>
      </c>
      <c r="H72" s="293"/>
      <c r="I72" s="176">
        <v>2</v>
      </c>
      <c r="J72" s="176">
        <v>4.53</v>
      </c>
      <c r="K72" s="122"/>
      <c r="L72" s="293"/>
      <c r="O72" s="201">
        <v>1</v>
      </c>
      <c r="P72" s="202" t="s">
        <v>284</v>
      </c>
      <c r="Q72" s="122"/>
      <c r="V72" s="123"/>
      <c r="W72" s="123"/>
      <c r="X72" s="123"/>
      <c r="Y72" s="123"/>
      <c r="AE72" s="125"/>
      <c r="AY72" s="251"/>
    </row>
    <row r="73" spans="2:51" ht="15" customHeight="1">
      <c r="B73" s="176">
        <v>2</v>
      </c>
      <c r="C73" s="196">
        <f ca="1">IFERROR(LARGE(Y54:Y61,B73),0)</f>
        <v>0</v>
      </c>
      <c r="D73" s="299" t="s">
        <v>576</v>
      </c>
      <c r="E73" s="288">
        <f ca="1">C72</f>
        <v>0</v>
      </c>
      <c r="F73" s="288">
        <f ca="1">C73</f>
        <v>0</v>
      </c>
      <c r="G73" s="554"/>
      <c r="H73" s="293"/>
      <c r="I73" s="176">
        <v>3</v>
      </c>
      <c r="J73" s="176">
        <v>3.31</v>
      </c>
      <c r="K73" s="122"/>
      <c r="L73" s="293"/>
      <c r="O73" s="201">
        <v>2</v>
      </c>
      <c r="P73" s="202" t="s">
        <v>206</v>
      </c>
      <c r="Q73" s="122"/>
      <c r="V73" s="123"/>
      <c r="W73" s="123"/>
      <c r="X73" s="123"/>
      <c r="Y73" s="123"/>
      <c r="AE73" s="125"/>
      <c r="AY73" s="251"/>
    </row>
    <row r="74" spans="2:51" ht="15" customHeight="1">
      <c r="B74" s="176">
        <v>3</v>
      </c>
      <c r="C74" s="199">
        <f ca="1">IFERROR(LARGE(Y54:Y61,B74),0)</f>
        <v>0</v>
      </c>
      <c r="D74" s="522" t="s">
        <v>577</v>
      </c>
      <c r="E74" s="175" t="s">
        <v>305</v>
      </c>
      <c r="F74" s="175" t="s">
        <v>578</v>
      </c>
      <c r="G74" s="175" t="s">
        <v>579</v>
      </c>
      <c r="H74" s="293"/>
      <c r="I74" s="176">
        <v>4</v>
      </c>
      <c r="J74" s="176">
        <v>2.87</v>
      </c>
      <c r="K74" s="122"/>
      <c r="L74" s="293"/>
      <c r="O74" s="201">
        <v>3</v>
      </c>
      <c r="P74" s="202" t="s">
        <v>292</v>
      </c>
      <c r="Q74" s="122"/>
      <c r="V74" s="123"/>
      <c r="W74" s="123"/>
      <c r="X74" s="123"/>
      <c r="Y74" s="123"/>
      <c r="AE74" s="125"/>
      <c r="AY74" s="251"/>
    </row>
    <row r="75" spans="2:51" ht="15" customHeight="1">
      <c r="B75" s="176">
        <v>4</v>
      </c>
      <c r="C75" s="199">
        <f ca="1">IFERROR(LARGE(Y54:Y61,B75),0)</f>
        <v>0</v>
      </c>
      <c r="D75" s="522"/>
      <c r="E75" s="176">
        <f ca="1">OFFSET(H53,MATCH(E73,Y54:Y61,0),0)/IF(OFFSET(I53,MATCH(E73,Y54:Y61,0),0)="",1,OFFSET(I53,MATCH(E73,Y54:Y61,0),0))</f>
        <v>9.9999999999999995E-7</v>
      </c>
      <c r="F75" s="176">
        <f ca="1">OFFSET(H53,MATCH(F73,Y54:Y61,0),0)/IF(OFFSET(I53,MATCH(F73,Y54:Y61,0),0)="",1,OFFSET(I53,MATCH(F73,Y54:Y61,0),0))</f>
        <v>9.9999999999999995E-7</v>
      </c>
      <c r="G75" s="281">
        <f ca="1">ABS(E75-F75)/(E75+F75)</f>
        <v>0</v>
      </c>
      <c r="H75" s="293"/>
      <c r="I75" s="176">
        <v>5</v>
      </c>
      <c r="J75" s="176">
        <v>2.65</v>
      </c>
      <c r="K75" s="122"/>
      <c r="L75" s="293"/>
      <c r="O75" s="201">
        <v>4</v>
      </c>
      <c r="P75" s="202" t="s">
        <v>293</v>
      </c>
      <c r="Q75" s="122"/>
      <c r="V75" s="123"/>
      <c r="W75" s="123"/>
      <c r="X75" s="123"/>
      <c r="Y75" s="123"/>
      <c r="AE75" s="125"/>
      <c r="AY75" s="251"/>
    </row>
    <row r="76" spans="2:51" ht="15" customHeight="1">
      <c r="B76" s="176">
        <v>5</v>
      </c>
      <c r="C76" s="199">
        <f ca="1">IFERROR(LARGE(Y54:Y61,B76),0)</f>
        <v>0</v>
      </c>
      <c r="D76" s="299" t="s">
        <v>359</v>
      </c>
      <c r="E76" s="164" t="e">
        <f ca="1">IF(AND(G71&lt;0.3,G72&lt;0.3),"사다리꼴","정규")</f>
        <v>#N/A</v>
      </c>
      <c r="F76" s="294"/>
      <c r="G76" s="294"/>
      <c r="H76" s="293"/>
      <c r="I76" s="176">
        <v>6</v>
      </c>
      <c r="J76" s="176">
        <v>2.52</v>
      </c>
      <c r="K76" s="122"/>
      <c r="L76" s="293"/>
      <c r="O76" s="201">
        <v>5</v>
      </c>
      <c r="P76" s="202" t="s">
        <v>217</v>
      </c>
      <c r="Q76" s="122"/>
      <c r="V76" s="123"/>
      <c r="W76" s="123"/>
      <c r="X76" s="123"/>
      <c r="Y76" s="123"/>
      <c r="AE76" s="125"/>
      <c r="AY76" s="251"/>
    </row>
    <row r="77" spans="2:51" ht="15" customHeight="1">
      <c r="B77" s="176">
        <v>6</v>
      </c>
      <c r="C77" s="199">
        <f ca="1">IFERROR(LARGE(Y54:Y61,B77),0)</f>
        <v>0</v>
      </c>
      <c r="D77" s="299" t="s">
        <v>281</v>
      </c>
      <c r="E77" s="176" t="e">
        <f ca="1">IF(E76="정규",IF(OR(V62="∞",V62&gt;=10),2,OFFSET(J70,MATCH(V62,I71:I80,0),0)),ROUND((1-SQRT((1-0.95)*(1-G75^2)))/SQRT((1+G75^2)/6),2))</f>
        <v>#N/A</v>
      </c>
      <c r="F77" s="294"/>
      <c r="G77" s="294"/>
      <c r="H77" s="293"/>
      <c r="I77" s="176">
        <v>7</v>
      </c>
      <c r="J77" s="176">
        <v>2.4300000000000002</v>
      </c>
      <c r="K77" s="122"/>
      <c r="L77" s="293"/>
      <c r="O77" s="201">
        <v>6</v>
      </c>
      <c r="P77" s="202" t="s">
        <v>295</v>
      </c>
      <c r="Q77" s="122"/>
      <c r="V77" s="123"/>
      <c r="W77" s="123"/>
      <c r="X77" s="123"/>
      <c r="Y77" s="123"/>
      <c r="AE77" s="125"/>
      <c r="AY77" s="251"/>
    </row>
    <row r="78" spans="2:51" ht="15" customHeight="1">
      <c r="B78" s="176">
        <v>7</v>
      </c>
      <c r="C78" s="199">
        <f ca="1">IFERROR(LARGE(Y54:Y61,B78),0)</f>
        <v>0</v>
      </c>
      <c r="D78" s="293"/>
      <c r="E78" s="293"/>
      <c r="F78" s="293"/>
      <c r="G78" s="293"/>
      <c r="H78" s="293"/>
      <c r="I78" s="176">
        <v>8</v>
      </c>
      <c r="J78" s="176">
        <v>2.37</v>
      </c>
      <c r="K78" s="122"/>
      <c r="L78" s="293"/>
      <c r="O78" s="201">
        <v>7</v>
      </c>
      <c r="P78" s="202" t="s">
        <v>298</v>
      </c>
      <c r="Q78" s="122"/>
      <c r="V78" s="123"/>
      <c r="W78" s="123"/>
      <c r="X78" s="123"/>
      <c r="Y78" s="123"/>
      <c r="AE78" s="125"/>
      <c r="AY78" s="251"/>
    </row>
    <row r="79" spans="2:51" ht="15" customHeight="1">
      <c r="B79" s="176">
        <v>8</v>
      </c>
      <c r="C79" s="199">
        <f ca="1">IFERROR(LARGE(Y54:Y61,B79),0)</f>
        <v>0</v>
      </c>
      <c r="D79" s="293"/>
      <c r="E79" s="293"/>
      <c r="F79" s="293"/>
      <c r="G79" s="293"/>
      <c r="H79" s="293"/>
      <c r="I79" s="176">
        <v>9</v>
      </c>
      <c r="J79" s="176">
        <v>2.3199999999999998</v>
      </c>
      <c r="K79" s="122"/>
      <c r="L79" s="293"/>
      <c r="O79" s="201">
        <v>8</v>
      </c>
      <c r="P79" s="202" t="s">
        <v>300</v>
      </c>
      <c r="V79" s="123"/>
      <c r="W79" s="123"/>
      <c r="X79" s="123"/>
      <c r="Y79" s="123"/>
      <c r="AE79" s="125"/>
      <c r="AY79" s="251"/>
    </row>
    <row r="80" spans="2:51" ht="15" customHeight="1">
      <c r="B80" s="293"/>
      <c r="C80" s="293"/>
      <c r="D80" s="293"/>
      <c r="E80" s="293"/>
      <c r="F80" s="293"/>
      <c r="G80" s="293"/>
      <c r="H80" s="293"/>
      <c r="I80" s="176" t="s">
        <v>54</v>
      </c>
      <c r="J80" s="176">
        <v>2</v>
      </c>
      <c r="K80" s="122"/>
      <c r="L80" s="293"/>
      <c r="O80" s="201">
        <v>9</v>
      </c>
      <c r="P80" s="202" t="s">
        <v>301</v>
      </c>
      <c r="V80" s="123"/>
      <c r="W80" s="123"/>
      <c r="X80" s="123"/>
      <c r="Y80" s="123"/>
      <c r="AE80" s="125"/>
      <c r="AY80" s="251"/>
    </row>
    <row r="81" spans="2:54" ht="15" customHeight="1">
      <c r="B81" s="293"/>
      <c r="C81" s="293"/>
      <c r="D81" s="293"/>
      <c r="E81" s="293"/>
      <c r="F81" s="293"/>
      <c r="G81" s="293"/>
      <c r="H81" s="293"/>
      <c r="I81" s="124"/>
      <c r="J81" s="124"/>
      <c r="K81" s="124"/>
      <c r="V81" s="123"/>
      <c r="W81" s="123"/>
      <c r="X81" s="123"/>
      <c r="Y81" s="123"/>
      <c r="Z81" s="123"/>
      <c r="AA81" s="123"/>
      <c r="AB81" s="123"/>
      <c r="AH81" s="125"/>
      <c r="BB81" s="251"/>
    </row>
    <row r="82" spans="2:54" ht="15" customHeight="1">
      <c r="B82" s="155" t="s">
        <v>307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AA82" s="125"/>
      <c r="AU82" s="251"/>
    </row>
    <row r="83" spans="2:54" ht="15" customHeight="1">
      <c r="B83" s="156"/>
      <c r="C83" s="117" t="s">
        <v>607</v>
      </c>
      <c r="D83" s="523" t="s">
        <v>608</v>
      </c>
      <c r="E83" s="524"/>
      <c r="F83" s="117" t="s">
        <v>225</v>
      </c>
      <c r="G83" s="117" t="s">
        <v>226</v>
      </c>
      <c r="H83" s="156"/>
      <c r="I83" s="117" t="s">
        <v>308</v>
      </c>
      <c r="J83" s="117" t="s">
        <v>225</v>
      </c>
      <c r="K83" s="315" t="s">
        <v>611</v>
      </c>
      <c r="L83" s="315" t="s">
        <v>609</v>
      </c>
      <c r="M83" s="315" t="s">
        <v>610</v>
      </c>
      <c r="N83" s="166" t="s">
        <v>309</v>
      </c>
      <c r="O83" s="117" t="s">
        <v>225</v>
      </c>
      <c r="P83" s="166" t="s">
        <v>226</v>
      </c>
      <c r="Q83" s="117" t="s">
        <v>310</v>
      </c>
      <c r="R83" s="117" t="s">
        <v>311</v>
      </c>
      <c r="V83" s="123"/>
      <c r="AB83" s="125"/>
      <c r="AV83" s="251"/>
    </row>
    <row r="84" spans="2:54" ht="15" customHeight="1">
      <c r="B84" s="156"/>
      <c r="C84" s="166" t="s">
        <v>313</v>
      </c>
      <c r="D84" s="157">
        <v>1000</v>
      </c>
      <c r="E84" s="158" t="s">
        <v>312</v>
      </c>
      <c r="F84" s="167">
        <v>30700</v>
      </c>
      <c r="G84" s="205" t="s">
        <v>227</v>
      </c>
      <c r="H84" s="156"/>
      <c r="I84" s="117" t="str">
        <f>IF(P3&lt;0.01,"측정기","게이지")</f>
        <v>측정기</v>
      </c>
      <c r="J84" s="171">
        <f ca="1">OFFSET(F83,MATCH(I84,C84:C90,0),0)</f>
        <v>121400</v>
      </c>
      <c r="K84" s="315">
        <f>L3</f>
        <v>0</v>
      </c>
      <c r="L84" s="117">
        <f ca="1">MAX(K84-OFFSET(D83,MATCH(I84,C84:C90,0),0),0)</f>
        <v>0</v>
      </c>
      <c r="M84" s="117">
        <f ca="1">ROUNDDOWN(L84/G85,0)</f>
        <v>0</v>
      </c>
      <c r="N84" s="117" t="b">
        <f>I3="inch"</f>
        <v>0</v>
      </c>
      <c r="O84" s="167">
        <f ca="1">J84*IF(N84=TRUE,1.8,1)</f>
        <v>121400</v>
      </c>
      <c r="P84" s="169">
        <f ca="1">O84*(M84*G87)</f>
        <v>0</v>
      </c>
      <c r="Q84" s="170">
        <f ca="1">SUM(O84:P84)</f>
        <v>121400</v>
      </c>
      <c r="R84" s="525">
        <f ca="1">SUM(Q84:Q86)</f>
        <v>121400</v>
      </c>
      <c r="V84" s="123"/>
      <c r="AB84" s="125"/>
      <c r="AV84" s="251"/>
    </row>
    <row r="85" spans="2:54" ht="15" customHeight="1">
      <c r="B85" s="156"/>
      <c r="C85" s="166" t="s">
        <v>314</v>
      </c>
      <c r="D85" s="157">
        <v>300</v>
      </c>
      <c r="E85" s="158" t="s">
        <v>312</v>
      </c>
      <c r="F85" s="167">
        <v>121400</v>
      </c>
      <c r="G85" s="206">
        <v>100</v>
      </c>
      <c r="H85" s="156"/>
      <c r="I85" s="117"/>
      <c r="J85" s="168"/>
      <c r="K85" s="315"/>
      <c r="L85" s="117"/>
      <c r="M85" s="117"/>
      <c r="N85" s="117"/>
      <c r="O85" s="167"/>
      <c r="P85" s="169"/>
      <c r="Q85" s="170"/>
      <c r="R85" s="526"/>
      <c r="V85" s="123"/>
      <c r="AB85" s="125"/>
      <c r="AV85" s="251"/>
    </row>
    <row r="86" spans="2:54" ht="15" customHeight="1">
      <c r="B86" s="156"/>
      <c r="C86" s="166"/>
      <c r="D86" s="157"/>
      <c r="E86" s="158"/>
      <c r="F86" s="167"/>
      <c r="G86" s="207" t="s">
        <v>315</v>
      </c>
      <c r="H86" s="156"/>
      <c r="I86" s="117"/>
      <c r="J86" s="117"/>
      <c r="K86" s="315"/>
      <c r="L86" s="117"/>
      <c r="M86" s="117"/>
      <c r="N86" s="117"/>
      <c r="O86" s="167"/>
      <c r="P86" s="171"/>
      <c r="Q86" s="170"/>
      <c r="R86" s="527"/>
      <c r="V86" s="123"/>
      <c r="AV86" s="251"/>
    </row>
    <row r="87" spans="2:54" ht="15" customHeight="1">
      <c r="B87" s="156"/>
      <c r="C87" s="166"/>
      <c r="D87" s="157"/>
      <c r="E87" s="158"/>
      <c r="F87" s="167"/>
      <c r="G87" s="208">
        <v>0.2</v>
      </c>
      <c r="H87" s="156"/>
      <c r="I87" s="156"/>
      <c r="J87" s="156"/>
      <c r="K87" s="156"/>
      <c r="L87" s="156"/>
      <c r="M87" s="156"/>
      <c r="N87" s="156"/>
      <c r="O87" s="159"/>
      <c r="P87" s="156"/>
      <c r="Q87" s="156"/>
      <c r="R87" s="156"/>
      <c r="AU87" s="251"/>
    </row>
    <row r="88" spans="2:54" ht="15" customHeight="1">
      <c r="B88" s="156"/>
      <c r="C88" s="166"/>
      <c r="D88" s="157"/>
      <c r="E88" s="158"/>
      <c r="F88" s="167"/>
      <c r="G88" s="209" t="s">
        <v>227</v>
      </c>
      <c r="H88" s="156"/>
      <c r="I88" s="160" t="s">
        <v>316</v>
      </c>
      <c r="J88" s="156"/>
      <c r="K88" s="156"/>
      <c r="L88" s="156"/>
      <c r="M88" s="156"/>
      <c r="N88" s="156"/>
      <c r="O88" s="156"/>
      <c r="P88" s="156"/>
      <c r="Q88" s="156"/>
      <c r="R88" s="156"/>
      <c r="AU88" s="251"/>
    </row>
    <row r="89" spans="2:54" ht="15" customHeight="1">
      <c r="B89" s="156"/>
      <c r="C89" s="166"/>
      <c r="D89" s="157"/>
      <c r="E89" s="158"/>
      <c r="F89" s="167"/>
      <c r="G89" s="207"/>
      <c r="H89" s="156"/>
      <c r="I89" s="161"/>
      <c r="M89" s="156"/>
      <c r="N89" s="156"/>
      <c r="O89" s="156"/>
      <c r="P89" s="156"/>
      <c r="Q89" s="156"/>
      <c r="R89" s="156"/>
      <c r="AU89" s="251"/>
    </row>
    <row r="90" spans="2:54" ht="15" customHeight="1">
      <c r="B90" s="156"/>
      <c r="C90" s="117"/>
      <c r="D90" s="157"/>
      <c r="E90" s="162"/>
      <c r="F90" s="117"/>
      <c r="G90" s="256"/>
      <c r="H90" s="156"/>
      <c r="I90" s="161"/>
      <c r="M90" s="156"/>
      <c r="N90" s="156"/>
      <c r="O90" s="156"/>
      <c r="P90" s="156"/>
      <c r="Q90" s="156"/>
      <c r="R90" s="156"/>
      <c r="AU90" s="251"/>
    </row>
    <row r="91" spans="2:54" ht="15" customHeight="1">
      <c r="AU91" s="251"/>
    </row>
    <row r="92" spans="2:54" ht="15" customHeight="1">
      <c r="AU92" s="251"/>
    </row>
    <row r="93" spans="2:54" ht="15" customHeight="1">
      <c r="AU93" s="251"/>
    </row>
    <row r="94" spans="2:54" ht="15" customHeight="1">
      <c r="I94" s="121"/>
      <c r="J94" s="122"/>
      <c r="AU94" s="251"/>
    </row>
    <row r="95" spans="2:54" ht="18" customHeight="1">
      <c r="AU95" s="251"/>
    </row>
    <row r="96" spans="2:54" ht="18" customHeight="1">
      <c r="AU96" s="251"/>
    </row>
    <row r="97" spans="2:47" ht="18" customHeight="1">
      <c r="AU97" s="251"/>
    </row>
    <row r="98" spans="2:47" ht="18" customHeight="1">
      <c r="AU98" s="251"/>
    </row>
    <row r="99" spans="2:47" ht="18" customHeight="1">
      <c r="AU99" s="251"/>
    </row>
    <row r="100" spans="2:47" ht="18" customHeight="1">
      <c r="AU100" s="251"/>
    </row>
    <row r="101" spans="2:47" ht="18" customHeight="1">
      <c r="AU101" s="251"/>
    </row>
    <row r="102" spans="2:47" ht="18" customHeight="1">
      <c r="AU102" s="251"/>
    </row>
    <row r="103" spans="2:47" ht="18" customHeight="1">
      <c r="AU103" s="251"/>
    </row>
    <row r="104" spans="2:47" ht="18" customHeight="1">
      <c r="B104" s="71"/>
      <c r="C104" s="71"/>
      <c r="D104" s="71"/>
      <c r="E104" s="71"/>
      <c r="F104" s="71"/>
      <c r="G104" s="71"/>
      <c r="H104" s="71"/>
      <c r="M104" s="71"/>
      <c r="N104" s="71"/>
      <c r="O104" s="71"/>
      <c r="P104" s="156"/>
      <c r="Q104" s="156"/>
      <c r="R104" s="156"/>
      <c r="AU104" s="251"/>
    </row>
    <row r="105" spans="2:47" ht="18" customHeight="1">
      <c r="B105" s="123"/>
      <c r="C105" s="123"/>
      <c r="D105" s="123"/>
      <c r="I105" s="161"/>
      <c r="J105" s="156"/>
      <c r="K105" s="156"/>
      <c r="L105" s="156"/>
      <c r="P105" s="122"/>
      <c r="Q105" s="122"/>
      <c r="R105" s="122"/>
      <c r="AU105" s="251"/>
    </row>
    <row r="106" spans="2:47" ht="18" customHeight="1">
      <c r="B106" s="123"/>
      <c r="C106" s="123"/>
      <c r="D106" s="123"/>
      <c r="I106" s="161"/>
      <c r="J106" s="156"/>
      <c r="K106" s="156"/>
      <c r="L106" s="156"/>
      <c r="P106" s="122"/>
      <c r="Q106" s="122"/>
      <c r="R106" s="122"/>
      <c r="Z106" s="123"/>
      <c r="AA106" s="123"/>
      <c r="AB106" s="123"/>
      <c r="AC106" s="123"/>
    </row>
    <row r="107" spans="2:47" ht="18" customHeight="1">
      <c r="B107" s="123"/>
      <c r="C107" s="123"/>
      <c r="D107" s="123"/>
      <c r="J107" s="71"/>
      <c r="K107" s="71"/>
      <c r="L107" s="71"/>
      <c r="P107" s="122"/>
      <c r="Q107" s="122"/>
      <c r="R107" s="122"/>
      <c r="Z107" s="123"/>
      <c r="AA107" s="123"/>
      <c r="AB107" s="123"/>
      <c r="AC107" s="123"/>
    </row>
    <row r="108" spans="2:47" ht="18" customHeight="1">
      <c r="B108" s="123"/>
      <c r="C108" s="123"/>
      <c r="D108" s="123"/>
      <c r="I108" s="161"/>
      <c r="J108" s="125"/>
      <c r="K108" s="125"/>
      <c r="P108" s="122"/>
      <c r="Q108" s="122"/>
      <c r="R108" s="122"/>
      <c r="Z108" s="123"/>
      <c r="AA108" s="123"/>
      <c r="AB108" s="123"/>
      <c r="AC108" s="123"/>
    </row>
    <row r="109" spans="2:47" ht="18" customHeight="1">
      <c r="B109" s="123"/>
      <c r="C109" s="123"/>
      <c r="D109" s="123"/>
      <c r="I109" s="161"/>
      <c r="J109" s="125"/>
      <c r="K109" s="125"/>
      <c r="P109" s="122"/>
      <c r="Q109" s="122"/>
      <c r="R109" s="122"/>
      <c r="V109" s="123"/>
      <c r="W109" s="123"/>
      <c r="X109" s="123"/>
      <c r="Y109" s="123"/>
      <c r="Z109" s="123"/>
      <c r="AA109" s="123"/>
      <c r="AB109" s="123"/>
      <c r="AC109" s="123"/>
    </row>
    <row r="110" spans="2:47" ht="18" customHeight="1">
      <c r="B110" s="123"/>
      <c r="C110" s="123"/>
      <c r="D110" s="123"/>
      <c r="J110" s="125"/>
      <c r="K110" s="125"/>
      <c r="P110" s="122"/>
      <c r="Q110" s="122"/>
      <c r="R110" s="122"/>
      <c r="V110" s="123"/>
      <c r="W110" s="123"/>
      <c r="X110" s="123"/>
      <c r="Y110" s="123"/>
      <c r="Z110" s="123"/>
      <c r="AA110" s="123"/>
      <c r="AB110" s="123"/>
      <c r="AC110" s="123"/>
    </row>
    <row r="111" spans="2:47" ht="18" customHeight="1">
      <c r="B111" s="123"/>
      <c r="C111" s="123"/>
      <c r="D111" s="123"/>
      <c r="P111" s="122"/>
      <c r="Q111" s="122"/>
      <c r="R111" s="122"/>
    </row>
  </sheetData>
  <mergeCells count="42">
    <mergeCell ref="Y6:Z6"/>
    <mergeCell ref="K6:K7"/>
    <mergeCell ref="E72:F72"/>
    <mergeCell ref="G72:G73"/>
    <mergeCell ref="C64:G64"/>
    <mergeCell ref="O53:P53"/>
    <mergeCell ref="G52:M52"/>
    <mergeCell ref="O52:R52"/>
    <mergeCell ref="O64:Q64"/>
    <mergeCell ref="C52:C53"/>
    <mergeCell ref="D52:D53"/>
    <mergeCell ref="E52:E53"/>
    <mergeCell ref="J64:M64"/>
    <mergeCell ref="Y52:Z52"/>
    <mergeCell ref="R64:R65"/>
    <mergeCell ref="D70:D71"/>
    <mergeCell ref="B70:C70"/>
    <mergeCell ref="B52:B53"/>
    <mergeCell ref="V6:W6"/>
    <mergeCell ref="S64:U64"/>
    <mergeCell ref="T65:U65"/>
    <mergeCell ref="W52:W53"/>
    <mergeCell ref="S52:U52"/>
    <mergeCell ref="B6:B8"/>
    <mergeCell ref="C6:C8"/>
    <mergeCell ref="E6:J6"/>
    <mergeCell ref="AY7:AZ7"/>
    <mergeCell ref="D83:E83"/>
    <mergeCell ref="R84:R86"/>
    <mergeCell ref="K53:M53"/>
    <mergeCell ref="S53:U53"/>
    <mergeCell ref="D6:D8"/>
    <mergeCell ref="AH7:AH8"/>
    <mergeCell ref="AI7:AM7"/>
    <mergeCell ref="AN7:AR7"/>
    <mergeCell ref="AX7:AX8"/>
    <mergeCell ref="X52:X53"/>
    <mergeCell ref="Q53:R53"/>
    <mergeCell ref="N6:P6"/>
    <mergeCell ref="AA6:AF6"/>
    <mergeCell ref="F52:F53"/>
    <mergeCell ref="D74:D7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2021-09-29T04:20:41Z</cp:lastPrinted>
  <dcterms:created xsi:type="dcterms:W3CDTF">2004-11-10T00:11:43Z</dcterms:created>
  <dcterms:modified xsi:type="dcterms:W3CDTF">2021-09-29T05:51:03Z</dcterms:modified>
</cp:coreProperties>
</file>