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1" sheetId="14" r:id="rId11"/>
  </sheets>
  <definedNames>
    <definedName name="_xlnm._FilterDatabase" localSheetId="0" hidden="1">기본정보!#REF!</definedName>
    <definedName name="B_Tag" localSheetId="2">'교정결과-E'!$F$44:$H$44</definedName>
    <definedName name="B_Tag" localSheetId="3">'교정결과-HY'!$B$60:$Q$60</definedName>
    <definedName name="B_Tag">교정결과!$F$43:$H$43</definedName>
    <definedName name="B_Tag_2" localSheetId="4">판정결과!$D$32:$I$32</definedName>
    <definedName name="B_Tag_3" localSheetId="5">부록!$B$11:$K$11</definedName>
    <definedName name="Length_1_CMC">Length_1!$H$4:$J$44</definedName>
    <definedName name="Length_1_Condition">Length_1!$A$4:$D$44</definedName>
    <definedName name="Length_1_Condition_Temp">Length_1!$E$4:$G$44</definedName>
    <definedName name="Length_1_Resolution">Length_1!$K$4:$N$44</definedName>
    <definedName name="Length_1_Result">Length_1!$R$4:$V$44</definedName>
    <definedName name="Length_1_Spec">Length_1!$O$4:$Q$44</definedName>
    <definedName name="Length_1_STD1">Length_1!$A$48</definedName>
    <definedName name="Length_1_STD2">Length_1!$A$92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H91" i="21" l="1"/>
  <c r="L91" i="21"/>
  <c r="T57" i="21" l="1"/>
  <c r="T56" i="21"/>
  <c r="T55" i="21"/>
  <c r="E3" i="21" l="1"/>
  <c r="D3" i="21"/>
  <c r="O71" i="21" l="1"/>
  <c r="M71" i="21" s="1"/>
  <c r="K71" i="21" l="1"/>
  <c r="H60" i="21"/>
  <c r="G60" i="21"/>
  <c r="A4" i="31" l="1"/>
  <c r="F9" i="31"/>
  <c r="F8" i="31"/>
  <c r="F7" i="31"/>
  <c r="F6" i="31"/>
  <c r="V56" i="21" l="1"/>
  <c r="V61" i="21"/>
  <c r="V62" i="21"/>
  <c r="V63" i="21"/>
  <c r="V64" i="21"/>
  <c r="V65" i="21"/>
  <c r="G63" i="21" l="1"/>
  <c r="G61" i="21"/>
  <c r="J61" i="21" s="1"/>
  <c r="J63" i="21" l="1"/>
  <c r="M64" i="21"/>
  <c r="O255" i="23" l="1"/>
  <c r="O256" i="23" s="1"/>
  <c r="T256" i="23" s="1"/>
  <c r="O261" i="23" s="1"/>
  <c r="N241" i="23"/>
  <c r="S241" i="23" s="1"/>
  <c r="S246" i="23" s="1"/>
  <c r="O166" i="23"/>
  <c r="J164" i="23" s="1"/>
  <c r="AM90" i="23"/>
  <c r="M90" i="23"/>
  <c r="AP89" i="23"/>
  <c r="AC278" i="23" s="1"/>
  <c r="AM89" i="23"/>
  <c r="AA89" i="23"/>
  <c r="N259" i="23" s="1"/>
  <c r="L261" i="23" s="1"/>
  <c r="V89" i="23"/>
  <c r="I258" i="23" s="1"/>
  <c r="S89" i="23"/>
  <c r="M89" i="23"/>
  <c r="N254" i="23" s="1"/>
  <c r="H89" i="23"/>
  <c r="I254" i="23" s="1"/>
  <c r="AP88" i="23"/>
  <c r="X278" i="23" s="1"/>
  <c r="AM88" i="23"/>
  <c r="AE88" i="23"/>
  <c r="V88" i="23"/>
  <c r="I243" i="23" s="1"/>
  <c r="S88" i="23"/>
  <c r="M88" i="23"/>
  <c r="N240" i="23" s="1"/>
  <c r="AP87" i="23"/>
  <c r="S278" i="23" s="1"/>
  <c r="AM87" i="23"/>
  <c r="AE87" i="23"/>
  <c r="V87" i="23"/>
  <c r="I227" i="23" s="1"/>
  <c r="S87" i="23"/>
  <c r="O87" i="23"/>
  <c r="M87" i="23"/>
  <c r="AP86" i="23"/>
  <c r="N278" i="23" s="1"/>
  <c r="AM86" i="23"/>
  <c r="AE86" i="23"/>
  <c r="V86" i="23"/>
  <c r="I213" i="23" s="1"/>
  <c r="S86" i="23"/>
  <c r="M86" i="23"/>
  <c r="N210" i="23" s="1"/>
  <c r="AP85" i="23"/>
  <c r="AG276" i="23" s="1"/>
  <c r="AM85" i="23"/>
  <c r="AE85" i="23"/>
  <c r="V85" i="23"/>
  <c r="I197" i="23" s="1"/>
  <c r="S85" i="23"/>
  <c r="O85" i="23"/>
  <c r="M85" i="23"/>
  <c r="AP84" i="23"/>
  <c r="AA84" i="23"/>
  <c r="O182" i="23" s="1"/>
  <c r="L184" i="23" s="1"/>
  <c r="V84" i="23"/>
  <c r="I181" i="23" s="1"/>
  <c r="S84" i="23"/>
  <c r="M84" i="23"/>
  <c r="N175" i="23" s="1"/>
  <c r="H84" i="23"/>
  <c r="I175" i="23" s="1"/>
  <c r="AP83" i="23"/>
  <c r="AA83" i="23"/>
  <c r="O169" i="23" s="1"/>
  <c r="L171" i="23" s="1"/>
  <c r="V83" i="23"/>
  <c r="I168" i="23" s="1"/>
  <c r="S83" i="23"/>
  <c r="M83" i="23"/>
  <c r="N163" i="23" s="1"/>
  <c r="H83" i="23"/>
  <c r="I163" i="23" s="1"/>
  <c r="AP82" i="23"/>
  <c r="AA82" i="23"/>
  <c r="O157" i="23" s="1"/>
  <c r="L159" i="23" s="1"/>
  <c r="V82" i="23"/>
  <c r="I156" i="23" s="1"/>
  <c r="S82" i="23"/>
  <c r="M82" i="23"/>
  <c r="N148" i="23" s="1"/>
  <c r="H82" i="23"/>
  <c r="I148" i="23" s="1"/>
  <c r="AP81" i="23"/>
  <c r="AB276" i="23" s="1"/>
  <c r="AM81" i="23"/>
  <c r="AA81" i="23"/>
  <c r="N142" i="23" s="1"/>
  <c r="L144" i="23" s="1"/>
  <c r="V144" i="23" s="1"/>
  <c r="V81" i="23"/>
  <c r="I141" i="23" s="1"/>
  <c r="S81" i="23"/>
  <c r="M81" i="23"/>
  <c r="N138" i="23" s="1"/>
  <c r="AP80" i="23"/>
  <c r="W276" i="23" s="1"/>
  <c r="AM80" i="23"/>
  <c r="AA80" i="23"/>
  <c r="N131" i="23" s="1"/>
  <c r="L133" i="23" s="1"/>
  <c r="V80" i="23"/>
  <c r="I130" i="23" s="1"/>
  <c r="S80" i="23"/>
  <c r="M80" i="23"/>
  <c r="N126" i="23" s="1"/>
  <c r="AP79" i="23"/>
  <c r="R276" i="23" s="1"/>
  <c r="AM79" i="23"/>
  <c r="AA79" i="23"/>
  <c r="N118" i="23" s="1"/>
  <c r="L120" i="23" s="1"/>
  <c r="V79" i="23"/>
  <c r="I117" i="23" s="1"/>
  <c r="S79" i="23"/>
  <c r="M79" i="23"/>
  <c r="N111" i="23" s="1"/>
  <c r="AP78" i="23"/>
  <c r="M276" i="23" s="1"/>
  <c r="AM78" i="23"/>
  <c r="AA78" i="23"/>
  <c r="N104" i="23" s="1"/>
  <c r="L106" i="23" s="1"/>
  <c r="V78" i="23"/>
  <c r="I103" i="23" s="1"/>
  <c r="S78" i="23"/>
  <c r="R106" i="23" s="1"/>
  <c r="Y106" i="23" s="1"/>
  <c r="M78" i="23"/>
  <c r="N96" i="23" s="1"/>
  <c r="Y261" i="23"/>
  <c r="W256" i="23"/>
  <c r="R261" i="23" s="1"/>
  <c r="B237" i="23"/>
  <c r="C221" i="23"/>
  <c r="B220" i="23"/>
  <c r="B207" i="23"/>
  <c r="C188" i="23"/>
  <c r="B187" i="23"/>
  <c r="R184" i="23"/>
  <c r="Y184" i="23" s="1"/>
  <c r="R171" i="23"/>
  <c r="Y171" i="23" s="1"/>
  <c r="R159" i="23"/>
  <c r="Y159" i="23" s="1"/>
  <c r="Y144" i="23"/>
  <c r="R144" i="23"/>
  <c r="AJ140" i="23"/>
  <c r="O144" i="23" s="1"/>
  <c r="AB128" i="23"/>
  <c r="R133" i="23" s="1"/>
  <c r="Y133" i="23" s="1"/>
  <c r="V128" i="23"/>
  <c r="C124" i="23"/>
  <c r="B123" i="23"/>
  <c r="R120" i="23"/>
  <c r="Y120" i="23" s="1"/>
  <c r="C110" i="23"/>
  <c r="B109" i="23"/>
  <c r="Z101" i="23"/>
  <c r="T101" i="23"/>
  <c r="Z98" i="23"/>
  <c r="T98" i="23"/>
  <c r="B93" i="23"/>
  <c r="G64" i="23"/>
  <c r="G63" i="23"/>
  <c r="G62" i="23"/>
  <c r="G61" i="23"/>
  <c r="G59" i="23"/>
  <c r="G58" i="23"/>
  <c r="G57" i="23"/>
  <c r="G56" i="23"/>
  <c r="Q10" i="23"/>
  <c r="V10" i="23" s="1"/>
  <c r="AA10" i="23" s="1"/>
  <c r="L10" i="23"/>
  <c r="G10" i="23"/>
  <c r="G8" i="23"/>
  <c r="P178" i="23"/>
  <c r="V179" i="23" s="1"/>
  <c r="V178" i="23"/>
  <c r="P179" i="23" s="1"/>
  <c r="Z59" i="21"/>
  <c r="Z58" i="21"/>
  <c r="Z57" i="21"/>
  <c r="Z56" i="21"/>
  <c r="Z55" i="21"/>
  <c r="Z54" i="21"/>
  <c r="B49" i="21"/>
  <c r="B48" i="21"/>
  <c r="B47" i="21"/>
  <c r="B46" i="21"/>
  <c r="B45" i="21"/>
  <c r="B44" i="21"/>
  <c r="B43" i="21"/>
  <c r="K43" i="21" s="1"/>
  <c r="AP45" i="23" s="1"/>
  <c r="B42" i="21"/>
  <c r="B41" i="21"/>
  <c r="B40" i="21"/>
  <c r="B39" i="21"/>
  <c r="M39" i="21" s="1"/>
  <c r="AF41" i="23" s="1"/>
  <c r="B38" i="21"/>
  <c r="B37" i="21"/>
  <c r="B36" i="21"/>
  <c r="B35" i="21"/>
  <c r="B34" i="21"/>
  <c r="B33" i="21"/>
  <c r="B32" i="21"/>
  <c r="B31" i="21"/>
  <c r="B30" i="21"/>
  <c r="B29" i="21"/>
  <c r="B28" i="21"/>
  <c r="B27" i="21"/>
  <c r="M27" i="21" s="1"/>
  <c r="AF29" i="23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J3" i="21"/>
  <c r="I3" i="21"/>
  <c r="H3" i="21"/>
  <c r="C3" i="21"/>
  <c r="B3" i="21" s="1"/>
  <c r="F70" i="21"/>
  <c r="J65" i="21"/>
  <c r="O89" i="23" s="1"/>
  <c r="J64" i="21"/>
  <c r="O88" i="23" s="1"/>
  <c r="U57" i="21"/>
  <c r="U55" i="21"/>
  <c r="AB54" i="21"/>
  <c r="U54" i="21"/>
  <c r="B5" i="23" l="1"/>
  <c r="K91" i="21"/>
  <c r="V12" i="21"/>
  <c r="W12" i="21"/>
  <c r="AE12" i="21"/>
  <c r="AE24" i="21"/>
  <c r="V24" i="21"/>
  <c r="W24" i="21"/>
  <c r="AE32" i="21"/>
  <c r="V32" i="21"/>
  <c r="W32" i="21"/>
  <c r="AE9" i="21"/>
  <c r="W9" i="21"/>
  <c r="V9" i="21"/>
  <c r="V17" i="21"/>
  <c r="W17" i="21"/>
  <c r="AE17" i="21"/>
  <c r="V25" i="21"/>
  <c r="AE25" i="21"/>
  <c r="W25" i="21"/>
  <c r="K33" i="21"/>
  <c r="AP35" i="23" s="1"/>
  <c r="V33" i="21"/>
  <c r="AE33" i="21"/>
  <c r="W33" i="21"/>
  <c r="K37" i="21"/>
  <c r="AP39" i="23" s="1"/>
  <c r="V37" i="21"/>
  <c r="W37" i="21"/>
  <c r="AE37" i="21"/>
  <c r="M45" i="21"/>
  <c r="AF47" i="23" s="1"/>
  <c r="V45" i="21"/>
  <c r="W45" i="21"/>
  <c r="AE45" i="21"/>
  <c r="V49" i="21"/>
  <c r="AE49" i="21"/>
  <c r="W49" i="21"/>
  <c r="AE10" i="21"/>
  <c r="V10" i="21"/>
  <c r="W10" i="21"/>
  <c r="G14" i="21"/>
  <c r="AE14" i="21"/>
  <c r="V14" i="21"/>
  <c r="W14" i="21"/>
  <c r="AE18" i="21"/>
  <c r="W18" i="21"/>
  <c r="V18" i="21"/>
  <c r="AE22" i="21"/>
  <c r="V22" i="21"/>
  <c r="W22" i="21"/>
  <c r="N26" i="21"/>
  <c r="AU28" i="23" s="1"/>
  <c r="AE26" i="21"/>
  <c r="V26" i="21"/>
  <c r="W26" i="21"/>
  <c r="AE30" i="21"/>
  <c r="V30" i="21"/>
  <c r="W30" i="21"/>
  <c r="M34" i="21"/>
  <c r="AF36" i="23" s="1"/>
  <c r="AE34" i="21"/>
  <c r="V34" i="21"/>
  <c r="W34" i="21"/>
  <c r="AE38" i="21"/>
  <c r="V38" i="21"/>
  <c r="W38" i="21"/>
  <c r="AE42" i="21"/>
  <c r="V42" i="21"/>
  <c r="W42" i="21"/>
  <c r="M46" i="21"/>
  <c r="AF48" i="23" s="1"/>
  <c r="AE46" i="21"/>
  <c r="V46" i="21"/>
  <c r="W46" i="21"/>
  <c r="AE16" i="21"/>
  <c r="V16" i="21"/>
  <c r="W16" i="21"/>
  <c r="V20" i="21"/>
  <c r="W20" i="21"/>
  <c r="AE20" i="21"/>
  <c r="M28" i="21"/>
  <c r="AF30" i="23" s="1"/>
  <c r="V28" i="21"/>
  <c r="W28" i="21"/>
  <c r="AE28" i="21"/>
  <c r="M36" i="21"/>
  <c r="AF38" i="23" s="1"/>
  <c r="W36" i="21"/>
  <c r="AE36" i="21"/>
  <c r="V36" i="21"/>
  <c r="K40" i="21"/>
  <c r="AP42" i="23" s="1"/>
  <c r="AE40" i="21"/>
  <c r="W40" i="21"/>
  <c r="V40" i="21"/>
  <c r="V44" i="21"/>
  <c r="W44" i="21"/>
  <c r="AE44" i="21"/>
  <c r="AE48" i="21"/>
  <c r="V48" i="21"/>
  <c r="W48" i="21"/>
  <c r="V13" i="21"/>
  <c r="AE13" i="21"/>
  <c r="W13" i="21"/>
  <c r="V21" i="21"/>
  <c r="AE21" i="21"/>
  <c r="W21" i="21"/>
  <c r="V29" i="21"/>
  <c r="W29" i="21"/>
  <c r="AE29" i="21"/>
  <c r="V41" i="21"/>
  <c r="AE41" i="21"/>
  <c r="W41" i="21"/>
  <c r="V11" i="21"/>
  <c r="AE11" i="21"/>
  <c r="W11" i="21"/>
  <c r="V15" i="21"/>
  <c r="AE15" i="21"/>
  <c r="W15" i="21"/>
  <c r="N19" i="21"/>
  <c r="AU21" i="23" s="1"/>
  <c r="V19" i="21"/>
  <c r="AE19" i="21"/>
  <c r="W19" i="21"/>
  <c r="V23" i="21"/>
  <c r="AE23" i="21"/>
  <c r="W23" i="21"/>
  <c r="V27" i="21"/>
  <c r="AE27" i="21"/>
  <c r="W27" i="21"/>
  <c r="M31" i="21"/>
  <c r="AF33" i="23" s="1"/>
  <c r="V31" i="21"/>
  <c r="AE31" i="21"/>
  <c r="W31" i="21"/>
  <c r="V35" i="21"/>
  <c r="AE35" i="21"/>
  <c r="W35" i="21"/>
  <c r="V39" i="21"/>
  <c r="AE39" i="21"/>
  <c r="W39" i="21"/>
  <c r="V43" i="21"/>
  <c r="AE43" i="21"/>
  <c r="W43" i="21"/>
  <c r="V47" i="21"/>
  <c r="AE47" i="21"/>
  <c r="W47" i="21"/>
  <c r="K36" i="21"/>
  <c r="AP38" i="23" s="1"/>
  <c r="M20" i="21"/>
  <c r="AF22" i="23" s="1"/>
  <c r="C238" i="23"/>
  <c r="O33" i="21"/>
  <c r="O40" i="21"/>
  <c r="T10" i="21"/>
  <c r="Q10" i="21"/>
  <c r="S10" i="21"/>
  <c r="R10" i="21"/>
  <c r="S21" i="21"/>
  <c r="R21" i="21"/>
  <c r="Q21" i="21"/>
  <c r="T21" i="21"/>
  <c r="R32" i="21"/>
  <c r="Q32" i="21"/>
  <c r="T32" i="21"/>
  <c r="S32" i="21"/>
  <c r="Q43" i="21"/>
  <c r="T43" i="21"/>
  <c r="S43" i="21"/>
  <c r="R43" i="21"/>
  <c r="O47" i="21"/>
  <c r="Q47" i="21"/>
  <c r="T47" i="21"/>
  <c r="R47" i="21"/>
  <c r="S47" i="21"/>
  <c r="N10" i="21"/>
  <c r="AU12" i="23" s="1"/>
  <c r="O43" i="21"/>
  <c r="Q11" i="21"/>
  <c r="R11" i="21"/>
  <c r="T11" i="21"/>
  <c r="S11" i="21"/>
  <c r="T18" i="21"/>
  <c r="S18" i="21"/>
  <c r="Q18" i="21"/>
  <c r="R18" i="21"/>
  <c r="T22" i="21"/>
  <c r="Q22" i="21"/>
  <c r="S22" i="21"/>
  <c r="R22" i="21"/>
  <c r="S25" i="21"/>
  <c r="R25" i="21"/>
  <c r="Q25" i="21"/>
  <c r="T25" i="21"/>
  <c r="S29" i="21"/>
  <c r="R29" i="21"/>
  <c r="Q29" i="21"/>
  <c r="T29" i="21"/>
  <c r="I33" i="21"/>
  <c r="S33" i="21"/>
  <c r="R33" i="21"/>
  <c r="Q33" i="21"/>
  <c r="T33" i="21"/>
  <c r="S37" i="21"/>
  <c r="R37" i="21"/>
  <c r="Q37" i="21"/>
  <c r="T37" i="21"/>
  <c r="H40" i="21"/>
  <c r="R44" i="21"/>
  <c r="Q44" i="21"/>
  <c r="T44" i="21"/>
  <c r="S44" i="21"/>
  <c r="R48" i="21"/>
  <c r="Q48" i="21"/>
  <c r="S48" i="21"/>
  <c r="T48" i="21"/>
  <c r="T14" i="21"/>
  <c r="S14" i="21"/>
  <c r="R14" i="21"/>
  <c r="Q14" i="21"/>
  <c r="R24" i="21"/>
  <c r="Q24" i="21"/>
  <c r="T24" i="21"/>
  <c r="S24" i="21"/>
  <c r="R36" i="21"/>
  <c r="Q36" i="21"/>
  <c r="T36" i="21"/>
  <c r="S36" i="21"/>
  <c r="O36" i="21"/>
  <c r="R12" i="21"/>
  <c r="Q12" i="21"/>
  <c r="T12" i="21"/>
  <c r="S12" i="21"/>
  <c r="Q15" i="21"/>
  <c r="T15" i="21"/>
  <c r="S15" i="21"/>
  <c r="R15" i="21"/>
  <c r="D19" i="21"/>
  <c r="Q19" i="21"/>
  <c r="T19" i="21"/>
  <c r="S19" i="21"/>
  <c r="R19" i="21"/>
  <c r="Q23" i="21"/>
  <c r="T23" i="21"/>
  <c r="R23" i="21"/>
  <c r="S23" i="21"/>
  <c r="T26" i="21"/>
  <c r="S26" i="21"/>
  <c r="R26" i="21"/>
  <c r="Q26" i="21"/>
  <c r="T30" i="21"/>
  <c r="S30" i="21"/>
  <c r="Q30" i="21"/>
  <c r="R30" i="21"/>
  <c r="T34" i="21"/>
  <c r="Q34" i="21"/>
  <c r="S34" i="21"/>
  <c r="R34" i="21"/>
  <c r="T38" i="21"/>
  <c r="S38" i="21"/>
  <c r="R38" i="21"/>
  <c r="Q38" i="21"/>
  <c r="S41" i="21"/>
  <c r="R41" i="21"/>
  <c r="Q41" i="21"/>
  <c r="T41" i="21"/>
  <c r="S45" i="21"/>
  <c r="R45" i="21"/>
  <c r="Q45" i="21"/>
  <c r="T45" i="21"/>
  <c r="S49" i="21"/>
  <c r="R49" i="21"/>
  <c r="Q49" i="21"/>
  <c r="T49" i="21"/>
  <c r="S17" i="21"/>
  <c r="R17" i="21"/>
  <c r="Q17" i="21"/>
  <c r="T17" i="21"/>
  <c r="R28" i="21"/>
  <c r="Q28" i="21"/>
  <c r="T28" i="21"/>
  <c r="S28" i="21"/>
  <c r="R40" i="21"/>
  <c r="Q40" i="21"/>
  <c r="T40" i="21"/>
  <c r="S40" i="21"/>
  <c r="O28" i="21"/>
  <c r="N40" i="21"/>
  <c r="AU42" i="23" s="1"/>
  <c r="T9" i="21"/>
  <c r="E64" i="21" s="1"/>
  <c r="M63" i="21" s="1"/>
  <c r="S9" i="21"/>
  <c r="E63" i="21" s="1"/>
  <c r="H87" i="23" s="1"/>
  <c r="H222" i="23" s="1"/>
  <c r="R9" i="21"/>
  <c r="E62" i="21" s="1"/>
  <c r="Q9" i="21"/>
  <c r="E61" i="21" s="1"/>
  <c r="S13" i="21"/>
  <c r="R13" i="21"/>
  <c r="Q13" i="21"/>
  <c r="T13" i="21"/>
  <c r="R16" i="21"/>
  <c r="Q16" i="21"/>
  <c r="T16" i="21"/>
  <c r="S16" i="21"/>
  <c r="R20" i="21"/>
  <c r="Q20" i="21"/>
  <c r="T20" i="21"/>
  <c r="S20" i="21"/>
  <c r="I23" i="21"/>
  <c r="Q27" i="21"/>
  <c r="R27" i="21"/>
  <c r="T27" i="21"/>
  <c r="S27" i="21"/>
  <c r="Q31" i="21"/>
  <c r="T31" i="21"/>
  <c r="S31" i="21"/>
  <c r="R31" i="21"/>
  <c r="D35" i="21"/>
  <c r="Q35" i="21"/>
  <c r="T35" i="21"/>
  <c r="R35" i="21"/>
  <c r="S35" i="21"/>
  <c r="C39" i="21"/>
  <c r="B41" i="23" s="1"/>
  <c r="Q39" i="21"/>
  <c r="R39" i="21"/>
  <c r="T39" i="21"/>
  <c r="S39" i="21"/>
  <c r="T42" i="21"/>
  <c r="S42" i="21"/>
  <c r="Q42" i="21"/>
  <c r="R42" i="21"/>
  <c r="T46" i="21"/>
  <c r="Q46" i="21"/>
  <c r="S46" i="21"/>
  <c r="R46" i="21"/>
  <c r="U11" i="21"/>
  <c r="U18" i="21"/>
  <c r="U29" i="21"/>
  <c r="AZ31" i="23" s="1"/>
  <c r="P38" i="21"/>
  <c r="AK40" i="23" s="1"/>
  <c r="U38" i="21"/>
  <c r="AZ40" i="23" s="1"/>
  <c r="P44" i="21"/>
  <c r="AK46" i="23" s="1"/>
  <c r="U44" i="21"/>
  <c r="AZ46" i="23" s="1"/>
  <c r="P9" i="21"/>
  <c r="AK11" i="23" s="1"/>
  <c r="U9" i="21"/>
  <c r="U15" i="21"/>
  <c r="P22" i="21"/>
  <c r="AK24" i="23" s="1"/>
  <c r="U22" i="21"/>
  <c r="AZ24" i="23" s="1"/>
  <c r="P28" i="21"/>
  <c r="AK30" i="23" s="1"/>
  <c r="U28" i="21"/>
  <c r="AZ30" i="23" s="1"/>
  <c r="U30" i="21"/>
  <c r="AZ32" i="23" s="1"/>
  <c r="U41" i="21"/>
  <c r="AZ43" i="23" s="1"/>
  <c r="P48" i="21"/>
  <c r="U48" i="21"/>
  <c r="AZ50" i="23" s="1"/>
  <c r="K22" i="21"/>
  <c r="AP24" i="23" s="1"/>
  <c r="K29" i="21"/>
  <c r="AP31" i="23" s="1"/>
  <c r="N44" i="21"/>
  <c r="AU46" i="23" s="1"/>
  <c r="U10" i="21"/>
  <c r="P13" i="21"/>
  <c r="U13" i="21"/>
  <c r="P16" i="21"/>
  <c r="U16" i="21"/>
  <c r="U23" i="21"/>
  <c r="AZ25" i="23" s="1"/>
  <c r="U25" i="21"/>
  <c r="AZ27" i="23" s="1"/>
  <c r="E28" i="21"/>
  <c r="U31" i="21"/>
  <c r="AZ33" i="23" s="1"/>
  <c r="U36" i="21"/>
  <c r="AZ38" i="23" s="1"/>
  <c r="P42" i="21"/>
  <c r="AK44" i="23" s="1"/>
  <c r="U42" i="21"/>
  <c r="U45" i="21"/>
  <c r="AZ47" i="23" s="1"/>
  <c r="U49" i="21"/>
  <c r="AZ51" i="23" s="1"/>
  <c r="P21" i="21"/>
  <c r="AK23" i="23" s="1"/>
  <c r="U21" i="21"/>
  <c r="AZ23" i="23" s="1"/>
  <c r="U27" i="21"/>
  <c r="AZ29" i="23" s="1"/>
  <c r="P32" i="21"/>
  <c r="AK34" i="23" s="1"/>
  <c r="U32" i="21"/>
  <c r="AZ34" i="23" s="1"/>
  <c r="P35" i="21"/>
  <c r="AK37" i="23" s="1"/>
  <c r="U35" i="21"/>
  <c r="AZ37" i="23" s="1"/>
  <c r="U47" i="21"/>
  <c r="AZ49" i="23" s="1"/>
  <c r="O29" i="21"/>
  <c r="M35" i="21"/>
  <c r="AF37" i="23" s="1"/>
  <c r="J44" i="21"/>
  <c r="K47" i="21"/>
  <c r="AP49" i="23" s="1"/>
  <c r="P12" i="21"/>
  <c r="AK14" i="23" s="1"/>
  <c r="U12" i="21"/>
  <c r="P19" i="21"/>
  <c r="AK21" i="23" s="1"/>
  <c r="U19" i="21"/>
  <c r="AZ21" i="23" s="1"/>
  <c r="U24" i="21"/>
  <c r="AZ26" i="23" s="1"/>
  <c r="P33" i="21"/>
  <c r="AK35" i="23" s="1"/>
  <c r="U33" i="21"/>
  <c r="AZ35" i="23" s="1"/>
  <c r="U39" i="21"/>
  <c r="AZ41" i="23" s="1"/>
  <c r="H44" i="21"/>
  <c r="N11" i="21"/>
  <c r="AU13" i="23" s="1"/>
  <c r="J19" i="21"/>
  <c r="O22" i="21"/>
  <c r="M24" i="21"/>
  <c r="AF26" i="23" s="1"/>
  <c r="K28" i="21"/>
  <c r="AP30" i="23" s="1"/>
  <c r="O32" i="21"/>
  <c r="M41" i="21"/>
  <c r="AF43" i="23" s="1"/>
  <c r="N48" i="21"/>
  <c r="AU50" i="23" s="1"/>
  <c r="G10" i="21"/>
  <c r="U14" i="21"/>
  <c r="P17" i="21"/>
  <c r="U17" i="21"/>
  <c r="U20" i="21"/>
  <c r="AZ22" i="23" s="1"/>
  <c r="C23" i="21"/>
  <c r="B25" i="23" s="1"/>
  <c r="P26" i="21"/>
  <c r="AK28" i="23" s="1"/>
  <c r="U26" i="21"/>
  <c r="AZ28" i="23" s="1"/>
  <c r="H28" i="21"/>
  <c r="D31" i="21"/>
  <c r="P34" i="21"/>
  <c r="AK36" i="23" s="1"/>
  <c r="U34" i="21"/>
  <c r="AZ36" i="23" s="1"/>
  <c r="P37" i="21"/>
  <c r="U37" i="21"/>
  <c r="AZ39" i="23" s="1"/>
  <c r="U40" i="21"/>
  <c r="AZ42" i="23" s="1"/>
  <c r="U43" i="21"/>
  <c r="AZ45" i="23" s="1"/>
  <c r="P46" i="21"/>
  <c r="AK48" i="23" s="1"/>
  <c r="U46" i="21"/>
  <c r="AZ48" i="23" s="1"/>
  <c r="I25" i="21"/>
  <c r="P25" i="21"/>
  <c r="AK27" i="23" s="1"/>
  <c r="G32" i="23"/>
  <c r="P30" i="21"/>
  <c r="AK32" i="23" s="1"/>
  <c r="O21" i="21"/>
  <c r="K25" i="21"/>
  <c r="AP27" i="23" s="1"/>
  <c r="M42" i="21"/>
  <c r="AF44" i="23" s="1"/>
  <c r="Q65" i="21"/>
  <c r="AH89" i="23" s="1"/>
  <c r="AC277" i="23" s="1"/>
  <c r="Q12" i="23"/>
  <c r="P10" i="21"/>
  <c r="AK12" i="23" s="1"/>
  <c r="I12" i="21"/>
  <c r="E15" i="21"/>
  <c r="P15" i="21"/>
  <c r="Q20" i="23"/>
  <c r="P18" i="21"/>
  <c r="E19" i="21"/>
  <c r="C21" i="21"/>
  <c r="B23" i="23" s="1"/>
  <c r="I31" i="21"/>
  <c r="P31" i="21"/>
  <c r="AK33" i="23" s="1"/>
  <c r="E32" i="21"/>
  <c r="E35" i="21"/>
  <c r="E37" i="21"/>
  <c r="E40" i="21"/>
  <c r="P40" i="21"/>
  <c r="AK42" i="23" s="1"/>
  <c r="E43" i="21"/>
  <c r="P43" i="21"/>
  <c r="AK45" i="23" s="1"/>
  <c r="I45" i="21"/>
  <c r="P45" i="21"/>
  <c r="AK47" i="23" s="1"/>
  <c r="E49" i="21"/>
  <c r="P49" i="21"/>
  <c r="AK51" i="23" s="1"/>
  <c r="M25" i="21"/>
  <c r="AF27" i="23" s="1"/>
  <c r="K32" i="21"/>
  <c r="AP34" i="23" s="1"/>
  <c r="I19" i="21"/>
  <c r="Q26" i="23"/>
  <c r="P24" i="21"/>
  <c r="AK26" i="23" s="1"/>
  <c r="E27" i="21"/>
  <c r="P27" i="21"/>
  <c r="AK29" i="23" s="1"/>
  <c r="V31" i="23"/>
  <c r="P29" i="21"/>
  <c r="AK31" i="23" s="1"/>
  <c r="I35" i="21"/>
  <c r="O25" i="21"/>
  <c r="M32" i="21"/>
  <c r="AF34" i="23" s="1"/>
  <c r="O37" i="21"/>
  <c r="AZ44" i="23"/>
  <c r="E11" i="21"/>
  <c r="P11" i="21"/>
  <c r="AK13" i="23" s="1"/>
  <c r="L16" i="23"/>
  <c r="P14" i="21"/>
  <c r="AK16" i="23" s="1"/>
  <c r="I16" i="21"/>
  <c r="C19" i="21"/>
  <c r="B21" i="23" s="1"/>
  <c r="AA22" i="23"/>
  <c r="P20" i="21"/>
  <c r="AK22" i="23" s="1"/>
  <c r="E23" i="21"/>
  <c r="P23" i="21"/>
  <c r="AK25" i="23" s="1"/>
  <c r="H24" i="21"/>
  <c r="I29" i="21"/>
  <c r="E31" i="21"/>
  <c r="E33" i="21"/>
  <c r="C35" i="21"/>
  <c r="B37" i="23" s="1"/>
  <c r="H36" i="21"/>
  <c r="P36" i="21"/>
  <c r="AK38" i="23" s="1"/>
  <c r="E39" i="21"/>
  <c r="P39" i="21"/>
  <c r="AK41" i="23" s="1"/>
  <c r="I41" i="21"/>
  <c r="P41" i="21"/>
  <c r="AK43" i="23" s="1"/>
  <c r="E44" i="21"/>
  <c r="C47" i="21"/>
  <c r="B49" i="23" s="1"/>
  <c r="P47" i="21"/>
  <c r="AK49" i="23" s="1"/>
  <c r="D10" i="21"/>
  <c r="D11" i="21"/>
  <c r="A20" i="31"/>
  <c r="E18" i="3"/>
  <c r="H18" i="3"/>
  <c r="D18" i="3"/>
  <c r="G18" i="3"/>
  <c r="F18" i="3"/>
  <c r="D14" i="21"/>
  <c r="D15" i="21"/>
  <c r="A24" i="31"/>
  <c r="E22" i="3"/>
  <c r="H22" i="3"/>
  <c r="D22" i="3"/>
  <c r="F22" i="3"/>
  <c r="G22" i="3"/>
  <c r="V21" i="23"/>
  <c r="A27" i="31"/>
  <c r="F25" i="3"/>
  <c r="E25" i="3"/>
  <c r="D25" i="3"/>
  <c r="G25" i="3"/>
  <c r="H25" i="3"/>
  <c r="H19" i="21"/>
  <c r="F20" i="21"/>
  <c r="A30" i="31"/>
  <c r="G28" i="3"/>
  <c r="F28" i="3"/>
  <c r="H28" i="3"/>
  <c r="D28" i="3"/>
  <c r="E28" i="3"/>
  <c r="E24" i="21"/>
  <c r="D27" i="21"/>
  <c r="A36" i="31"/>
  <c r="E34" i="3"/>
  <c r="H34" i="3"/>
  <c r="D34" i="3"/>
  <c r="G34" i="3"/>
  <c r="F34" i="3"/>
  <c r="E29" i="21"/>
  <c r="C31" i="21"/>
  <c r="B33" i="23" s="1"/>
  <c r="A41" i="31"/>
  <c r="H39" i="3"/>
  <c r="D39" i="3"/>
  <c r="G39" i="3"/>
  <c r="F39" i="3"/>
  <c r="E39" i="3"/>
  <c r="A43" i="31"/>
  <c r="F41" i="3"/>
  <c r="E41" i="3"/>
  <c r="H41" i="3"/>
  <c r="D41" i="3"/>
  <c r="G41" i="3"/>
  <c r="H35" i="21"/>
  <c r="A46" i="31"/>
  <c r="G44" i="3"/>
  <c r="F44" i="3"/>
  <c r="E44" i="3"/>
  <c r="H44" i="3"/>
  <c r="D44" i="3"/>
  <c r="D43" i="21"/>
  <c r="A52" i="31"/>
  <c r="E50" i="3"/>
  <c r="H50" i="3"/>
  <c r="D50" i="3"/>
  <c r="G50" i="3"/>
  <c r="F50" i="3"/>
  <c r="E45" i="21"/>
  <c r="V261" i="23"/>
  <c r="D252" i="23"/>
  <c r="AA14" i="23"/>
  <c r="V18" i="23"/>
  <c r="G40" i="23"/>
  <c r="L23" i="23"/>
  <c r="A29" i="31"/>
  <c r="H27" i="3"/>
  <c r="D27" i="3"/>
  <c r="G27" i="3"/>
  <c r="F27" i="3"/>
  <c r="E27" i="3"/>
  <c r="A31" i="31"/>
  <c r="F29" i="3"/>
  <c r="H29" i="3"/>
  <c r="E29" i="3"/>
  <c r="D29" i="3"/>
  <c r="G29" i="3"/>
  <c r="H23" i="21"/>
  <c r="A34" i="31"/>
  <c r="G32" i="3"/>
  <c r="F32" i="3"/>
  <c r="E32" i="3"/>
  <c r="H32" i="3"/>
  <c r="D32" i="3"/>
  <c r="A40" i="31"/>
  <c r="E38" i="3"/>
  <c r="H38" i="3"/>
  <c r="D38" i="3"/>
  <c r="G38" i="3"/>
  <c r="F38" i="3"/>
  <c r="A45" i="31"/>
  <c r="H43" i="3"/>
  <c r="D43" i="3"/>
  <c r="G43" i="3"/>
  <c r="F43" i="3"/>
  <c r="E43" i="3"/>
  <c r="A47" i="31"/>
  <c r="F45" i="3"/>
  <c r="E45" i="3"/>
  <c r="H45" i="3"/>
  <c r="D45" i="3"/>
  <c r="G45" i="3"/>
  <c r="H39" i="21"/>
  <c r="A50" i="31"/>
  <c r="G48" i="3"/>
  <c r="F48" i="3"/>
  <c r="E48" i="3"/>
  <c r="H48" i="3"/>
  <c r="D48" i="3"/>
  <c r="I48" i="21"/>
  <c r="A56" i="31"/>
  <c r="E54" i="3"/>
  <c r="H54" i="3"/>
  <c r="D54" i="3"/>
  <c r="G54" i="3"/>
  <c r="F54" i="3"/>
  <c r="L11" i="23"/>
  <c r="A17" i="31"/>
  <c r="H15" i="3"/>
  <c r="D15" i="3"/>
  <c r="G15" i="3"/>
  <c r="E15" i="3"/>
  <c r="F15" i="3"/>
  <c r="V13" i="23"/>
  <c r="A19" i="31"/>
  <c r="F17" i="3"/>
  <c r="D17" i="3"/>
  <c r="E17" i="3"/>
  <c r="G17" i="3"/>
  <c r="H17" i="3"/>
  <c r="H11" i="21"/>
  <c r="A21" i="31"/>
  <c r="H19" i="3"/>
  <c r="D19" i="3"/>
  <c r="G19" i="3"/>
  <c r="F19" i="3"/>
  <c r="E19" i="3"/>
  <c r="A23" i="31"/>
  <c r="F21" i="3"/>
  <c r="D21" i="3"/>
  <c r="E21" i="3"/>
  <c r="H21" i="3"/>
  <c r="G21" i="3"/>
  <c r="H15" i="21"/>
  <c r="L19" i="23"/>
  <c r="A25" i="31"/>
  <c r="H23" i="3"/>
  <c r="D23" i="3"/>
  <c r="F23" i="3"/>
  <c r="G23" i="3"/>
  <c r="E23" i="3"/>
  <c r="A28" i="31"/>
  <c r="E26" i="3"/>
  <c r="G26" i="3"/>
  <c r="H26" i="3"/>
  <c r="D26" i="3"/>
  <c r="F26" i="3"/>
  <c r="A33" i="31"/>
  <c r="H31" i="3"/>
  <c r="D31" i="3"/>
  <c r="G31" i="3"/>
  <c r="E31" i="3"/>
  <c r="F31" i="3"/>
  <c r="A35" i="31"/>
  <c r="F33" i="3"/>
  <c r="D33" i="3"/>
  <c r="E33" i="3"/>
  <c r="H33" i="3"/>
  <c r="G33" i="3"/>
  <c r="H27" i="21"/>
  <c r="A38" i="31"/>
  <c r="G36" i="3"/>
  <c r="F36" i="3"/>
  <c r="E36" i="3"/>
  <c r="H36" i="3"/>
  <c r="D36" i="3"/>
  <c r="A44" i="31"/>
  <c r="E42" i="3"/>
  <c r="H42" i="3"/>
  <c r="D42" i="3"/>
  <c r="G42" i="3"/>
  <c r="F42" i="3"/>
  <c r="I39" i="21"/>
  <c r="A49" i="31"/>
  <c r="H47" i="3"/>
  <c r="D47" i="3"/>
  <c r="G47" i="3"/>
  <c r="F47" i="3"/>
  <c r="E47" i="3"/>
  <c r="A51" i="31"/>
  <c r="F49" i="3"/>
  <c r="E49" i="3"/>
  <c r="H49" i="3"/>
  <c r="D49" i="3"/>
  <c r="G49" i="3"/>
  <c r="H43" i="21"/>
  <c r="A54" i="31"/>
  <c r="G52" i="3"/>
  <c r="F52" i="3"/>
  <c r="E52" i="3"/>
  <c r="H52" i="3"/>
  <c r="D52" i="3"/>
  <c r="D48" i="21"/>
  <c r="V17" i="23"/>
  <c r="Q21" i="23"/>
  <c r="AA28" i="23"/>
  <c r="Q34" i="23"/>
  <c r="A18" i="31"/>
  <c r="G16" i="3"/>
  <c r="F16" i="3"/>
  <c r="E16" i="3"/>
  <c r="H16" i="3"/>
  <c r="D16" i="3"/>
  <c r="C11" i="21"/>
  <c r="B13" i="23" s="1"/>
  <c r="I11" i="21"/>
  <c r="A22" i="31"/>
  <c r="G20" i="3"/>
  <c r="F20" i="3"/>
  <c r="H20" i="3"/>
  <c r="D20" i="3"/>
  <c r="E20" i="3"/>
  <c r="C15" i="21"/>
  <c r="B17" i="23" s="1"/>
  <c r="I15" i="21"/>
  <c r="A26" i="31"/>
  <c r="G24" i="3"/>
  <c r="F24" i="3"/>
  <c r="E24" i="3"/>
  <c r="H24" i="3"/>
  <c r="D24" i="3"/>
  <c r="E20" i="21"/>
  <c r="L21" i="21"/>
  <c r="D23" i="21"/>
  <c r="A32" i="31"/>
  <c r="E30" i="3"/>
  <c r="H30" i="3"/>
  <c r="D30" i="3"/>
  <c r="G30" i="3"/>
  <c r="F30" i="3"/>
  <c r="E25" i="21"/>
  <c r="C27" i="21"/>
  <c r="B29" i="23" s="1"/>
  <c r="I27" i="21"/>
  <c r="A37" i="31"/>
  <c r="H35" i="3"/>
  <c r="D35" i="3"/>
  <c r="G35" i="3"/>
  <c r="F35" i="3"/>
  <c r="E35" i="3"/>
  <c r="A39" i="31"/>
  <c r="F37" i="3"/>
  <c r="E37" i="3"/>
  <c r="H37" i="3"/>
  <c r="D37" i="3"/>
  <c r="G37" i="3"/>
  <c r="H31" i="21"/>
  <c r="H32" i="21"/>
  <c r="A42" i="31"/>
  <c r="G40" i="3"/>
  <c r="F40" i="3"/>
  <c r="E40" i="3"/>
  <c r="H40" i="3"/>
  <c r="D40" i="3"/>
  <c r="E36" i="21"/>
  <c r="I37" i="21"/>
  <c r="D39" i="21"/>
  <c r="A48" i="31"/>
  <c r="E46" i="3"/>
  <c r="H46" i="3"/>
  <c r="D46" i="3"/>
  <c r="G46" i="3"/>
  <c r="F46" i="3"/>
  <c r="E41" i="21"/>
  <c r="C43" i="21"/>
  <c r="B45" i="23" s="1"/>
  <c r="I43" i="21"/>
  <c r="V47" i="23"/>
  <c r="A53" i="31"/>
  <c r="H51" i="3"/>
  <c r="D51" i="3"/>
  <c r="G51" i="3"/>
  <c r="F51" i="3"/>
  <c r="E51" i="3"/>
  <c r="G47" i="21"/>
  <c r="A55" i="31"/>
  <c r="F53" i="3"/>
  <c r="E53" i="3"/>
  <c r="H53" i="3"/>
  <c r="D53" i="3"/>
  <c r="G53" i="3"/>
  <c r="A57" i="31"/>
  <c r="H55" i="3"/>
  <c r="D55" i="3"/>
  <c r="G55" i="3"/>
  <c r="F55" i="3"/>
  <c r="E55" i="3"/>
  <c r="Q13" i="23"/>
  <c r="G18" i="23"/>
  <c r="G22" i="23"/>
  <c r="L29" i="23"/>
  <c r="L37" i="23"/>
  <c r="H13" i="21"/>
  <c r="V15" i="23"/>
  <c r="Q15" i="23"/>
  <c r="G11" i="23"/>
  <c r="E8" i="21"/>
  <c r="F8" i="21" s="1"/>
  <c r="G8" i="21" s="1"/>
  <c r="H8" i="21" s="1"/>
  <c r="I8" i="21" s="1"/>
  <c r="J8" i="21" s="1"/>
  <c r="AK15" i="23"/>
  <c r="K21" i="21"/>
  <c r="AP23" i="23" s="1"/>
  <c r="M49" i="21"/>
  <c r="AF51" i="23" s="1"/>
  <c r="I10" i="21"/>
  <c r="AA12" i="23"/>
  <c r="G12" i="23"/>
  <c r="V12" i="23"/>
  <c r="H10" i="21"/>
  <c r="G12" i="21"/>
  <c r="Q14" i="23"/>
  <c r="L14" i="23"/>
  <c r="I14" i="21"/>
  <c r="AA16" i="23"/>
  <c r="G16" i="23"/>
  <c r="V16" i="23"/>
  <c r="H14" i="21"/>
  <c r="G16" i="21"/>
  <c r="Q18" i="23"/>
  <c r="L18" i="23"/>
  <c r="F18" i="21"/>
  <c r="AA20" i="23"/>
  <c r="G20" i="23"/>
  <c r="V20" i="23"/>
  <c r="V22" i="23"/>
  <c r="Q22" i="23"/>
  <c r="L22" i="23"/>
  <c r="I20" i="21"/>
  <c r="E21" i="21"/>
  <c r="G22" i="21"/>
  <c r="L24" i="23"/>
  <c r="AA24" i="23"/>
  <c r="G24" i="23"/>
  <c r="V24" i="23"/>
  <c r="G24" i="21"/>
  <c r="AA26" i="23"/>
  <c r="G26" i="23"/>
  <c r="V26" i="23"/>
  <c r="L26" i="23"/>
  <c r="I24" i="21"/>
  <c r="L26" i="21"/>
  <c r="Q28" i="23"/>
  <c r="L28" i="23"/>
  <c r="V28" i="23"/>
  <c r="G28" i="23"/>
  <c r="G28" i="21"/>
  <c r="AA30" i="23"/>
  <c r="G30" i="23"/>
  <c r="V30" i="23"/>
  <c r="Q30" i="23"/>
  <c r="L30" i="23"/>
  <c r="I28" i="21"/>
  <c r="L30" i="21"/>
  <c r="Q32" i="23"/>
  <c r="L32" i="23"/>
  <c r="AA32" i="23"/>
  <c r="V32" i="23"/>
  <c r="G32" i="21"/>
  <c r="AA34" i="23"/>
  <c r="G34" i="23"/>
  <c r="V34" i="23"/>
  <c r="L34" i="23"/>
  <c r="I32" i="21"/>
  <c r="L34" i="21"/>
  <c r="Q36" i="23"/>
  <c r="L36" i="23"/>
  <c r="V36" i="23"/>
  <c r="G36" i="23"/>
  <c r="G36" i="21"/>
  <c r="AA38" i="23"/>
  <c r="G38" i="23"/>
  <c r="V38" i="23"/>
  <c r="Q38" i="23"/>
  <c r="L38" i="23"/>
  <c r="I36" i="21"/>
  <c r="L38" i="21"/>
  <c r="Q40" i="23"/>
  <c r="L40" i="23"/>
  <c r="AA40" i="23"/>
  <c r="V40" i="23"/>
  <c r="G40" i="21"/>
  <c r="AA42" i="23"/>
  <c r="G42" i="23"/>
  <c r="V42" i="23"/>
  <c r="L42" i="23"/>
  <c r="I40" i="21"/>
  <c r="L42" i="21"/>
  <c r="Q44" i="23"/>
  <c r="L44" i="23"/>
  <c r="V44" i="23"/>
  <c r="G44" i="23"/>
  <c r="G44" i="21"/>
  <c r="AA46" i="23"/>
  <c r="G46" i="23"/>
  <c r="V46" i="23"/>
  <c r="Q46" i="23"/>
  <c r="L46" i="23"/>
  <c r="I44" i="21"/>
  <c r="Q48" i="23"/>
  <c r="L48" i="23"/>
  <c r="AA48" i="23"/>
  <c r="V48" i="23"/>
  <c r="D47" i="21"/>
  <c r="E48" i="21"/>
  <c r="G14" i="23"/>
  <c r="Q16" i="23"/>
  <c r="AA18" i="23"/>
  <c r="Q24" i="23"/>
  <c r="AA44" i="23"/>
  <c r="Q50" i="23"/>
  <c r="H9" i="21"/>
  <c r="V11" i="23"/>
  <c r="Q11" i="23"/>
  <c r="F17" i="21"/>
  <c r="V19" i="23"/>
  <c r="Q19" i="23"/>
  <c r="AA15" i="23"/>
  <c r="G19" i="23"/>
  <c r="M21" i="21"/>
  <c r="AF23" i="23" s="1"/>
  <c r="J48" i="21"/>
  <c r="C10" i="21"/>
  <c r="B12" i="23" s="1"/>
  <c r="L11" i="21"/>
  <c r="L13" i="23"/>
  <c r="AA13" i="23"/>
  <c r="G13" i="23"/>
  <c r="G11" i="21"/>
  <c r="E12" i="21"/>
  <c r="C14" i="21"/>
  <c r="B16" i="23" s="1"/>
  <c r="L15" i="21"/>
  <c r="L17" i="23"/>
  <c r="AA17" i="23"/>
  <c r="G17" i="23"/>
  <c r="G15" i="21"/>
  <c r="E16" i="21"/>
  <c r="L19" i="21"/>
  <c r="L21" i="23"/>
  <c r="AA21" i="23"/>
  <c r="G21" i="23"/>
  <c r="G19" i="21"/>
  <c r="D20" i="21"/>
  <c r="L20" i="21"/>
  <c r="F21" i="21"/>
  <c r="L23" i="21"/>
  <c r="V25" i="23"/>
  <c r="Q25" i="23"/>
  <c r="AA25" i="23"/>
  <c r="L25" i="23"/>
  <c r="G25" i="23"/>
  <c r="G23" i="21"/>
  <c r="D24" i="21"/>
  <c r="L27" i="23"/>
  <c r="AA27" i="23"/>
  <c r="G27" i="23"/>
  <c r="V27" i="23"/>
  <c r="Q27" i="23"/>
  <c r="L27" i="21"/>
  <c r="V29" i="23"/>
  <c r="Q29" i="23"/>
  <c r="G29" i="23"/>
  <c r="AA29" i="23"/>
  <c r="G27" i="21"/>
  <c r="D28" i="21"/>
  <c r="H29" i="21"/>
  <c r="L31" i="23"/>
  <c r="AA31" i="23"/>
  <c r="G31" i="23"/>
  <c r="Q31" i="23"/>
  <c r="L31" i="21"/>
  <c r="V33" i="23"/>
  <c r="Q33" i="23"/>
  <c r="AA33" i="23"/>
  <c r="L33" i="23"/>
  <c r="G33" i="23"/>
  <c r="G31" i="21"/>
  <c r="D32" i="21"/>
  <c r="H33" i="21"/>
  <c r="L35" i="23"/>
  <c r="AA35" i="23"/>
  <c r="G35" i="23"/>
  <c r="V35" i="23"/>
  <c r="Q35" i="23"/>
  <c r="L35" i="21"/>
  <c r="V37" i="23"/>
  <c r="Q37" i="23"/>
  <c r="G37" i="23"/>
  <c r="AA37" i="23"/>
  <c r="G35" i="21"/>
  <c r="D36" i="21"/>
  <c r="H37" i="21"/>
  <c r="L39" i="23"/>
  <c r="AA39" i="23"/>
  <c r="G39" i="23"/>
  <c r="Q39" i="23"/>
  <c r="L39" i="21"/>
  <c r="V41" i="23"/>
  <c r="Q41" i="23"/>
  <c r="AA41" i="23"/>
  <c r="L41" i="23"/>
  <c r="G41" i="23"/>
  <c r="G39" i="21"/>
  <c r="D40" i="21"/>
  <c r="H41" i="21"/>
  <c r="L43" i="23"/>
  <c r="AA43" i="23"/>
  <c r="G43" i="23"/>
  <c r="V43" i="23"/>
  <c r="Q43" i="23"/>
  <c r="L43" i="21"/>
  <c r="V45" i="23"/>
  <c r="Q45" i="23"/>
  <c r="G45" i="23"/>
  <c r="AA45" i="23"/>
  <c r="G43" i="21"/>
  <c r="D44" i="21"/>
  <c r="H45" i="21"/>
  <c r="L47" i="23"/>
  <c r="AA47" i="23"/>
  <c r="G47" i="23"/>
  <c r="Q47" i="23"/>
  <c r="L46" i="21"/>
  <c r="AA11" i="23"/>
  <c r="L12" i="23"/>
  <c r="V14" i="23"/>
  <c r="G15" i="23"/>
  <c r="Q17" i="23"/>
  <c r="AA19" i="23"/>
  <c r="L20" i="23"/>
  <c r="AA36" i="23"/>
  <c r="V39" i="23"/>
  <c r="Q42" i="23"/>
  <c r="L45" i="23"/>
  <c r="G48" i="23"/>
  <c r="AA23" i="23"/>
  <c r="G23" i="23"/>
  <c r="V23" i="23"/>
  <c r="Q23" i="23"/>
  <c r="I21" i="21"/>
  <c r="L47" i="21"/>
  <c r="V49" i="23"/>
  <c r="Q49" i="23"/>
  <c r="AA49" i="23"/>
  <c r="L49" i="23"/>
  <c r="G49" i="23"/>
  <c r="H47" i="21"/>
  <c r="G48" i="21"/>
  <c r="AA50" i="23"/>
  <c r="G50" i="23"/>
  <c r="V50" i="23"/>
  <c r="L50" i="23"/>
  <c r="H48" i="21"/>
  <c r="H49" i="21"/>
  <c r="L51" i="23"/>
  <c r="AA51" i="23"/>
  <c r="G51" i="23"/>
  <c r="V51" i="23"/>
  <c r="Q51" i="23"/>
  <c r="I49" i="21"/>
  <c r="L15" i="23"/>
  <c r="AA58" i="21"/>
  <c r="AA55" i="21"/>
  <c r="AA59" i="21"/>
  <c r="AB59" i="21" s="1"/>
  <c r="AI152" i="23" s="1"/>
  <c r="AA57" i="21"/>
  <c r="AA56" i="21"/>
  <c r="E9" i="21"/>
  <c r="I9" i="21"/>
  <c r="F10" i="21"/>
  <c r="L10" i="21"/>
  <c r="D12" i="21"/>
  <c r="H12" i="21"/>
  <c r="E13" i="21"/>
  <c r="I13" i="21"/>
  <c r="F14" i="21"/>
  <c r="L14" i="21"/>
  <c r="D16" i="21"/>
  <c r="H16" i="21"/>
  <c r="F22" i="21"/>
  <c r="F9" i="21"/>
  <c r="L9" i="21"/>
  <c r="F13" i="21"/>
  <c r="L13" i="21"/>
  <c r="H17" i="21"/>
  <c r="D17" i="21"/>
  <c r="G17" i="21"/>
  <c r="I18" i="21"/>
  <c r="E18" i="21"/>
  <c r="G18" i="21"/>
  <c r="C9" i="21"/>
  <c r="B11" i="23" s="1"/>
  <c r="G9" i="21"/>
  <c r="F12" i="21"/>
  <c r="L12" i="21"/>
  <c r="C13" i="21"/>
  <c r="B15" i="23" s="1"/>
  <c r="G13" i="21"/>
  <c r="F16" i="21"/>
  <c r="L16" i="21"/>
  <c r="C17" i="21"/>
  <c r="B19" i="23" s="1"/>
  <c r="I17" i="21"/>
  <c r="C18" i="21"/>
  <c r="B20" i="23" s="1"/>
  <c r="H18" i="21"/>
  <c r="I22" i="21"/>
  <c r="E22" i="21"/>
  <c r="H22" i="21"/>
  <c r="D22" i="21"/>
  <c r="L22" i="21"/>
  <c r="I26" i="21"/>
  <c r="E26" i="21"/>
  <c r="H26" i="21"/>
  <c r="D26" i="21"/>
  <c r="G26" i="21"/>
  <c r="C26" i="21"/>
  <c r="B28" i="23" s="1"/>
  <c r="I30" i="21"/>
  <c r="E30" i="21"/>
  <c r="H30" i="21"/>
  <c r="D30" i="21"/>
  <c r="G30" i="21"/>
  <c r="C30" i="21"/>
  <c r="B32" i="23" s="1"/>
  <c r="I34" i="21"/>
  <c r="E34" i="21"/>
  <c r="H34" i="21"/>
  <c r="D34" i="21"/>
  <c r="G34" i="21"/>
  <c r="C34" i="21"/>
  <c r="B36" i="23" s="1"/>
  <c r="I38" i="21"/>
  <c r="E38" i="21"/>
  <c r="H38" i="21"/>
  <c r="D38" i="21"/>
  <c r="G38" i="21"/>
  <c r="C38" i="21"/>
  <c r="B40" i="23" s="1"/>
  <c r="I42" i="21"/>
  <c r="E42" i="21"/>
  <c r="H42" i="21"/>
  <c r="D42" i="21"/>
  <c r="G42" i="21"/>
  <c r="C42" i="21"/>
  <c r="B44" i="23" s="1"/>
  <c r="I46" i="21"/>
  <c r="E46" i="21"/>
  <c r="H46" i="21"/>
  <c r="D46" i="21"/>
  <c r="G46" i="21"/>
  <c r="C46" i="21"/>
  <c r="B48" i="23" s="1"/>
  <c r="D9" i="21"/>
  <c r="E10" i="21"/>
  <c r="F11" i="21"/>
  <c r="C12" i="21"/>
  <c r="B14" i="23" s="1"/>
  <c r="D13" i="21"/>
  <c r="E14" i="21"/>
  <c r="F15" i="21"/>
  <c r="C16" i="21"/>
  <c r="B18" i="23" s="1"/>
  <c r="E17" i="21"/>
  <c r="L17" i="21"/>
  <c r="D18" i="21"/>
  <c r="L18" i="21"/>
  <c r="G20" i="21"/>
  <c r="C20" i="21"/>
  <c r="B22" i="23" s="1"/>
  <c r="H20" i="21"/>
  <c r="H21" i="21"/>
  <c r="D21" i="21"/>
  <c r="G21" i="21"/>
  <c r="C22" i="21"/>
  <c r="B24" i="23" s="1"/>
  <c r="H25" i="21"/>
  <c r="D25" i="21"/>
  <c r="G25" i="21"/>
  <c r="C25" i="21"/>
  <c r="B27" i="23" s="1"/>
  <c r="L25" i="21"/>
  <c r="F25" i="21"/>
  <c r="F26" i="21"/>
  <c r="F30" i="21"/>
  <c r="F34" i="21"/>
  <c r="F38" i="21"/>
  <c r="F42" i="21"/>
  <c r="F46" i="21"/>
  <c r="F29" i="21"/>
  <c r="L29" i="21"/>
  <c r="F33" i="21"/>
  <c r="L33" i="21"/>
  <c r="F37" i="21"/>
  <c r="L37" i="21"/>
  <c r="F41" i="21"/>
  <c r="L41" i="21"/>
  <c r="F45" i="21"/>
  <c r="L45" i="21"/>
  <c r="F49" i="21"/>
  <c r="L49" i="21"/>
  <c r="F24" i="21"/>
  <c r="L24" i="21"/>
  <c r="F28" i="21"/>
  <c r="L28" i="21"/>
  <c r="C29" i="21"/>
  <c r="B31" i="23" s="1"/>
  <c r="G29" i="21"/>
  <c r="F32" i="21"/>
  <c r="L32" i="21"/>
  <c r="C33" i="21"/>
  <c r="B35" i="23" s="1"/>
  <c r="G33" i="21"/>
  <c r="F36" i="21"/>
  <c r="L36" i="21"/>
  <c r="C37" i="21"/>
  <c r="B39" i="23" s="1"/>
  <c r="G37" i="21"/>
  <c r="F40" i="21"/>
  <c r="L40" i="21"/>
  <c r="C41" i="21"/>
  <c r="B43" i="23" s="1"/>
  <c r="G41" i="21"/>
  <c r="F44" i="21"/>
  <c r="L44" i="21"/>
  <c r="C45" i="21"/>
  <c r="B47" i="23" s="1"/>
  <c r="G45" i="21"/>
  <c r="E47" i="21"/>
  <c r="I47" i="21"/>
  <c r="F48" i="21"/>
  <c r="L48" i="21"/>
  <c r="C49" i="21"/>
  <c r="B51" i="23" s="1"/>
  <c r="G49" i="21"/>
  <c r="F19" i="21"/>
  <c r="F23" i="21"/>
  <c r="C24" i="21"/>
  <c r="B26" i="23" s="1"/>
  <c r="F27" i="21"/>
  <c r="C28" i="21"/>
  <c r="B30" i="23" s="1"/>
  <c r="D29" i="21"/>
  <c r="F31" i="21"/>
  <c r="C32" i="21"/>
  <c r="B34" i="23" s="1"/>
  <c r="D33" i="21"/>
  <c r="F35" i="21"/>
  <c r="C36" i="21"/>
  <c r="B38" i="23" s="1"/>
  <c r="D37" i="21"/>
  <c r="F39" i="21"/>
  <c r="C40" i="21"/>
  <c r="B42" i="23" s="1"/>
  <c r="D41" i="21"/>
  <c r="F43" i="21"/>
  <c r="C44" i="21"/>
  <c r="B46" i="23" s="1"/>
  <c r="D45" i="21"/>
  <c r="F47" i="21"/>
  <c r="C48" i="21"/>
  <c r="B50" i="23" s="1"/>
  <c r="D49" i="21"/>
  <c r="O13" i="21"/>
  <c r="J11" i="21"/>
  <c r="M11" i="21" s="1"/>
  <c r="AF13" i="23" s="1"/>
  <c r="K11" i="21"/>
  <c r="AP13" i="23" s="1"/>
  <c r="J15" i="21"/>
  <c r="M15" i="21" s="1"/>
  <c r="AF17" i="23" s="1"/>
  <c r="O15" i="21"/>
  <c r="K3" i="21"/>
  <c r="H5" i="23" s="1"/>
  <c r="J10" i="21"/>
  <c r="M10" i="21" s="1"/>
  <c r="AF12" i="23" s="1"/>
  <c r="N15" i="21"/>
  <c r="AU17" i="23" s="1"/>
  <c r="M19" i="21"/>
  <c r="AF21" i="23" s="1"/>
  <c r="O19" i="21"/>
  <c r="K19" i="21"/>
  <c r="AP21" i="23" s="1"/>
  <c r="J23" i="21"/>
  <c r="O30" i="21"/>
  <c r="K30" i="21"/>
  <c r="AP32" i="23" s="1"/>
  <c r="J34" i="21"/>
  <c r="O38" i="21"/>
  <c r="K38" i="21"/>
  <c r="AP40" i="23" s="1"/>
  <c r="J38" i="21"/>
  <c r="J12" i="21"/>
  <c r="M12" i="21" s="1"/>
  <c r="AF14" i="23" s="1"/>
  <c r="N12" i="21"/>
  <c r="AU14" i="23" s="1"/>
  <c r="J16" i="21"/>
  <c r="M16" i="21" s="1"/>
  <c r="AF18" i="23" s="1"/>
  <c r="N16" i="21"/>
  <c r="AU18" i="23" s="1"/>
  <c r="J20" i="21"/>
  <c r="N20" i="21"/>
  <c r="AU22" i="23" s="1"/>
  <c r="K23" i="21"/>
  <c r="AP25" i="23" s="1"/>
  <c r="O23" i="21"/>
  <c r="J24" i="21"/>
  <c r="N24" i="21"/>
  <c r="AU26" i="23" s="1"/>
  <c r="N29" i="21"/>
  <c r="AU31" i="23" s="1"/>
  <c r="M30" i="21"/>
  <c r="AF32" i="23" s="1"/>
  <c r="N33" i="21"/>
  <c r="AU35" i="23" s="1"/>
  <c r="N37" i="21"/>
  <c r="AU39" i="23" s="1"/>
  <c r="M38" i="21"/>
  <c r="AF40" i="23" s="1"/>
  <c r="N23" i="21"/>
  <c r="AU25" i="23" s="1"/>
  <c r="M26" i="21"/>
  <c r="AF28" i="23" s="1"/>
  <c r="J30" i="21"/>
  <c r="O34" i="21"/>
  <c r="K34" i="21"/>
  <c r="AP36" i="23" s="1"/>
  <c r="K9" i="21"/>
  <c r="AP11" i="23" s="1"/>
  <c r="J9" i="21"/>
  <c r="M9" i="21" s="1"/>
  <c r="AF11" i="23" s="1"/>
  <c r="N9" i="21"/>
  <c r="AU11" i="23" s="1"/>
  <c r="O12" i="21"/>
  <c r="K12" i="21"/>
  <c r="AP14" i="23" s="1"/>
  <c r="K13" i="21"/>
  <c r="AP15" i="23" s="1"/>
  <c r="J13" i="21"/>
  <c r="M13" i="21" s="1"/>
  <c r="AF15" i="23" s="1"/>
  <c r="N13" i="21"/>
  <c r="AU15" i="23" s="1"/>
  <c r="K16" i="21"/>
  <c r="AP18" i="23" s="1"/>
  <c r="O16" i="21"/>
  <c r="K17" i="21"/>
  <c r="AP19" i="23" s="1"/>
  <c r="J17" i="21"/>
  <c r="M17" i="21" s="1"/>
  <c r="AF19" i="23" s="1"/>
  <c r="N17" i="21"/>
  <c r="AU19" i="23" s="1"/>
  <c r="K18" i="21"/>
  <c r="AP20" i="23" s="1"/>
  <c r="K20" i="21"/>
  <c r="AP22" i="23" s="1"/>
  <c r="O20" i="21"/>
  <c r="J21" i="21"/>
  <c r="N21" i="21"/>
  <c r="AU23" i="23" s="1"/>
  <c r="M22" i="21"/>
  <c r="AF24" i="23" s="1"/>
  <c r="K24" i="21"/>
  <c r="AP26" i="23" s="1"/>
  <c r="O24" i="21"/>
  <c r="J25" i="21"/>
  <c r="N25" i="21"/>
  <c r="AU27" i="23" s="1"/>
  <c r="J26" i="21"/>
  <c r="O26" i="21"/>
  <c r="N30" i="21"/>
  <c r="AU32" i="23" s="1"/>
  <c r="N34" i="21"/>
  <c r="AU36" i="23" s="1"/>
  <c r="N38" i="21"/>
  <c r="AU40" i="23" s="1"/>
  <c r="J14" i="21"/>
  <c r="M14" i="21" s="1"/>
  <c r="AF16" i="23" s="1"/>
  <c r="N14" i="21"/>
  <c r="AU16" i="23" s="1"/>
  <c r="J18" i="21"/>
  <c r="M18" i="21" s="1"/>
  <c r="AF20" i="23" s="1"/>
  <c r="N18" i="21"/>
  <c r="AU20" i="23" s="1"/>
  <c r="J22" i="21"/>
  <c r="N22" i="21"/>
  <c r="AU24" i="23" s="1"/>
  <c r="M23" i="21"/>
  <c r="AF25" i="23" s="1"/>
  <c r="K26" i="21"/>
  <c r="AP28" i="23" s="1"/>
  <c r="M29" i="21"/>
  <c r="AF31" i="23" s="1"/>
  <c r="J29" i="21"/>
  <c r="M33" i="21"/>
  <c r="AF35" i="23" s="1"/>
  <c r="J33" i="21"/>
  <c r="M37" i="21"/>
  <c r="AF39" i="23" s="1"/>
  <c r="AK39" i="23"/>
  <c r="J37" i="21"/>
  <c r="J27" i="21"/>
  <c r="N27" i="21"/>
  <c r="AU29" i="23" s="1"/>
  <c r="J31" i="21"/>
  <c r="N31" i="21"/>
  <c r="AU33" i="23" s="1"/>
  <c r="J35" i="21"/>
  <c r="N35" i="21"/>
  <c r="AU37" i="23" s="1"/>
  <c r="J39" i="21"/>
  <c r="N39" i="21"/>
  <c r="AU41" i="23" s="1"/>
  <c r="N41" i="21"/>
  <c r="AU43" i="23" s="1"/>
  <c r="M44" i="21"/>
  <c r="AF46" i="23" s="1"/>
  <c r="O44" i="21"/>
  <c r="K44" i="21"/>
  <c r="AP46" i="23" s="1"/>
  <c r="M48" i="21"/>
  <c r="AF50" i="23" s="1"/>
  <c r="AK50" i="23"/>
  <c r="O48" i="21"/>
  <c r="K48" i="21"/>
  <c r="AP50" i="23" s="1"/>
  <c r="K27" i="21"/>
  <c r="AP29" i="23" s="1"/>
  <c r="O27" i="21"/>
  <c r="J28" i="21"/>
  <c r="N28" i="21"/>
  <c r="AU30" i="23" s="1"/>
  <c r="K31" i="21"/>
  <c r="AP33" i="23" s="1"/>
  <c r="O31" i="21"/>
  <c r="J32" i="21"/>
  <c r="N32" i="21"/>
  <c r="AU34" i="23" s="1"/>
  <c r="K35" i="21"/>
  <c r="AP37" i="23" s="1"/>
  <c r="O35" i="21"/>
  <c r="J36" i="21"/>
  <c r="N36" i="21"/>
  <c r="AU38" i="23" s="1"/>
  <c r="K39" i="21"/>
  <c r="AP41" i="23" s="1"/>
  <c r="O39" i="21"/>
  <c r="M40" i="21"/>
  <c r="AF42" i="23" s="1"/>
  <c r="J40" i="21"/>
  <c r="O41" i="21"/>
  <c r="K41" i="21"/>
  <c r="AP43" i="23" s="1"/>
  <c r="J41" i="21"/>
  <c r="S244" i="23"/>
  <c r="J45" i="21"/>
  <c r="N45" i="21"/>
  <c r="AU47" i="23" s="1"/>
  <c r="J49" i="21"/>
  <c r="N49" i="21"/>
  <c r="AU51" i="23" s="1"/>
  <c r="J42" i="21"/>
  <c r="N42" i="21"/>
  <c r="AU44" i="23" s="1"/>
  <c r="M43" i="21"/>
  <c r="AF45" i="23" s="1"/>
  <c r="K45" i="21"/>
  <c r="AP47" i="23" s="1"/>
  <c r="O45" i="21"/>
  <c r="J46" i="21"/>
  <c r="N46" i="21"/>
  <c r="AU48" i="23" s="1"/>
  <c r="M47" i="21"/>
  <c r="AF49" i="23" s="1"/>
  <c r="K49" i="21"/>
  <c r="AP51" i="23" s="1"/>
  <c r="O49" i="21"/>
  <c r="K42" i="21"/>
  <c r="AP44" i="23" s="1"/>
  <c r="O42" i="21"/>
  <c r="J43" i="21"/>
  <c r="N43" i="21"/>
  <c r="AU45" i="23" s="1"/>
  <c r="K46" i="21"/>
  <c r="AP48" i="23" s="1"/>
  <c r="O46" i="21"/>
  <c r="J47" i="21"/>
  <c r="N47" i="21"/>
  <c r="AU49" i="23" s="1"/>
  <c r="H88" i="23" l="1"/>
  <c r="H86" i="23"/>
  <c r="I210" i="23" s="1"/>
  <c r="G62" i="21"/>
  <c r="V268" i="23"/>
  <c r="U65" i="21"/>
  <c r="H85" i="23"/>
  <c r="M62" i="21"/>
  <c r="H59" i="21"/>
  <c r="U166" i="23" s="1"/>
  <c r="Y166" i="23" s="1"/>
  <c r="O171" i="23" s="1"/>
  <c r="V171" i="23" s="1"/>
  <c r="AK17" i="23"/>
  <c r="S228" i="23"/>
  <c r="I240" i="23"/>
  <c r="AK20" i="23"/>
  <c r="AZ17" i="23"/>
  <c r="AZ14" i="23"/>
  <c r="AZ13" i="23"/>
  <c r="AZ12" i="23"/>
  <c r="F3" i="21"/>
  <c r="AZ15" i="23"/>
  <c r="AZ18" i="23"/>
  <c r="K15" i="21"/>
  <c r="AP17" i="23" s="1"/>
  <c r="AZ11" i="23"/>
  <c r="G3" i="21"/>
  <c r="K14" i="21"/>
  <c r="AP16" i="23" s="1"/>
  <c r="K10" i="21"/>
  <c r="O3" i="21"/>
  <c r="P3" i="21" s="1"/>
  <c r="O18" i="21"/>
  <c r="AZ20" i="23" s="1"/>
  <c r="O14" i="21"/>
  <c r="O11" i="21"/>
  <c r="O17" i="21"/>
  <c r="Q3" i="21"/>
  <c r="I70" i="21" s="1"/>
  <c r="L70" i="21" s="1"/>
  <c r="Q70" i="21" s="1"/>
  <c r="O9" i="21"/>
  <c r="O10" i="21"/>
  <c r="I60" i="21" l="1"/>
  <c r="F13" i="31"/>
  <c r="F13" i="11"/>
  <c r="F13" i="24"/>
  <c r="J59" i="21"/>
  <c r="O83" i="23" s="1"/>
  <c r="N211" i="23"/>
  <c r="T128" i="23"/>
  <c r="Y128" i="23" s="1"/>
  <c r="O133" i="23" s="1"/>
  <c r="V133" i="23" s="1"/>
  <c r="M61" i="21"/>
  <c r="R198" i="23" s="1"/>
  <c r="J62" i="21"/>
  <c r="O86" i="23" s="1"/>
  <c r="R214" i="23"/>
  <c r="H189" i="23"/>
  <c r="AC179" i="23"/>
  <c r="AG179" i="23" s="1"/>
  <c r="O184" i="23" s="1"/>
  <c r="V184" i="23" s="1"/>
  <c r="J60" i="21"/>
  <c r="O84" i="23" s="1"/>
  <c r="G56" i="21"/>
  <c r="Q101" i="23" s="1"/>
  <c r="W101" i="23" s="1"/>
  <c r="I54" i="21"/>
  <c r="AP12" i="23"/>
  <c r="G54" i="21"/>
  <c r="Q97" i="23" s="1"/>
  <c r="Q98" i="23" s="1"/>
  <c r="W98" i="23" s="1"/>
  <c r="AK19" i="23"/>
  <c r="AK18" i="23"/>
  <c r="AZ19" i="23"/>
  <c r="H54" i="21"/>
  <c r="L3" i="21"/>
  <c r="M3" i="21"/>
  <c r="N63" i="21"/>
  <c r="N64" i="21"/>
  <c r="N61" i="21"/>
  <c r="N62" i="21"/>
  <c r="AZ16" i="23"/>
  <c r="J56" i="21" l="1"/>
  <c r="Q56" i="21" s="1"/>
  <c r="AM114" i="23"/>
  <c r="P127" i="23"/>
  <c r="S211" i="23"/>
  <c r="S216" i="23" s="1"/>
  <c r="C208" i="23"/>
  <c r="J54" i="21"/>
  <c r="Q54" i="21" s="1"/>
  <c r="T54" i="21" s="1"/>
  <c r="O61" i="21"/>
  <c r="V198" i="23"/>
  <c r="AB198" i="23" s="1"/>
  <c r="L200" i="23" s="1"/>
  <c r="AA200" i="23" s="1"/>
  <c r="O80" i="23"/>
  <c r="O64" i="21"/>
  <c r="AA88" i="23" s="1"/>
  <c r="AA244" i="23"/>
  <c r="AG244" i="23" s="1"/>
  <c r="L246" i="23" s="1"/>
  <c r="Y246" i="23" s="1"/>
  <c r="O63" i="21"/>
  <c r="W228" i="23"/>
  <c r="AC228" i="23" s="1"/>
  <c r="L230" i="23" s="1"/>
  <c r="AA230" i="23" s="1"/>
  <c r="O62" i="21"/>
  <c r="Z214" i="23"/>
  <c r="AF214" i="23" s="1"/>
  <c r="L216" i="23" s="1"/>
  <c r="I55" i="21"/>
  <c r="H55" i="21"/>
  <c r="G55" i="21"/>
  <c r="S3" i="21"/>
  <c r="D71" i="21" s="1"/>
  <c r="R3" i="21"/>
  <c r="C71" i="21" s="1"/>
  <c r="T3" i="21"/>
  <c r="F71" i="21" s="1"/>
  <c r="E71" i="21"/>
  <c r="E57" i="21"/>
  <c r="H81" i="23" s="1"/>
  <c r="E56" i="21"/>
  <c r="H80" i="23" s="1"/>
  <c r="E54" i="21"/>
  <c r="H78" i="23" s="1"/>
  <c r="E55" i="21"/>
  <c r="H79" i="23" s="1"/>
  <c r="I91" i="21" l="1"/>
  <c r="J91" i="21" s="1"/>
  <c r="Q64" i="21"/>
  <c r="T64" i="21" s="1"/>
  <c r="O78" i="23"/>
  <c r="O106" i="23" s="1"/>
  <c r="V106" i="23" s="1"/>
  <c r="Y216" i="23"/>
  <c r="Q62" i="21"/>
  <c r="T62" i="21" s="1"/>
  <c r="AA86" i="23"/>
  <c r="V54" i="21"/>
  <c r="AH78" i="23"/>
  <c r="U56" i="21"/>
  <c r="AH80" i="23"/>
  <c r="G71" i="21"/>
  <c r="Q63" i="21"/>
  <c r="T63" i="21" s="1"/>
  <c r="AA87" i="23"/>
  <c r="Q61" i="21"/>
  <c r="AA85" i="23"/>
  <c r="AN112" i="23"/>
  <c r="AN149" i="23"/>
  <c r="AR112" i="23"/>
  <c r="AR149" i="23"/>
  <c r="E66" i="21"/>
  <c r="H90" i="23" s="1"/>
  <c r="J55" i="21"/>
  <c r="AB57" i="21"/>
  <c r="W152" i="23" s="1"/>
  <c r="AB58" i="21"/>
  <c r="AC152" i="23" s="1"/>
  <c r="AB56" i="21"/>
  <c r="Q152" i="23" s="1"/>
  <c r="AB55" i="21"/>
  <c r="M91" i="21" l="1"/>
  <c r="N91" i="21" s="1"/>
  <c r="O91" i="21" s="1"/>
  <c r="A48" i="13" s="1"/>
  <c r="U64" i="21"/>
  <c r="AH88" i="23"/>
  <c r="X277" i="23" s="1"/>
  <c r="T65" i="21"/>
  <c r="T61" i="21"/>
  <c r="T66" i="21" s="1"/>
  <c r="S66" i="21" s="1"/>
  <c r="U61" i="21"/>
  <c r="C87" i="21" s="1"/>
  <c r="AH85" i="23"/>
  <c r="W275" i="23"/>
  <c r="T267" i="23"/>
  <c r="U63" i="21"/>
  <c r="AH87" i="23"/>
  <c r="F267" i="23"/>
  <c r="M275" i="23"/>
  <c r="U62" i="21"/>
  <c r="AH86" i="23"/>
  <c r="AC54" i="21"/>
  <c r="K152" i="23"/>
  <c r="Q55" i="21"/>
  <c r="O79" i="23"/>
  <c r="O268" i="23" l="1"/>
  <c r="C85" i="21"/>
  <c r="C76" i="21"/>
  <c r="E77" i="21" s="1"/>
  <c r="E79" i="21" s="1"/>
  <c r="C82" i="21"/>
  <c r="C86" i="21"/>
  <c r="C77" i="21"/>
  <c r="F77" i="21" s="1"/>
  <c r="F79" i="21" s="1"/>
  <c r="C78" i="21"/>
  <c r="C79" i="21"/>
  <c r="C83" i="21"/>
  <c r="C81" i="21"/>
  <c r="C80" i="21"/>
  <c r="C84" i="21"/>
  <c r="U66" i="21"/>
  <c r="E75" i="21" s="1"/>
  <c r="AH79" i="23"/>
  <c r="V55" i="21"/>
  <c r="H268" i="23"/>
  <c r="S277" i="23"/>
  <c r="AG275" i="23"/>
  <c r="AH267" i="23"/>
  <c r="AO267" i="23"/>
  <c r="N277" i="23"/>
  <c r="Q66" i="21"/>
  <c r="J58" i="21"/>
  <c r="AG154" i="23"/>
  <c r="E76" i="21" l="1"/>
  <c r="G79" i="21"/>
  <c r="V66" i="21"/>
  <c r="F75" i="21" s="1"/>
  <c r="G75" i="21" s="1"/>
  <c r="J57" i="21"/>
  <c r="O82" i="23"/>
  <c r="AP90" i="23"/>
  <c r="AH90" i="23"/>
  <c r="G76" i="21" l="1"/>
  <c r="E80" i="21" s="1"/>
  <c r="Q57" i="21"/>
  <c r="O81" i="23"/>
  <c r="G59" i="31" l="1"/>
  <c r="F42" i="24"/>
  <c r="E81" i="21"/>
  <c r="F42" i="11"/>
  <c r="F43" i="24"/>
  <c r="AH81" i="23"/>
  <c r="V57" i="21"/>
  <c r="G42" i="24" l="1"/>
  <c r="H59" i="31"/>
  <c r="G42" i="11"/>
  <c r="C70" i="21"/>
  <c r="G70" i="21" s="1"/>
  <c r="H70" i="21" s="1"/>
  <c r="R70" i="21" s="1"/>
  <c r="U3" i="21" s="1"/>
  <c r="I291" i="23"/>
  <c r="J70" i="21" l="1"/>
  <c r="C43" i="13"/>
  <c r="O70" i="21" l="1"/>
  <c r="K70" i="21"/>
  <c r="M70" i="21" s="1"/>
  <c r="Z9" i="21" l="1"/>
  <c r="Y10" i="21"/>
  <c r="Y12" i="21"/>
  <c r="Y14" i="21"/>
  <c r="Y16" i="21"/>
  <c r="Y18" i="21"/>
  <c r="Y20" i="21"/>
  <c r="Y22" i="21"/>
  <c r="Y24" i="21"/>
  <c r="Y26" i="21"/>
  <c r="Y28" i="21"/>
  <c r="Y30" i="21"/>
  <c r="Y32" i="21"/>
  <c r="Y34" i="21"/>
  <c r="Y36" i="21"/>
  <c r="Y38" i="21"/>
  <c r="Y40" i="21"/>
  <c r="Y42" i="21"/>
  <c r="Y44" i="21"/>
  <c r="Y46" i="21"/>
  <c r="Y48" i="21"/>
  <c r="Z32" i="21"/>
  <c r="Z36" i="21"/>
  <c r="Z40" i="21"/>
  <c r="Z44" i="21"/>
  <c r="Z46" i="21"/>
  <c r="Z21" i="21"/>
  <c r="Z29" i="21"/>
  <c r="Z35" i="21"/>
  <c r="Z41" i="21"/>
  <c r="Z47" i="21"/>
  <c r="Z10" i="21"/>
  <c r="Z12" i="21"/>
  <c r="Z14" i="21"/>
  <c r="Z16" i="21"/>
  <c r="Z18" i="21"/>
  <c r="Z20" i="21"/>
  <c r="Z22" i="21"/>
  <c r="Z24" i="21"/>
  <c r="Z26" i="21"/>
  <c r="Z28" i="21"/>
  <c r="Z30" i="21"/>
  <c r="Z34" i="21"/>
  <c r="Z38" i="21"/>
  <c r="Z42" i="21"/>
  <c r="Z48" i="21"/>
  <c r="Z25" i="21"/>
  <c r="Z37" i="21"/>
  <c r="Z43" i="21"/>
  <c r="Z49" i="21"/>
  <c r="Y11" i="21"/>
  <c r="Y13" i="21"/>
  <c r="Y15" i="21"/>
  <c r="Y17" i="21"/>
  <c r="Y19" i="21"/>
  <c r="Y21" i="21"/>
  <c r="Y23" i="21"/>
  <c r="Y25" i="21"/>
  <c r="Y27" i="21"/>
  <c r="Y29" i="21"/>
  <c r="L37" i="31" s="1"/>
  <c r="Y31" i="21"/>
  <c r="Y33" i="21"/>
  <c r="Y35" i="21"/>
  <c r="Y37" i="21"/>
  <c r="Y39" i="21"/>
  <c r="Y41" i="21"/>
  <c r="Y43" i="21"/>
  <c r="Y45" i="21"/>
  <c r="Y47" i="21"/>
  <c r="Y49" i="21"/>
  <c r="Z11" i="21"/>
  <c r="Z13" i="21"/>
  <c r="Z15" i="21"/>
  <c r="Z17" i="21"/>
  <c r="Z19" i="21"/>
  <c r="Z23" i="21"/>
  <c r="Z27" i="21"/>
  <c r="Z31" i="21"/>
  <c r="Z33" i="21"/>
  <c r="Z39" i="21"/>
  <c r="Z45" i="21"/>
  <c r="Y9" i="21"/>
  <c r="P70" i="21"/>
  <c r="AA48" i="21" s="1"/>
  <c r="F56" i="31" s="1"/>
  <c r="N70" i="21"/>
  <c r="N3" i="21"/>
  <c r="F12" i="31" s="1"/>
  <c r="D12" i="3"/>
  <c r="H4" i="3"/>
  <c r="E4" i="3"/>
  <c r="C4" i="3"/>
  <c r="H3" i="3"/>
  <c r="E3" i="3"/>
  <c r="C3" i="3"/>
  <c r="L28" i="31" l="1"/>
  <c r="L51" i="31"/>
  <c r="L24" i="31"/>
  <c r="L21" i="31"/>
  <c r="L46" i="31"/>
  <c r="L42" i="31"/>
  <c r="L33" i="31"/>
  <c r="L22" i="31"/>
  <c r="AD15" i="21"/>
  <c r="H23" i="31" s="1"/>
  <c r="AD10" i="21"/>
  <c r="H18" i="31" s="1"/>
  <c r="AD20" i="21"/>
  <c r="H28" i="31" s="1"/>
  <c r="L44" i="31"/>
  <c r="L34" i="31"/>
  <c r="L20" i="31"/>
  <c r="AD19" i="21"/>
  <c r="H27" i="31" s="1"/>
  <c r="L50" i="31"/>
  <c r="AD28" i="21"/>
  <c r="H36" i="31" s="1"/>
  <c r="L38" i="31"/>
  <c r="L39" i="31"/>
  <c r="L48" i="31"/>
  <c r="AC41" i="21"/>
  <c r="K49" i="31" s="1"/>
  <c r="AD43" i="21"/>
  <c r="H51" i="31" s="1"/>
  <c r="L29" i="31"/>
  <c r="AD32" i="21"/>
  <c r="H40" i="31" s="1"/>
  <c r="L26" i="31"/>
  <c r="AD33" i="21"/>
  <c r="H41" i="31" s="1"/>
  <c r="AA28" i="21"/>
  <c r="F36" i="31" s="1"/>
  <c r="AB26" i="21"/>
  <c r="J34" i="31" s="1"/>
  <c r="AC28" i="21"/>
  <c r="K36" i="31" s="1"/>
  <c r="AC49" i="21"/>
  <c r="K57" i="31" s="1"/>
  <c r="AA43" i="21"/>
  <c r="F51" i="31" s="1"/>
  <c r="AC18" i="21"/>
  <c r="K26" i="31" s="1"/>
  <c r="AC27" i="21"/>
  <c r="K35" i="31" s="1"/>
  <c r="AA44" i="21"/>
  <c r="F52" i="31" s="1"/>
  <c r="AA24" i="21"/>
  <c r="F32" i="31" s="1"/>
  <c r="AB18" i="21"/>
  <c r="J26" i="31" s="1"/>
  <c r="AA12" i="21"/>
  <c r="F20" i="31" s="1"/>
  <c r="AA17" i="21"/>
  <c r="F25" i="31" s="1"/>
  <c r="AA13" i="21"/>
  <c r="F21" i="31" s="1"/>
  <c r="AA34" i="21"/>
  <c r="F42" i="31" s="1"/>
  <c r="AB20" i="21"/>
  <c r="J28" i="31" s="1"/>
  <c r="AA27" i="21"/>
  <c r="F35" i="31" s="1"/>
  <c r="AD39" i="21"/>
  <c r="H47" i="31" s="1"/>
  <c r="AC22" i="21"/>
  <c r="K30" i="31" s="1"/>
  <c r="AC31" i="21"/>
  <c r="K39" i="31" s="1"/>
  <c r="AA37" i="21"/>
  <c r="F45" i="31" s="1"/>
  <c r="AB32" i="21"/>
  <c r="J40" i="31" s="1"/>
  <c r="AA29" i="21"/>
  <c r="F37" i="31" s="1"/>
  <c r="AB10" i="21"/>
  <c r="J18" i="31" s="1"/>
  <c r="AB30" i="21"/>
  <c r="J38" i="31" s="1"/>
  <c r="AA40" i="21"/>
  <c r="F48" i="31" s="1"/>
  <c r="AA32" i="21"/>
  <c r="F40" i="31" s="1"/>
  <c r="AC30" i="21"/>
  <c r="K38" i="31" s="1"/>
  <c r="AB40" i="21"/>
  <c r="J48" i="31" s="1"/>
  <c r="AB46" i="21"/>
  <c r="J54" i="31" s="1"/>
  <c r="AC45" i="21"/>
  <c r="K53" i="31" s="1"/>
  <c r="AA35" i="21"/>
  <c r="F43" i="31" s="1"/>
  <c r="AB38" i="21"/>
  <c r="J46" i="31" s="1"/>
  <c r="AB41" i="21"/>
  <c r="J49" i="31" s="1"/>
  <c r="AC40" i="21"/>
  <c r="K48" i="31" s="1"/>
  <c r="L23" i="31"/>
  <c r="AB33" i="21"/>
  <c r="J41" i="31" s="1"/>
  <c r="AB34" i="21"/>
  <c r="J42" i="31" s="1"/>
  <c r="AA26" i="21"/>
  <c r="F34" i="31" s="1"/>
  <c r="AB42" i="21"/>
  <c r="J50" i="31" s="1"/>
  <c r="AC35" i="21"/>
  <c r="K43" i="31" s="1"/>
  <c r="AA21" i="21"/>
  <c r="F29" i="31" s="1"/>
  <c r="AB36" i="21"/>
  <c r="J44" i="31" s="1"/>
  <c r="AD49" i="21"/>
  <c r="H57" i="31" s="1"/>
  <c r="AC10" i="21"/>
  <c r="K18" i="31" s="1"/>
  <c r="AC33" i="21"/>
  <c r="K41" i="31" s="1"/>
  <c r="AB11" i="21"/>
  <c r="J19" i="31" s="1"/>
  <c r="AC14" i="21"/>
  <c r="K22" i="31" s="1"/>
  <c r="AA46" i="21"/>
  <c r="F54" i="31" s="1"/>
  <c r="AC44" i="21"/>
  <c r="K52" i="31" s="1"/>
  <c r="AA31" i="21"/>
  <c r="F39" i="31" s="1"/>
  <c r="AB25" i="21"/>
  <c r="J33" i="31" s="1"/>
  <c r="AC25" i="21"/>
  <c r="K33" i="31" s="1"/>
  <c r="AB13" i="21"/>
  <c r="J21" i="31" s="1"/>
  <c r="AC47" i="21"/>
  <c r="K55" i="31" s="1"/>
  <c r="AD12" i="21"/>
  <c r="H20" i="31" s="1"/>
  <c r="AA20" i="21"/>
  <c r="F28" i="31" s="1"/>
  <c r="AA39" i="21"/>
  <c r="F47" i="31" s="1"/>
  <c r="AB19" i="21"/>
  <c r="J27" i="31" s="1"/>
  <c r="AC39" i="21"/>
  <c r="K47" i="31" s="1"/>
  <c r="AB9" i="21"/>
  <c r="J17" i="31" s="1"/>
  <c r="AA16" i="21"/>
  <c r="F24" i="31" s="1"/>
  <c r="AA23" i="21"/>
  <c r="F31" i="31" s="1"/>
  <c r="AC43" i="21"/>
  <c r="K51" i="31" s="1"/>
  <c r="AB29" i="21"/>
  <c r="J37" i="31" s="1"/>
  <c r="AC13" i="21"/>
  <c r="K21" i="31" s="1"/>
  <c r="AB43" i="21"/>
  <c r="J51" i="31" s="1"/>
  <c r="AC42" i="21"/>
  <c r="K50" i="31" s="1"/>
  <c r="AB39" i="21"/>
  <c r="J47" i="31" s="1"/>
  <c r="AD38" i="21"/>
  <c r="H46" i="31" s="1"/>
  <c r="AA36" i="21"/>
  <c r="F44" i="31" s="1"/>
  <c r="AB48" i="21"/>
  <c r="J56" i="31" s="1"/>
  <c r="AB15" i="21"/>
  <c r="J23" i="31" s="1"/>
  <c r="AA30" i="21"/>
  <c r="F38" i="31" s="1"/>
  <c r="AD30" i="21"/>
  <c r="H38" i="31" s="1"/>
  <c r="AB23" i="21"/>
  <c r="J31" i="31" s="1"/>
  <c r="AB12" i="21"/>
  <c r="J20" i="31" s="1"/>
  <c r="AA45" i="21"/>
  <c r="F53" i="31" s="1"/>
  <c r="AA18" i="21"/>
  <c r="F26" i="31" s="1"/>
  <c r="AC37" i="21"/>
  <c r="K45" i="31" s="1"/>
  <c r="AC24" i="21"/>
  <c r="K32" i="31" s="1"/>
  <c r="AB35" i="21"/>
  <c r="J43" i="31" s="1"/>
  <c r="AC16" i="21"/>
  <c r="K24" i="31" s="1"/>
  <c r="AB27" i="21"/>
  <c r="J35" i="31" s="1"/>
  <c r="AB45" i="21"/>
  <c r="J53" i="31" s="1"/>
  <c r="AD21" i="21"/>
  <c r="H29" i="31" s="1"/>
  <c r="AD18" i="21"/>
  <c r="H26" i="31" s="1"/>
  <c r="AD36" i="21"/>
  <c r="H44" i="31" s="1"/>
  <c r="L27" i="31"/>
  <c r="AB28" i="21"/>
  <c r="J36" i="31" s="1"/>
  <c r="AB47" i="21"/>
  <c r="J55" i="31" s="1"/>
  <c r="AC46" i="21"/>
  <c r="K54" i="31" s="1"/>
  <c r="AA10" i="21"/>
  <c r="F18" i="31" s="1"/>
  <c r="AB21" i="21"/>
  <c r="J29" i="31" s="1"/>
  <c r="AC32" i="21"/>
  <c r="K40" i="31" s="1"/>
  <c r="AD40" i="21"/>
  <c r="H48" i="31" s="1"/>
  <c r="AA47" i="21"/>
  <c r="F55" i="31" s="1"/>
  <c r="AD44" i="21"/>
  <c r="H52" i="31" s="1"/>
  <c r="AC48" i="21"/>
  <c r="K56" i="31" s="1"/>
  <c r="AC19" i="21"/>
  <c r="K27" i="31" s="1"/>
  <c r="AA14" i="21"/>
  <c r="F22" i="31" s="1"/>
  <c r="AC11" i="21"/>
  <c r="K19" i="31" s="1"/>
  <c r="AB14" i="21"/>
  <c r="J22" i="31" s="1"/>
  <c r="AA15" i="21"/>
  <c r="F23" i="31" s="1"/>
  <c r="AA38" i="21"/>
  <c r="F46" i="31" s="1"/>
  <c r="AC20" i="21"/>
  <c r="K28" i="31" s="1"/>
  <c r="AC17" i="21"/>
  <c r="K25" i="31" s="1"/>
  <c r="AC38" i="21"/>
  <c r="K46" i="31" s="1"/>
  <c r="AC29" i="21"/>
  <c r="K37" i="31" s="1"/>
  <c r="AC15" i="21"/>
  <c r="K23" i="31" s="1"/>
  <c r="AA42" i="21"/>
  <c r="F50" i="31" s="1"/>
  <c r="AB17" i="21"/>
  <c r="J25" i="31" s="1"/>
  <c r="AB24" i="21"/>
  <c r="J32" i="31" s="1"/>
  <c r="AA19" i="21"/>
  <c r="F27" i="31" s="1"/>
  <c r="AA41" i="21"/>
  <c r="F49" i="31" s="1"/>
  <c r="AD42" i="21"/>
  <c r="H50" i="31" s="1"/>
  <c r="AD27" i="21"/>
  <c r="H35" i="31" s="1"/>
  <c r="AD24" i="21"/>
  <c r="H32" i="31" s="1"/>
  <c r="L53" i="31"/>
  <c r="L47" i="31"/>
  <c r="L40" i="31"/>
  <c r="AD22" i="21"/>
  <c r="H30" i="31" s="1"/>
  <c r="AD9" i="21"/>
  <c r="H17" i="31" s="1"/>
  <c r="L31" i="31"/>
  <c r="L41" i="31"/>
  <c r="AD34" i="21"/>
  <c r="H42" i="31" s="1"/>
  <c r="L30" i="31"/>
  <c r="AD23" i="21"/>
  <c r="H31" i="31" s="1"/>
  <c r="AA22" i="21"/>
  <c r="F30" i="31" s="1"/>
  <c r="AB22" i="21"/>
  <c r="J30" i="31" s="1"/>
  <c r="AC12" i="21"/>
  <c r="K20" i="31" s="1"/>
  <c r="AA33" i="21"/>
  <c r="F41" i="31" s="1"/>
  <c r="AB16" i="21"/>
  <c r="J24" i="31" s="1"/>
  <c r="AA11" i="21"/>
  <c r="F19" i="31" s="1"/>
  <c r="AA49" i="21"/>
  <c r="F57" i="31" s="1"/>
  <c r="AC9" i="21"/>
  <c r="K17" i="31" s="1"/>
  <c r="AC23" i="21"/>
  <c r="K31" i="31" s="1"/>
  <c r="S70" i="21"/>
  <c r="AD48" i="21"/>
  <c r="H56" i="31" s="1"/>
  <c r="AD17" i="21"/>
  <c r="H25" i="31" s="1"/>
  <c r="L52" i="31"/>
  <c r="AD35" i="21"/>
  <c r="H43" i="31" s="1"/>
  <c r="AD13" i="21"/>
  <c r="H21" i="31" s="1"/>
  <c r="AD26" i="21"/>
  <c r="H34" i="31" s="1"/>
  <c r="AC34" i="21"/>
  <c r="K42" i="31" s="1"/>
  <c r="AA9" i="21"/>
  <c r="F17" i="31" s="1"/>
  <c r="AB37" i="21"/>
  <c r="J45" i="31" s="1"/>
  <c r="AB44" i="21"/>
  <c r="J52" i="31" s="1"/>
  <c r="AA25" i="21"/>
  <c r="F33" i="31" s="1"/>
  <c r="AB31" i="21"/>
  <c r="J39" i="31" s="1"/>
  <c r="AB49" i="21"/>
  <c r="J57" i="31" s="1"/>
  <c r="AC26" i="21"/>
  <c r="K34" i="31" s="1"/>
  <c r="AC36" i="21"/>
  <c r="K44" i="31" s="1"/>
  <c r="AD37" i="21"/>
  <c r="H45" i="31" s="1"/>
  <c r="AD47" i="21"/>
  <c r="H55" i="31" s="1"/>
  <c r="AD11" i="21"/>
  <c r="H19" i="31" s="1"/>
  <c r="L54" i="31"/>
  <c r="AD41" i="21"/>
  <c r="H49" i="31" s="1"/>
  <c r="L36" i="31"/>
  <c r="L57" i="31"/>
  <c r="L49" i="31"/>
  <c r="L25" i="31"/>
  <c r="AD31" i="21"/>
  <c r="H39" i="31" s="1"/>
  <c r="L55" i="31"/>
  <c r="L19" i="31"/>
  <c r="L45" i="31"/>
  <c r="L56" i="31"/>
  <c r="AD46" i="21"/>
  <c r="H54" i="31" s="1"/>
  <c r="L43" i="31"/>
  <c r="AD29" i="21"/>
  <c r="H37" i="31" s="1"/>
  <c r="L32" i="31"/>
  <c r="AD45" i="21"/>
  <c r="H53" i="31" s="1"/>
  <c r="AC21" i="21"/>
  <c r="K29" i="31" s="1"/>
  <c r="AD16" i="21"/>
  <c r="H24" i="31" s="1"/>
  <c r="L18" i="31"/>
  <c r="L35" i="31"/>
  <c r="AD25" i="21"/>
  <c r="H33" i="31" s="1"/>
  <c r="AD14" i="21"/>
  <c r="H22" i="31" s="1"/>
  <c r="B27" i="3"/>
  <c r="B25" i="3"/>
  <c r="B23" i="3"/>
  <c r="B21" i="3"/>
  <c r="B19" i="3"/>
  <c r="B17" i="3"/>
  <c r="B15" i="3"/>
  <c r="E8" i="3"/>
  <c r="B14" i="3" s="1"/>
  <c r="C14" i="3" s="1"/>
  <c r="D8" i="3"/>
  <c r="AE8" i="21" l="1"/>
  <c r="V3" i="21" s="1"/>
  <c r="A50" i="13" s="1"/>
  <c r="L17" i="31"/>
  <c r="AF49" i="21"/>
  <c r="Q57" i="31" s="1"/>
  <c r="AF48" i="21"/>
  <c r="Q56" i="31" s="1"/>
  <c r="AF44" i="21"/>
  <c r="Q52" i="31" s="1"/>
  <c r="AF40" i="21"/>
  <c r="Q48" i="31" s="1"/>
  <c r="AF36" i="21"/>
  <c r="Q44" i="31" s="1"/>
  <c r="AF32" i="21"/>
  <c r="Q40" i="31" s="1"/>
  <c r="AF28" i="21"/>
  <c r="Q36" i="31" s="1"/>
  <c r="AF24" i="21"/>
  <c r="Q32" i="31" s="1"/>
  <c r="AF20" i="21"/>
  <c r="Q28" i="31" s="1"/>
  <c r="AF16" i="21"/>
  <c r="Q24" i="31" s="1"/>
  <c r="AF12" i="21"/>
  <c r="Q20" i="31" s="1"/>
  <c r="AF23" i="21"/>
  <c r="Q31" i="31" s="1"/>
  <c r="AF15" i="21"/>
  <c r="Q23" i="31" s="1"/>
  <c r="AF46" i="21"/>
  <c r="Q54" i="31" s="1"/>
  <c r="AF42" i="21"/>
  <c r="Q50" i="31" s="1"/>
  <c r="AF38" i="21"/>
  <c r="Q46" i="31" s="1"/>
  <c r="AF34" i="21"/>
  <c r="Q42" i="31" s="1"/>
  <c r="AF26" i="21"/>
  <c r="Q34" i="31" s="1"/>
  <c r="AF18" i="21"/>
  <c r="Q26" i="31" s="1"/>
  <c r="AF45" i="21"/>
  <c r="Q53" i="31" s="1"/>
  <c r="AF37" i="21"/>
  <c r="Q45" i="31" s="1"/>
  <c r="AF29" i="21"/>
  <c r="Q37" i="31" s="1"/>
  <c r="AF21" i="21"/>
  <c r="Q29" i="31" s="1"/>
  <c r="AF13" i="21"/>
  <c r="Q21" i="31" s="1"/>
  <c r="AF47" i="21"/>
  <c r="Q55" i="31" s="1"/>
  <c r="AF43" i="21"/>
  <c r="Q51" i="31" s="1"/>
  <c r="AF39" i="21"/>
  <c r="Q47" i="31" s="1"/>
  <c r="AF35" i="21"/>
  <c r="Q43" i="31" s="1"/>
  <c r="AF31" i="21"/>
  <c r="Q39" i="31" s="1"/>
  <c r="AF27" i="21"/>
  <c r="Q35" i="31" s="1"/>
  <c r="AF19" i="21"/>
  <c r="Q27" i="31" s="1"/>
  <c r="AF11" i="21"/>
  <c r="Q19" i="31" s="1"/>
  <c r="AF30" i="21"/>
  <c r="Q38" i="31" s="1"/>
  <c r="AF22" i="21"/>
  <c r="Q30" i="31" s="1"/>
  <c r="AF14" i="21"/>
  <c r="Q22" i="31" s="1"/>
  <c r="AF10" i="21"/>
  <c r="Q18" i="31" s="1"/>
  <c r="AF41" i="21"/>
  <c r="Q49" i="31" s="1"/>
  <c r="AF33" i="21"/>
  <c r="Q41" i="31" s="1"/>
  <c r="AF25" i="21"/>
  <c r="Q33" i="31" s="1"/>
  <c r="AF17" i="21"/>
  <c r="Q25" i="31" s="1"/>
  <c r="AF9" i="21"/>
  <c r="Q17" i="31" s="1"/>
  <c r="T70" i="21"/>
  <c r="F41" i="11" s="1"/>
  <c r="C30" i="3"/>
  <c r="C38" i="3"/>
  <c r="C44" i="3"/>
  <c r="C52" i="3"/>
  <c r="C16" i="3"/>
  <c r="C18" i="3"/>
  <c r="C20" i="3"/>
  <c r="C22" i="3"/>
  <c r="C24" i="3"/>
  <c r="C26" i="3"/>
  <c r="C28" i="3"/>
  <c r="C31" i="3"/>
  <c r="C32" i="3"/>
  <c r="C43" i="3"/>
  <c r="C47" i="3"/>
  <c r="C51" i="3"/>
  <c r="C55" i="3"/>
  <c r="C33" i="3"/>
  <c r="C39" i="3"/>
  <c r="C48" i="3"/>
  <c r="B16" i="3"/>
  <c r="B18" i="3"/>
  <c r="B20" i="3"/>
  <c r="B22" i="3"/>
  <c r="B24" i="3"/>
  <c r="B26" i="3"/>
  <c r="B28" i="3"/>
  <c r="C29" i="3"/>
  <c r="C34" i="3"/>
  <c r="C37" i="3"/>
  <c r="C42" i="3"/>
  <c r="C46" i="3"/>
  <c r="C50" i="3"/>
  <c r="C54" i="3"/>
  <c r="D14" i="3"/>
  <c r="E14" i="3" s="1"/>
  <c r="F14" i="3" s="1"/>
  <c r="G14" i="3" s="1"/>
  <c r="H14" i="3" s="1"/>
  <c r="C15" i="3"/>
  <c r="C17" i="3"/>
  <c r="C19" i="3"/>
  <c r="C21" i="3"/>
  <c r="C23" i="3"/>
  <c r="C25" i="3"/>
  <c r="C27" i="3"/>
  <c r="C35" i="3"/>
  <c r="C36" i="3"/>
  <c r="C40" i="3"/>
  <c r="C41" i="3"/>
  <c r="C45" i="3"/>
  <c r="C49" i="3"/>
  <c r="C53" i="3"/>
  <c r="B31" i="3"/>
  <c r="B35" i="3"/>
  <c r="B39" i="3"/>
  <c r="B34" i="3"/>
  <c r="B32" i="3"/>
  <c r="B36" i="3"/>
  <c r="B30" i="3"/>
  <c r="B29" i="3"/>
  <c r="B33" i="3"/>
  <c r="B37" i="3"/>
  <c r="B38" i="3"/>
  <c r="B40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F41" i="24" l="1"/>
  <c r="C8" i="3"/>
  <c r="B41" i="3"/>
  <c r="B8" i="3"/>
  <c r="A39" i="24" l="1"/>
  <c r="A31" i="30"/>
  <c r="A39" i="11"/>
  <c r="A30" i="30"/>
  <c r="A38" i="24"/>
  <c r="A38" i="11"/>
  <c r="A29" i="30"/>
  <c r="A37" i="24"/>
  <c r="A37" i="11"/>
  <c r="A14" i="30" l="1"/>
  <c r="A22" i="24"/>
  <c r="A22" i="11"/>
  <c r="A22" i="30"/>
  <c r="A30" i="24"/>
  <c r="A30" i="11"/>
  <c r="A11" i="30"/>
  <c r="A19" i="24"/>
  <c r="A19" i="11"/>
  <c r="A27" i="24"/>
  <c r="A19" i="30"/>
  <c r="A27" i="11"/>
  <c r="A24" i="24"/>
  <c r="A16" i="30"/>
  <c r="A24" i="11"/>
  <c r="A20" i="30"/>
  <c r="A28" i="24"/>
  <c r="A28" i="11"/>
  <c r="A32" i="24"/>
  <c r="A24" i="30"/>
  <c r="A32" i="11"/>
  <c r="A36" i="24"/>
  <c r="A28" i="30"/>
  <c r="A36" i="11"/>
  <c r="A10" i="30"/>
  <c r="A18" i="24"/>
  <c r="A18" i="11"/>
  <c r="A18" i="30"/>
  <c r="A26" i="24"/>
  <c r="A26" i="11"/>
  <c r="A26" i="30"/>
  <c r="A34" i="24"/>
  <c r="A34" i="11"/>
  <c r="A15" i="30"/>
  <c r="A23" i="24"/>
  <c r="A23" i="11"/>
  <c r="A23" i="30"/>
  <c r="A31" i="24"/>
  <c r="A31" i="11"/>
  <c r="A27" i="30"/>
  <c r="A35" i="24"/>
  <c r="A35" i="11"/>
  <c r="A20" i="24"/>
  <c r="A12" i="30"/>
  <c r="A20" i="11"/>
  <c r="A17" i="24"/>
  <c r="A9" i="30"/>
  <c r="A17" i="11"/>
  <c r="A13" i="30"/>
  <c r="A21" i="24"/>
  <c r="A21" i="11"/>
  <c r="A25" i="24"/>
  <c r="A17" i="30"/>
  <c r="A25" i="11"/>
  <c r="A21" i="30"/>
  <c r="A29" i="24"/>
  <c r="A29" i="11"/>
  <c r="A33" i="24"/>
  <c r="A25" i="30"/>
  <c r="A33" i="11"/>
  <c r="H31" i="30" l="1"/>
  <c r="H23" i="30"/>
  <c r="H28" i="30"/>
  <c r="F12" i="11"/>
  <c r="F12" i="24" l="1"/>
  <c r="H10" i="30"/>
  <c r="H18" i="30"/>
  <c r="H9" i="30"/>
  <c r="H24" i="30"/>
  <c r="H30" i="30"/>
  <c r="H29" i="30"/>
  <c r="G11" i="30"/>
  <c r="G29" i="30"/>
  <c r="G12" i="30"/>
  <c r="G15" i="30"/>
  <c r="G20" i="30"/>
  <c r="G23" i="30"/>
  <c r="G18" i="30"/>
  <c r="G25" i="30"/>
  <c r="G30" i="30"/>
  <c r="G10" i="30"/>
  <c r="G16" i="30"/>
  <c r="G27" i="30"/>
  <c r="G26" i="30"/>
  <c r="G9" i="30"/>
  <c r="G14" i="30"/>
  <c r="G17" i="30"/>
  <c r="G24" i="30"/>
  <c r="G13" i="30"/>
  <c r="G19" i="30"/>
  <c r="G21" i="30"/>
  <c r="G22" i="30"/>
  <c r="G28" i="30"/>
  <c r="F18" i="30"/>
  <c r="F13" i="30"/>
  <c r="F9" i="30"/>
  <c r="F12" i="30"/>
  <c r="F10" i="30"/>
  <c r="H19" i="30"/>
  <c r="H20" i="30"/>
  <c r="H22" i="30"/>
  <c r="H21" i="30"/>
  <c r="H27" i="30"/>
  <c r="F16" i="30"/>
  <c r="F14" i="30"/>
  <c r="F17" i="30"/>
  <c r="F11" i="30"/>
  <c r="F15" i="30"/>
  <c r="H26" i="30"/>
  <c r="H25" i="30"/>
  <c r="F30" i="30"/>
  <c r="E13" i="30"/>
  <c r="E21" i="30"/>
  <c r="F25" i="30"/>
  <c r="F24" i="30"/>
  <c r="E15" i="30"/>
  <c r="E16" i="30"/>
  <c r="E11" i="30"/>
  <c r="F20" i="30"/>
  <c r="F29" i="30"/>
  <c r="F21" i="30"/>
  <c r="E25" i="30"/>
  <c r="F31" i="30"/>
  <c r="F26" i="30"/>
  <c r="E29" i="30"/>
  <c r="E12" i="30"/>
  <c r="E17" i="30"/>
  <c r="E24" i="30"/>
  <c r="E20" i="30"/>
  <c r="E30" i="30"/>
  <c r="E18" i="30"/>
  <c r="F27" i="30"/>
  <c r="E27" i="30"/>
  <c r="E23" i="30"/>
  <c r="F28" i="30"/>
  <c r="E22" i="30"/>
  <c r="E31" i="30"/>
  <c r="E14" i="30"/>
  <c r="E26" i="30"/>
  <c r="E28" i="30"/>
  <c r="E10" i="30"/>
  <c r="F23" i="30"/>
  <c r="F19" i="30"/>
  <c r="E9" i="30"/>
  <c r="E19" i="30"/>
  <c r="F22" i="30"/>
  <c r="G31" i="30"/>
  <c r="F34" i="11" l="1"/>
  <c r="F34" i="24"/>
  <c r="G35" i="11"/>
  <c r="G35" i="24"/>
  <c r="F17" i="11"/>
  <c r="F17" i="24"/>
  <c r="F18" i="11"/>
  <c r="F18" i="24"/>
  <c r="G28" i="11"/>
  <c r="G28" i="24"/>
  <c r="G34" i="11"/>
  <c r="G34" i="24"/>
  <c r="F35" i="11"/>
  <c r="F35" i="24"/>
  <c r="F26" i="11"/>
  <c r="F26" i="24"/>
  <c r="F38" i="11"/>
  <c r="F38" i="24"/>
  <c r="G38" i="11"/>
  <c r="G38" i="24"/>
  <c r="F25" i="11"/>
  <c r="F25" i="24"/>
  <c r="F37" i="11"/>
  <c r="F37" i="24"/>
  <c r="F33" i="11"/>
  <c r="F33" i="24"/>
  <c r="F19" i="11"/>
  <c r="F19" i="24"/>
  <c r="G23" i="11"/>
  <c r="G23" i="24"/>
  <c r="G25" i="11"/>
  <c r="G25" i="24"/>
  <c r="G24" i="11"/>
  <c r="G24" i="24"/>
  <c r="G20" i="11"/>
  <c r="G20" i="24"/>
  <c r="G21" i="11"/>
  <c r="G21" i="24"/>
  <c r="F22" i="11"/>
  <c r="F22" i="24"/>
  <c r="G37" i="11"/>
  <c r="G37" i="24"/>
  <c r="F27" i="11"/>
  <c r="F27" i="24"/>
  <c r="F36" i="11"/>
  <c r="F36" i="24"/>
  <c r="G39" i="11"/>
  <c r="G39" i="24"/>
  <c r="G36" i="11"/>
  <c r="G36" i="24"/>
  <c r="G29" i="11"/>
  <c r="G29" i="24"/>
  <c r="F20" i="11"/>
  <c r="F20" i="24"/>
  <c r="F24" i="11"/>
  <c r="F24" i="24"/>
  <c r="F29" i="11"/>
  <c r="F29" i="24"/>
  <c r="F30" i="11"/>
  <c r="F30" i="24"/>
  <c r="F28" i="11"/>
  <c r="F28" i="24"/>
  <c r="G32" i="11"/>
  <c r="G32" i="24"/>
  <c r="G33" i="11"/>
  <c r="G33" i="24"/>
  <c r="F39" i="11"/>
  <c r="F39" i="24"/>
  <c r="G30" i="11"/>
  <c r="G30" i="24"/>
  <c r="F31" i="11"/>
  <c r="F31" i="24"/>
  <c r="G31" i="11"/>
  <c r="G31" i="24"/>
  <c r="F32" i="11"/>
  <c r="F32" i="24"/>
  <c r="G27" i="11"/>
  <c r="G27" i="24"/>
  <c r="F23" i="11"/>
  <c r="F23" i="24"/>
  <c r="F21" i="11"/>
  <c r="F21" i="24"/>
  <c r="G19" i="11"/>
  <c r="G19" i="24"/>
  <c r="G22" i="11"/>
  <c r="G22" i="24"/>
  <c r="G18" i="11"/>
  <c r="G18" i="24"/>
  <c r="G17" i="11"/>
  <c r="G17" i="24"/>
  <c r="G26" i="11"/>
  <c r="G26" i="24"/>
  <c r="H16" i="30"/>
  <c r="H15" i="30"/>
  <c r="H17" i="30"/>
  <c r="H14" i="30"/>
  <c r="H12" i="30"/>
  <c r="H11" i="30"/>
  <c r="H13" i="30"/>
  <c r="C9" i="25"/>
  <c r="C8" i="25"/>
  <c r="C7" i="25"/>
  <c r="C6" i="25"/>
  <c r="F9" i="24" l="1"/>
  <c r="F8" i="24"/>
  <c r="F7" i="24"/>
  <c r="F6" i="24"/>
  <c r="A4" i="24"/>
  <c r="F9" i="11" l="1"/>
  <c r="F8" i="11"/>
  <c r="F7" i="11"/>
  <c r="F6" i="11"/>
  <c r="A43" i="24" l="1"/>
  <c r="A4" i="11"/>
  <c r="I96" i="23" l="1"/>
  <c r="V114" i="23"/>
  <c r="AI114" i="23" s="1"/>
  <c r="O116" i="23" s="1"/>
  <c r="U116" i="23" s="1"/>
  <c r="O120" i="23" s="1"/>
  <c r="V120" i="23" s="1"/>
  <c r="I111" i="23"/>
  <c r="I126" i="23"/>
  <c r="R114" i="23"/>
  <c r="AE114" i="23" s="1"/>
  <c r="AB152" i="23" l="1"/>
  <c r="P152" i="23"/>
  <c r="I138" i="23"/>
  <c r="V152" i="23"/>
  <c r="R275" i="23" l="1"/>
  <c r="M267" i="23"/>
  <c r="AH152" i="23"/>
  <c r="O159" i="23"/>
  <c r="V159" i="23" s="1"/>
  <c r="AM274" i="23" l="1"/>
  <c r="AB275" i="23"/>
  <c r="AA267" i="23"/>
  <c r="F269" i="23" l="1"/>
  <c r="F271" i="23" s="1"/>
  <c r="M291" i="23"/>
  <c r="R291" i="23" s="1"/>
  <c r="W291" i="23" s="1"/>
  <c r="L274" i="23"/>
</calcChain>
</file>

<file path=xl/sharedStrings.xml><?xml version="1.0" encoding="utf-8"?>
<sst xmlns="http://schemas.openxmlformats.org/spreadsheetml/2006/main" count="1033" uniqueCount="633">
  <si>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</si>
  <si>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</si>
  <si>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</si>
  <si>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</si>
  <si>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</si>
  <si>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</si>
  <si>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</si>
  <si>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</si>
  <si>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</si>
  <si>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</si>
  <si>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</si>
  <si>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</si>
  <si>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</si>
  <si>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</si>
  <si>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</si>
  <si>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</si>
  <si>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</si>
  <si>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</si>
  <si>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</si>
  <si>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</si>
  <si>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</si>
  <si>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</si>
  <si>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</si>
  <si>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</si>
  <si>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</si>
  <si>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</si>
  <si>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</si>
  <si>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</si>
  <si>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</si>
  <si>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</si>
  <si>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</si>
  <si>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</si>
  <si>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</si>
  <si>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</si>
  <si>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</si>
  <si>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</si>
  <si>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</si>
  <si>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</si>
  <si>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</si>
  <si>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</si>
  <si>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</si>
  <si>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</si>
  <si>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</si>
  <si>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</si>
  <si>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</si>
  <si>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</si>
  <si>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</si>
  <si>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</si>
  <si>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</si>
  <si>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</si>
  <si>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</si>
  <si>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</si>
  <si>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</si>
  <si>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</si>
  <si>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</si>
  <si>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</si>
  <si>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</si>
  <si>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</si>
  <si>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</si>
  <si>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</si>
  <si>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</si>
  <si>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</si>
  <si>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</si>
  <si>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</si>
  <si>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</si>
  <si>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6" type="noConversion"/>
  </si>
  <si>
    <t>기기명(종류)</t>
    <phoneticPr fontId="76" type="noConversion"/>
  </si>
  <si>
    <t>측정값</t>
    <phoneticPr fontId="76" type="noConversion"/>
  </si>
  <si>
    <t>단위</t>
    <phoneticPr fontId="76" type="noConversion"/>
  </si>
  <si>
    <t>보정값</t>
    <phoneticPr fontId="76" type="noConversion"/>
  </si>
  <si>
    <t>불확도 1</t>
    <phoneticPr fontId="76" type="noConversion"/>
  </si>
  <si>
    <t>불확도 단위</t>
    <phoneticPr fontId="76" type="noConversion"/>
  </si>
  <si>
    <t>포함인자</t>
    <phoneticPr fontId="76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</si>
  <si>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</si>
  <si>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</si>
  <si>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</si>
  <si>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</si>
  <si>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</si>
  <si>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◆ 측정불확도 추정보고서 ◆</t>
    <phoneticPr fontId="4" type="noConversion"/>
  </si>
  <si>
    <t>환산계수</t>
    <phoneticPr fontId="4" type="noConversion"/>
  </si>
  <si>
    <t>표준편차</t>
    <phoneticPr fontId="4" type="noConversion"/>
  </si>
  <si>
    <t>C</t>
    <phoneticPr fontId="4" type="noConversion"/>
  </si>
  <si>
    <t>D</t>
    <phoneticPr fontId="4" type="noConversion"/>
  </si>
  <si>
    <t>A5. 불확도 기여도 :</t>
    <phoneticPr fontId="4" type="noConversion"/>
  </si>
  <si>
    <t>|</t>
    <phoneticPr fontId="4" type="noConversion"/>
  </si>
  <si>
    <t>×</t>
    <phoneticPr fontId="4" type="noConversion"/>
  </si>
  <si>
    <t>A6. 자유도 :</t>
    <phoneticPr fontId="4" type="noConversion"/>
  </si>
  <si>
    <t>k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</si>
  <si>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</si>
  <si>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C3. 확률분포 :</t>
    <phoneticPr fontId="4" type="noConversion"/>
  </si>
  <si>
    <t>C4. 감도계수 :</t>
    <phoneticPr fontId="4" type="noConversion"/>
  </si>
  <si>
    <t>C6. 자유도 :</t>
    <phoneticPr fontId="4" type="noConversion"/>
  </si>
  <si>
    <t>D1. 추정값 :</t>
    <phoneticPr fontId="4" type="noConversion"/>
  </si>
  <si>
    <t>+</t>
    <phoneticPr fontId="4" type="noConversion"/>
  </si>
  <si>
    <t>1회</t>
    <phoneticPr fontId="4" type="noConversion"/>
  </si>
  <si>
    <t>● Calibration Result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</si>
  <si>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</si>
  <si>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</si>
  <si>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</si>
  <si>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</si>
  <si>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</si>
  <si>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</si>
  <si>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</si>
  <si>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</si>
  <si>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</si>
  <si>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</si>
  <si>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</si>
  <si>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6" type="noConversion"/>
  </si>
  <si>
    <t>측정위치</t>
    <phoneticPr fontId="76" type="noConversion"/>
  </si>
  <si>
    <t>명목값</t>
    <phoneticPr fontId="76" type="noConversion"/>
  </si>
  <si>
    <t>기준값</t>
    <phoneticPr fontId="76" type="noConversion"/>
  </si>
  <si>
    <t>단위</t>
    <phoneticPr fontId="76" type="noConversion"/>
  </si>
  <si>
    <t>불확도 2</t>
  </si>
  <si>
    <t>비고</t>
    <phoneticPr fontId="4" type="noConversion"/>
  </si>
  <si>
    <t>교정일자</t>
    <phoneticPr fontId="76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</si>
  <si>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</si>
  <si>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</si>
  <si>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</si>
  <si>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t_avr-20</t>
  </si>
  <si>
    <t>δt</t>
  </si>
  <si>
    <t>μm</t>
    <phoneticPr fontId="4" type="noConversion"/>
  </si>
  <si>
    <t>2회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</si>
  <si>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</si>
  <si>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</si>
  <si>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추정값</t>
    <phoneticPr fontId="4" type="noConversion"/>
  </si>
  <si>
    <t>확률분포</t>
    <phoneticPr fontId="4" type="noConversion"/>
  </si>
  <si>
    <t>자유도</t>
    <phoneticPr fontId="4" type="noConversion"/>
  </si>
  <si>
    <t>눈금값</t>
    <phoneticPr fontId="4" type="noConversion"/>
  </si>
  <si>
    <t>A</t>
    <phoneticPr fontId="4" type="noConversion"/>
  </si>
  <si>
    <t>mm</t>
    <phoneticPr fontId="4" type="noConversion"/>
  </si>
  <si>
    <t>E</t>
    <phoneticPr fontId="4" type="noConversion"/>
  </si>
  <si>
    <t>F</t>
    <phoneticPr fontId="4" type="noConversion"/>
  </si>
  <si>
    <t>I</t>
    <phoneticPr fontId="4" type="noConversion"/>
  </si>
  <si>
    <t>4회</t>
  </si>
  <si>
    <t>5회</t>
  </si>
  <si>
    <t>(mm)</t>
    <phoneticPr fontId="4" type="noConversion"/>
  </si>
  <si>
    <t>1. 교정결과</t>
    <phoneticPr fontId="4" type="noConversion"/>
  </si>
  <si>
    <t>(mm)</t>
    <phoneticPr fontId="4" type="noConversion"/>
  </si>
  <si>
    <t>5회</t>
    <phoneticPr fontId="4" type="noConversion"/>
  </si>
  <si>
    <t>■ 수학적 모델</t>
    <phoneticPr fontId="4" type="noConversion"/>
  </si>
  <si>
    <t>:</t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</si>
  <si>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</si>
  <si>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※ 표준불확도 성분은 우연효과로 인한 불확도로써 A형 평가를 통하여 구한다.</t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</si>
  <si>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</si>
  <si>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</si>
  <si>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s</t>
    <phoneticPr fontId="4" type="noConversion"/>
  </si>
  <si>
    <t>=</t>
    <phoneticPr fontId="4" type="noConversion"/>
  </si>
  <si>
    <t>A4. 감도계수 :</t>
    <phoneticPr fontId="4" type="noConversion"/>
  </si>
  <si>
    <t>B1. 추정값 :</t>
    <phoneticPr fontId="4" type="noConversion"/>
  </si>
  <si>
    <t>C1. 추정값 :</t>
    <phoneticPr fontId="4" type="noConversion"/>
  </si>
  <si>
    <t>C2. 표준불확도 :</t>
    <phoneticPr fontId="4" type="noConversion"/>
  </si>
  <si>
    <t>※ 불확도 전파법칙에 의한 수식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</si>
  <si>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</si>
  <si>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</si>
  <si>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</si>
  <si>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</si>
  <si>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t>℃×</t>
    <phoneticPr fontId="4" type="noConversion"/>
  </si>
  <si>
    <t>C5. 불확도 기여량 :</t>
    <phoneticPr fontId="4" type="noConversion"/>
  </si>
  <si>
    <t>｜</t>
    <phoneticPr fontId="4" type="noConversion"/>
  </si>
  <si>
    <t>D2. 표준불확도 :</t>
    <phoneticPr fontId="4" type="noConversion"/>
  </si>
  <si>
    <t>E1. 추정값 :</t>
    <phoneticPr fontId="4" type="noConversion"/>
  </si>
  <si>
    <t>E3. 확률분포 :</t>
    <phoneticPr fontId="4" type="noConversion"/>
  </si>
  <si>
    <t>E4. 감도계수 :</t>
    <phoneticPr fontId="4" type="noConversion"/>
  </si>
  <si>
    <t>E6. 자유도 :</t>
    <phoneticPr fontId="4" type="noConversion"/>
  </si>
  <si>
    <t>F2. 표준불확도 :</t>
    <phoneticPr fontId="4" type="noConversion"/>
  </si>
  <si>
    <t>F4. 감도계수 :</t>
    <phoneticPr fontId="4" type="noConversion"/>
  </si>
  <si>
    <t>F5. 불확도 기여량 :</t>
    <phoneticPr fontId="4" type="noConversion"/>
  </si>
  <si>
    <t>F6. 자유도 :</t>
    <phoneticPr fontId="4" type="noConversion"/>
  </si>
  <si>
    <t>G4. 감도계수 :</t>
    <phoneticPr fontId="4" type="noConversion"/>
  </si>
  <si>
    <t>G6. 자유도 :</t>
    <phoneticPr fontId="4" type="noConversion"/>
  </si>
  <si>
    <t>H1. 추정값 :</t>
    <phoneticPr fontId="4" type="noConversion"/>
  </si>
  <si>
    <t>H4. 감도계수 :</t>
    <phoneticPr fontId="4" type="noConversion"/>
  </si>
  <si>
    <t>H5. 불확도 기여량 :</t>
    <phoneticPr fontId="4" type="noConversion"/>
  </si>
  <si>
    <t>■ 합성표준불확도 계산</t>
    <phoneticPr fontId="4" type="noConversion"/>
  </si>
  <si>
    <t>■ 유효자유도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</si>
  <si>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</si>
  <si>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×</t>
  </si>
  <si>
    <t>전체의 대부분을 차지하는 경우, 주된 성분에 대한 잔여 성분의 크기가 0.3보다 작은지 점검한다.</t>
    <phoneticPr fontId="4" type="noConversion"/>
  </si>
  <si>
    <t>≒</t>
    <phoneticPr fontId="4" type="noConversion"/>
  </si>
  <si>
    <t>※ 5회 측정한 표준편차가 0 일 때, 최소한 분해능 1눈금의 차이는 있을 수 있다고 추정하여 다음과 같이 계산한다. (이 내용은 KOLAS 평가시 제외)</t>
    <phoneticPr fontId="4" type="noConversion"/>
  </si>
  <si>
    <t>d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</si>
  <si>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</si>
  <si>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A1. 추정값 :</t>
    <phoneticPr fontId="4" type="noConversion"/>
  </si>
  <si>
    <t>A3. 확률분포 :</t>
    <phoneticPr fontId="4" type="noConversion"/>
  </si>
  <si>
    <t>사용중지?</t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</si>
  <si>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</si>
  <si>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</si>
  <si>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</si>
  <si>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t>기준기명</t>
  </si>
  <si>
    <t>명목값</t>
  </si>
  <si>
    <t>단위</t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</si>
  <si>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</si>
  <si>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</si>
  <si>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fees</t>
    <phoneticPr fontId="4" type="noConversion"/>
  </si>
  <si>
    <t>P/F</t>
    <phoneticPr fontId="4" type="noConversion"/>
  </si>
  <si>
    <t>보정값</t>
    <phoneticPr fontId="4" type="noConversion"/>
  </si>
  <si>
    <t>Correction value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</si>
  <si>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</si>
  <si>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</si>
  <si>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</si>
  <si>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℃</t>
    <phoneticPr fontId="4" type="noConversion"/>
  </si>
  <si>
    <r>
      <t>※</t>
    </r>
    <r>
      <rPr>
        <sz val="10"/>
        <rFont val="맑은 고딕"/>
        <family val="1"/>
        <scheme val="major"/>
      </rPr>
      <t xml:space="preserve"> 분해능 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</si>
  <si>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</si>
  <si>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</si>
  <si>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</si>
  <si>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기준값</t>
    <phoneticPr fontId="4" type="noConversion"/>
  </si>
  <si>
    <t>기준값</t>
    <phoneticPr fontId="4" type="noConversion"/>
  </si>
  <si>
    <t>누적값</t>
    <phoneticPr fontId="4" type="noConversion"/>
  </si>
  <si>
    <t>재설치</t>
    <phoneticPr fontId="4" type="noConversion"/>
  </si>
  <si>
    <t>불확도</t>
    <phoneticPr fontId="4" type="noConversion"/>
  </si>
  <si>
    <t>불확도1</t>
    <phoneticPr fontId="4" type="noConversion"/>
  </si>
  <si>
    <t>불확도2</t>
    <phoneticPr fontId="4" type="noConversion"/>
  </si>
  <si>
    <t>불확도단위</t>
    <phoneticPr fontId="4" type="noConversion"/>
  </si>
  <si>
    <t>k</t>
    <phoneticPr fontId="4" type="noConversion"/>
  </si>
  <si>
    <t>비고</t>
    <phoneticPr fontId="4" type="noConversion"/>
  </si>
  <si>
    <t>번호</t>
  </si>
  <si>
    <t>등록번호</t>
  </si>
  <si>
    <t>기기명(종류)</t>
  </si>
  <si>
    <t>기준값</t>
  </si>
  <si>
    <t>측정값</t>
  </si>
  <si>
    <t>보정값</t>
  </si>
  <si>
    <t>불확도 단위</t>
  </si>
  <si>
    <t>포함인자</t>
  </si>
  <si>
    <t>교정일자</t>
  </si>
  <si>
    <t>시스템 교정데이터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</si>
  <si>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</si>
  <si>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3. 불확도 계산</t>
    <phoneticPr fontId="4" type="noConversion"/>
  </si>
  <si>
    <t>t</t>
    <phoneticPr fontId="4" type="noConversion"/>
  </si>
  <si>
    <t>∞</t>
    <phoneticPr fontId="4" type="noConversion"/>
  </si>
  <si>
    <t>목측오차</t>
    <phoneticPr fontId="4" type="noConversion"/>
  </si>
  <si>
    <t>선택</t>
    <phoneticPr fontId="4" type="noConversion"/>
  </si>
  <si>
    <t>1. 교정조건</t>
    <phoneticPr fontId="4" type="noConversion"/>
  </si>
  <si>
    <t>최소범위</t>
    <phoneticPr fontId="4" type="noConversion"/>
  </si>
  <si>
    <t>단위</t>
    <phoneticPr fontId="4" type="noConversion"/>
  </si>
  <si>
    <t>CMC1</t>
    <phoneticPr fontId="4" type="noConversion"/>
  </si>
  <si>
    <t>CMC2</t>
    <phoneticPr fontId="4" type="noConversion"/>
  </si>
  <si>
    <t>4. 성적서용</t>
    <phoneticPr fontId="4" type="noConversion"/>
  </si>
  <si>
    <t>Spec</t>
    <phoneticPr fontId="4" type="noConversion"/>
  </si>
  <si>
    <t>r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</si>
  <si>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m</t>
    </r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</si>
  <si>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</si>
  <si>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Min</t>
    <phoneticPr fontId="4" type="noConversion"/>
  </si>
  <si>
    <t>Max</t>
    <phoneticPr fontId="4" type="noConversion"/>
  </si>
  <si>
    <t>요인</t>
    <phoneticPr fontId="4" type="noConversion"/>
  </si>
  <si>
    <t>불확도계산</t>
    <phoneticPr fontId="4" type="noConversion"/>
  </si>
  <si>
    <t>불확도기여량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</si>
  <si>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</si>
  <si>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정규</t>
    <phoneticPr fontId="4" type="noConversion"/>
  </si>
  <si>
    <t>줄자지시값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</si>
  <si>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0</t>
    </r>
    <phoneticPr fontId="4" type="noConversion"/>
  </si>
  <si>
    <t>직사각형</t>
    <phoneticPr fontId="4" type="noConversion"/>
  </si>
  <si>
    <t>평균열팽창계수</t>
    <phoneticPr fontId="4" type="noConversion"/>
  </si>
  <si>
    <t>α_avr</t>
  </si>
  <si>
    <t>/℃</t>
    <phoneticPr fontId="4" type="noConversion"/>
  </si>
  <si>
    <t>삼각형</t>
    <phoneticPr fontId="4" type="noConversion"/>
  </si>
  <si>
    <t>온도차</t>
    <phoneticPr fontId="4" type="noConversion"/>
  </si>
  <si>
    <t>Δt</t>
  </si>
  <si>
    <t>/℃·mm</t>
    <phoneticPr fontId="4" type="noConversion"/>
  </si>
  <si>
    <t>열팽창계수차</t>
    <phoneticPr fontId="4" type="noConversion"/>
  </si>
  <si>
    <t>Δα</t>
  </si>
  <si>
    <t>℃·mm</t>
    <phoneticPr fontId="4" type="noConversion"/>
  </si>
  <si>
    <t>J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</si>
  <si>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</si>
  <si>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최대범위</t>
    <phoneticPr fontId="4" type="noConversion"/>
  </si>
  <si>
    <t>※ 인치의 경우 기본수수료에서 80% 추가함.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</si>
  <si>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</si>
  <si>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등록번호</t>
    <phoneticPr fontId="4" type="noConversion"/>
  </si>
  <si>
    <t>교정번호</t>
    <phoneticPr fontId="4" type="noConversion"/>
  </si>
  <si>
    <t>교정자</t>
    <phoneticPr fontId="4" type="noConversion"/>
  </si>
  <si>
    <t>기기번호</t>
    <phoneticPr fontId="4" type="noConversion"/>
  </si>
  <si>
    <t>교정일자</t>
    <phoneticPr fontId="4" type="noConversion"/>
  </si>
  <si>
    <t>기술책임자</t>
    <phoneticPr fontId="4" type="noConversion"/>
  </si>
  <si>
    <t>● Range 1</t>
    <phoneticPr fontId="4" type="noConversion"/>
  </si>
  <si>
    <t>최소범위</t>
    <phoneticPr fontId="4" type="noConversion"/>
  </si>
  <si>
    <t>최소눈금</t>
    <phoneticPr fontId="4" type="noConversion"/>
  </si>
  <si>
    <t>단위</t>
    <phoneticPr fontId="4" type="noConversion"/>
  </si>
  <si>
    <t>○ 측정데이터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</si>
  <si>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</si>
  <si>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명목값</t>
    <phoneticPr fontId="4" type="noConversion"/>
  </si>
  <si>
    <t>교정기준값</t>
    <phoneticPr fontId="4" type="noConversion"/>
  </si>
  <si>
    <t>Nominal value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</si>
  <si>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</si>
  <si>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최대범위 (mm)</t>
    <phoneticPr fontId="4" type="noConversion"/>
  </si>
  <si>
    <t>Res. (mm)</t>
    <phoneticPr fontId="4" type="noConversion"/>
  </si>
  <si>
    <t>재설치</t>
    <phoneticPr fontId="4" type="noConversion"/>
  </si>
  <si>
    <t>지시값</t>
    <phoneticPr fontId="4" type="noConversion"/>
  </si>
  <si>
    <t>r</t>
    <phoneticPr fontId="4" type="noConversion"/>
  </si>
  <si>
    <t>Pass/Fail</t>
    <phoneticPr fontId="4" type="noConversion"/>
  </si>
  <si>
    <t>mm</t>
    <phoneticPr fontId="4" type="noConversion"/>
  </si>
  <si>
    <t>mm</t>
    <phoneticPr fontId="4" type="noConversion"/>
  </si>
  <si>
    <t>이동거리</t>
    <phoneticPr fontId="4" type="noConversion"/>
  </si>
  <si>
    <t>요인(값)</t>
    <phoneticPr fontId="4" type="noConversion"/>
  </si>
  <si>
    <t>감도계수</t>
    <phoneticPr fontId="4" type="noConversion"/>
  </si>
  <si>
    <t>횟수</t>
    <phoneticPr fontId="4" type="noConversion"/>
  </si>
  <si>
    <t>mm</t>
    <phoneticPr fontId="4" type="noConversion"/>
  </si>
  <si>
    <t>직사각형</t>
    <phoneticPr fontId="4" type="noConversion"/>
  </si>
  <si>
    <t>G</t>
    <phoneticPr fontId="4" type="noConversion"/>
  </si>
  <si>
    <t>℃</t>
    <phoneticPr fontId="4" type="noConversion"/>
  </si>
  <si>
    <t>/℃·mm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</si>
  <si>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</si>
  <si>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t>측정불확도</t>
    <phoneticPr fontId="4" type="noConversion"/>
  </si>
  <si>
    <t>소수점 자리수</t>
    <phoneticPr fontId="4" type="noConversion"/>
  </si>
  <si>
    <t>CMC</t>
    <phoneticPr fontId="4" type="noConversion"/>
  </si>
  <si>
    <t>기본수수료</t>
    <phoneticPr fontId="4" type="noConversion"/>
  </si>
  <si>
    <t>합계</t>
    <phoneticPr fontId="4" type="noConversion"/>
  </si>
  <si>
    <t>정규</t>
    <phoneticPr fontId="4" type="noConversion"/>
  </si>
  <si>
    <t>/℃·mm</t>
    <phoneticPr fontId="4" type="noConversion"/>
  </si>
  <si>
    <t>I</t>
    <phoneticPr fontId="4" type="noConversion"/>
  </si>
  <si>
    <t>K</t>
    <phoneticPr fontId="4" type="noConversion"/>
  </si>
  <si>
    <t>M</t>
    <phoneticPr fontId="4" type="noConversion"/>
  </si>
  <si>
    <t>추가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</si>
  <si>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</si>
  <si>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최대범위</t>
    <phoneticPr fontId="4" type="noConversion"/>
  </si>
  <si>
    <t>단위</t>
    <phoneticPr fontId="4" type="noConversion"/>
  </si>
  <si>
    <t>최소범위 (mm)</t>
    <phoneticPr fontId="4" type="noConversion"/>
  </si>
  <si>
    <t>최대범위 (표기용)</t>
    <phoneticPr fontId="4" type="noConversion"/>
  </si>
  <si>
    <t>Div. (mm)</t>
    <phoneticPr fontId="4" type="noConversion"/>
  </si>
  <si>
    <t>CMC단위</t>
    <phoneticPr fontId="4" type="noConversion"/>
  </si>
  <si>
    <t>2. 교정결과</t>
    <phoneticPr fontId="4" type="noConversion"/>
  </si>
  <si>
    <t>사용?</t>
    <phoneticPr fontId="4" type="noConversion"/>
  </si>
  <si>
    <t>레이저 간섭계 지시값</t>
    <phoneticPr fontId="4" type="noConversion"/>
  </si>
  <si>
    <t>표준편차</t>
    <phoneticPr fontId="4" type="noConversion"/>
  </si>
  <si>
    <t>명목값</t>
    <phoneticPr fontId="4" type="noConversion"/>
  </si>
  <si>
    <t>누적값</t>
    <phoneticPr fontId="4" type="noConversion"/>
  </si>
  <si>
    <t>자리수 맞춤</t>
    <phoneticPr fontId="4" type="noConversion"/>
  </si>
  <si>
    <t>표기용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</si>
  <si>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</si>
  <si>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</si>
  <si>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</si>
  <si>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보정값</t>
    <phoneticPr fontId="4" type="noConversion"/>
  </si>
  <si>
    <t>교정값</t>
    <phoneticPr fontId="4" type="noConversion"/>
  </si>
  <si>
    <t>보정값</t>
    <phoneticPr fontId="4" type="noConversion"/>
  </si>
  <si>
    <t>mm</t>
    <phoneticPr fontId="4" type="noConversion"/>
  </si>
  <si>
    <t>mm</t>
    <phoneticPr fontId="4" type="noConversion"/>
  </si>
  <si>
    <t>입력량</t>
    <phoneticPr fontId="4" type="noConversion"/>
  </si>
  <si>
    <t>명목값</t>
    <phoneticPr fontId="4" type="noConversion"/>
  </si>
  <si>
    <t>불확도 합( k=1)</t>
    <phoneticPr fontId="4" type="noConversion"/>
  </si>
  <si>
    <t>표준불확도</t>
    <phoneticPr fontId="4" type="noConversion"/>
  </si>
  <si>
    <t>B</t>
    <phoneticPr fontId="4" type="noConversion"/>
  </si>
  <si>
    <t>기준기</t>
    <phoneticPr fontId="4" type="noConversion"/>
  </si>
  <si>
    <t>D</t>
    <phoneticPr fontId="4" type="noConversion"/>
  </si>
  <si>
    <t>누적값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</si>
  <si>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m</t>
    </r>
    <phoneticPr fontId="4" type="noConversion"/>
  </si>
  <si>
    <t>정규</t>
    <phoneticPr fontId="4" type="noConversion"/>
  </si>
  <si>
    <t>∞</t>
    <phoneticPr fontId="4" type="noConversion"/>
  </si>
  <si>
    <t>E</t>
    <phoneticPr fontId="4" type="noConversion"/>
  </si>
  <si>
    <t>상관관계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</si>
  <si>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m1</t>
    </r>
    <phoneticPr fontId="4" type="noConversion"/>
  </si>
  <si>
    <t>눈금이동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</si>
  <si>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m2</t>
    </r>
    <phoneticPr fontId="4" type="noConversion"/>
  </si>
  <si>
    <t>시스템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</si>
  <si>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m3</t>
    </r>
    <phoneticPr fontId="4" type="noConversion"/>
  </si>
  <si>
    <t>H</t>
    <phoneticPr fontId="4" type="noConversion"/>
  </si>
  <si>
    <t>J</t>
    <phoneticPr fontId="4" type="noConversion"/>
  </si>
  <si>
    <t>삼각형</t>
    <phoneticPr fontId="4" type="noConversion"/>
  </si>
  <si>
    <t>L</t>
    <phoneticPr fontId="4" type="noConversion"/>
  </si>
  <si>
    <t>합성표준</t>
    <phoneticPr fontId="4" type="noConversion"/>
  </si>
  <si>
    <t>※ 직사각형 확률분포가 합성표준불확도에 미치는 영향</t>
    <phoneticPr fontId="4" type="noConversion"/>
  </si>
  <si>
    <t>직사각형
분포 성분</t>
    <phoneticPr fontId="4" type="noConversion"/>
  </si>
  <si>
    <t>5% rule</t>
    <phoneticPr fontId="4" type="noConversion"/>
  </si>
  <si>
    <t>계산(mm)</t>
    <phoneticPr fontId="4" type="noConversion"/>
  </si>
  <si>
    <t>성적서</t>
    <phoneticPr fontId="4" type="noConversion"/>
  </si>
  <si>
    <t>Rawdata</t>
    <phoneticPr fontId="4" type="noConversion"/>
  </si>
  <si>
    <t>확률분포</t>
    <phoneticPr fontId="4" type="noConversion"/>
  </si>
  <si>
    <t>신뢰수준(%)</t>
    <phoneticPr fontId="4" type="noConversion"/>
  </si>
  <si>
    <t>소수점</t>
    <phoneticPr fontId="4" type="noConversion"/>
  </si>
  <si>
    <t>Number</t>
    <phoneticPr fontId="4" type="noConversion"/>
  </si>
  <si>
    <t>자리수</t>
    <phoneticPr fontId="4" type="noConversion"/>
  </si>
  <si>
    <t>Format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</si>
  <si>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</si>
  <si>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</si>
  <si>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</si>
  <si>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</si>
  <si>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</si>
  <si>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</si>
  <si>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</si>
  <si>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</si>
  <si>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</si>
  <si>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</si>
  <si>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● 교정료 계산</t>
    <phoneticPr fontId="4" type="noConversion"/>
  </si>
  <si>
    <t>조건 1</t>
    <phoneticPr fontId="4" type="noConversion"/>
  </si>
  <si>
    <t>추가수수료</t>
    <phoneticPr fontId="4" type="noConversion"/>
  </si>
  <si>
    <t>최대범위</t>
    <phoneticPr fontId="4" type="noConversion"/>
  </si>
  <si>
    <t>인치?</t>
    <phoneticPr fontId="4" type="noConversion"/>
  </si>
  <si>
    <t>m 마다</t>
    <phoneticPr fontId="4" type="noConversion"/>
  </si>
  <si>
    <t>추가</t>
    <phoneticPr fontId="4" type="noConversion"/>
  </si>
  <si>
    <t>■ 측정기본정보</t>
    <phoneticPr fontId="4" type="noConversion"/>
  </si>
  <si>
    <t>단위</t>
    <phoneticPr fontId="4" type="noConversion"/>
  </si>
  <si>
    <t>환산계수</t>
    <phoneticPr fontId="4" type="noConversion"/>
  </si>
  <si>
    <t>기기명</t>
    <phoneticPr fontId="4" type="noConversion"/>
  </si>
  <si>
    <t>기준기명</t>
    <phoneticPr fontId="4" type="noConversion"/>
  </si>
  <si>
    <t>줄자</t>
    <phoneticPr fontId="4" type="noConversion"/>
  </si>
  <si>
    <t>■ 반복 측정 결과</t>
    <phoneticPr fontId="4" type="noConversion"/>
  </si>
  <si>
    <t>측정구간</t>
    <phoneticPr fontId="4" type="noConversion"/>
  </si>
  <si>
    <t>평균값</t>
    <phoneticPr fontId="4" type="noConversion"/>
  </si>
  <si>
    <t>재설치에 따른 누적값</t>
    <phoneticPr fontId="4" type="noConversion"/>
  </si>
  <si>
    <t>줄자교정장치 보정값</t>
    <phoneticPr fontId="4" type="noConversion"/>
  </si>
  <si>
    <t>보정값</t>
    <phoneticPr fontId="4" type="noConversion"/>
  </si>
  <si>
    <t>1회</t>
    <phoneticPr fontId="4" type="noConversion"/>
  </si>
  <si>
    <t>3회</t>
    <phoneticPr fontId="4" type="noConversion"/>
  </si>
  <si>
    <t>4회</t>
    <phoneticPr fontId="4" type="noConversion"/>
  </si>
  <si>
    <t>mm</t>
    <phoneticPr fontId="4" type="noConversion"/>
  </si>
  <si>
    <t>mm</t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</si>
  <si>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</si>
  <si>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</si>
  <si>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r</t>
    <phoneticPr fontId="4" type="noConversion"/>
  </si>
  <si>
    <t>:</t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</si>
  <si>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</si>
  <si>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m</t>
    </r>
    <phoneticPr fontId="4" type="noConversion"/>
  </si>
  <si>
    <t>재 설치에 따른 레이저 간섭계 지시값+보정값의 누적값</t>
    <phoneticPr fontId="4" type="noConversion"/>
  </si>
  <si>
    <t>Δt</t>
    <phoneticPr fontId="4" type="noConversion"/>
  </si>
  <si>
    <t>Δα</t>
    <phoneticPr fontId="4" type="noConversion"/>
  </si>
  <si>
    <t>:</t>
    <phoneticPr fontId="4" type="noConversion"/>
  </si>
  <si>
    <t>δt</t>
    <phoneticPr fontId="4" type="noConversion"/>
  </si>
  <si>
    <t>: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</si>
  <si>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</si>
  <si>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t>목측오차에 대한 보정값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</si>
  <si>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</si>
  <si>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</si>
  <si>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</si>
  <si>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</si>
  <si>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</si>
  <si>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</si>
  <si>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</si>
  <si>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</si>
  <si>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</si>
  <si>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</si>
  <si>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</si>
  <si>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</si>
  <si>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</si>
  <si>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</si>
  <si>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</si>
  <si>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A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</si>
  <si>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</si>
  <si>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B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</si>
  <si>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</si>
  <si>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m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</si>
  <si>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m</t>
    </r>
    <r>
      <rPr>
        <vertAlign val="subscript"/>
        <sz val="10"/>
        <rFont val="Times New Roman"/>
        <family val="1"/>
      </rPr>
      <t>1</t>
    </r>
    <phoneticPr fontId="4" type="noConversion"/>
  </si>
  <si>
    <t>-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</si>
  <si>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m</t>
    </r>
    <r>
      <rPr>
        <vertAlign val="subscript"/>
        <sz val="10"/>
        <rFont val="Times New Roman"/>
        <family val="1"/>
      </rPr>
      <t>2</t>
    </r>
    <phoneticPr fontId="4" type="noConversion"/>
  </si>
  <si>
    <t>-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</si>
  <si>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m</t>
    </r>
    <r>
      <rPr>
        <vertAlign val="subscript"/>
        <sz val="10"/>
        <rFont val="Times New Roman"/>
        <family val="1"/>
      </rPr>
      <t>3</t>
    </r>
    <phoneticPr fontId="4" type="noConversion"/>
  </si>
  <si>
    <t>H</t>
    <phoneticPr fontId="4" type="noConversion"/>
  </si>
  <si>
    <t>Δt</t>
    <phoneticPr fontId="4" type="noConversion"/>
  </si>
  <si>
    <t>K</t>
    <phoneticPr fontId="4" type="noConversion"/>
  </si>
  <si>
    <t>L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</si>
  <si>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</si>
  <si>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t>M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</si>
  <si>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</si>
  <si>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■ 표준불확도 성분의 계산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</si>
  <si>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</si>
  <si>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</si>
  <si>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t>=</t>
    <phoneticPr fontId="4" type="noConversion"/>
  </si>
  <si>
    <t>=</t>
    <phoneticPr fontId="4" type="noConversion"/>
  </si>
  <si>
    <t>d</t>
    <phoneticPr fontId="4" type="noConversion"/>
  </si>
  <si>
    <t>×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</si>
  <si>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</si>
  <si>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t>B2. 표준불확도 :</t>
    <phoneticPr fontId="4" type="noConversion"/>
  </si>
  <si>
    <t>※ 줄자교정장치에 사용된 레이저 간섭계의 교정성적서에 주어진 확장불확도가</t>
    <phoneticPr fontId="4" type="noConversion"/>
  </si>
  <si>
    <r>
      <t xml:space="preserve">(신뢰수준 약 95 %, </t>
    </r>
    <r>
      <rPr>
        <i/>
        <sz val="10"/>
        <rFont val="times"/>
        <family val="1"/>
      </rPr>
      <t>k</t>
    </r>
    <r>
      <rPr>
        <sz val="10"/>
        <rFont val="맑은 고딕"/>
        <family val="3"/>
        <charset val="129"/>
        <scheme val="major"/>
      </rPr>
      <t xml:space="preserve">=2, </t>
    </r>
    <r>
      <rPr>
        <i/>
        <sz val="10"/>
        <rFont val="Times New Roman"/>
        <family val="1"/>
      </rPr>
      <t>l</t>
    </r>
    <r>
      <rPr>
        <vertAlign val="subscript"/>
        <sz val="10"/>
        <rFont val="맑은 고딕"/>
        <family val="3"/>
        <charset val="129"/>
        <scheme val="major"/>
      </rPr>
      <t>0</t>
    </r>
    <r>
      <rPr>
        <sz val="10"/>
        <rFont val="맑은 고딕"/>
        <family val="3"/>
        <charset val="129"/>
        <scheme val="major"/>
      </rPr>
      <t>의 단위는 m) 이다.</t>
    </r>
    <phoneticPr fontId="4" type="noConversion"/>
  </si>
  <si>
    <r>
      <t xml:space="preserve">(신뢰수준 약 95 %, </t>
    </r>
    <r>
      <rPr>
        <i/>
        <sz val="10"/>
        <rFont val="times"/>
        <family val="1"/>
      </rPr>
      <t>k</t>
    </r>
    <r>
      <rPr>
        <sz val="10"/>
        <rFont val="맑은 고딕"/>
        <family val="3"/>
        <charset val="129"/>
        <scheme val="major"/>
      </rPr>
      <t xml:space="preserve">=2, </t>
    </r>
    <r>
      <rPr>
        <i/>
        <sz val="10"/>
        <rFont val="Times New Roman"/>
        <family val="1"/>
      </rPr>
      <t>l</t>
    </r>
    <r>
      <rPr>
        <vertAlign val="subscript"/>
        <sz val="10"/>
        <rFont val="맑은 고딕"/>
        <family val="3"/>
        <charset val="129"/>
        <scheme val="major"/>
      </rPr>
      <t>0</t>
    </r>
    <r>
      <rPr>
        <sz val="10"/>
        <rFont val="맑은 고딕"/>
        <family val="3"/>
        <charset val="129"/>
        <scheme val="major"/>
      </rPr>
      <t>의 단위는 m) 이다.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</si>
  <si>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</si>
  <si>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t>=</t>
    <phoneticPr fontId="4" type="noConversion"/>
  </si>
  <si>
    <t>U</t>
    <phoneticPr fontId="4" type="noConversion"/>
  </si>
  <si>
    <t>m</t>
    <phoneticPr fontId="4" type="noConversion"/>
  </si>
  <si>
    <t>k</t>
    <phoneticPr fontId="4" type="noConversion"/>
  </si>
  <si>
    <t>=</t>
    <phoneticPr fontId="4" type="noConversion"/>
  </si>
  <si>
    <t>μm</t>
    <phoneticPr fontId="4" type="noConversion"/>
  </si>
  <si>
    <t>mm</t>
    <phoneticPr fontId="4" type="noConversion"/>
  </si>
  <si>
    <t>B3. 확률분포 :</t>
    <phoneticPr fontId="4" type="noConversion"/>
  </si>
  <si>
    <t>B4. 감도계수 :</t>
    <phoneticPr fontId="4" type="noConversion"/>
  </si>
  <si>
    <t>B5. 불확도 기여도 :</t>
    <phoneticPr fontId="4" type="noConversion"/>
  </si>
  <si>
    <t>B6.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</si>
  <si>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r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</si>
  <si>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vertAlign val="subscript"/>
        <sz val="10"/>
        <rFont val="Times New Roman"/>
        <family val="1"/>
      </rPr>
      <t>0</t>
    </r>
    <r>
      <rPr>
        <b/>
        <sz val="10"/>
        <rFont val="Times New Roman"/>
        <family val="1"/>
      </rPr>
      <t>)</t>
    </r>
    <phoneticPr fontId="4" type="noConversion"/>
  </si>
  <si>
    <t>불확도 성분만 적용하여 직사각형 확률분포를 적용하여 표준불확도를 계산한다.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</si>
  <si>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Times New Roman"/>
        <family val="1"/>
      </rPr>
      <t>)</t>
    </r>
    <phoneticPr fontId="4" type="noConversion"/>
  </si>
  <si>
    <t>4. 재 설치에 따른 누적값의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</si>
  <si>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m</t>
    </r>
    <r>
      <rPr>
        <b/>
        <sz val="10"/>
        <rFont val="Times New Roman"/>
        <family val="1"/>
      </rPr>
      <t>)</t>
    </r>
    <phoneticPr fontId="4" type="noConversion"/>
  </si>
  <si>
    <r>
      <t xml:space="preserve">※ 재 설치시 상관관계에 의한 불확도 요인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m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과 재 설치시 기준눈금의 이동에 따른 불확도 요인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m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>으로 이루어진다.</t>
    </r>
    <phoneticPr fontId="4" type="noConversion"/>
  </si>
  <si>
    <t>mm</t>
    <phoneticPr fontId="4" type="noConversion"/>
  </si>
  <si>
    <t>D3. 확률분포 :</t>
    <phoneticPr fontId="4" type="noConversion"/>
  </si>
  <si>
    <t>D4. 감도계수 :</t>
    <phoneticPr fontId="4" type="noConversion"/>
  </si>
  <si>
    <t>D5. 불확도 기여량 :</t>
    <phoneticPr fontId="4" type="noConversion"/>
  </si>
  <si>
    <t>D6.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</si>
  <si>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m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  <scheme val="major"/>
      </rPr>
      <t>∞</t>
    </r>
    <phoneticPr fontId="4" type="noConversion"/>
  </si>
  <si>
    <r>
      <t>가</t>
    </r>
    <r>
      <rPr>
        <b/>
        <sz val="10"/>
        <rFont val="맑은 고딕"/>
        <family val="1"/>
        <scheme val="major"/>
      </rPr>
      <t>)</t>
    </r>
    <r>
      <rPr>
        <b/>
        <sz val="10"/>
        <rFont val="맑은 고딕"/>
        <family val="3"/>
        <charset val="129"/>
        <scheme val="major"/>
      </rPr>
      <t xml:space="preserve"> 재 설치시 상관관계에 의한 표준불확도 :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m</t>
    </r>
    <r>
      <rPr>
        <b/>
        <vertAlign val="subscript"/>
        <sz val="10"/>
        <rFont val="Times New Roman"/>
        <family val="1"/>
      </rPr>
      <t>1</t>
    </r>
    <r>
      <rPr>
        <b/>
        <sz val="10"/>
        <rFont val="Times New Roman"/>
        <family val="1"/>
      </rPr>
      <t>)</t>
    </r>
    <phoneticPr fontId="4" type="noConversion"/>
  </si>
  <si>
    <t>E2. 표준불확도 :</t>
    <phoneticPr fontId="4" type="noConversion"/>
  </si>
  <si>
    <t>재 설치 각 설치 차수당 불확도는 다음과 같다.</t>
    <phoneticPr fontId="4" type="noConversion"/>
  </si>
  <si>
    <t>아래의 불확도 전파법칙식으로 상관관계에 의한 표준불확도를 추정하면</t>
    <phoneticPr fontId="4" type="noConversion"/>
  </si>
  <si>
    <t>mm</t>
    <phoneticPr fontId="4" type="noConversion"/>
  </si>
  <si>
    <t>E5. 불확도 기여량 :</t>
    <phoneticPr fontId="4" type="noConversion"/>
  </si>
  <si>
    <t>｜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</si>
  <si>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m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  <scheme val="major"/>
      </rPr>
      <t>∞</t>
    </r>
    <phoneticPr fontId="4" type="noConversion"/>
  </si>
  <si>
    <r>
      <t>나</t>
    </r>
    <r>
      <rPr>
        <b/>
        <sz val="10"/>
        <rFont val="맑은 고딕"/>
        <family val="1"/>
        <scheme val="major"/>
      </rPr>
      <t>)</t>
    </r>
    <r>
      <rPr>
        <b/>
        <sz val="10"/>
        <rFont val="맑은 고딕"/>
        <family val="3"/>
        <charset val="129"/>
        <scheme val="major"/>
      </rPr>
      <t xml:space="preserve"> 재 설치시 기준눈금의 이동에 따른 표준불확도 :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m</t>
    </r>
    <r>
      <rPr>
        <b/>
        <vertAlign val="subscript"/>
        <sz val="10"/>
        <rFont val="Times New Roman"/>
        <family val="1"/>
      </rPr>
      <t>2</t>
    </r>
    <r>
      <rPr>
        <b/>
        <sz val="10"/>
        <rFont val="Times New Roman"/>
        <family val="1"/>
      </rPr>
      <t>)</t>
    </r>
    <phoneticPr fontId="4" type="noConversion"/>
  </si>
  <si>
    <t>F1. 추정값 :</t>
    <phoneticPr fontId="4" type="noConversion"/>
  </si>
  <si>
    <t>이내에서 일치가 가능하며, 직사각형 확률분포를 적용하여 표준불확도를 계산한다.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</si>
  <si>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m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) </t>
    </r>
    <phoneticPr fontId="4" type="noConversion"/>
  </si>
  <si>
    <t>=</t>
    <phoneticPr fontId="4" type="noConversion"/>
  </si>
  <si>
    <t>F3. 확률분포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</si>
  <si>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m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  <scheme val="major"/>
      </rPr>
      <t>∞</t>
    </r>
    <phoneticPr fontId="4" type="noConversion"/>
  </si>
  <si>
    <r>
      <t>다</t>
    </r>
    <r>
      <rPr>
        <b/>
        <sz val="10"/>
        <rFont val="맑은 고딕"/>
        <family val="1"/>
        <scheme val="major"/>
      </rPr>
      <t>)</t>
    </r>
    <r>
      <rPr>
        <b/>
        <sz val="10"/>
        <rFont val="맑은 고딕"/>
        <family val="3"/>
        <charset val="129"/>
        <scheme val="major"/>
      </rPr>
      <t xml:space="preserve"> 줄자 교정장치에 의한 표준불확도 :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m</t>
    </r>
    <r>
      <rPr>
        <b/>
        <vertAlign val="subscript"/>
        <sz val="10"/>
        <rFont val="Times New Roman"/>
        <family val="1"/>
      </rPr>
      <t>3</t>
    </r>
    <r>
      <rPr>
        <b/>
        <sz val="10"/>
        <rFont val="Times New Roman"/>
        <family val="1"/>
      </rPr>
      <t>)</t>
    </r>
    <phoneticPr fontId="4" type="noConversion"/>
  </si>
  <si>
    <t>G1. 추정값 :</t>
    <phoneticPr fontId="4" type="noConversion"/>
  </si>
  <si>
    <t>G2. 표준불확도 :</t>
    <phoneticPr fontId="4" type="noConversion"/>
  </si>
  <si>
    <t>※ 줄자교정장치의 축 정렬상태, 평행도, 진직도 등에 의해 레이저 간섭계의 지시값에 편차가</t>
    <phoneticPr fontId="4" type="noConversion"/>
  </si>
  <si>
    <t>있을 수 있다. 줄자교정장치의 교정성적서에 주어진 교정결과가 다음과 같다.</t>
    <phoneticPr fontId="4" type="noConversion"/>
  </si>
  <si>
    <t>※ 최대편차 :</t>
    <phoneticPr fontId="4" type="noConversion"/>
  </si>
  <si>
    <t>±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</si>
  <si>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m</t>
    </r>
    <r>
      <rPr>
        <vertAlign val="subscript"/>
        <sz val="10"/>
        <rFont val="Times New Roman"/>
        <family val="1"/>
      </rPr>
      <t>3</t>
    </r>
    <r>
      <rPr>
        <sz val="10"/>
        <rFont val="Times New Roman"/>
        <family val="1"/>
      </rPr>
      <t xml:space="preserve">) </t>
    </r>
    <phoneticPr fontId="4" type="noConversion"/>
  </si>
  <si>
    <t>(</t>
    <phoneticPr fontId="4" type="noConversion"/>
  </si>
  <si>
    <t>+</t>
    <phoneticPr fontId="4" type="noConversion"/>
  </si>
  <si>
    <t>)</t>
    <phoneticPr fontId="4" type="noConversion"/>
  </si>
  <si>
    <t>G3. 확률분포 :</t>
    <phoneticPr fontId="4" type="noConversion"/>
  </si>
  <si>
    <t>G5. 불확도 기여량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</si>
  <si>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m</t>
    </r>
    <r>
      <rPr>
        <vertAlign val="subscript"/>
        <sz val="10"/>
        <rFont val="Times New Roman"/>
        <family val="1"/>
      </rPr>
      <t>3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  <scheme val="major"/>
      </rPr>
      <t>∞</t>
    </r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</si>
  <si>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</si>
  <si>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H2. 표준불확도 :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</si>
  <si>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</si>
  <si>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H3. 확률분포 :</t>
    <phoneticPr fontId="4" type="noConversion"/>
  </si>
  <si>
    <r>
      <t>℃·mm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</si>
  <si>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H6. 자유도 :</t>
    <phoneticPr fontId="4" type="noConversion"/>
  </si>
  <si>
    <t>추정하여 직사각형 확률분포를 적용하여 계산하면</t>
    <phoneticPr fontId="4" type="noConversion"/>
  </si>
  <si>
    <t>I1. 추정값 :</t>
    <phoneticPr fontId="4" type="noConversion"/>
  </si>
  <si>
    <t>I2. 표준불확도 :</t>
    <phoneticPr fontId="4" type="noConversion"/>
  </si>
  <si>
    <t>I3. 확률분포 :</t>
    <phoneticPr fontId="4" type="noConversion"/>
  </si>
  <si>
    <t>I4. 감도계수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</si>
  <si>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</si>
  <si>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I5. 불확도 기여량 :</t>
    <phoneticPr fontId="4" type="noConversion"/>
  </si>
  <si>
    <t>I6.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</si>
  <si>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</si>
  <si>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Δα</t>
    </r>
    <r>
      <rPr>
        <b/>
        <sz val="10"/>
        <rFont val="Times New Roman"/>
        <family val="1"/>
      </rPr>
      <t>)</t>
    </r>
    <phoneticPr fontId="4" type="noConversion"/>
  </si>
  <si>
    <t>J1. 추정값 :</t>
    <phoneticPr fontId="4" type="noConversion"/>
  </si>
  <si>
    <t>J2. 표준불확도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</si>
  <si>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</si>
  <si>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</si>
  <si>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J3. 확률분포 :</t>
    <phoneticPr fontId="4" type="noConversion"/>
  </si>
  <si>
    <t>J4. 감도계수 :</t>
    <phoneticPr fontId="4" type="noConversion"/>
  </si>
  <si>
    <t>J5. 불확도 기여량 :</t>
    <phoneticPr fontId="4" type="noConversion"/>
  </si>
  <si>
    <r>
      <t>℃·mm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</si>
  <si>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J6.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</si>
  <si>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</si>
  <si>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</si>
  <si>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t>여기에 직사각형 확률분포를 적용하여 계산하면</t>
    <phoneticPr fontId="4" type="noConversion"/>
  </si>
  <si>
    <t>K1. 추정값 :</t>
    <phoneticPr fontId="4" type="noConversion"/>
  </si>
  <si>
    <t>K2. 표준불확도 :</t>
    <phoneticPr fontId="4" type="noConversion"/>
  </si>
  <si>
    <t>K3. 확률분포 :</t>
    <phoneticPr fontId="4" type="noConversion"/>
  </si>
  <si>
    <t>K4. 감도계수 :</t>
    <phoneticPr fontId="4" type="noConversion"/>
  </si>
  <si>
    <t>K5. 불확도 기여량 :</t>
    <phoneticPr fontId="4" type="noConversion"/>
  </si>
  <si>
    <t>K6. 자유도 :</t>
    <phoneticPr fontId="4" type="noConversion"/>
  </si>
  <si>
    <t>9. 목측 오차에 의한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</si>
  <si>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</si>
  <si>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t>※ 이 측정은 측정자의 목측에 의존하므로 개인오차가 고려되어야 한다. 확대경을 통하여 눈금값을 읽으므로</t>
    <phoneticPr fontId="4" type="noConversion"/>
  </si>
  <si>
    <t>이내에 있을 것으로 경험을 통하여 추정 할 수 있다.</t>
    <phoneticPr fontId="4" type="noConversion"/>
  </si>
  <si>
    <t>L1. 추정값 :</t>
    <phoneticPr fontId="4" type="noConversion"/>
  </si>
  <si>
    <t>L2. 표준불확도 :</t>
    <phoneticPr fontId="4" type="noConversion"/>
  </si>
  <si>
    <t>※ 목측오차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</si>
  <si>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</si>
  <si>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t>L3. 확률분포 :</t>
    <phoneticPr fontId="4" type="noConversion"/>
  </si>
  <si>
    <t>L4. 감도계수 :</t>
    <phoneticPr fontId="4" type="noConversion"/>
  </si>
  <si>
    <t>L5. 불확도 기여량 :</t>
    <phoneticPr fontId="4" type="noConversion"/>
  </si>
  <si>
    <t>L6. 자유도 :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</si>
  <si>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</si>
  <si>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=</t>
  </si>
  <si>
    <t>+</t>
  </si>
  <si>
    <t>■ 측정불확도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</si>
  <si>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</si>
  <si>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</si>
  <si>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</si>
  <si>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</si>
  <si>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</si>
  <si>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</si>
  <si>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</si>
  <si>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</si>
  <si>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</si>
  <si>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</si>
  <si>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t>잔여 기여량</t>
    <phoneticPr fontId="4" type="noConversion"/>
  </si>
  <si>
    <t>주 기여량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</si>
  <si>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</si>
  <si>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t>β</t>
    <phoneticPr fontId="4" type="noConversion"/>
  </si>
  <si>
    <t>불확도</t>
    <phoneticPr fontId="4" type="noConversion"/>
  </si>
  <si>
    <t>mm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</si>
  <si>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</si>
  <si>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</si>
  <si>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</si>
  <si>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</si>
  <si>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</si>
  <si>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</si>
  <si>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</si>
  <si>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mm</t>
    <phoneticPr fontId="4" type="noConversion"/>
  </si>
  <si>
    <t>-</t>
    <phoneticPr fontId="4" type="noConversion"/>
  </si>
  <si>
    <t>Nominal Value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</si>
  <si>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</si>
  <si>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</si>
  <si>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</si>
  <si>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</si>
  <si>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</si>
  <si>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</si>
  <si>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</si>
  <si>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t>온도차</t>
    <phoneticPr fontId="4" type="noConversion"/>
  </si>
  <si>
    <t>t_avr-20</t>
    <phoneticPr fontId="4" type="noConversion"/>
  </si>
  <si>
    <t>α_avr</t>
    <phoneticPr fontId="4" type="noConversion"/>
  </si>
  <si>
    <t>δt</t>
    <phoneticPr fontId="4" type="noConversion"/>
  </si>
  <si>
    <t>/℃</t>
    <phoneticPr fontId="4" type="noConversion"/>
  </si>
  <si>
    <t>℃</t>
    <phoneticPr fontId="4" type="noConversion"/>
  </si>
  <si>
    <t>평균열팽창계수</t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</si>
  <si>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</si>
  <si>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</si>
  <si>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줄자교정장치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</si>
  <si>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</si>
  <si>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직사각형분포</t>
    <phoneticPr fontId="4" type="noConversion"/>
  </si>
  <si>
    <t>번호</t>
    <phoneticPr fontId="4" type="noConversion"/>
  </si>
  <si>
    <t>크기순</t>
    <phoneticPr fontId="4" type="noConversion"/>
  </si>
  <si>
    <t>Number Format</t>
    <phoneticPr fontId="4" type="noConversion"/>
  </si>
  <si>
    <t>CMC초과?</t>
    <phoneticPr fontId="4" type="noConversion"/>
  </si>
  <si>
    <t>불확도표기</t>
    <phoneticPr fontId="4" type="noConversion"/>
  </si>
  <si>
    <t>불확도</t>
    <phoneticPr fontId="4" type="noConversion"/>
  </si>
  <si>
    <t>선택</t>
    <phoneticPr fontId="4" type="noConversion"/>
  </si>
  <si>
    <t>불확도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</si>
  <si>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</si>
  <si>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확률분포별 불확도기여량</t>
    <phoneticPr fontId="4" type="noConversion"/>
  </si>
  <si>
    <t>직사각형</t>
    <phoneticPr fontId="4" type="noConversion"/>
  </si>
  <si>
    <t>기타</t>
    <phoneticPr fontId="4" type="noConversion"/>
  </si>
  <si>
    <t>영향</t>
    <phoneticPr fontId="4" type="noConversion"/>
  </si>
  <si>
    <t>직사각형</t>
    <phoneticPr fontId="4" type="noConversion"/>
  </si>
  <si>
    <t>기타</t>
    <phoneticPr fontId="4" type="noConversion"/>
  </si>
  <si>
    <t>비율</t>
    <phoneticPr fontId="4" type="noConversion"/>
  </si>
  <si>
    <t>값</t>
    <phoneticPr fontId="4" type="noConversion"/>
  </si>
  <si>
    <t>단위포함</t>
    <phoneticPr fontId="4" type="noConversion"/>
  </si>
  <si>
    <t>최소눈금 표기용</t>
    <phoneticPr fontId="4" type="noConversion"/>
  </si>
  <si>
    <t>m 기준</t>
    <phoneticPr fontId="4" type="noConversion"/>
  </si>
  <si>
    <t>추가범위</t>
    <phoneticPr fontId="4" type="noConversion"/>
  </si>
  <si>
    <t>기본수수료</t>
    <phoneticPr fontId="4" type="noConversion"/>
  </si>
  <si>
    <t>소계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</si>
</sst>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2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\ &quot;mg&quot;"/>
    <numFmt numFmtId="192" formatCode="0.000\ &quot;kg&quot;"/>
    <numFmt numFmtId="193" formatCode="0.0_ "/>
    <numFmt numFmtId="194" formatCode="0.0\ &quot;kg&quot;"/>
    <numFmt numFmtId="195" formatCode="0.000"/>
    <numFmt numFmtId="196" formatCode="####\-##\-##"/>
    <numFmt numFmtId="197" formatCode="0.000_);[Red]\(0.000\)"/>
    <numFmt numFmtId="198" formatCode="0.0000_);[Red]\(0.0000\)"/>
    <numFmt numFmtId="199" formatCode="0.0000_ "/>
    <numFmt numFmtId="200" formatCode="\√\(0\)"/>
    <numFmt numFmtId="201" formatCode="0.0"/>
    <numFmt numFmtId="202" formatCode="#0.0\ E+00"/>
    <numFmt numFmtId="203" formatCode="&quot;0&quot;.0#\ E+00"/>
    <numFmt numFmtId="204" formatCode="\(0.00\ &quot;μm&quot;\)"/>
    <numFmt numFmtId="205" formatCode="0.00\ &quot;μm&quot;"/>
    <numFmt numFmtId="206" formatCode="0.0\ \℃"/>
    <numFmt numFmtId="207" formatCode="0.00\ \℃"/>
    <numFmt numFmtId="208" formatCode="&quot;0.58 ℃×( -&quot;0.00"/>
    <numFmt numFmtId="209" formatCode="0.000\ &quot;mm&quot;"/>
    <numFmt numFmtId="210" formatCode="0.0####\ &quot;mm&quot;"/>
    <numFmt numFmtId="211" formatCode="0.000\ 00"/>
    <numFmt numFmtId="212" formatCode="0.000\ &quot;μm&quot;"/>
    <numFmt numFmtId="213" formatCode="_-* #,##0_-;\-* #,##0_-;_-* &quot;-&quot;??_-;_-@_-"/>
    <numFmt numFmtId="214" formatCode="0.00_);[Red]\(0.00\)"/>
    <numFmt numFmtId="215" formatCode="General\ &quot;μm&quot;"/>
    <numFmt numFmtId="216" formatCode="0.0000"/>
    <numFmt numFmtId="217" formatCode="0.000000"/>
    <numFmt numFmtId="218" formatCode="0.0E+00"/>
    <numFmt numFmtId="219" formatCode="0.000\ 0"/>
    <numFmt numFmtId="220" formatCode="#\ ##0.00\ &quot;mm&quot;"/>
    <numFmt numFmtId="221" formatCode="0.000\ 00\ &quot;mm&quot;"/>
    <numFmt numFmtId="222" formatCode="0.0000\ &quot;mm&quot;"/>
    <numFmt numFmtId="223" formatCode="0_ "/>
    <numFmt numFmtId="224" formatCode="0\ &quot;회&quot;"/>
    <numFmt numFmtId="225" formatCode="0.0\ &quot;mm&quot;"/>
  </numFmts>
  <fonts count="110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vertAlign val="super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sz val="10"/>
      <name val="바탕"/>
      <family val="1"/>
      <charset val="129"/>
    </font>
    <font>
      <b/>
      <sz val="10"/>
      <name val="맑은 고딕"/>
      <family val="3"/>
      <charset val="129"/>
    </font>
    <font>
      <i/>
      <sz val="10"/>
      <name val="times"/>
      <family val="1"/>
    </font>
    <font>
      <vertAlign val="subscript"/>
      <sz val="10"/>
      <name val="맑은 고딕"/>
      <family val="3"/>
      <charset val="129"/>
      <scheme val="major"/>
    </font>
    <font>
      <b/>
      <vertAlign val="subscript"/>
      <sz val="10"/>
      <name val="Times New Roman"/>
      <family val="1"/>
    </font>
    <font>
      <b/>
      <sz val="10"/>
      <name val="맑은 고딕"/>
      <family val="1"/>
      <scheme val="major"/>
    </font>
    <font>
      <sz val="20"/>
      <name val="맑은 고딕"/>
      <family val="3"/>
      <charset val="129"/>
      <scheme val="major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  <font>
      <sz val="9"/>
      <color rgb="FFFF0000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</borders>
  <cellStyleXfs count="114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1" applyNumberFormat="0" applyBorder="0" applyAlignment="0" applyProtection="0"/>
    <xf numFmtId="0" fontId="17" fillId="22" borderId="62" applyNumberFormat="0" applyAlignment="0" applyProtection="0">
      <alignment vertical="center"/>
    </xf>
    <xf numFmtId="0" fontId="3" fillId="23" borderId="59" applyNumberFormat="0" applyFont="0" applyAlignment="0" applyProtection="0">
      <alignment vertical="center"/>
    </xf>
    <xf numFmtId="0" fontId="24" fillId="0" borderId="63" applyNumberFormat="0" applyFill="0" applyAlignment="0" applyProtection="0">
      <alignment vertical="center"/>
    </xf>
    <xf numFmtId="0" fontId="25" fillId="7" borderId="62" applyNumberFormat="0" applyAlignment="0" applyProtection="0">
      <alignment vertical="center"/>
    </xf>
    <xf numFmtId="0" fontId="31" fillId="22" borderId="64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6" applyNumberFormat="0" applyBorder="0" applyAlignment="0" applyProtection="0"/>
    <xf numFmtId="0" fontId="17" fillId="22" borderId="67" applyNumberFormat="0" applyAlignment="0" applyProtection="0">
      <alignment vertical="center"/>
    </xf>
    <xf numFmtId="0" fontId="3" fillId="23" borderId="65" applyNumberFormat="0" applyFont="0" applyAlignment="0" applyProtection="0">
      <alignment vertical="center"/>
    </xf>
    <xf numFmtId="0" fontId="24" fillId="0" borderId="68" applyNumberFormat="0" applyFill="0" applyAlignment="0" applyProtection="0">
      <alignment vertical="center"/>
    </xf>
    <xf numFmtId="0" fontId="25" fillId="7" borderId="67" applyNumberFormat="0" applyAlignment="0" applyProtection="0">
      <alignment vertical="center"/>
    </xf>
    <xf numFmtId="0" fontId="31" fillId="22" borderId="6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6" applyNumberFormat="0" applyBorder="0" applyAlignment="0" applyProtection="0"/>
    <xf numFmtId="0" fontId="17" fillId="22" borderId="67" applyNumberFormat="0" applyAlignment="0" applyProtection="0">
      <alignment vertical="center"/>
    </xf>
    <xf numFmtId="0" fontId="3" fillId="23" borderId="65" applyNumberFormat="0" applyFont="0" applyAlignment="0" applyProtection="0">
      <alignment vertical="center"/>
    </xf>
    <xf numFmtId="0" fontId="24" fillId="0" borderId="68" applyNumberFormat="0" applyFill="0" applyAlignment="0" applyProtection="0">
      <alignment vertical="center"/>
    </xf>
    <xf numFmtId="0" fontId="25" fillId="7" borderId="67" applyNumberFormat="0" applyAlignment="0" applyProtection="0">
      <alignment vertical="center"/>
    </xf>
    <xf numFmtId="0" fontId="31" fillId="22" borderId="6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</cellStyleXfs>
  <cellXfs count="548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1" fontId="67" fillId="0" borderId="0" xfId="0" applyNumberFormat="1" applyFont="1" applyBorder="1" applyAlignment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90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3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1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48" fillId="0" borderId="36" xfId="79" applyNumberFormat="1" applyFont="1" applyFill="1" applyBorder="1" applyAlignment="1">
      <alignment horizontal="right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9" xfId="79" applyNumberFormat="1" applyFont="1" applyFill="1" applyBorder="1" applyAlignment="1">
      <alignment vertical="center"/>
    </xf>
    <xf numFmtId="0" fontId="48" fillId="0" borderId="39" xfId="79" applyNumberFormat="1" applyFont="1" applyFill="1" applyBorder="1" applyAlignment="1">
      <alignment horizontal="left" vertical="center"/>
    </xf>
    <xf numFmtId="0" fontId="48" fillId="0" borderId="39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7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8" xfId="0" applyFont="1" applyBorder="1" applyAlignment="1">
      <alignment horizontal="center" vertical="center"/>
    </xf>
    <xf numFmtId="0" fontId="78" fillId="0" borderId="0" xfId="0" applyFont="1" applyBorder="1">
      <alignment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50" fillId="0" borderId="39" xfId="80" applyNumberFormat="1" applyFont="1" applyFill="1" applyBorder="1" applyAlignment="1">
      <alignment horizontal="right" vertical="center"/>
    </xf>
    <xf numFmtId="0" fontId="48" fillId="0" borderId="40" xfId="79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1" xfId="79" applyNumberFormat="1" applyFont="1" applyFill="1" applyBorder="1" applyAlignment="1">
      <alignment horizontal="center" vertical="center"/>
    </xf>
    <xf numFmtId="0" fontId="60" fillId="31" borderId="41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5" xfId="0" applyNumberFormat="1" applyFont="1" applyBorder="1" applyAlignment="1">
      <alignment horizontal="center" vertical="center"/>
    </xf>
    <xf numFmtId="0" fontId="53" fillId="26" borderId="45" xfId="0" applyFont="1" applyFill="1" applyBorder="1" applyAlignment="1">
      <alignment horizontal="center" vertical="center" wrapText="1"/>
    </xf>
    <xf numFmtId="0" fontId="55" fillId="0" borderId="45" xfId="0" applyFont="1" applyBorder="1" applyAlignment="1">
      <alignment horizontal="center" vertical="center"/>
    </xf>
    <xf numFmtId="0" fontId="52" fillId="0" borderId="45" xfId="0" applyFont="1" applyBorder="1" applyAlignment="1">
      <alignment horizontal="center" vertical="center"/>
    </xf>
    <xf numFmtId="0" fontId="52" fillId="0" borderId="45" xfId="0" applyNumberFormat="1" applyFont="1" applyBorder="1" applyAlignment="1">
      <alignment horizontal="center" vertical="center"/>
    </xf>
    <xf numFmtId="0" fontId="75" fillId="33" borderId="45" xfId="0" applyFont="1" applyFill="1" applyBorder="1">
      <alignment vertical="center"/>
    </xf>
    <xf numFmtId="0" fontId="79" fillId="0" borderId="0" xfId="0" applyNumberFormat="1" applyFont="1" applyFill="1" applyAlignment="1">
      <alignment horizontal="left" vertical="center" indent="1"/>
    </xf>
    <xf numFmtId="0" fontId="80" fillId="0" borderId="0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Border="1" applyAlignment="1">
      <alignment horizontal="left" vertical="center"/>
    </xf>
    <xf numFmtId="0" fontId="80" fillId="0" borderId="0" xfId="0" applyNumberFormat="1" applyFo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0" fillId="0" borderId="0" xfId="0" applyNumberFormat="1" applyFont="1" applyFill="1" applyAlignment="1">
      <alignment vertical="center"/>
    </xf>
    <xf numFmtId="0" fontId="79" fillId="0" borderId="0" xfId="0" applyNumberFormat="1" applyFont="1" applyFill="1" applyBorder="1" applyAlignment="1">
      <alignment vertical="center"/>
    </xf>
    <xf numFmtId="0" fontId="80" fillId="0" borderId="50" xfId="0" applyNumberFormat="1" applyFont="1" applyFill="1" applyBorder="1" applyAlignment="1">
      <alignment horizontal="center" vertical="center"/>
    </xf>
    <xf numFmtId="197" fontId="80" fillId="29" borderId="51" xfId="0" applyNumberFormat="1" applyFont="1" applyFill="1" applyBorder="1" applyAlignment="1">
      <alignment horizontal="center" vertical="center"/>
    </xf>
    <xf numFmtId="197" fontId="80" fillId="0" borderId="53" xfId="0" applyNumberFormat="1" applyFont="1" applyFill="1" applyBorder="1" applyAlignment="1">
      <alignment horizontal="center" vertical="center"/>
    </xf>
    <xf numFmtId="198" fontId="80" fillId="0" borderId="50" xfId="0" applyNumberFormat="1" applyFont="1" applyFill="1" applyBorder="1" applyAlignment="1">
      <alignment horizontal="center" vertical="center"/>
    </xf>
    <xf numFmtId="0" fontId="80" fillId="35" borderId="50" xfId="0" applyNumberFormat="1" applyFont="1" applyFill="1" applyBorder="1" applyAlignment="1">
      <alignment horizontal="center" vertical="center"/>
    </xf>
    <xf numFmtId="0" fontId="79" fillId="0" borderId="0" xfId="0" applyNumberFormat="1" applyFont="1" applyFill="1" applyAlignment="1">
      <alignment vertical="center"/>
    </xf>
    <xf numFmtId="0" fontId="85" fillId="35" borderId="49" xfId="78" applyNumberFormat="1" applyFont="1" applyFill="1" applyBorder="1" applyAlignment="1">
      <alignment horizontal="center" vertical="center"/>
    </xf>
    <xf numFmtId="0" fontId="79" fillId="0" borderId="0" xfId="0" applyNumberFormat="1" applyFont="1" applyFill="1" applyAlignment="1">
      <alignment horizontal="left" vertical="center"/>
    </xf>
    <xf numFmtId="199" fontId="80" fillId="0" borderId="52" xfId="0" applyNumberFormat="1" applyFont="1" applyFill="1" applyBorder="1" applyAlignment="1">
      <alignment horizontal="center" vertical="center"/>
    </xf>
    <xf numFmtId="199" fontId="80" fillId="0" borderId="50" xfId="0" applyNumberFormat="1" applyFont="1" applyFill="1" applyBorder="1" applyAlignment="1">
      <alignment horizontal="center" vertical="center"/>
    </xf>
    <xf numFmtId="0" fontId="80" fillId="35" borderId="52" xfId="0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46" xfId="79" applyNumberFormat="1" applyFont="1" applyFill="1" applyBorder="1" applyAlignment="1">
      <alignment horizontal="center" vertical="center"/>
    </xf>
    <xf numFmtId="0" fontId="48" fillId="0" borderId="45" xfId="79" applyNumberFormat="1" applyFont="1" applyFill="1" applyBorder="1" applyAlignment="1">
      <alignment horizontal="center" vertical="center"/>
    </xf>
    <xf numFmtId="195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5" fillId="0" borderId="0" xfId="0" quotePrefix="1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204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208" fontId="67" fillId="0" borderId="0" xfId="0" applyNumberFormat="1" applyFont="1" applyBorder="1" applyAlignment="1"/>
    <xf numFmtId="0" fontId="67" fillId="0" borderId="0" xfId="0" applyNumberFormat="1" applyFont="1" applyBorder="1" applyAlignment="1"/>
    <xf numFmtId="185" fontId="67" fillId="0" borderId="0" xfId="0" applyNumberFormat="1" applyFont="1" applyBorder="1" applyAlignment="1">
      <alignment vertical="center"/>
    </xf>
    <xf numFmtId="0" fontId="92" fillId="0" borderId="0" xfId="0" applyFont="1" applyBorder="1" applyAlignment="1">
      <alignment vertical="center"/>
    </xf>
    <xf numFmtId="201" fontId="92" fillId="0" borderId="0" xfId="0" applyNumberFormat="1" applyFont="1" applyBorder="1" applyAlignment="1">
      <alignment vertical="center"/>
    </xf>
    <xf numFmtId="201" fontId="92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horizontal="left" vertical="center" shrinkToFit="1"/>
    </xf>
    <xf numFmtId="211" fontId="67" fillId="0" borderId="0" xfId="0" applyNumberFormat="1" applyFont="1" applyBorder="1" applyAlignment="1">
      <alignment vertical="center"/>
    </xf>
    <xf numFmtId="211" fontId="67" fillId="0" borderId="0" xfId="0" applyNumberFormat="1" applyFont="1" applyBorder="1" applyAlignment="1">
      <alignment horizontal="center" vertical="center"/>
    </xf>
    <xf numFmtId="212" fontId="67" fillId="0" borderId="0" xfId="0" applyNumberFormat="1" applyFont="1" applyBorder="1" applyAlignment="1">
      <alignment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54" xfId="0" applyNumberFormat="1" applyFont="1" applyBorder="1" applyAlignment="1">
      <alignment vertical="center"/>
    </xf>
    <xf numFmtId="0" fontId="52" fillId="0" borderId="55" xfId="0" applyNumberFormat="1" applyFont="1" applyBorder="1" applyAlignme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93" fillId="0" borderId="0" xfId="0" applyNumberFormat="1" applyFont="1" applyAlignment="1">
      <alignment vertical="center"/>
    </xf>
    <xf numFmtId="0" fontId="93" fillId="0" borderId="0" xfId="0" applyNumberFormat="1" applyFont="1" applyAlignment="1">
      <alignment horizontal="left" vertical="center" indent="1"/>
    </xf>
    <xf numFmtId="0" fontId="52" fillId="0" borderId="55" xfId="0" applyNumberFormat="1" applyFont="1" applyBorder="1" applyAlignment="1">
      <alignment horizontal="left" vertical="center"/>
    </xf>
    <xf numFmtId="0" fontId="92" fillId="0" borderId="0" xfId="0" applyFont="1" applyBorder="1">
      <alignment vertical="center"/>
    </xf>
    <xf numFmtId="0" fontId="80" fillId="32" borderId="60" xfId="0" applyNumberFormat="1" applyFont="1" applyFill="1" applyBorder="1" applyAlignment="1">
      <alignment horizontal="center" vertical="center" wrapText="1"/>
    </xf>
    <xf numFmtId="0" fontId="80" fillId="0" borderId="52" xfId="0" applyNumberFormat="1" applyFont="1" applyFill="1" applyBorder="1" applyAlignment="1">
      <alignment horizontal="center" vertical="center"/>
    </xf>
    <xf numFmtId="0" fontId="52" fillId="0" borderId="45" xfId="0" applyNumberFormat="1" applyFont="1" applyBorder="1" applyAlignment="1">
      <alignment horizontal="center" vertical="center" shrinkToFit="1"/>
    </xf>
    <xf numFmtId="41" fontId="52" fillId="0" borderId="45" xfId="87" applyFont="1" applyBorder="1" applyAlignment="1">
      <alignment horizontal="center" vertical="center"/>
    </xf>
    <xf numFmtId="0" fontId="75" fillId="33" borderId="45" xfId="0" applyFont="1" applyFill="1" applyBorder="1">
      <alignment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48" fillId="0" borderId="41" xfId="79" applyNumberFormat="1" applyFont="1" applyFill="1" applyBorder="1" applyAlignment="1">
      <alignment horizontal="center" vertical="center"/>
    </xf>
    <xf numFmtId="0" fontId="94" fillId="28" borderId="65" xfId="0" applyNumberFormat="1" applyFont="1" applyFill="1" applyBorder="1" applyAlignment="1">
      <alignment horizontal="center" vertical="center"/>
    </xf>
    <xf numFmtId="0" fontId="80" fillId="0" borderId="65" xfId="0" applyNumberFormat="1" applyFont="1" applyFill="1" applyBorder="1" applyAlignment="1">
      <alignment horizontal="center" vertical="center"/>
    </xf>
    <xf numFmtId="0" fontId="96" fillId="0" borderId="65" xfId="0" applyNumberFormat="1" applyFont="1" applyFill="1" applyBorder="1" applyAlignment="1">
      <alignment horizontal="center" vertical="center"/>
    </xf>
    <xf numFmtId="193" fontId="80" fillId="0" borderId="65" xfId="0" applyNumberFormat="1" applyFont="1" applyFill="1" applyBorder="1" applyAlignment="1">
      <alignment horizontal="center" vertical="center"/>
    </xf>
    <xf numFmtId="0" fontId="98" fillId="0" borderId="0" xfId="0" applyFont="1" applyBorder="1">
      <alignment vertical="center"/>
    </xf>
    <xf numFmtId="0" fontId="67" fillId="0" borderId="39" xfId="0" applyFont="1" applyBorder="1">
      <alignment vertical="center"/>
    </xf>
    <xf numFmtId="0" fontId="52" fillId="0" borderId="0" xfId="0" applyFont="1" applyBorder="1" applyAlignment="1">
      <alignment vertical="center"/>
    </xf>
    <xf numFmtId="0" fontId="59" fillId="27" borderId="47" xfId="8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0" fontId="80" fillId="34" borderId="65" xfId="0" applyNumberFormat="1" applyFont="1" applyFill="1" applyBorder="1" applyAlignment="1">
      <alignment horizontal="center" vertical="center"/>
    </xf>
    <xf numFmtId="0" fontId="48" fillId="0" borderId="57" xfId="79" applyNumberFormat="1" applyFont="1" applyFill="1" applyBorder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48" fillId="0" borderId="57" xfId="79" applyNumberFormat="1" applyFont="1" applyFill="1" applyBorder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48" fillId="0" borderId="66" xfId="79" applyNumberFormat="1" applyFont="1" applyFill="1" applyBorder="1" applyAlignment="1">
      <alignment horizontal="center" vertical="center"/>
    </xf>
    <xf numFmtId="0" fontId="87" fillId="0" borderId="0" xfId="0" applyFont="1" applyBorder="1">
      <alignment vertical="center"/>
    </xf>
    <xf numFmtId="0" fontId="100" fillId="0" borderId="0" xfId="0" applyFont="1" applyBorder="1" applyAlignment="1">
      <alignment vertical="center"/>
    </xf>
    <xf numFmtId="0" fontId="87" fillId="0" borderId="0" xfId="0" applyFont="1" applyBorder="1" applyAlignment="1">
      <alignment vertical="center"/>
    </xf>
    <xf numFmtId="0" fontId="55" fillId="0" borderId="66" xfId="0" applyFont="1" applyBorder="1" applyAlignment="1">
      <alignment horizontal="center" vertical="center"/>
    </xf>
    <xf numFmtId="190" fontId="81" fillId="28" borderId="65" xfId="0" applyNumberFormat="1" applyFont="1" applyFill="1" applyBorder="1" applyAlignment="1">
      <alignment horizontal="center" vertical="center" wrapText="1"/>
    </xf>
    <xf numFmtId="49" fontId="81" fillId="28" borderId="65" xfId="0" applyNumberFormat="1" applyFont="1" applyFill="1" applyBorder="1" applyAlignment="1">
      <alignment horizontal="center" vertical="center"/>
    </xf>
    <xf numFmtId="190" fontId="81" fillId="28" borderId="65" xfId="0" applyNumberFormat="1" applyFont="1" applyFill="1" applyBorder="1" applyAlignment="1">
      <alignment horizontal="center" vertical="center"/>
    </xf>
    <xf numFmtId="206" fontId="67" fillId="0" borderId="39" xfId="0" applyNumberFormat="1" applyFont="1" applyBorder="1" applyAlignment="1">
      <alignment horizontal="center" vertical="center"/>
    </xf>
    <xf numFmtId="0" fontId="67" fillId="0" borderId="39" xfId="0" applyNumberFormat="1" applyFont="1" applyBorder="1" applyAlignment="1">
      <alignment horizontal="center" vertical="center"/>
    </xf>
    <xf numFmtId="210" fontId="67" fillId="0" borderId="0" xfId="0" applyNumberFormat="1" applyFont="1" applyBorder="1" applyAlignment="1">
      <alignment vertical="center"/>
    </xf>
    <xf numFmtId="215" fontId="67" fillId="0" borderId="39" xfId="0" applyNumberFormat="1" applyFont="1" applyBorder="1" applyAlignment="1">
      <alignment vertical="center"/>
    </xf>
    <xf numFmtId="201" fontId="69" fillId="0" borderId="0" xfId="0" applyNumberFormat="1" applyFont="1" applyBorder="1" applyAlignment="1">
      <alignment vertical="center"/>
    </xf>
    <xf numFmtId="0" fontId="5" fillId="28" borderId="60" xfId="0" applyNumberFormat="1" applyFont="1" applyFill="1" applyBorder="1" applyAlignment="1">
      <alignment horizontal="center" vertical="center"/>
    </xf>
    <xf numFmtId="0" fontId="80" fillId="0" borderId="65" xfId="78" applyNumberFormat="1" applyFont="1" applyFill="1" applyBorder="1" applyAlignment="1">
      <alignment horizontal="center" vertical="center"/>
    </xf>
    <xf numFmtId="193" fontId="80" fillId="0" borderId="65" xfId="78" applyNumberFormat="1" applyFont="1" applyFill="1" applyBorder="1" applyAlignment="1">
      <alignment horizontal="center" vertical="center"/>
    </xf>
    <xf numFmtId="188" fontId="80" fillId="0" borderId="65" xfId="0" applyNumberFormat="1" applyFont="1" applyFill="1" applyBorder="1" applyAlignment="1">
      <alignment horizontal="center" vertical="center"/>
    </xf>
    <xf numFmtId="0" fontId="80" fillId="32" borderId="65" xfId="0" applyNumberFormat="1" applyFont="1" applyFill="1" applyBorder="1" applyAlignment="1">
      <alignment horizontal="center" vertical="center"/>
    </xf>
    <xf numFmtId="0" fontId="80" fillId="29" borderId="65" xfId="0" applyNumberFormat="1" applyFont="1" applyFill="1" applyBorder="1" applyAlignment="1">
      <alignment horizontal="center" vertical="center"/>
    </xf>
    <xf numFmtId="0" fontId="80" fillId="31" borderId="65" xfId="0" applyNumberFormat="1" applyFont="1" applyFill="1" applyBorder="1" applyAlignment="1">
      <alignment horizontal="center" vertical="center"/>
    </xf>
    <xf numFmtId="189" fontId="80" fillId="36" borderId="65" xfId="0" applyNumberFormat="1" applyFont="1" applyFill="1" applyBorder="1" applyAlignment="1">
      <alignment horizontal="center" vertical="center"/>
    </xf>
    <xf numFmtId="0" fontId="80" fillId="32" borderId="65" xfId="0" applyNumberFormat="1" applyFont="1" applyFill="1" applyBorder="1" applyAlignment="1">
      <alignment horizontal="center" vertical="center" wrapText="1"/>
    </xf>
    <xf numFmtId="0" fontId="80" fillId="0" borderId="65" xfId="0" applyNumberFormat="1" applyFont="1" applyFill="1" applyBorder="1" applyAlignment="1">
      <alignment horizontal="center" vertical="center" wrapText="1"/>
    </xf>
    <xf numFmtId="0" fontId="80" fillId="0" borderId="65" xfId="0" applyNumberFormat="1" applyFont="1" applyBorder="1" applyAlignment="1">
      <alignment horizontal="center" vertical="center"/>
    </xf>
    <xf numFmtId="214" fontId="80" fillId="0" borderId="65" xfId="0" applyNumberFormat="1" applyFont="1" applyFill="1" applyBorder="1" applyAlignment="1">
      <alignment horizontal="center" vertical="center"/>
    </xf>
    <xf numFmtId="2" fontId="80" fillId="29" borderId="65" xfId="0" applyNumberFormat="1" applyFont="1" applyFill="1" applyBorder="1" applyAlignment="1">
      <alignment horizontal="center" vertical="center"/>
    </xf>
    <xf numFmtId="201" fontId="80" fillId="0" borderId="65" xfId="0" applyNumberFormat="1" applyFont="1" applyFill="1" applyBorder="1" applyAlignment="1">
      <alignment horizontal="center" vertical="center"/>
    </xf>
    <xf numFmtId="195" fontId="80" fillId="0" borderId="65" xfId="0" applyNumberFormat="1" applyFont="1" applyFill="1" applyBorder="1" applyAlignment="1">
      <alignment horizontal="center" vertical="center"/>
    </xf>
    <xf numFmtId="200" fontId="80" fillId="0" borderId="65" xfId="0" applyNumberFormat="1" applyFont="1" applyFill="1" applyBorder="1" applyAlignment="1">
      <alignment horizontal="center" vertical="center"/>
    </xf>
    <xf numFmtId="202" fontId="80" fillId="0" borderId="65" xfId="0" applyNumberFormat="1" applyFont="1" applyFill="1" applyBorder="1" applyAlignment="1">
      <alignment horizontal="center" vertical="center"/>
    </xf>
    <xf numFmtId="203" fontId="80" fillId="29" borderId="65" xfId="0" applyNumberFormat="1" applyFont="1" applyFill="1" applyBorder="1" applyAlignment="1">
      <alignment horizontal="center" vertical="center"/>
    </xf>
    <xf numFmtId="203" fontId="80" fillId="0" borderId="65" xfId="0" applyNumberFormat="1" applyFont="1" applyFill="1" applyBorder="1" applyAlignment="1">
      <alignment horizontal="center" vertical="center"/>
    </xf>
    <xf numFmtId="195" fontId="80" fillId="32" borderId="65" xfId="0" applyNumberFormat="1" applyFont="1" applyFill="1" applyBorder="1" applyAlignment="1">
      <alignment horizontal="center" vertical="center"/>
    </xf>
    <xf numFmtId="0" fontId="80" fillId="36" borderId="65" xfId="0" applyNumberFormat="1" applyFont="1" applyFill="1" applyBorder="1" applyAlignment="1">
      <alignment horizontal="center" vertical="center"/>
    </xf>
    <xf numFmtId="0" fontId="80" fillId="0" borderId="65" xfId="0" applyNumberFormat="1" applyFont="1" applyFill="1" applyBorder="1" applyAlignment="1">
      <alignment horizontal="left" vertical="center"/>
    </xf>
    <xf numFmtId="49" fontId="80" fillId="0" borderId="65" xfId="0" applyNumberFormat="1" applyFont="1" applyFill="1" applyBorder="1" applyAlignment="1">
      <alignment horizontal="left" vertical="center"/>
    </xf>
    <xf numFmtId="41" fontId="52" fillId="0" borderId="56" xfId="87" applyFont="1" applyBorder="1" applyAlignment="1">
      <alignment horizontal="center" vertical="center" wrapText="1"/>
    </xf>
    <xf numFmtId="41" fontId="52" fillId="0" borderId="57" xfId="87" applyFont="1" applyBorder="1" applyAlignment="1">
      <alignment horizontal="center" vertical="center" wrapText="1"/>
    </xf>
    <xf numFmtId="0" fontId="80" fillId="35" borderId="65" xfId="0" applyNumberFormat="1" applyFont="1" applyFill="1" applyBorder="1" applyAlignment="1">
      <alignment horizontal="center" vertical="center"/>
    </xf>
    <xf numFmtId="216" fontId="80" fillId="0" borderId="65" xfId="0" applyNumberFormat="1" applyFont="1" applyFill="1" applyBorder="1" applyAlignment="1">
      <alignment horizontal="center" vertical="center"/>
    </xf>
    <xf numFmtId="198" fontId="1" fillId="0" borderId="65" xfId="0" applyNumberFormat="1" applyFont="1" applyFill="1" applyBorder="1" applyAlignment="1">
      <alignment horizontal="center" vertical="center"/>
    </xf>
    <xf numFmtId="216" fontId="80" fillId="29" borderId="65" xfId="0" applyNumberFormat="1" applyFont="1" applyFill="1" applyBorder="1" applyAlignment="1">
      <alignment horizontal="center" vertical="center"/>
    </xf>
    <xf numFmtId="195" fontId="80" fillId="29" borderId="65" xfId="0" applyNumberFormat="1" applyFont="1" applyFill="1" applyBorder="1" applyAlignment="1">
      <alignment horizontal="center" vertical="center"/>
    </xf>
    <xf numFmtId="0" fontId="52" fillId="29" borderId="71" xfId="87" applyNumberFormat="1" applyFont="1" applyFill="1" applyBorder="1" applyAlignment="1">
      <alignment horizontal="center" vertical="center" wrapText="1"/>
    </xf>
    <xf numFmtId="41" fontId="52" fillId="0" borderId="71" xfId="87" applyFont="1" applyBorder="1" applyAlignment="1">
      <alignment horizontal="center" vertical="center" wrapText="1"/>
    </xf>
    <xf numFmtId="9" fontId="52" fillId="29" borderId="71" xfId="87" applyNumberFormat="1" applyFont="1" applyFill="1" applyBorder="1" applyAlignment="1">
      <alignment horizontal="center" vertical="center" wrapText="1"/>
    </xf>
    <xf numFmtId="9" fontId="52" fillId="0" borderId="71" xfId="87" applyNumberFormat="1" applyFont="1" applyBorder="1" applyAlignment="1">
      <alignment horizontal="center" vertical="center" wrapText="1"/>
    </xf>
    <xf numFmtId="202" fontId="80" fillId="29" borderId="65" xfId="0" applyNumberFormat="1" applyFont="1" applyFill="1" applyBorder="1" applyAlignment="1">
      <alignment horizontal="center" vertical="center"/>
    </xf>
    <xf numFmtId="0" fontId="7" fillId="28" borderId="60" xfId="0" applyNumberFormat="1" applyFont="1" applyFill="1" applyBorder="1" applyAlignment="1">
      <alignment horizontal="center" vertical="center"/>
    </xf>
    <xf numFmtId="0" fontId="1" fillId="0" borderId="65" xfId="78" applyNumberFormat="1" applyFont="1" applyFill="1" applyBorder="1" applyAlignment="1">
      <alignment horizontal="center" vertical="center"/>
    </xf>
    <xf numFmtId="196" fontId="1" fillId="0" borderId="65" xfId="78" applyNumberFormat="1" applyFont="1" applyFill="1" applyBorder="1" applyAlignment="1">
      <alignment horizontal="center" vertical="center"/>
    </xf>
    <xf numFmtId="49" fontId="1" fillId="0" borderId="65" xfId="78" applyNumberFormat="1" applyFont="1" applyFill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 shrinkToFit="1"/>
    </xf>
    <xf numFmtId="0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192" fontId="67" fillId="0" borderId="0" xfId="0" applyNumberFormat="1" applyFont="1" applyBorder="1" applyAlignment="1">
      <alignment vertical="center"/>
    </xf>
    <xf numFmtId="205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39" xfId="0" applyNumberFormat="1" applyFont="1" applyBorder="1" applyAlignment="1">
      <alignment vertical="center"/>
    </xf>
    <xf numFmtId="195" fontId="67" fillId="0" borderId="0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0" fontId="67" fillId="0" borderId="41" xfId="0" applyFont="1" applyBorder="1" applyAlignment="1">
      <alignment horizontal="center" vertical="center"/>
    </xf>
    <xf numFmtId="0" fontId="65" fillId="0" borderId="0" xfId="0" applyFont="1" applyBorder="1" applyAlignment="1">
      <alignment horizontal="right" vertical="center"/>
    </xf>
    <xf numFmtId="0" fontId="67" fillId="0" borderId="0" xfId="0" applyFont="1" applyBorder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 shrinkToFit="1"/>
    </xf>
    <xf numFmtId="205" fontId="67" fillId="0" borderId="0" xfId="0" applyNumberFormat="1" applyFont="1" applyBorder="1" applyAlignment="1">
      <alignment horizontal="center" vertical="center"/>
    </xf>
    <xf numFmtId="0" fontId="81" fillId="28" borderId="65" xfId="0" applyNumberFormat="1" applyFont="1" applyFill="1" applyBorder="1" applyAlignment="1">
      <alignment horizontal="center" vertical="center" wrapText="1"/>
    </xf>
    <xf numFmtId="0" fontId="81" fillId="28" borderId="60" xfId="0" applyNumberFormat="1" applyFont="1" applyFill="1" applyBorder="1" applyAlignment="1">
      <alignment horizontal="center" vertical="center" wrapText="1"/>
    </xf>
    <xf numFmtId="0" fontId="81" fillId="28" borderId="49" xfId="0" applyNumberFormat="1" applyFont="1" applyFill="1" applyBorder="1" applyAlignment="1">
      <alignment horizontal="center" vertical="center"/>
    </xf>
    <xf numFmtId="0" fontId="81" fillId="28" borderId="65" xfId="0" applyNumberFormat="1" applyFont="1" applyFill="1" applyBorder="1" applyAlignment="1">
      <alignment horizontal="center" vertical="center"/>
    </xf>
    <xf numFmtId="189" fontId="80" fillId="0" borderId="65" xfId="0" applyNumberFormat="1" applyFont="1" applyFill="1" applyBorder="1" applyAlignment="1">
      <alignment horizontal="center" vertical="center"/>
    </xf>
    <xf numFmtId="217" fontId="80" fillId="0" borderId="65" xfId="0" applyNumberFormat="1" applyFont="1" applyFill="1" applyBorder="1" applyAlignment="1">
      <alignment horizontal="center" vertical="center"/>
    </xf>
    <xf numFmtId="0" fontId="80" fillId="0" borderId="65" xfId="0" applyNumberFormat="1" applyFont="1" applyFill="1" applyBorder="1" applyAlignment="1">
      <alignment vertical="center"/>
    </xf>
    <xf numFmtId="188" fontId="67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vertical="center"/>
    </xf>
    <xf numFmtId="189" fontId="67" fillId="0" borderId="0" xfId="0" applyNumberFormat="1" applyFont="1" applyBorder="1" applyAlignment="1">
      <alignment horizontal="right" vertical="center" shrinkToFit="1"/>
    </xf>
    <xf numFmtId="219" fontId="67" fillId="0" borderId="0" xfId="0" applyNumberFormat="1" applyFont="1" applyBorder="1" applyAlignment="1">
      <alignment horizontal="center" vertical="center" shrinkToFit="1"/>
    </xf>
    <xf numFmtId="220" fontId="67" fillId="0" borderId="0" xfId="0" applyNumberFormat="1" applyFont="1" applyBorder="1" applyAlignment="1">
      <alignment horizontal="left" vertical="center"/>
    </xf>
    <xf numFmtId="221" fontId="67" fillId="0" borderId="0" xfId="0" applyNumberFormat="1" applyFont="1" applyBorder="1" applyAlignment="1">
      <alignment vertical="center"/>
    </xf>
    <xf numFmtId="219" fontId="52" fillId="0" borderId="0" xfId="0" applyNumberFormat="1" applyFont="1" applyBorder="1" applyAlignment="1">
      <alignment vertical="center"/>
    </xf>
    <xf numFmtId="219" fontId="67" fillId="0" borderId="0" xfId="0" applyNumberFormat="1" applyFont="1" applyBorder="1" applyAlignment="1">
      <alignment vertical="center" shrinkToFit="1"/>
    </xf>
    <xf numFmtId="193" fontId="67" fillId="0" borderId="0" xfId="0" applyNumberFormat="1" applyFont="1" applyBorder="1" applyAlignment="1">
      <alignment vertical="center" shrinkToFit="1"/>
    </xf>
    <xf numFmtId="201" fontId="67" fillId="0" borderId="0" xfId="0" applyNumberFormat="1" applyFont="1" applyBorder="1" applyAlignment="1">
      <alignment vertical="center" shrinkToFit="1"/>
    </xf>
    <xf numFmtId="223" fontId="52" fillId="0" borderId="0" xfId="0" applyNumberFormat="1" applyFont="1" applyBorder="1" applyAlignment="1">
      <alignment vertical="center"/>
    </xf>
    <xf numFmtId="223" fontId="52" fillId="0" borderId="0" xfId="0" applyNumberFormat="1" applyFont="1" applyBorder="1" applyAlignment="1">
      <alignment horizontal="center" vertical="center"/>
    </xf>
    <xf numFmtId="1" fontId="52" fillId="0" borderId="0" xfId="0" applyNumberFormat="1" applyFont="1" applyBorder="1" applyAlignment="1">
      <alignment vertical="center"/>
    </xf>
    <xf numFmtId="1" fontId="52" fillId="0" borderId="0" xfId="0" applyNumberFormat="1" applyFont="1" applyBorder="1" applyAlignment="1">
      <alignment horizontal="center" vertical="center"/>
    </xf>
    <xf numFmtId="195" fontId="52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horizontal="right" vertical="center"/>
    </xf>
    <xf numFmtId="211" fontId="52" fillId="0" borderId="0" xfId="0" applyNumberFormat="1" applyFont="1" applyBorder="1" applyAlignment="1">
      <alignment vertical="center"/>
    </xf>
    <xf numFmtId="211" fontId="52" fillId="0" borderId="0" xfId="0" applyNumberFormat="1" applyFont="1" applyBorder="1" applyAlignment="1">
      <alignment horizontal="center" vertical="center"/>
    </xf>
    <xf numFmtId="0" fontId="67" fillId="0" borderId="39" xfId="0" applyFont="1" applyBorder="1" applyAlignment="1">
      <alignment vertical="center"/>
    </xf>
    <xf numFmtId="205" fontId="67" fillId="0" borderId="39" xfId="0" applyNumberFormat="1" applyFont="1" applyBorder="1" applyAlignment="1">
      <alignment vertical="center" shrinkToFit="1"/>
    </xf>
    <xf numFmtId="221" fontId="67" fillId="0" borderId="0" xfId="0" applyNumberFormat="1" applyFont="1" applyBorder="1" applyAlignment="1">
      <alignment horizontal="center" vertical="center"/>
    </xf>
    <xf numFmtId="189" fontId="80" fillId="0" borderId="65" xfId="0" applyNumberFormat="1" applyFont="1" applyFill="1" applyBorder="1" applyAlignment="1">
      <alignment horizontal="center" vertical="center"/>
    </xf>
    <xf numFmtId="0" fontId="81" fillId="28" borderId="65" xfId="0" applyNumberFormat="1" applyFont="1" applyFill="1" applyBorder="1" applyAlignment="1">
      <alignment horizontal="center" vertical="center" wrapText="1"/>
    </xf>
    <xf numFmtId="2" fontId="80" fillId="32" borderId="65" xfId="86" applyNumberFormat="1" applyFont="1" applyFill="1" applyBorder="1" applyAlignment="1">
      <alignment horizontal="center" vertical="center" wrapText="1"/>
    </xf>
    <xf numFmtId="195" fontId="80" fillId="31" borderId="65" xfId="0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223" fontId="106" fillId="37" borderId="39" xfId="113" applyNumberFormat="1" applyFont="1" applyFill="1" applyBorder="1" applyAlignment="1">
      <alignment horizontal="center" vertical="center" wrapText="1"/>
    </xf>
    <xf numFmtId="49" fontId="60" fillId="37" borderId="39" xfId="79" applyNumberFormat="1" applyFont="1" applyFill="1" applyBorder="1" applyAlignment="1">
      <alignment horizontal="center" vertical="center" wrapText="1"/>
    </xf>
    <xf numFmtId="0" fontId="81" fillId="28" borderId="65" xfId="0" applyNumberFormat="1" applyFont="1" applyFill="1" applyBorder="1" applyAlignment="1">
      <alignment horizontal="center" vertical="center" wrapText="1"/>
    </xf>
    <xf numFmtId="0" fontId="81" fillId="28" borderId="65" xfId="0" applyNumberFormat="1" applyFont="1" applyFill="1" applyBorder="1" applyAlignment="1">
      <alignment horizontal="center" vertical="center" wrapText="1"/>
    </xf>
    <xf numFmtId="0" fontId="81" fillId="28" borderId="65" xfId="0" applyNumberFormat="1" applyFont="1" applyFill="1" applyBorder="1" applyAlignment="1">
      <alignment horizontal="center" vertical="center" shrinkToFit="1"/>
    </xf>
    <xf numFmtId="0" fontId="81" fillId="28" borderId="65" xfId="0" quotePrefix="1" applyNumberFormat="1" applyFont="1" applyFill="1" applyBorder="1" applyAlignment="1">
      <alignment horizontal="center" vertical="center" wrapText="1"/>
    </xf>
    <xf numFmtId="0" fontId="81" fillId="28" borderId="42" xfId="0" applyNumberFormat="1" applyFont="1" applyFill="1" applyBorder="1" applyAlignment="1">
      <alignment horizontal="center" vertical="center" shrinkToFit="1"/>
    </xf>
    <xf numFmtId="0" fontId="81" fillId="28" borderId="65" xfId="0" applyNumberFormat="1" applyFont="1" applyFill="1" applyBorder="1" applyAlignment="1">
      <alignment horizontal="center" vertical="center" wrapText="1"/>
    </xf>
    <xf numFmtId="0" fontId="81" fillId="28" borderId="65" xfId="0" applyNumberFormat="1" applyFont="1" applyFill="1" applyBorder="1" applyAlignment="1">
      <alignment horizontal="center" vertical="center"/>
    </xf>
    <xf numFmtId="189" fontId="80" fillId="0" borderId="65" xfId="0" applyNumberFormat="1" applyFont="1" applyFill="1" applyBorder="1" applyAlignment="1">
      <alignment horizontal="center" vertical="center"/>
    </xf>
    <xf numFmtId="189" fontId="80" fillId="0" borderId="65" xfId="0" applyNumberFormat="1" applyFont="1" applyFill="1" applyBorder="1" applyAlignment="1">
      <alignment horizontal="center" vertical="center"/>
    </xf>
    <xf numFmtId="0" fontId="81" fillId="28" borderId="65" xfId="0" applyNumberFormat="1" applyFont="1" applyFill="1" applyBorder="1" applyAlignment="1">
      <alignment horizontal="center" vertical="center" wrapText="1"/>
    </xf>
    <xf numFmtId="195" fontId="80" fillId="0" borderId="0" xfId="0" applyNumberFormat="1" applyFont="1" applyFill="1" applyBorder="1" applyAlignment="1">
      <alignment horizontal="center" vertical="center"/>
    </xf>
    <xf numFmtId="0" fontId="108" fillId="28" borderId="65" xfId="0" applyNumberFormat="1" applyFont="1" applyFill="1" applyBorder="1" applyAlignment="1">
      <alignment horizontal="center" vertical="center"/>
    </xf>
    <xf numFmtId="0" fontId="80" fillId="38" borderId="65" xfId="0" applyNumberFormat="1" applyFont="1" applyFill="1" applyBorder="1" applyAlignment="1">
      <alignment horizontal="center" vertical="center"/>
    </xf>
    <xf numFmtId="0" fontId="81" fillId="28" borderId="65" xfId="0" applyNumberFormat="1" applyFont="1" applyFill="1" applyBorder="1" applyAlignment="1">
      <alignment horizontal="center" vertical="center" wrapText="1"/>
    </xf>
    <xf numFmtId="0" fontId="81" fillId="28" borderId="65" xfId="0" applyNumberFormat="1" applyFont="1" applyFill="1" applyBorder="1" applyAlignment="1">
      <alignment horizontal="center" vertical="center" wrapText="1"/>
    </xf>
    <xf numFmtId="0" fontId="109" fillId="35" borderId="49" xfId="78" applyNumberFormat="1" applyFont="1" applyFill="1" applyBorder="1" applyAlignment="1">
      <alignment horizontal="center" vertical="center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7" fillId="0" borderId="0" xfId="79" applyNumberFormat="1" applyFont="1" applyAlignment="1">
      <alignment horizontal="center" wrapText="1"/>
    </xf>
    <xf numFmtId="49" fontId="74" fillId="0" borderId="0" xfId="82" applyNumberFormat="1" applyFont="1" applyFill="1" applyBorder="1" applyAlignment="1">
      <alignment horizontal="center" vertical="center" wrapText="1"/>
    </xf>
    <xf numFmtId="0" fontId="60" fillId="37" borderId="0" xfId="0" applyNumberFormat="1" applyFont="1" applyFill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39" xfId="79" applyNumberFormat="1" applyFont="1" applyFill="1" applyBorder="1" applyAlignment="1">
      <alignment horizontal="center" vertical="center"/>
    </xf>
    <xf numFmtId="223" fontId="60" fillId="37" borderId="0" xfId="0" applyNumberFormat="1" applyFont="1" applyFill="1" applyBorder="1" applyAlignment="1">
      <alignment horizontal="center" vertical="center" wrapText="1"/>
    </xf>
    <xf numFmtId="223" fontId="60" fillId="37" borderId="39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39" xfId="0" applyNumberFormat="1" applyFont="1" applyFill="1" applyBorder="1" applyAlignment="1">
      <alignment horizontal="center" vertical="center"/>
    </xf>
    <xf numFmtId="223" fontId="48" fillId="37" borderId="0" xfId="0" applyNumberFormat="1" applyFont="1" applyFill="1" applyAlignment="1">
      <alignment horizontal="center" vertical="center"/>
    </xf>
    <xf numFmtId="223" fontId="48" fillId="37" borderId="39" xfId="0" applyNumberFormat="1" applyFont="1" applyFill="1" applyBorder="1" applyAlignment="1">
      <alignment horizontal="center" vertical="center"/>
    </xf>
    <xf numFmtId="223" fontId="106" fillId="37" borderId="0" xfId="113" applyNumberFormat="1" applyFont="1" applyFill="1" applyBorder="1" applyAlignment="1">
      <alignment horizontal="center" vertical="center" wrapText="1"/>
    </xf>
    <xf numFmtId="223" fontId="106" fillId="37" borderId="39" xfId="113" applyNumberFormat="1" applyFont="1" applyFill="1" applyBorder="1" applyAlignment="1">
      <alignment horizontal="center" vertical="center" wrapText="1"/>
    </xf>
    <xf numFmtId="223" fontId="106" fillId="37" borderId="0" xfId="113" applyNumberFormat="1" applyFont="1" applyFill="1" applyBorder="1" applyAlignment="1">
      <alignment horizontal="center" vertical="center"/>
    </xf>
    <xf numFmtId="223" fontId="106" fillId="37" borderId="39" xfId="113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39" xfId="0" applyNumberFormat="1" applyFont="1" applyFill="1" applyBorder="1" applyAlignment="1">
      <alignment horizontal="center" vertical="center"/>
    </xf>
    <xf numFmtId="223" fontId="48" fillId="37" borderId="0" xfId="0" applyNumberFormat="1" applyFont="1" applyFill="1" applyBorder="1" applyAlignment="1">
      <alignment horizontal="center" vertical="center"/>
    </xf>
    <xf numFmtId="223" fontId="60" fillId="37" borderId="0" xfId="0" applyNumberFormat="1" applyFont="1" applyFill="1" applyBorder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48" fillId="0" borderId="57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60" xfId="0" applyNumberFormat="1" applyFont="1" applyFill="1" applyBorder="1" applyAlignment="1">
      <alignment horizontal="center" vertical="center" wrapText="1"/>
    </xf>
    <xf numFmtId="0" fontId="7" fillId="28" borderId="49" xfId="0" applyNumberFormat="1" applyFont="1" applyFill="1" applyBorder="1" applyAlignment="1">
      <alignment horizontal="center" vertical="center" wrapText="1"/>
    </xf>
    <xf numFmtId="196" fontId="1" fillId="0" borderId="42" xfId="78" applyNumberFormat="1" applyFont="1" applyFill="1" applyBorder="1" applyAlignment="1">
      <alignment horizontal="center" vertical="center"/>
    </xf>
    <xf numFmtId="196" fontId="1" fillId="0" borderId="44" xfId="78" applyNumberFormat="1" applyFont="1" applyFill="1" applyBorder="1" applyAlignment="1">
      <alignment horizontal="center" vertical="center"/>
    </xf>
    <xf numFmtId="49" fontId="1" fillId="0" borderId="42" xfId="78" applyNumberFormat="1" applyFont="1" applyFill="1" applyBorder="1" applyAlignment="1">
      <alignment horizontal="center" vertical="center"/>
    </xf>
    <xf numFmtId="49" fontId="1" fillId="0" borderId="44" xfId="78" applyNumberFormat="1" applyFont="1" applyFill="1" applyBorder="1" applyAlignment="1">
      <alignment horizontal="center" vertical="center"/>
    </xf>
    <xf numFmtId="0" fontId="7" fillId="28" borderId="42" xfId="0" applyNumberFormat="1" applyFont="1" applyFill="1" applyBorder="1" applyAlignment="1">
      <alignment horizontal="center" vertical="center"/>
    </xf>
    <xf numFmtId="0" fontId="7" fillId="28" borderId="43" xfId="0" applyNumberFormat="1" applyFont="1" applyFill="1" applyBorder="1" applyAlignment="1">
      <alignment horizontal="center" vertical="center"/>
    </xf>
    <xf numFmtId="0" fontId="7" fillId="28" borderId="44" xfId="0" applyNumberFormat="1" applyFont="1" applyFill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195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0" fontId="67" fillId="0" borderId="54" xfId="0" applyNumberFormat="1" applyFont="1" applyBorder="1" applyAlignment="1">
      <alignment horizontal="center" vertical="center"/>
    </xf>
    <xf numFmtId="0" fontId="67" fillId="0" borderId="58" xfId="0" applyNumberFormat="1" applyFont="1" applyBorder="1" applyAlignment="1">
      <alignment horizontal="center" vertical="center"/>
    </xf>
    <xf numFmtId="0" fontId="67" fillId="0" borderId="55" xfId="0" applyNumberFormat="1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67" fillId="0" borderId="39" xfId="0" applyNumberFormat="1" applyFont="1" applyBorder="1" applyAlignment="1">
      <alignment horizontal="right" vertical="center" shrinkToFit="1"/>
    </xf>
    <xf numFmtId="0" fontId="67" fillId="0" borderId="0" xfId="0" applyFont="1" applyBorder="1" applyAlignment="1">
      <alignment horizontal="center" vertical="center"/>
    </xf>
    <xf numFmtId="224" fontId="67" fillId="0" borderId="0" xfId="0" applyNumberFormat="1" applyFont="1" applyAlignment="1">
      <alignment horizontal="center" vertical="center"/>
    </xf>
    <xf numFmtId="0" fontId="67" fillId="0" borderId="0" xfId="0" applyFont="1" applyBorder="1" applyAlignment="1">
      <alignment vertical="center"/>
    </xf>
    <xf numFmtId="216" fontId="67" fillId="0" borderId="0" xfId="0" applyNumberFormat="1" applyFont="1" applyBorder="1" applyAlignment="1">
      <alignment vertical="center" shrinkToFit="1"/>
    </xf>
    <xf numFmtId="216" fontId="67" fillId="0" borderId="0" xfId="0" applyNumberFormat="1" applyFont="1" applyBorder="1" applyAlignment="1">
      <alignment vertical="center"/>
    </xf>
    <xf numFmtId="2" fontId="67" fillId="0" borderId="0" xfId="0" applyNumberFormat="1" applyFont="1" applyBorder="1" applyAlignment="1">
      <alignment horizontal="center" vertical="center"/>
    </xf>
    <xf numFmtId="216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192" fontId="67" fillId="0" borderId="0" xfId="0" applyNumberFormat="1" applyFont="1" applyBorder="1" applyAlignment="1">
      <alignment vertical="center"/>
    </xf>
    <xf numFmtId="0" fontId="67" fillId="0" borderId="45" xfId="0" applyFont="1" applyBorder="1" applyAlignment="1">
      <alignment horizontal="center" vertical="center"/>
    </xf>
    <xf numFmtId="0" fontId="65" fillId="0" borderId="54" xfId="0" applyFont="1" applyBorder="1" applyAlignment="1">
      <alignment horizontal="center" vertical="center"/>
    </xf>
    <xf numFmtId="0" fontId="65" fillId="0" borderId="58" xfId="0" applyFont="1" applyBorder="1" applyAlignment="1">
      <alignment horizontal="center" vertical="center"/>
    </xf>
    <xf numFmtId="0" fontId="65" fillId="0" borderId="55" xfId="0" applyFont="1" applyBorder="1" applyAlignment="1">
      <alignment horizontal="center" vertical="center"/>
    </xf>
    <xf numFmtId="0" fontId="67" fillId="0" borderId="56" xfId="0" applyFont="1" applyBorder="1" applyAlignment="1">
      <alignment horizontal="center" vertical="center"/>
    </xf>
    <xf numFmtId="195" fontId="67" fillId="0" borderId="54" xfId="0" applyNumberFormat="1" applyFont="1" applyBorder="1" applyAlignment="1">
      <alignment vertical="center"/>
    </xf>
    <xf numFmtId="195" fontId="67" fillId="0" borderId="58" xfId="0" applyNumberFormat="1" applyFont="1" applyBorder="1" applyAlignment="1">
      <alignment vertical="center"/>
    </xf>
    <xf numFmtId="192" fontId="67" fillId="0" borderId="58" xfId="0" applyNumberFormat="1" applyFont="1" applyBorder="1" applyAlignment="1">
      <alignment vertical="center"/>
    </xf>
    <xf numFmtId="0" fontId="67" fillId="0" borderId="58" xfId="0" applyNumberFormat="1" applyFont="1" applyBorder="1" applyAlignment="1">
      <alignment vertical="center"/>
    </xf>
    <xf numFmtId="0" fontId="67" fillId="0" borderId="55" xfId="0" applyNumberFormat="1" applyFont="1" applyBorder="1" applyAlignment="1">
      <alignment vertical="center"/>
    </xf>
    <xf numFmtId="0" fontId="65" fillId="0" borderId="54" xfId="0" applyFont="1" applyBorder="1" applyAlignment="1">
      <alignment horizontal="right" vertical="center"/>
    </xf>
    <xf numFmtId="0" fontId="65" fillId="0" borderId="58" xfId="0" applyFont="1" applyBorder="1" applyAlignment="1">
      <alignment horizontal="right" vertical="center"/>
    </xf>
    <xf numFmtId="0" fontId="65" fillId="0" borderId="55" xfId="0" applyFont="1" applyBorder="1" applyAlignment="1">
      <alignment horizontal="right" vertical="center"/>
    </xf>
    <xf numFmtId="0" fontId="67" fillId="0" borderId="54" xfId="0" applyNumberFormat="1" applyFont="1" applyBorder="1" applyAlignment="1">
      <alignment horizontal="right" vertical="center"/>
    </xf>
    <xf numFmtId="0" fontId="67" fillId="0" borderId="58" xfId="0" applyNumberFormat="1" applyFont="1" applyBorder="1" applyAlignment="1">
      <alignment horizontal="right" vertical="center"/>
    </xf>
    <xf numFmtId="216" fontId="67" fillId="0" borderId="54" xfId="0" applyNumberFormat="1" applyFont="1" applyBorder="1" applyAlignment="1">
      <alignment vertical="center"/>
    </xf>
    <xf numFmtId="216" fontId="67" fillId="0" borderId="58" xfId="0" applyNumberFormat="1" applyFont="1" applyBorder="1" applyAlignment="1">
      <alignment vertical="center"/>
    </xf>
    <xf numFmtId="0" fontId="67" fillId="0" borderId="45" xfId="0" applyFont="1" applyBorder="1" applyAlignment="1">
      <alignment horizontal="right" vertical="center"/>
    </xf>
    <xf numFmtId="0" fontId="65" fillId="0" borderId="0" xfId="0" applyFont="1" applyBorder="1" applyAlignment="1">
      <alignment horizontal="center" vertical="center"/>
    </xf>
    <xf numFmtId="0" fontId="65" fillId="0" borderId="37" xfId="0" applyFont="1" applyBorder="1" applyAlignment="1">
      <alignment horizontal="center" vertical="center"/>
    </xf>
    <xf numFmtId="0" fontId="65" fillId="0" borderId="39" xfId="0" applyFont="1" applyBorder="1" applyAlignment="1">
      <alignment horizontal="center" vertical="center"/>
    </xf>
    <xf numFmtId="0" fontId="65" fillId="0" borderId="48" xfId="0" applyFont="1" applyBorder="1" applyAlignment="1">
      <alignment horizontal="center" vertical="center"/>
    </xf>
    <xf numFmtId="0" fontId="69" fillId="0" borderId="57" xfId="0" applyFont="1" applyBorder="1" applyAlignment="1">
      <alignment horizontal="center" vertical="center"/>
    </xf>
    <xf numFmtId="0" fontId="67" fillId="0" borderId="46" xfId="0" applyFont="1" applyBorder="1" applyAlignment="1">
      <alignment horizontal="center" vertical="center"/>
    </xf>
    <xf numFmtId="0" fontId="67" fillId="0" borderId="41" xfId="0" applyFont="1" applyBorder="1" applyAlignment="1">
      <alignment horizontal="center" vertical="center"/>
    </xf>
    <xf numFmtId="0" fontId="67" fillId="0" borderId="47" xfId="0" applyFont="1" applyBorder="1" applyAlignment="1">
      <alignment horizontal="center" vertical="center"/>
    </xf>
    <xf numFmtId="0" fontId="67" fillId="0" borderId="54" xfId="0" applyFont="1" applyBorder="1" applyAlignment="1">
      <alignment horizontal="center" vertical="center"/>
    </xf>
    <xf numFmtId="0" fontId="67" fillId="0" borderId="58" xfId="0" applyFont="1" applyBorder="1" applyAlignment="1">
      <alignment horizontal="center" vertical="center"/>
    </xf>
    <xf numFmtId="0" fontId="67" fillId="0" borderId="55" xfId="0" applyFont="1" applyBorder="1" applyAlignment="1">
      <alignment horizontal="center" vertical="center"/>
    </xf>
    <xf numFmtId="0" fontId="67" fillId="32" borderId="46" xfId="0" applyFont="1" applyFill="1" applyBorder="1" applyAlignment="1">
      <alignment horizontal="center" vertical="center" wrapText="1"/>
    </xf>
    <xf numFmtId="0" fontId="67" fillId="32" borderId="41" xfId="0" applyFont="1" applyFill="1" applyBorder="1" applyAlignment="1">
      <alignment horizontal="center" vertical="center" wrapText="1"/>
    </xf>
    <xf numFmtId="0" fontId="67" fillId="32" borderId="47" xfId="0" applyFont="1" applyFill="1" applyBorder="1" applyAlignment="1">
      <alignment horizontal="center" vertical="center" wrapText="1"/>
    </xf>
    <xf numFmtId="0" fontId="67" fillId="32" borderId="37" xfId="0" applyFont="1" applyFill="1" applyBorder="1" applyAlignment="1">
      <alignment horizontal="center" vertical="center" wrapText="1"/>
    </xf>
    <xf numFmtId="0" fontId="67" fillId="32" borderId="39" xfId="0" applyFont="1" applyFill="1" applyBorder="1" applyAlignment="1">
      <alignment horizontal="center" vertical="center" wrapText="1"/>
    </xf>
    <xf numFmtId="0" fontId="67" fillId="32" borderId="48" xfId="0" applyFont="1" applyFill="1" applyBorder="1" applyAlignment="1">
      <alignment horizontal="center" vertical="center" wrapText="1"/>
    </xf>
    <xf numFmtId="0" fontId="67" fillId="32" borderId="54" xfId="0" applyFont="1" applyFill="1" applyBorder="1" applyAlignment="1">
      <alignment horizontal="center" vertical="center" wrapText="1"/>
    </xf>
    <xf numFmtId="0" fontId="67" fillId="32" borderId="58" xfId="0" applyFont="1" applyFill="1" applyBorder="1" applyAlignment="1">
      <alignment horizontal="center" vertical="center" wrapText="1"/>
    </xf>
    <xf numFmtId="0" fontId="67" fillId="32" borderId="55" xfId="0" applyFont="1" applyFill="1" applyBorder="1" applyAlignment="1">
      <alignment horizontal="center" vertical="center" wrapText="1"/>
    </xf>
    <xf numFmtId="218" fontId="67" fillId="0" borderId="54" xfId="0" applyNumberFormat="1" applyFont="1" applyBorder="1" applyAlignment="1">
      <alignment vertical="center"/>
    </xf>
    <xf numFmtId="218" fontId="67" fillId="0" borderId="58" xfId="0" applyNumberFormat="1" applyFont="1" applyBorder="1" applyAlignment="1">
      <alignment vertical="center"/>
    </xf>
    <xf numFmtId="192" fontId="67" fillId="0" borderId="55" xfId="0" applyNumberFormat="1" applyFont="1" applyBorder="1" applyAlignment="1">
      <alignment vertical="center"/>
    </xf>
    <xf numFmtId="195" fontId="67" fillId="0" borderId="54" xfId="0" applyNumberFormat="1" applyFont="1" applyBorder="1" applyAlignment="1">
      <alignment horizontal="center" vertical="center"/>
    </xf>
    <xf numFmtId="195" fontId="67" fillId="0" borderId="58" xfId="0" applyNumberFormat="1" applyFont="1" applyBorder="1" applyAlignment="1">
      <alignment horizontal="center" vertical="center"/>
    </xf>
    <xf numFmtId="195" fontId="67" fillId="0" borderId="55" xfId="0" applyNumberFormat="1" applyFont="1" applyBorder="1" applyAlignment="1">
      <alignment horizontal="center" vertical="center"/>
    </xf>
    <xf numFmtId="0" fontId="67" fillId="0" borderId="54" xfId="0" applyFont="1" applyBorder="1" applyAlignment="1">
      <alignment vertical="center"/>
    </xf>
    <xf numFmtId="0" fontId="67" fillId="0" borderId="58" xfId="0" applyFont="1" applyBorder="1" applyAlignment="1">
      <alignment vertical="center"/>
    </xf>
    <xf numFmtId="0" fontId="67" fillId="0" borderId="58" xfId="0" applyFont="1" applyBorder="1" applyAlignment="1">
      <alignment horizontal="left" vertical="center"/>
    </xf>
    <xf numFmtId="0" fontId="67" fillId="0" borderId="55" xfId="0" applyFont="1" applyBorder="1" applyAlignment="1">
      <alignment horizontal="left" vertical="center"/>
    </xf>
    <xf numFmtId="0" fontId="69" fillId="0" borderId="37" xfId="0" applyFont="1" applyBorder="1" applyAlignment="1">
      <alignment horizontal="center" vertical="center"/>
    </xf>
    <xf numFmtId="0" fontId="69" fillId="0" borderId="39" xfId="0" applyFont="1" applyBorder="1" applyAlignment="1">
      <alignment horizontal="center" vertical="center"/>
    </xf>
    <xf numFmtId="0" fontId="69" fillId="0" borderId="48" xfId="0" applyFont="1" applyBorder="1" applyAlignment="1">
      <alignment horizontal="center" vertical="center"/>
    </xf>
    <xf numFmtId="0" fontId="67" fillId="0" borderId="54" xfId="0" applyFont="1" applyBorder="1" applyAlignment="1">
      <alignment horizontal="right" vertical="center"/>
    </xf>
    <xf numFmtId="0" fontId="67" fillId="0" borderId="58" xfId="0" applyFont="1" applyBorder="1" applyAlignment="1">
      <alignment horizontal="right" vertical="center"/>
    </xf>
    <xf numFmtId="0" fontId="67" fillId="0" borderId="55" xfId="0" applyFont="1" applyBorder="1" applyAlignment="1">
      <alignment horizontal="right" vertical="center"/>
    </xf>
    <xf numFmtId="0" fontId="52" fillId="32" borderId="45" xfId="0" applyNumberFormat="1" applyFont="1" applyFill="1" applyBorder="1" applyAlignment="1">
      <alignment horizontal="center" vertical="center" shrinkToFit="1"/>
    </xf>
    <xf numFmtId="0" fontId="67" fillId="0" borderId="45" xfId="0" applyNumberFormat="1" applyFont="1" applyBorder="1" applyAlignment="1">
      <alignment horizontal="center" vertical="center" shrinkToFit="1"/>
    </xf>
    <xf numFmtId="0" fontId="52" fillId="32" borderId="54" xfId="0" applyNumberFormat="1" applyFont="1" applyFill="1" applyBorder="1" applyAlignment="1">
      <alignment horizontal="center" vertical="center" shrinkToFit="1"/>
    </xf>
    <xf numFmtId="0" fontId="52" fillId="32" borderId="58" xfId="0" applyNumberFormat="1" applyFont="1" applyFill="1" applyBorder="1" applyAlignment="1">
      <alignment horizontal="center" vertical="center" shrinkToFit="1"/>
    </xf>
    <xf numFmtId="0" fontId="52" fillId="32" borderId="55" xfId="0" applyNumberFormat="1" applyFont="1" applyFill="1" applyBorder="1" applyAlignment="1">
      <alignment horizontal="center" vertical="center" shrinkToFit="1"/>
    </xf>
    <xf numFmtId="0" fontId="52" fillId="32" borderId="54" xfId="0" applyNumberFormat="1" applyFont="1" applyFill="1" applyBorder="1" applyAlignment="1">
      <alignment horizontal="center" vertical="center"/>
    </xf>
    <xf numFmtId="0" fontId="52" fillId="32" borderId="58" xfId="0" applyNumberFormat="1" applyFont="1" applyFill="1" applyBorder="1" applyAlignment="1">
      <alignment horizontal="center" vertical="center"/>
    </xf>
    <xf numFmtId="0" fontId="52" fillId="32" borderId="55" xfId="0" applyNumberFormat="1" applyFont="1" applyFill="1" applyBorder="1" applyAlignment="1">
      <alignment horizontal="center" vertical="center"/>
    </xf>
    <xf numFmtId="0" fontId="67" fillId="0" borderId="54" xfId="0" applyNumberFormat="1" applyFont="1" applyBorder="1" applyAlignment="1">
      <alignment horizontal="center" vertical="center" shrinkToFit="1"/>
    </xf>
    <xf numFmtId="0" fontId="67" fillId="0" borderId="58" xfId="0" applyNumberFormat="1" applyFont="1" applyBorder="1" applyAlignment="1">
      <alignment horizontal="center" vertical="center" shrinkToFit="1"/>
    </xf>
    <xf numFmtId="0" fontId="67" fillId="0" borderId="55" xfId="0" applyNumberFormat="1" applyFont="1" applyBorder="1" applyAlignment="1">
      <alignment horizontal="center" vertical="center" shrinkToFit="1"/>
    </xf>
    <xf numFmtId="0" fontId="52" fillId="29" borderId="54" xfId="0" applyNumberFormat="1" applyFont="1" applyFill="1" applyBorder="1" applyAlignment="1">
      <alignment horizontal="center" vertical="center"/>
    </xf>
    <xf numFmtId="0" fontId="52" fillId="29" borderId="58" xfId="0" applyNumberFormat="1" applyFont="1" applyFill="1" applyBorder="1" applyAlignment="1">
      <alignment horizontal="center" vertical="center"/>
    </xf>
    <xf numFmtId="0" fontId="52" fillId="29" borderId="55" xfId="0" applyNumberFormat="1" applyFont="1" applyFill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37" xfId="0" applyFont="1" applyBorder="1" applyAlignment="1">
      <alignment horizontal="center" vertical="center"/>
    </xf>
    <xf numFmtId="0" fontId="67" fillId="0" borderId="48" xfId="0" applyFont="1" applyBorder="1" applyAlignment="1">
      <alignment horizontal="center" vertical="center"/>
    </xf>
    <xf numFmtId="189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0" fontId="67" fillId="0" borderId="39" xfId="0" applyNumberFormat="1" applyFont="1" applyBorder="1" applyAlignment="1">
      <alignment vertical="center"/>
    </xf>
    <xf numFmtId="194" fontId="67" fillId="0" borderId="39" xfId="0" applyNumberFormat="1" applyFont="1" applyBorder="1" applyAlignment="1">
      <alignment vertical="center"/>
    </xf>
    <xf numFmtId="0" fontId="65" fillId="0" borderId="41" xfId="0" applyFont="1" applyBorder="1" applyAlignment="1">
      <alignment horizontal="center" vertical="center"/>
    </xf>
    <xf numFmtId="2" fontId="67" fillId="0" borderId="0" xfId="0" applyNumberFormat="1" applyFont="1" applyBorder="1" applyAlignment="1">
      <alignment horizontal="right" vertical="center"/>
    </xf>
    <xf numFmtId="0" fontId="52" fillId="0" borderId="0" xfId="0" applyNumberFormat="1" applyFont="1" applyBorder="1" applyAlignment="1">
      <alignment vertical="center"/>
    </xf>
    <xf numFmtId="2" fontId="67" fillId="0" borderId="39" xfId="0" applyNumberFormat="1" applyFont="1" applyBorder="1" applyAlignment="1">
      <alignment horizontal="right" vertical="center"/>
    </xf>
    <xf numFmtId="0" fontId="67" fillId="0" borderId="39" xfId="0" applyNumberFormat="1" applyFont="1" applyBorder="1" applyAlignment="1">
      <alignment horizontal="right" vertical="center"/>
    </xf>
    <xf numFmtId="0" fontId="67" fillId="0" borderId="39" xfId="0" applyFont="1" applyBorder="1" applyAlignment="1">
      <alignment horizontal="right" vertical="center"/>
    </xf>
    <xf numFmtId="0" fontId="67" fillId="0" borderId="39" xfId="0" applyFont="1" applyBorder="1" applyAlignment="1">
      <alignment vertical="center"/>
    </xf>
    <xf numFmtId="201" fontId="69" fillId="0" borderId="0" xfId="0" applyNumberFormat="1" applyFont="1" applyBorder="1" applyAlignment="1">
      <alignment horizontal="right" vertical="center"/>
    </xf>
    <xf numFmtId="205" fontId="65" fillId="0" borderId="39" xfId="0" applyNumberFormat="1" applyFont="1" applyBorder="1" applyAlignment="1">
      <alignment horizontal="center" vertical="center"/>
    </xf>
    <xf numFmtId="205" fontId="67" fillId="0" borderId="39" xfId="0" applyNumberFormat="1" applyFont="1" applyBorder="1" applyAlignment="1">
      <alignment horizontal="center" vertical="center"/>
    </xf>
    <xf numFmtId="201" fontId="67" fillId="0" borderId="0" xfId="0" applyNumberFormat="1" applyFont="1" applyBorder="1" applyAlignment="1">
      <alignment horizontal="center" vertical="center"/>
    </xf>
    <xf numFmtId="205" fontId="67" fillId="0" borderId="0" xfId="0" applyNumberFormat="1" applyFont="1" applyBorder="1" applyAlignment="1">
      <alignment vertical="center"/>
    </xf>
    <xf numFmtId="0" fontId="67" fillId="0" borderId="41" xfId="0" applyNumberFormat="1" applyFont="1" applyBorder="1" applyAlignment="1">
      <alignment horizontal="center" vertical="center"/>
    </xf>
    <xf numFmtId="195" fontId="67" fillId="0" borderId="0" xfId="0" applyNumberFormat="1" applyFont="1" applyBorder="1" applyAlignment="1">
      <alignment vertical="center" shrinkToFit="1"/>
    </xf>
    <xf numFmtId="222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right" vertical="center"/>
    </xf>
    <xf numFmtId="209" fontId="67" fillId="0" borderId="0" xfId="0" applyNumberFormat="1" applyFont="1" applyBorder="1" applyAlignment="1">
      <alignment horizontal="center" vertical="center"/>
    </xf>
    <xf numFmtId="0" fontId="105" fillId="0" borderId="0" xfId="0" applyFont="1" applyAlignment="1">
      <alignment horizontal="center" vertical="center"/>
    </xf>
    <xf numFmtId="209" fontId="67" fillId="0" borderId="0" xfId="0" applyNumberFormat="1" applyFont="1" applyBorder="1" applyAlignment="1">
      <alignment vertical="center"/>
    </xf>
    <xf numFmtId="209" fontId="105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left" vertical="center"/>
    </xf>
    <xf numFmtId="0" fontId="67" fillId="0" borderId="0" xfId="0" applyNumberFormat="1" applyFont="1" applyBorder="1" applyAlignment="1">
      <alignment horizontal="right" vertical="center"/>
    </xf>
    <xf numFmtId="0" fontId="67" fillId="0" borderId="39" xfId="0" applyFont="1" applyBorder="1" applyAlignment="1">
      <alignment horizontal="center"/>
    </xf>
    <xf numFmtId="0" fontId="67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horizontal="center" vertical="center" shrinkToFit="1"/>
    </xf>
    <xf numFmtId="207" fontId="67" fillId="0" borderId="0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horizontal="center" vertical="center"/>
    </xf>
    <xf numFmtId="201" fontId="69" fillId="0" borderId="0" xfId="0" applyNumberFormat="1" applyFont="1" applyBorder="1" applyAlignment="1">
      <alignment horizontal="center" vertical="center"/>
    </xf>
    <xf numFmtId="195" fontId="67" fillId="0" borderId="0" xfId="0" applyNumberFormat="1" applyFont="1" applyBorder="1" applyAlignment="1">
      <alignment horizontal="right" vertical="center"/>
    </xf>
    <xf numFmtId="216" fontId="67" fillId="0" borderId="0" xfId="0" applyNumberFormat="1" applyFont="1" applyBorder="1" applyAlignment="1">
      <alignment horizontal="right" vertical="center"/>
    </xf>
    <xf numFmtId="195" fontId="67" fillId="0" borderId="39" xfId="0" applyNumberFormat="1" applyFont="1" applyBorder="1" applyAlignment="1">
      <alignment vertical="center"/>
    </xf>
    <xf numFmtId="211" fontId="67" fillId="0" borderId="0" xfId="0" applyNumberFormat="1" applyFont="1" applyBorder="1" applyAlignment="1">
      <alignment horizontal="center" vertical="center"/>
    </xf>
    <xf numFmtId="195" fontId="67" fillId="0" borderId="39" xfId="0" applyNumberFormat="1" applyFont="1" applyBorder="1" applyAlignment="1">
      <alignment horizontal="center" vertical="center"/>
    </xf>
    <xf numFmtId="225" fontId="67" fillId="0" borderId="0" xfId="0" applyNumberFormat="1" applyFont="1" applyBorder="1" applyAlignment="1">
      <alignment horizontal="center" vertical="center"/>
    </xf>
    <xf numFmtId="0" fontId="81" fillId="28" borderId="60" xfId="0" applyNumberFormat="1" applyFont="1" applyFill="1" applyBorder="1" applyAlignment="1">
      <alignment horizontal="center" vertical="center" wrapText="1"/>
    </xf>
    <xf numFmtId="0" fontId="81" fillId="28" borderId="72" xfId="0" applyNumberFormat="1" applyFont="1" applyFill="1" applyBorder="1" applyAlignment="1">
      <alignment horizontal="center" vertical="center" wrapText="1"/>
    </xf>
    <xf numFmtId="0" fontId="81" fillId="28" borderId="42" xfId="0" applyNumberFormat="1" applyFont="1" applyFill="1" applyBorder="1" applyAlignment="1">
      <alignment horizontal="center" vertical="center"/>
    </xf>
    <xf numFmtId="0" fontId="81" fillId="28" borderId="44" xfId="0" applyNumberFormat="1" applyFont="1" applyFill="1" applyBorder="1" applyAlignment="1">
      <alignment horizontal="center" vertical="center"/>
    </xf>
    <xf numFmtId="0" fontId="81" fillId="28" borderId="42" xfId="0" applyNumberFormat="1" applyFont="1" applyFill="1" applyBorder="1" applyAlignment="1">
      <alignment horizontal="center" vertical="center" wrapText="1"/>
    </xf>
    <xf numFmtId="0" fontId="81" fillId="28" borderId="43" xfId="0" applyNumberFormat="1" applyFont="1" applyFill="1" applyBorder="1" applyAlignment="1">
      <alignment horizontal="center" vertical="center" wrapText="1"/>
    </xf>
    <xf numFmtId="0" fontId="81" fillId="28" borderId="44" xfId="0" applyNumberFormat="1" applyFont="1" applyFill="1" applyBorder="1" applyAlignment="1">
      <alignment horizontal="center" vertical="center" wrapText="1"/>
    </xf>
    <xf numFmtId="0" fontId="81" fillId="28" borderId="49" xfId="0" applyNumberFormat="1" applyFont="1" applyFill="1" applyBorder="1" applyAlignment="1">
      <alignment horizontal="center" vertical="center" wrapText="1"/>
    </xf>
    <xf numFmtId="0" fontId="52" fillId="0" borderId="54" xfId="0" applyNumberFormat="1" applyFont="1" applyBorder="1" applyAlignment="1">
      <alignment horizontal="center" vertical="center"/>
    </xf>
    <xf numFmtId="0" fontId="52" fillId="0" borderId="55" xfId="0" applyNumberFormat="1" applyFont="1" applyBorder="1" applyAlignment="1">
      <alignment horizontal="center" vertical="center"/>
    </xf>
    <xf numFmtId="213" fontId="52" fillId="0" borderId="56" xfId="87" applyNumberFormat="1" applyFont="1" applyBorder="1" applyAlignment="1">
      <alignment horizontal="center" vertical="center"/>
    </xf>
    <xf numFmtId="213" fontId="52" fillId="0" borderId="57" xfId="87" applyNumberFormat="1" applyFont="1" applyBorder="1" applyAlignment="1">
      <alignment horizontal="center" vertical="center"/>
    </xf>
    <xf numFmtId="0" fontId="81" fillId="28" borderId="65" xfId="0" applyNumberFormat="1" applyFont="1" applyFill="1" applyBorder="1" applyAlignment="1">
      <alignment horizontal="center" vertical="center" wrapText="1"/>
    </xf>
    <xf numFmtId="0" fontId="81" fillId="28" borderId="60" xfId="0" applyNumberFormat="1" applyFont="1" applyFill="1" applyBorder="1" applyAlignment="1">
      <alignment horizontal="center" vertical="center"/>
    </xf>
    <xf numFmtId="0" fontId="81" fillId="28" borderId="49" xfId="0" applyNumberFormat="1" applyFont="1" applyFill="1" applyBorder="1" applyAlignment="1">
      <alignment horizontal="center" vertical="center"/>
    </xf>
    <xf numFmtId="0" fontId="81" fillId="28" borderId="70" xfId="0" applyNumberFormat="1" applyFont="1" applyFill="1" applyBorder="1" applyAlignment="1">
      <alignment horizontal="center" vertical="center"/>
    </xf>
    <xf numFmtId="0" fontId="81" fillId="28" borderId="65" xfId="0" applyNumberFormat="1" applyFont="1" applyFill="1" applyBorder="1" applyAlignment="1">
      <alignment horizontal="center" vertical="center"/>
    </xf>
    <xf numFmtId="193" fontId="80" fillId="0" borderId="42" xfId="0" applyNumberFormat="1" applyFont="1" applyFill="1" applyBorder="1" applyAlignment="1">
      <alignment horizontal="center" vertical="center"/>
    </xf>
    <xf numFmtId="193" fontId="80" fillId="0" borderId="43" xfId="0" applyNumberFormat="1" applyFont="1" applyFill="1" applyBorder="1" applyAlignment="1">
      <alignment horizontal="center" vertical="center"/>
    </xf>
    <xf numFmtId="193" fontId="80" fillId="0" borderId="44" xfId="0" applyNumberFormat="1" applyFont="1" applyFill="1" applyBorder="1" applyAlignment="1">
      <alignment horizontal="center" vertical="center"/>
    </xf>
    <xf numFmtId="189" fontId="80" fillId="0" borderId="65" xfId="0" applyNumberFormat="1" applyFont="1" applyFill="1" applyBorder="1" applyAlignment="1">
      <alignment horizontal="center" vertical="center"/>
    </xf>
    <xf numFmtId="188" fontId="80" fillId="32" borderId="60" xfId="86" applyNumberFormat="1" applyFont="1" applyFill="1" applyBorder="1" applyAlignment="1">
      <alignment horizontal="center" vertical="center" wrapText="1"/>
    </xf>
    <xf numFmtId="188" fontId="80" fillId="32" borderId="49" xfId="86" applyNumberFormat="1" applyFont="1" applyFill="1" applyBorder="1" applyAlignment="1">
      <alignment horizontal="center" vertical="center" wrapText="1"/>
    </xf>
    <xf numFmtId="190" fontId="81" fillId="28" borderId="60" xfId="0" applyNumberFormat="1" applyFont="1" applyFill="1" applyBorder="1" applyAlignment="1">
      <alignment horizontal="center" vertical="center" wrapText="1"/>
    </xf>
    <xf numFmtId="190" fontId="81" fillId="28" borderId="49" xfId="0" applyNumberFormat="1" applyFont="1" applyFill="1" applyBorder="1" applyAlignment="1">
      <alignment horizontal="center" vertical="center" wrapText="1"/>
    </xf>
    <xf numFmtId="190" fontId="81" fillId="28" borderId="42" xfId="0" applyNumberFormat="1" applyFont="1" applyFill="1" applyBorder="1" applyAlignment="1">
      <alignment horizontal="center" vertical="center" wrapText="1"/>
    </xf>
    <xf numFmtId="190" fontId="81" fillId="28" borderId="44" xfId="0" applyNumberFormat="1" applyFont="1" applyFill="1" applyBorder="1" applyAlignment="1">
      <alignment horizontal="center" vertical="center" wrapText="1"/>
    </xf>
    <xf numFmtId="0" fontId="52" fillId="29" borderId="54" xfId="0" applyNumberFormat="1" applyFont="1" applyFill="1" applyBorder="1" applyAlignment="1">
      <alignment vertical="center"/>
    </xf>
    <xf numFmtId="0" fontId="52" fillId="0" borderId="66" xfId="0" applyNumberFormat="1" applyFont="1" applyBorder="1" applyAlignment="1">
      <alignment horizontal="center" vertical="center"/>
    </xf>
    <xf numFmtId="0" fontId="52" fillId="0" borderId="66" xfId="0" applyNumberFormat="1" applyFont="1" applyBorder="1" applyAlignment="1">
      <alignment horizontal="center" vertical="center" shrinkToFit="1"/>
    </xf>
    <xf numFmtId="41" fontId="52" fillId="0" borderId="66" xfId="87" applyFont="1" applyBorder="1" applyAlignment="1">
      <alignment horizontal="center" vertical="center"/>
    </xf>
    <xf numFmtId="41" fontId="52" fillId="0" borderId="66" xfId="0" applyNumberFormat="1" applyFont="1" applyBorder="1" applyAlignment="1">
      <alignment horizontal="center" vertical="center"/>
    </xf>
    <xf numFmtId="213" fontId="52" fillId="0" borderId="66" xfId="87" applyNumberFormat="1" applyFont="1" applyBorder="1" applyAlignment="1">
      <alignment horizontal="center" vertical="center"/>
    </xf>
    <xf numFmtId="213" fontId="52" fillId="0" borderId="17" xfId="87" applyNumberFormat="1" applyFont="1" applyBorder="1" applyAlignment="1">
      <alignment horizontal="center" vertical="center"/>
    </xf>
    <xf numFmtId="41" fontId="52" fillId="0" borderId="66" xfId="87" applyNumberFormat="1" applyFont="1" applyBorder="1" applyAlignment="1">
      <alignment horizontal="center" vertical="center"/>
    </xf>
  </cellXfs>
  <cellStyles count="114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2 2" xfId="104"/>
    <cellStyle name="Input [yellow] 3" xfId="9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2 2" xfId="105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2 2" xfId="106"/>
    <cellStyle name="메모 3" xfId="99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2 2 2" xfId="112"/>
    <cellStyle name="쉼표 [0] 2 3" xfId="110"/>
    <cellStyle name="쉼표 [0] 3" xfId="95"/>
    <cellStyle name="쉼표 [0] 3 2" xfId="111"/>
    <cellStyle name="쉼표 [0] 4" xfId="103"/>
    <cellStyle name="스타일 1" xfId="56"/>
    <cellStyle name="연결된 셀" xfId="57" builtinId="24" customBuiltin="1"/>
    <cellStyle name="요약" xfId="58" builtinId="25" customBuiltin="1"/>
    <cellStyle name="요약 2" xfId="91"/>
    <cellStyle name="요약 2 2" xfId="107"/>
    <cellStyle name="요약 3" xfId="100"/>
    <cellStyle name="입력" xfId="59" builtinId="20" customBuiltin="1"/>
    <cellStyle name="입력 2" xfId="92"/>
    <cellStyle name="입력 2 2" xfId="108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2 2" xfId="109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1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41</xdr:row>
      <xdr:rowOff>14287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409950" y="8234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409950" y="8234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41</xdr:row>
      <xdr:rowOff>9525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705225" y="8420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05225" y="8420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58</xdr:row>
      <xdr:rowOff>9525</xdr:rowOff>
    </xdr:from>
    <xdr:to>
      <xdr:col>7</xdr:col>
      <xdr:colOff>267929</xdr:colOff>
      <xdr:row>58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117</xdr:row>
      <xdr:rowOff>57150</xdr:rowOff>
    </xdr:from>
    <xdr:ext cx="716991" cy="400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4"/>
            <xdr:cNvSpPr txBox="1"/>
          </xdr:nvSpPr>
          <xdr:spPr>
            <a:xfrm>
              <a:off x="1247775" y="28079700"/>
              <a:ext cx="716991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𝑟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1" name="TextBox 4"/>
            <xdr:cNvSpPr txBox="1"/>
          </xdr:nvSpPr>
          <xdr:spPr>
            <a:xfrm>
              <a:off x="1247775" y="28079700"/>
              <a:ext cx="716991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</a:t>
              </a:r>
              <a:r>
                <a:rPr lang="en-US" altLang="ko-KR" sz="1100" i="0">
                  <a:latin typeface="Cambria Math" panose="02040503050406030204" pitchFamily="18" charset="0"/>
                </a:rPr>
                <a:t>𝑟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i="0">
                  <a:latin typeface="Cambria Math" panose="02040503050406030204" pitchFamily="18" charset="0"/>
                </a:rPr>
                <a:t>𝑟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9526</xdr:colOff>
      <xdr:row>69</xdr:row>
      <xdr:rowOff>4767</xdr:rowOff>
    </xdr:from>
    <xdr:ext cx="5995487" cy="700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/>
            <xdr:cNvSpPr txBox="1"/>
          </xdr:nvSpPr>
          <xdr:spPr>
            <a:xfrm>
              <a:off x="314326" y="16597317"/>
              <a:ext cx="5995487" cy="700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2" name="TextBox 61"/>
            <xdr:cNvSpPr txBox="1"/>
          </xdr:nvSpPr>
          <xdr:spPr>
            <a:xfrm>
              <a:off x="314326" y="16597317"/>
              <a:ext cx="5995487" cy="700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1,  𝑐_(𝑙_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)=1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9526</xdr:colOff>
      <xdr:row>53</xdr:row>
      <xdr:rowOff>80961</xdr:rowOff>
    </xdr:from>
    <xdr:to>
      <xdr:col>36</xdr:col>
      <xdr:colOff>9526</xdr:colOff>
      <xdr:row>54</xdr:row>
      <xdr:rowOff>187290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/>
            <xdr:cNvSpPr txBox="1">
              <a:spLocks noChangeAspect="1"/>
            </xdr:cNvSpPr>
          </xdr:nvSpPr>
          <xdr:spPr>
            <a:xfrm>
              <a:off x="161926" y="12863511"/>
              <a:ext cx="5334000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  <m:r>
                          <a:rPr lang="en-US" altLang="ko-KR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+∆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66" name="TextBox 65"/>
            <xdr:cNvSpPr txBox="1">
              <a:spLocks noChangeAspect="1"/>
            </xdr:cNvSpPr>
          </xdr:nvSpPr>
          <xdr:spPr>
            <a:xfrm>
              <a:off x="161926" y="12863511"/>
              <a:ext cx="5334000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𝐵_𝑥=𝑙_𝑠+𝑟−𝑙_0+𝑙_𝑚−(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 ̅</a:t>
              </a:r>
              <a:r>
                <a:rPr lang="en-US" altLang="ko-K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𝑡+∆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𝛼∙𝛿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𝑙_0+〖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</a:t>
              </a:r>
              <a:endParaRPr lang="ko-KR" altLang="en-US" sz="2000"/>
            </a:p>
          </xdr:txBody>
        </xdr:sp>
      </mc:Fallback>
    </mc:AlternateContent>
    <xdr:clientData/>
  </xdr:twoCellAnchor>
  <xdr:oneCellAnchor>
    <xdr:from>
      <xdr:col>17</xdr:col>
      <xdr:colOff>47624</xdr:colOff>
      <xdr:row>113</xdr:row>
      <xdr:rowOff>0</xdr:rowOff>
    </xdr:from>
    <xdr:ext cx="1724025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"/>
            <xdr:cNvSpPr txBox="1"/>
          </xdr:nvSpPr>
          <xdr:spPr>
            <a:xfrm>
              <a:off x="2638424" y="27070050"/>
              <a:ext cx="1724025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μ</a:t>
              </a:r>
              <a:r>
                <a:rPr lang="en-US" altLang="ko-KR" sz="1100"/>
                <a:t>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67" name="TextBox 6"/>
            <xdr:cNvSpPr txBox="1"/>
          </xdr:nvSpPr>
          <xdr:spPr>
            <a:xfrm>
              <a:off x="2638424" y="27070050"/>
              <a:ext cx="1724025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𝑙_0 )^2 )</a:t>
              </a:r>
              <a:r>
                <a:rPr lang="ko-KR" altLang="en-US" sz="1100"/>
                <a:t>  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μ</a:t>
              </a:r>
              <a:r>
                <a:rPr lang="en-US" altLang="ko-KR" sz="1100"/>
                <a:t>m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47624</xdr:colOff>
      <xdr:row>113</xdr:row>
      <xdr:rowOff>0</xdr:rowOff>
    </xdr:from>
    <xdr:ext cx="2076452" cy="2056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"/>
            <xdr:cNvSpPr txBox="1"/>
          </xdr:nvSpPr>
          <xdr:spPr>
            <a:xfrm>
              <a:off x="4619624" y="27070050"/>
              <a:ext cx="2076452" cy="2056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   </m:t>
                              </m:r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μ</a:t>
              </a:r>
              <a:r>
                <a:rPr lang="en-US" altLang="ko-KR" sz="1100"/>
                <a:t>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68" name="TextBox 6"/>
            <xdr:cNvSpPr txBox="1"/>
          </xdr:nvSpPr>
          <xdr:spPr>
            <a:xfrm>
              <a:off x="4619624" y="27070050"/>
              <a:ext cx="2076452" cy="2056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)^2 )</a:t>
              </a:r>
              <a:r>
                <a:rPr lang="ko-KR" altLang="en-US" sz="1100"/>
                <a:t>   </a:t>
              </a:r>
              <a:r>
                <a:rPr lang="en-US" altLang="ko-K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μ</a:t>
              </a:r>
              <a:r>
                <a:rPr lang="en-US" altLang="ko-KR" sz="1100"/>
                <a:t>m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38100</xdr:colOff>
      <xdr:row>98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5"/>
            <xdr:cNvSpPr txBox="1"/>
          </xdr:nvSpPr>
          <xdr:spPr>
            <a:xfrm>
              <a:off x="2019300" y="2351722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9" name="TextBox 5"/>
            <xdr:cNvSpPr txBox="1"/>
          </xdr:nvSpPr>
          <xdr:spPr>
            <a:xfrm>
              <a:off x="2019300" y="2351722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123825</xdr:colOff>
      <xdr:row>98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5"/>
            <xdr:cNvSpPr txBox="1"/>
          </xdr:nvSpPr>
          <xdr:spPr>
            <a:xfrm>
              <a:off x="2714625" y="2351722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0" name="TextBox 5"/>
            <xdr:cNvSpPr txBox="1"/>
          </xdr:nvSpPr>
          <xdr:spPr>
            <a:xfrm>
              <a:off x="2714625" y="2351722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142874</xdr:colOff>
      <xdr:row>101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5"/>
            <xdr:cNvSpPr txBox="1"/>
          </xdr:nvSpPr>
          <xdr:spPr>
            <a:xfrm>
              <a:off x="1971674" y="2423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1" name="TextBox 5"/>
            <xdr:cNvSpPr txBox="1"/>
          </xdr:nvSpPr>
          <xdr:spPr>
            <a:xfrm>
              <a:off x="1971674" y="2423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95249</xdr:colOff>
      <xdr:row>101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5"/>
            <xdr:cNvSpPr txBox="1"/>
          </xdr:nvSpPr>
          <xdr:spPr>
            <a:xfrm>
              <a:off x="2686049" y="2423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2" name="TextBox 5"/>
            <xdr:cNvSpPr txBox="1"/>
          </xdr:nvSpPr>
          <xdr:spPr>
            <a:xfrm>
              <a:off x="2686049" y="2423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103</xdr:row>
      <xdr:rowOff>57150</xdr:rowOff>
    </xdr:from>
    <xdr:ext cx="75584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4"/>
            <xdr:cNvSpPr txBox="1"/>
          </xdr:nvSpPr>
          <xdr:spPr>
            <a:xfrm>
              <a:off x="1228725" y="24745950"/>
              <a:ext cx="75584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3" name="TextBox 4"/>
            <xdr:cNvSpPr txBox="1"/>
          </xdr:nvSpPr>
          <xdr:spPr>
            <a:xfrm>
              <a:off x="1228725" y="24745950"/>
              <a:ext cx="75584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84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4"/>
            <xdr:cNvSpPr txBox="1"/>
          </xdr:nvSpPr>
          <xdr:spPr>
            <a:xfrm>
              <a:off x="704850" y="201930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4" name="TextBox 4"/>
            <xdr:cNvSpPr txBox="1"/>
          </xdr:nvSpPr>
          <xdr:spPr>
            <a:xfrm>
              <a:off x="704850" y="201930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28575</xdr:colOff>
      <xdr:row>60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4"/>
            <xdr:cNvSpPr txBox="1"/>
          </xdr:nvSpPr>
          <xdr:spPr>
            <a:xfrm>
              <a:off x="485775" y="144780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5" name="TextBox 4"/>
            <xdr:cNvSpPr txBox="1"/>
          </xdr:nvSpPr>
          <xdr:spPr>
            <a:xfrm>
              <a:off x="485775" y="144780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9525</xdr:colOff>
      <xdr:row>187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4"/>
            <xdr:cNvSpPr txBox="1"/>
          </xdr:nvSpPr>
          <xdr:spPr>
            <a:xfrm>
              <a:off x="3057525" y="4472940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6" name="TextBox 4"/>
            <xdr:cNvSpPr txBox="1"/>
          </xdr:nvSpPr>
          <xdr:spPr>
            <a:xfrm>
              <a:off x="3057525" y="4472940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189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4"/>
            <xdr:cNvSpPr txBox="1"/>
          </xdr:nvSpPr>
          <xdr:spPr>
            <a:xfrm>
              <a:off x="3514725" y="4523743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7" name="TextBox 4"/>
            <xdr:cNvSpPr txBox="1"/>
          </xdr:nvSpPr>
          <xdr:spPr>
            <a:xfrm>
              <a:off x="3514725" y="4523743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192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5"/>
            <xdr:cNvSpPr txBox="1"/>
          </xdr:nvSpPr>
          <xdr:spPr>
            <a:xfrm>
              <a:off x="4181474" y="459009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8" name="TextBox 5"/>
            <xdr:cNvSpPr txBox="1"/>
          </xdr:nvSpPr>
          <xdr:spPr>
            <a:xfrm>
              <a:off x="4181474" y="459009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193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4"/>
            <xdr:cNvSpPr txBox="1"/>
          </xdr:nvSpPr>
          <xdr:spPr>
            <a:xfrm>
              <a:off x="1533524" y="4632328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9" name="TextBox 4"/>
            <xdr:cNvSpPr txBox="1"/>
          </xdr:nvSpPr>
          <xdr:spPr>
            <a:xfrm>
              <a:off x="1533524" y="4632328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1/4 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197</xdr:row>
      <xdr:rowOff>57150</xdr:rowOff>
    </xdr:from>
    <xdr:ext cx="1375698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1228725" y="47129700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1228725" y="47129700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200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5"/>
            <xdr:cNvSpPr txBox="1"/>
          </xdr:nvSpPr>
          <xdr:spPr>
            <a:xfrm>
              <a:off x="1076324" y="477964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1" name="TextBox 5"/>
            <xdr:cNvSpPr txBox="1"/>
          </xdr:nvSpPr>
          <xdr:spPr>
            <a:xfrm>
              <a:off x="1076324" y="477964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227</xdr:row>
      <xdr:rowOff>57150</xdr:rowOff>
    </xdr:from>
    <xdr:ext cx="1452129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/>
            <xdr:cNvSpPr txBox="1"/>
          </xdr:nvSpPr>
          <xdr:spPr>
            <a:xfrm>
              <a:off x="1323975" y="54273450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2" name="TextBox 81"/>
            <xdr:cNvSpPr txBox="1"/>
          </xdr:nvSpPr>
          <xdr:spPr>
            <a:xfrm>
              <a:off x="1323975" y="54273450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213</xdr:row>
      <xdr:rowOff>57150</xdr:rowOff>
    </xdr:from>
    <xdr:ext cx="134601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/>
            <xdr:cNvSpPr txBox="1"/>
          </xdr:nvSpPr>
          <xdr:spPr>
            <a:xfrm>
              <a:off x="1228725" y="50939700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3" name="TextBox 82"/>
            <xdr:cNvSpPr txBox="1"/>
          </xdr:nvSpPr>
          <xdr:spPr>
            <a:xfrm>
              <a:off x="1228725" y="50939700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243</xdr:row>
      <xdr:rowOff>57150</xdr:rowOff>
    </xdr:from>
    <xdr:ext cx="1443344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/>
            <xdr:cNvSpPr txBox="1"/>
          </xdr:nvSpPr>
          <xdr:spPr>
            <a:xfrm>
              <a:off x="1333500" y="58083450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4" name="TextBox 83"/>
            <xdr:cNvSpPr txBox="1"/>
          </xdr:nvSpPr>
          <xdr:spPr>
            <a:xfrm>
              <a:off x="1333500" y="58083450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130</xdr:row>
      <xdr:rowOff>57150</xdr:rowOff>
    </xdr:from>
    <xdr:ext cx="773994" cy="3506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1228725" y="31175325"/>
              <a:ext cx="773994" cy="3506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1228725" y="31175325"/>
              <a:ext cx="773994" cy="3506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𝑐_(𝑙_0 )=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𝑙_0 )=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258</xdr:row>
      <xdr:rowOff>57150</xdr:rowOff>
    </xdr:from>
    <xdr:ext cx="8953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/>
            <xdr:cNvSpPr txBox="1"/>
          </xdr:nvSpPr>
          <xdr:spPr>
            <a:xfrm>
              <a:off x="1228725" y="61655325"/>
              <a:ext cx="8953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6" name="TextBox 85"/>
            <xdr:cNvSpPr txBox="1"/>
          </xdr:nvSpPr>
          <xdr:spPr>
            <a:xfrm>
              <a:off x="1228725" y="61655325"/>
              <a:ext cx="8953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202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5"/>
            <xdr:cNvSpPr txBox="1"/>
          </xdr:nvSpPr>
          <xdr:spPr>
            <a:xfrm>
              <a:off x="1076324" y="4831080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7" name="TextBox 5"/>
            <xdr:cNvSpPr txBox="1"/>
          </xdr:nvSpPr>
          <xdr:spPr>
            <a:xfrm>
              <a:off x="1076324" y="4831080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9524</xdr:colOff>
      <xdr:row>225</xdr:row>
      <xdr:rowOff>12731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4"/>
            <xdr:cNvSpPr txBox="1"/>
          </xdr:nvSpPr>
          <xdr:spPr>
            <a:xfrm>
              <a:off x="1533524" y="5375278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8" name="TextBox 4"/>
            <xdr:cNvSpPr txBox="1"/>
          </xdr:nvSpPr>
          <xdr:spPr>
            <a:xfrm>
              <a:off x="1533524" y="5375278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133349</xdr:colOff>
      <xdr:row>211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5"/>
            <xdr:cNvSpPr txBox="1"/>
          </xdr:nvSpPr>
          <xdr:spPr>
            <a:xfrm>
              <a:off x="2114549" y="504348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9" name="TextBox 5"/>
            <xdr:cNvSpPr txBox="1"/>
          </xdr:nvSpPr>
          <xdr:spPr>
            <a:xfrm>
              <a:off x="2114549" y="504348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230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5"/>
            <xdr:cNvSpPr txBox="1"/>
          </xdr:nvSpPr>
          <xdr:spPr>
            <a:xfrm>
              <a:off x="1076324" y="549402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2" name="TextBox 5"/>
            <xdr:cNvSpPr txBox="1"/>
          </xdr:nvSpPr>
          <xdr:spPr>
            <a:xfrm>
              <a:off x="1076324" y="549402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232</xdr:row>
      <xdr:rowOff>47625</xdr:rowOff>
    </xdr:from>
    <xdr:ext cx="2733676" cy="49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5"/>
            <xdr:cNvSpPr txBox="1"/>
          </xdr:nvSpPr>
          <xdr:spPr>
            <a:xfrm>
              <a:off x="1076325" y="55454550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3" name="TextBox 5"/>
            <xdr:cNvSpPr txBox="1"/>
          </xdr:nvSpPr>
          <xdr:spPr>
            <a:xfrm>
              <a:off x="1076325" y="55454550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142874</xdr:colOff>
      <xdr:row>241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5"/>
            <xdr:cNvSpPr txBox="1"/>
          </xdr:nvSpPr>
          <xdr:spPr>
            <a:xfrm>
              <a:off x="2124074" y="575786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4" name="TextBox 5"/>
            <xdr:cNvSpPr txBox="1"/>
          </xdr:nvSpPr>
          <xdr:spPr>
            <a:xfrm>
              <a:off x="2124074" y="575786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128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5"/>
            <xdr:cNvSpPr txBox="1"/>
          </xdr:nvSpPr>
          <xdr:spPr>
            <a:xfrm>
              <a:off x="2276474" y="306609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5" name="TextBox 5"/>
            <xdr:cNvSpPr txBox="1"/>
          </xdr:nvSpPr>
          <xdr:spPr>
            <a:xfrm>
              <a:off x="2276474" y="306609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152399</xdr:colOff>
      <xdr:row>128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5"/>
            <xdr:cNvSpPr txBox="1"/>
          </xdr:nvSpPr>
          <xdr:spPr>
            <a:xfrm>
              <a:off x="3047999" y="306609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6" name="TextBox 5"/>
            <xdr:cNvSpPr txBox="1"/>
          </xdr:nvSpPr>
          <xdr:spPr>
            <a:xfrm>
              <a:off x="3047999" y="306609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133</xdr:row>
      <xdr:rowOff>9525</xdr:rowOff>
    </xdr:from>
    <xdr:ext cx="2133600" cy="45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5"/>
            <xdr:cNvSpPr txBox="1"/>
          </xdr:nvSpPr>
          <xdr:spPr>
            <a:xfrm>
              <a:off x="1228725" y="31842075"/>
              <a:ext cx="2133600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7" name="TextBox 5"/>
            <xdr:cNvSpPr txBox="1"/>
          </xdr:nvSpPr>
          <xdr:spPr>
            <a:xfrm>
              <a:off x="1228725" y="31842075"/>
              <a:ext cx="2133600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ν(𝑙_0 )=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19049</xdr:colOff>
      <xdr:row>256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5"/>
            <xdr:cNvSpPr txBox="1"/>
          </xdr:nvSpPr>
          <xdr:spPr>
            <a:xfrm>
              <a:off x="2305049" y="611505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8" name="TextBox 5"/>
            <xdr:cNvSpPr txBox="1"/>
          </xdr:nvSpPr>
          <xdr:spPr>
            <a:xfrm>
              <a:off x="2305049" y="611505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261</xdr:row>
      <xdr:rowOff>9525</xdr:rowOff>
    </xdr:from>
    <xdr:ext cx="2266950" cy="45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5"/>
            <xdr:cNvSpPr txBox="1"/>
          </xdr:nvSpPr>
          <xdr:spPr>
            <a:xfrm>
              <a:off x="1076325" y="62322075"/>
              <a:ext cx="2266950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9" name="TextBox 5"/>
            <xdr:cNvSpPr txBox="1"/>
          </xdr:nvSpPr>
          <xdr:spPr>
            <a:xfrm>
              <a:off x="1076325" y="62322075"/>
              <a:ext cx="2266950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𝑙_𝑟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265</xdr:row>
      <xdr:rowOff>9525</xdr:rowOff>
    </xdr:from>
    <xdr:to>
      <xdr:col>38</xdr:col>
      <xdr:colOff>114300</xdr:colOff>
      <xdr:row>266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2"/>
            <xdr:cNvSpPr txBox="1">
              <a:spLocks/>
            </xdr:cNvSpPr>
          </xdr:nvSpPr>
          <xdr:spPr>
            <a:xfrm>
              <a:off x="161925" y="63274575"/>
              <a:ext cx="57435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0" name="TextBox 2"/>
            <xdr:cNvSpPr txBox="1">
              <a:spLocks/>
            </xdr:cNvSpPr>
          </xdr:nvSpPr>
          <xdr:spPr>
            <a:xfrm>
              <a:off x="161925" y="63274575"/>
              <a:ext cx="57435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(𝑟)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+𝑢^2 (𝑙_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)+𝑢^2 (𝑙_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266</xdr:row>
      <xdr:rowOff>38101</xdr:rowOff>
    </xdr:from>
    <xdr:to>
      <xdr:col>10</xdr:col>
      <xdr:colOff>104775</xdr:colOff>
      <xdr:row>267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2"/>
            <xdr:cNvSpPr txBox="1">
              <a:spLocks/>
            </xdr:cNvSpPr>
          </xdr:nvSpPr>
          <xdr:spPr>
            <a:xfrm>
              <a:off x="752475" y="635412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1" name="TextBox 2"/>
            <xdr:cNvSpPr txBox="1">
              <a:spLocks/>
            </xdr:cNvSpPr>
          </xdr:nvSpPr>
          <xdr:spPr>
            <a:xfrm>
              <a:off x="752475" y="635412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142875</xdr:colOff>
      <xdr:row>266</xdr:row>
      <xdr:rowOff>38101</xdr:rowOff>
    </xdr:from>
    <xdr:to>
      <xdr:col>17</xdr:col>
      <xdr:colOff>104775</xdr:colOff>
      <xdr:row>267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2"/>
            <xdr:cNvSpPr txBox="1">
              <a:spLocks/>
            </xdr:cNvSpPr>
          </xdr:nvSpPr>
          <xdr:spPr>
            <a:xfrm>
              <a:off x="1819275" y="635412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2" name="TextBox 2"/>
            <xdr:cNvSpPr txBox="1">
              <a:spLocks/>
            </xdr:cNvSpPr>
          </xdr:nvSpPr>
          <xdr:spPr>
            <a:xfrm>
              <a:off x="1819275" y="635412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18</xdr:col>
      <xdr:colOff>142875</xdr:colOff>
      <xdr:row>266</xdr:row>
      <xdr:rowOff>38101</xdr:rowOff>
    </xdr:from>
    <xdr:to>
      <xdr:col>24</xdr:col>
      <xdr:colOff>104775</xdr:colOff>
      <xdr:row>267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2"/>
            <xdr:cNvSpPr txBox="1">
              <a:spLocks/>
            </xdr:cNvSpPr>
          </xdr:nvSpPr>
          <xdr:spPr>
            <a:xfrm>
              <a:off x="2886075" y="635412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3" name="TextBox 2"/>
            <xdr:cNvSpPr txBox="1">
              <a:spLocks/>
            </xdr:cNvSpPr>
          </xdr:nvSpPr>
          <xdr:spPr>
            <a:xfrm>
              <a:off x="2886075" y="635412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133350</xdr:colOff>
      <xdr:row>266</xdr:row>
      <xdr:rowOff>38101</xdr:rowOff>
    </xdr:from>
    <xdr:to>
      <xdr:col>31</xdr:col>
      <xdr:colOff>95250</xdr:colOff>
      <xdr:row>267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2"/>
            <xdr:cNvSpPr txBox="1">
              <a:spLocks/>
            </xdr:cNvSpPr>
          </xdr:nvSpPr>
          <xdr:spPr>
            <a:xfrm>
              <a:off x="3943350" y="635412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4" name="TextBox 2"/>
            <xdr:cNvSpPr txBox="1">
              <a:spLocks/>
            </xdr:cNvSpPr>
          </xdr:nvSpPr>
          <xdr:spPr>
            <a:xfrm>
              <a:off x="3943350" y="635412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32</xdr:col>
      <xdr:colOff>133350</xdr:colOff>
      <xdr:row>266</xdr:row>
      <xdr:rowOff>38101</xdr:rowOff>
    </xdr:from>
    <xdr:to>
      <xdr:col>38</xdr:col>
      <xdr:colOff>95250</xdr:colOff>
      <xdr:row>267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2"/>
            <xdr:cNvSpPr txBox="1">
              <a:spLocks/>
            </xdr:cNvSpPr>
          </xdr:nvSpPr>
          <xdr:spPr>
            <a:xfrm>
              <a:off x="5010150" y="635412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5" name="TextBox 2"/>
            <xdr:cNvSpPr txBox="1">
              <a:spLocks/>
            </xdr:cNvSpPr>
          </xdr:nvSpPr>
          <xdr:spPr>
            <a:xfrm>
              <a:off x="5010150" y="635412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39</xdr:col>
      <xdr:colOff>142875</xdr:colOff>
      <xdr:row>266</xdr:row>
      <xdr:rowOff>28576</xdr:rowOff>
    </xdr:from>
    <xdr:to>
      <xdr:col>45</xdr:col>
      <xdr:colOff>104775</xdr:colOff>
      <xdr:row>266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2"/>
            <xdr:cNvSpPr txBox="1">
              <a:spLocks/>
            </xdr:cNvSpPr>
          </xdr:nvSpPr>
          <xdr:spPr>
            <a:xfrm>
              <a:off x="6086475" y="63531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6" name="TextBox 2"/>
            <xdr:cNvSpPr txBox="1">
              <a:spLocks/>
            </xdr:cNvSpPr>
          </xdr:nvSpPr>
          <xdr:spPr>
            <a:xfrm>
              <a:off x="6086475" y="63531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6</xdr:col>
      <xdr:colOff>142875</xdr:colOff>
      <xdr:row>267</xdr:row>
      <xdr:rowOff>28576</xdr:rowOff>
    </xdr:from>
    <xdr:to>
      <xdr:col>12</xdr:col>
      <xdr:colOff>104775</xdr:colOff>
      <xdr:row>267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2"/>
            <xdr:cNvSpPr txBox="1">
              <a:spLocks/>
            </xdr:cNvSpPr>
          </xdr:nvSpPr>
          <xdr:spPr>
            <a:xfrm>
              <a:off x="1057275" y="637698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7" name="TextBox 2"/>
            <xdr:cNvSpPr txBox="1">
              <a:spLocks/>
            </xdr:cNvSpPr>
          </xdr:nvSpPr>
          <xdr:spPr>
            <a:xfrm>
              <a:off x="1057275" y="637698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13</xdr:col>
      <xdr:colOff>142875</xdr:colOff>
      <xdr:row>267</xdr:row>
      <xdr:rowOff>28576</xdr:rowOff>
    </xdr:from>
    <xdr:to>
      <xdr:col>19</xdr:col>
      <xdr:colOff>104775</xdr:colOff>
      <xdr:row>267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2"/>
            <xdr:cNvSpPr txBox="1">
              <a:spLocks/>
            </xdr:cNvSpPr>
          </xdr:nvSpPr>
          <xdr:spPr>
            <a:xfrm>
              <a:off x="2124075" y="637698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8" name="TextBox 2"/>
            <xdr:cNvSpPr txBox="1">
              <a:spLocks/>
            </xdr:cNvSpPr>
          </xdr:nvSpPr>
          <xdr:spPr>
            <a:xfrm>
              <a:off x="2124075" y="637698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268</xdr:row>
      <xdr:rowOff>38101</xdr:rowOff>
    </xdr:from>
    <xdr:to>
      <xdr:col>10</xdr:col>
      <xdr:colOff>104775</xdr:colOff>
      <xdr:row>269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2"/>
            <xdr:cNvSpPr txBox="1">
              <a:spLocks/>
            </xdr:cNvSpPr>
          </xdr:nvSpPr>
          <xdr:spPr>
            <a:xfrm>
              <a:off x="752475" y="6401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9" name="TextBox 2"/>
            <xdr:cNvSpPr txBox="1">
              <a:spLocks/>
            </xdr:cNvSpPr>
          </xdr:nvSpPr>
          <xdr:spPr>
            <a:xfrm>
              <a:off x="752475" y="6401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7</xdr:col>
      <xdr:colOff>9525</xdr:colOff>
      <xdr:row>216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5"/>
            <xdr:cNvSpPr txBox="1"/>
          </xdr:nvSpPr>
          <xdr:spPr>
            <a:xfrm>
              <a:off x="1076325" y="5160644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10" name="TextBox 5"/>
            <xdr:cNvSpPr txBox="1"/>
          </xdr:nvSpPr>
          <xdr:spPr>
            <a:xfrm>
              <a:off x="1076325" y="5160644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246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5"/>
            <xdr:cNvSpPr txBox="1"/>
          </xdr:nvSpPr>
          <xdr:spPr>
            <a:xfrm>
              <a:off x="1076325" y="5875020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1" name="TextBox 5"/>
            <xdr:cNvSpPr txBox="1"/>
          </xdr:nvSpPr>
          <xdr:spPr>
            <a:xfrm>
              <a:off x="1076325" y="5875020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9525</xdr:colOff>
      <xdr:row>186</xdr:row>
      <xdr:rowOff>38100</xdr:rowOff>
    </xdr:from>
    <xdr:ext cx="3143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4"/>
            <xdr:cNvSpPr txBox="1"/>
          </xdr:nvSpPr>
          <xdr:spPr>
            <a:xfrm>
              <a:off x="3971925" y="44491275"/>
              <a:ext cx="3143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2" name="TextBox 4"/>
            <xdr:cNvSpPr txBox="1"/>
          </xdr:nvSpPr>
          <xdr:spPr>
            <a:xfrm>
              <a:off x="3971925" y="44491275"/>
              <a:ext cx="3143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39</xdr:col>
      <xdr:colOff>47624</xdr:colOff>
      <xdr:row>111</xdr:row>
      <xdr:rowOff>0</xdr:rowOff>
    </xdr:from>
    <xdr:ext cx="1724025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6"/>
            <xdr:cNvSpPr txBox="1"/>
          </xdr:nvSpPr>
          <xdr:spPr>
            <a:xfrm>
              <a:off x="5991224" y="26593800"/>
              <a:ext cx="1724025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 </a:t>
              </a:r>
              <a:r>
                <a:rPr lang="en-US" altLang="ko-KR" sz="1100"/>
                <a:t>μm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113" name="TextBox 6"/>
            <xdr:cNvSpPr txBox="1"/>
          </xdr:nvSpPr>
          <xdr:spPr>
            <a:xfrm>
              <a:off x="5991224" y="26593800"/>
              <a:ext cx="1724025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𝑙_0 )^2 )</a:t>
              </a:r>
              <a:r>
                <a:rPr lang="ko-KR" altLang="en-US" sz="1100"/>
                <a:t>   </a:t>
              </a:r>
              <a:r>
                <a:rPr lang="en-US" altLang="ko-KR" sz="1100"/>
                <a:t>μm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9525</xdr:colOff>
      <xdr:row>139</xdr:row>
      <xdr:rowOff>0</xdr:rowOff>
    </xdr:from>
    <xdr:ext cx="1857375" cy="212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5"/>
            <xdr:cNvSpPr txBox="1"/>
          </xdr:nvSpPr>
          <xdr:spPr>
            <a:xfrm>
              <a:off x="1533525" y="33261300"/>
              <a:ext cx="1857375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4" name="TextBox 5"/>
            <xdr:cNvSpPr txBox="1"/>
          </xdr:nvSpPr>
          <xdr:spPr>
            <a:xfrm>
              <a:off x="1533525" y="33261300"/>
              <a:ext cx="1857375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𝑢(𝑙_𝑚 )=√(〖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𝑢(𝑙_𝑚1 )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〖𝑢(𝑙_𝑚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)〗^2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57150</xdr:colOff>
      <xdr:row>139</xdr:row>
      <xdr:rowOff>0</xdr:rowOff>
    </xdr:from>
    <xdr:ext cx="1857375" cy="212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5"/>
            <xdr:cNvSpPr txBox="1"/>
          </xdr:nvSpPr>
          <xdr:spPr>
            <a:xfrm>
              <a:off x="3409950" y="33261300"/>
              <a:ext cx="1857375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5" name="TextBox 5"/>
            <xdr:cNvSpPr txBox="1"/>
          </xdr:nvSpPr>
          <xdr:spPr>
            <a:xfrm>
              <a:off x="3409950" y="33261300"/>
              <a:ext cx="1857375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141</xdr:row>
      <xdr:rowOff>57150</xdr:rowOff>
    </xdr:from>
    <xdr:ext cx="78495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115"/>
            <xdr:cNvSpPr txBox="1"/>
          </xdr:nvSpPr>
          <xdr:spPr>
            <a:xfrm>
              <a:off x="1219200" y="33794700"/>
              <a:ext cx="78495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6" name="TextBox 115"/>
            <xdr:cNvSpPr txBox="1"/>
          </xdr:nvSpPr>
          <xdr:spPr>
            <a:xfrm>
              <a:off x="1219200" y="33794700"/>
              <a:ext cx="78495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𝑐_(𝑙_𝑚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𝑙_𝑚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39</xdr:col>
      <xdr:colOff>47624</xdr:colOff>
      <xdr:row>148</xdr:row>
      <xdr:rowOff>0</xdr:rowOff>
    </xdr:from>
    <xdr:ext cx="1724025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6"/>
            <xdr:cNvSpPr txBox="1"/>
          </xdr:nvSpPr>
          <xdr:spPr>
            <a:xfrm>
              <a:off x="5991224" y="35404425"/>
              <a:ext cx="1724025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 </a:t>
              </a:r>
              <a:r>
                <a:rPr lang="en-US" altLang="ko-KR" sz="1100"/>
                <a:t>μm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117" name="TextBox 6"/>
            <xdr:cNvSpPr txBox="1"/>
          </xdr:nvSpPr>
          <xdr:spPr>
            <a:xfrm>
              <a:off x="5991224" y="35404425"/>
              <a:ext cx="1724025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𝑙_0 )^2 )</a:t>
              </a:r>
              <a:r>
                <a:rPr lang="ko-KR" altLang="en-US" sz="1100"/>
                <a:t>   </a:t>
              </a:r>
              <a:r>
                <a:rPr lang="en-US" altLang="ko-KR" sz="1100"/>
                <a:t>μm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9525</xdr:colOff>
      <xdr:row>152</xdr:row>
      <xdr:rowOff>228600</xdr:rowOff>
    </xdr:from>
    <xdr:ext cx="3605924" cy="4951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TextBox 4"/>
            <xdr:cNvSpPr txBox="1"/>
          </xdr:nvSpPr>
          <xdr:spPr>
            <a:xfrm>
              <a:off x="1533525" y="36585525"/>
              <a:ext cx="3605924" cy="495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+2</m:t>
                    </m:r>
                    <m:nary>
                      <m:naryPr>
                        <m:chr m:val="∑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  <m:e>
                        <m:nary>
                          <m:naryPr>
                            <m:chr m:val="∑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nary>
                      </m:e>
                    </m:nary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8" name="TextBox 4"/>
            <xdr:cNvSpPr txBox="1"/>
          </xdr:nvSpPr>
          <xdr:spPr>
            <a:xfrm>
              <a:off x="1533525" y="36585525"/>
              <a:ext cx="3605924" cy="495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𝑢_𝑐^2 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𝑙_𝑚1 )=∑_(𝑖=1)^𝑁▒〖𝑐_𝑖^2 𝑢^2 (𝑙_𝑖 ) 〗+2∑_(𝑖=1)^(𝑁−1)▒∑_(𝑗=𝑖+1)^𝑁▒〖𝑐_𝑖 𝑐_𝑗 𝑟(𝑙_𝑖,𝑙_𝑗 )𝑢(𝑙_𝑖 )𝑢(𝑙_𝑗 ) 〗=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156</xdr:row>
      <xdr:rowOff>57150</xdr:rowOff>
    </xdr:from>
    <xdr:ext cx="89191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TextBox 171"/>
            <xdr:cNvSpPr txBox="1"/>
          </xdr:nvSpPr>
          <xdr:spPr>
            <a:xfrm>
              <a:off x="1228725" y="37366575"/>
              <a:ext cx="89191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2" name="TextBox 171"/>
            <xdr:cNvSpPr txBox="1"/>
          </xdr:nvSpPr>
          <xdr:spPr>
            <a:xfrm>
              <a:off x="1228725" y="37366575"/>
              <a:ext cx="89191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𝑐_(𝑙_𝑚1 )=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𝑙_𝑚)/(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𝑙_𝑚1 )=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57150</xdr:colOff>
      <xdr:row>166</xdr:row>
      <xdr:rowOff>0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TextBox 5"/>
            <xdr:cNvSpPr txBox="1"/>
          </xdr:nvSpPr>
          <xdr:spPr>
            <a:xfrm>
              <a:off x="2343150" y="39690675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3" name="TextBox 5"/>
            <xdr:cNvSpPr txBox="1"/>
          </xdr:nvSpPr>
          <xdr:spPr>
            <a:xfrm>
              <a:off x="2343150" y="39690675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168</xdr:row>
      <xdr:rowOff>57150</xdr:rowOff>
    </xdr:from>
    <xdr:ext cx="891911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TextBox 173"/>
            <xdr:cNvSpPr txBox="1"/>
          </xdr:nvSpPr>
          <xdr:spPr>
            <a:xfrm>
              <a:off x="1228725" y="40224075"/>
              <a:ext cx="891911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4" name="TextBox 173"/>
            <xdr:cNvSpPr txBox="1"/>
          </xdr:nvSpPr>
          <xdr:spPr>
            <a:xfrm>
              <a:off x="1228725" y="40224075"/>
              <a:ext cx="891911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𝑐_(𝑙_𝑚2 )=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𝑙_𝑚)/(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𝑙_𝑚2 )=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181</xdr:row>
      <xdr:rowOff>57150</xdr:rowOff>
    </xdr:from>
    <xdr:ext cx="891911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TextBox 174"/>
            <xdr:cNvSpPr txBox="1"/>
          </xdr:nvSpPr>
          <xdr:spPr>
            <a:xfrm>
              <a:off x="1228725" y="43319700"/>
              <a:ext cx="891911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5" name="TextBox 174"/>
            <xdr:cNvSpPr txBox="1"/>
          </xdr:nvSpPr>
          <xdr:spPr>
            <a:xfrm>
              <a:off x="1228725" y="43319700"/>
              <a:ext cx="891911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𝑐_(𝑙_𝑚3 )=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𝑙_𝑚)/(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𝑙_𝑚3 )=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142875</xdr:colOff>
      <xdr:row>267</xdr:row>
      <xdr:rowOff>28576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6" name="TextBox 2"/>
            <xdr:cNvSpPr txBox="1">
              <a:spLocks/>
            </xdr:cNvSpPr>
          </xdr:nvSpPr>
          <xdr:spPr>
            <a:xfrm>
              <a:off x="3190875" y="637698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6" name="TextBox 2"/>
            <xdr:cNvSpPr txBox="1">
              <a:spLocks/>
            </xdr:cNvSpPr>
          </xdr:nvSpPr>
          <xdr:spPr>
            <a:xfrm>
              <a:off x="3190875" y="637698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9525</xdr:colOff>
      <xdr:row>274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7" name="TextBox 176"/>
            <xdr:cNvSpPr txBox="1"/>
          </xdr:nvSpPr>
          <xdr:spPr>
            <a:xfrm>
              <a:off x="1838325" y="6544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7" name="TextBox 176"/>
            <xdr:cNvSpPr txBox="1"/>
          </xdr:nvSpPr>
          <xdr:spPr>
            <a:xfrm>
              <a:off x="1838325" y="6544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19050</xdr:colOff>
      <xdr:row>273</xdr:row>
      <xdr:rowOff>33337</xdr:rowOff>
    </xdr:from>
    <xdr:ext cx="648831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TextBox 177"/>
            <xdr:cNvSpPr txBox="1"/>
          </xdr:nvSpPr>
          <xdr:spPr>
            <a:xfrm>
              <a:off x="3371850" y="65203387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8" name="TextBox 177"/>
            <xdr:cNvSpPr txBox="1"/>
          </xdr:nvSpPr>
          <xdr:spPr>
            <a:xfrm>
              <a:off x="3371850" y="65203387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9525</xdr:colOff>
      <xdr:row>274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9" name="TextBox 178"/>
            <xdr:cNvSpPr txBox="1"/>
          </xdr:nvSpPr>
          <xdr:spPr>
            <a:xfrm>
              <a:off x="2600325" y="6544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9" name="TextBox 178"/>
            <xdr:cNvSpPr txBox="1"/>
          </xdr:nvSpPr>
          <xdr:spPr>
            <a:xfrm>
              <a:off x="2600325" y="6544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9525</xdr:colOff>
      <xdr:row>274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0" name="TextBox 179"/>
            <xdr:cNvSpPr txBox="1"/>
          </xdr:nvSpPr>
          <xdr:spPr>
            <a:xfrm>
              <a:off x="3362325" y="6544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0" name="TextBox 179"/>
            <xdr:cNvSpPr txBox="1"/>
          </xdr:nvSpPr>
          <xdr:spPr>
            <a:xfrm>
              <a:off x="3362325" y="6544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9525</xdr:colOff>
      <xdr:row>274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1" name="TextBox 180"/>
            <xdr:cNvSpPr txBox="1"/>
          </xdr:nvSpPr>
          <xdr:spPr>
            <a:xfrm>
              <a:off x="4124325" y="6544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1" name="TextBox 180"/>
            <xdr:cNvSpPr txBox="1"/>
          </xdr:nvSpPr>
          <xdr:spPr>
            <a:xfrm>
              <a:off x="4124325" y="6544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9525</xdr:colOff>
      <xdr:row>274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2" name="TextBox 181"/>
            <xdr:cNvSpPr txBox="1"/>
          </xdr:nvSpPr>
          <xdr:spPr>
            <a:xfrm>
              <a:off x="4886325" y="6544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2" name="TextBox 181"/>
            <xdr:cNvSpPr txBox="1"/>
          </xdr:nvSpPr>
          <xdr:spPr>
            <a:xfrm>
              <a:off x="4886325" y="6544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273</xdr:row>
      <xdr:rowOff>47625</xdr:rowOff>
    </xdr:from>
    <xdr:ext cx="1504950" cy="581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3" name="TextBox 182"/>
            <xdr:cNvSpPr txBox="1"/>
          </xdr:nvSpPr>
          <xdr:spPr>
            <a:xfrm>
              <a:off x="161925" y="65217675"/>
              <a:ext cx="1504950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3" name="TextBox 182"/>
            <xdr:cNvSpPr txBox="1"/>
          </xdr:nvSpPr>
          <xdr:spPr>
            <a:xfrm>
              <a:off x="161925" y="65217675"/>
              <a:ext cx="1504950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9524</xdr:colOff>
      <xdr:row>274</xdr:row>
      <xdr:rowOff>52387</xdr:rowOff>
    </xdr:from>
    <xdr:ext cx="3952876" cy="8475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4" name="TextBox 183"/>
            <xdr:cNvSpPr txBox="1"/>
          </xdr:nvSpPr>
          <xdr:spPr>
            <a:xfrm>
              <a:off x="1685924" y="65460562"/>
              <a:ext cx="3952876" cy="847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                                                                   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  <m:r>
                          <a:rPr lang="en-US" altLang="ko-KR" b="0" i="1">
                            <a:latin typeface="Cambria Math" panose="02040503050406030204" pitchFamily="18" charset="0"/>
                          </a:rPr>
                          <m:t>                    </m:t>
                        </m:r>
                      </m:e>
                    </m:d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84" name="TextBox 183"/>
            <xdr:cNvSpPr txBox="1"/>
          </xdr:nvSpPr>
          <xdr:spPr>
            <a:xfrm>
              <a:off x="1685924" y="65460562"/>
              <a:ext cx="3952876" cy="847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{█( @ @ @ @</a:t>
              </a:r>
              <a:r>
                <a:rPr lang="en-US" altLang="ko-KR" b="0" i="0">
                  <a:latin typeface="Cambria Math" panose="02040503050406030204" pitchFamily="18" charset="0"/>
                </a:rPr>
                <a:t>                                                                                                      @ )                    }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9525</xdr:colOff>
      <xdr:row>276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5" name="TextBox 184"/>
            <xdr:cNvSpPr txBox="1"/>
          </xdr:nvSpPr>
          <xdr:spPr>
            <a:xfrm>
              <a:off x="1990725" y="6591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5" name="TextBox 184"/>
            <xdr:cNvSpPr txBox="1"/>
          </xdr:nvSpPr>
          <xdr:spPr>
            <a:xfrm>
              <a:off x="1990725" y="6591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9525</xdr:colOff>
      <xdr:row>276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6" name="TextBox 185"/>
            <xdr:cNvSpPr txBox="1"/>
          </xdr:nvSpPr>
          <xdr:spPr>
            <a:xfrm>
              <a:off x="2752725" y="6591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6" name="TextBox 185"/>
            <xdr:cNvSpPr txBox="1"/>
          </xdr:nvSpPr>
          <xdr:spPr>
            <a:xfrm>
              <a:off x="2752725" y="6591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276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7" name="TextBox 186"/>
            <xdr:cNvSpPr txBox="1"/>
          </xdr:nvSpPr>
          <xdr:spPr>
            <a:xfrm>
              <a:off x="3514725" y="6591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7" name="TextBox 186"/>
            <xdr:cNvSpPr txBox="1"/>
          </xdr:nvSpPr>
          <xdr:spPr>
            <a:xfrm>
              <a:off x="3514725" y="6591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9525</xdr:colOff>
      <xdr:row>276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8" name="TextBox 187"/>
            <xdr:cNvSpPr txBox="1"/>
          </xdr:nvSpPr>
          <xdr:spPr>
            <a:xfrm>
              <a:off x="4276725" y="6591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8" name="TextBox 187"/>
            <xdr:cNvSpPr txBox="1"/>
          </xdr:nvSpPr>
          <xdr:spPr>
            <a:xfrm>
              <a:off x="4276725" y="6591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67</xdr:row>
      <xdr:rowOff>9526</xdr:rowOff>
    </xdr:from>
    <xdr:to>
      <xdr:col>55</xdr:col>
      <xdr:colOff>123825</xdr:colOff>
      <xdr:row>68</xdr:row>
      <xdr:rowOff>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2"/>
            <xdr:cNvSpPr txBox="1">
              <a:spLocks/>
            </xdr:cNvSpPr>
          </xdr:nvSpPr>
          <xdr:spPr>
            <a:xfrm>
              <a:off x="161925" y="16125826"/>
              <a:ext cx="834390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0" name="TextBox 2"/>
            <xdr:cNvSpPr txBox="1">
              <a:spLocks/>
            </xdr:cNvSpPr>
          </xdr:nvSpPr>
          <xdr:spPr>
            <a:xfrm>
              <a:off x="161925" y="16125826"/>
              <a:ext cx="834390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=𝑐_(𝑙_𝑠)^2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(𝑟)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+𝑐_(𝑙_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)^2∙𝑢^2 (𝑙_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)+𝑐_(𝑙_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)^2∙𝑢^2 (𝑙_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)^2∙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47" t="s">
        <v>0</v>
      </c>
      <c r="B1" s="348"/>
      <c r="C1" s="348"/>
      <c r="D1" s="348"/>
      <c r="E1" s="348"/>
      <c r="F1" s="348"/>
      <c r="G1" s="348"/>
      <c r="H1" s="349"/>
      <c r="I1" s="350"/>
      <c r="J1" s="351"/>
    </row>
    <row r="2" spans="1:13" ht="12.95" customHeight="1">
      <c r="A2" s="327" t="s">
        <v>1</v>
      </c>
      <c r="B2" s="327"/>
      <c r="C2" s="327"/>
      <c r="D2" s="327"/>
      <c r="E2" s="327"/>
      <c r="F2" s="327"/>
      <c r="G2" s="327"/>
      <c r="H2" s="327"/>
      <c r="I2" s="327"/>
      <c r="J2" s="327"/>
    </row>
    <row r="3" spans="1:13" ht="12.95" customHeight="1">
      <c r="A3" s="328" t="s">
        <v>2</v>
      </c>
      <c r="B3" s="329"/>
      <c r="C3" s="352"/>
      <c r="D3" s="352"/>
      <c r="E3" s="352"/>
      <c r="F3" s="329" t="s">
        <v>3</v>
      </c>
      <c r="G3" s="329"/>
      <c r="H3" s="343"/>
      <c r="I3" s="342"/>
      <c r="J3" s="342"/>
    </row>
    <row r="4" spans="1:13" ht="12.95" customHeight="1">
      <c r="A4" s="329" t="s">
        <v>4</v>
      </c>
      <c r="B4" s="329"/>
      <c r="C4" s="353"/>
      <c r="D4" s="329"/>
      <c r="E4" s="329"/>
      <c r="F4" s="329" t="s">
        <v>5</v>
      </c>
      <c r="G4" s="329"/>
      <c r="H4" s="329"/>
      <c r="I4" s="342"/>
      <c r="J4" s="342"/>
    </row>
    <row r="5" spans="1:13" ht="12.95" customHeight="1">
      <c r="A5" s="329" t="s">
        <v>6</v>
      </c>
      <c r="B5" s="329"/>
      <c r="C5" s="329"/>
      <c r="D5" s="342"/>
      <c r="E5" s="342"/>
      <c r="F5" s="328" t="s">
        <v>7</v>
      </c>
      <c r="G5" s="329"/>
      <c r="H5" s="330"/>
      <c r="I5" s="331"/>
      <c r="J5" s="331"/>
    </row>
    <row r="6" spans="1:13" ht="12.95" customHeight="1">
      <c r="A6" s="329" t="s">
        <v>8</v>
      </c>
      <c r="B6" s="329"/>
      <c r="C6" s="329"/>
      <c r="D6" s="342"/>
      <c r="E6" s="342"/>
      <c r="F6" s="328" t="s">
        <v>9</v>
      </c>
      <c r="G6" s="329"/>
      <c r="H6" s="330"/>
      <c r="I6" s="331"/>
      <c r="J6" s="331"/>
    </row>
    <row r="7" spans="1:13" ht="12.95" customHeight="1">
      <c r="A7" s="329" t="s">
        <v>10</v>
      </c>
      <c r="B7" s="329"/>
      <c r="C7" s="345"/>
      <c r="D7" s="342"/>
      <c r="E7" s="342"/>
      <c r="F7" s="328" t="s">
        <v>11</v>
      </c>
      <c r="G7" s="329"/>
      <c r="H7" s="329"/>
      <c r="I7" s="342"/>
      <c r="J7" s="342"/>
    </row>
    <row r="8" spans="1:13" ht="12.95" customHeight="1">
      <c r="A8" s="329" t="s">
        <v>12</v>
      </c>
      <c r="B8" s="329"/>
      <c r="C8" s="343"/>
      <c r="D8" s="344"/>
      <c r="E8" s="344"/>
      <c r="F8" s="328" t="s">
        <v>13</v>
      </c>
      <c r="G8" s="329"/>
      <c r="H8" s="329"/>
      <c r="I8" s="342"/>
      <c r="J8" s="342"/>
    </row>
    <row r="9" spans="1:13" ht="12.95" customHeight="1">
      <c r="A9" s="328" t="s">
        <v>35</v>
      </c>
      <c r="B9" s="329"/>
      <c r="C9" s="330"/>
      <c r="D9" s="331"/>
      <c r="E9" s="331"/>
      <c r="F9" s="346" t="s">
        <v>14</v>
      </c>
      <c r="G9" s="346"/>
      <c r="H9" s="330"/>
      <c r="I9" s="331"/>
      <c r="J9" s="331"/>
    </row>
    <row r="10" spans="1:13" ht="23.25" customHeight="1">
      <c r="A10" s="329" t="s">
        <v>15</v>
      </c>
      <c r="B10" s="329"/>
      <c r="C10" s="330"/>
      <c r="D10" s="331"/>
      <c r="E10" s="331"/>
      <c r="F10" s="329" t="s">
        <v>16</v>
      </c>
      <c r="G10" s="329"/>
      <c r="H10" s="34"/>
      <c r="I10" s="334" t="s">
        <v>17</v>
      </c>
      <c r="J10" s="335"/>
      <c r="K10" s="4"/>
    </row>
    <row r="11" spans="1:13" ht="12.95" customHeight="1">
      <c r="A11" s="327" t="s">
        <v>18</v>
      </c>
      <c r="B11" s="327"/>
      <c r="C11" s="327"/>
      <c r="D11" s="327"/>
      <c r="E11" s="327"/>
      <c r="F11" s="327"/>
      <c r="G11" s="327"/>
      <c r="H11" s="327"/>
      <c r="I11" s="327"/>
      <c r="J11" s="327"/>
      <c r="K11" s="5"/>
    </row>
    <row r="12" spans="1:13" ht="17.25" customHeight="1">
      <c r="A12" s="3" t="s">
        <v>19</v>
      </c>
      <c r="B12" s="88"/>
      <c r="C12" s="6" t="s">
        <v>20</v>
      </c>
      <c r="D12" s="89"/>
      <c r="E12" s="6" t="s">
        <v>21</v>
      </c>
      <c r="F12" s="90"/>
      <c r="G12" s="336" t="s">
        <v>22</v>
      </c>
      <c r="H12" s="332"/>
      <c r="I12" s="338" t="s">
        <v>23</v>
      </c>
      <c r="J12" s="339"/>
      <c r="K12" s="4"/>
      <c r="L12" s="7"/>
      <c r="M12" s="7"/>
    </row>
    <row r="13" spans="1:13" ht="17.25" customHeight="1">
      <c r="A13" s="8" t="s">
        <v>24</v>
      </c>
      <c r="B13" s="88"/>
      <c r="C13" s="8" t="s">
        <v>25</v>
      </c>
      <c r="D13" s="89"/>
      <c r="E13" s="6" t="s">
        <v>26</v>
      </c>
      <c r="F13" s="90"/>
      <c r="G13" s="337"/>
      <c r="H13" s="333"/>
      <c r="I13" s="340"/>
      <c r="J13" s="341"/>
      <c r="K13" s="5"/>
    </row>
    <row r="14" spans="1:13" ht="12.95" customHeight="1">
      <c r="A14" s="327" t="s">
        <v>27</v>
      </c>
      <c r="B14" s="327"/>
      <c r="C14" s="327"/>
      <c r="D14" s="327"/>
      <c r="E14" s="327"/>
      <c r="F14" s="327"/>
      <c r="G14" s="327"/>
      <c r="H14" s="327"/>
      <c r="I14" s="327"/>
      <c r="J14" s="327"/>
      <c r="K14" s="5"/>
    </row>
    <row r="15" spans="1:13" ht="39" customHeight="1">
      <c r="A15" s="324"/>
      <c r="B15" s="325"/>
      <c r="C15" s="325"/>
      <c r="D15" s="325"/>
      <c r="E15" s="325"/>
      <c r="F15" s="325"/>
      <c r="G15" s="325"/>
      <c r="H15" s="325"/>
      <c r="I15" s="325"/>
      <c r="J15" s="326"/>
    </row>
    <row r="16" spans="1:13" ht="12.95" customHeight="1">
      <c r="A16" s="327" t="s">
        <v>28</v>
      </c>
      <c r="B16" s="327"/>
      <c r="C16" s="327"/>
      <c r="D16" s="327"/>
      <c r="E16" s="327"/>
      <c r="F16" s="327"/>
      <c r="G16" s="327"/>
      <c r="H16" s="327"/>
      <c r="I16" s="327"/>
      <c r="J16" s="327"/>
    </row>
    <row r="17" spans="1:12" ht="12.95" customHeight="1">
      <c r="A17" s="3" t="s">
        <v>29</v>
      </c>
      <c r="B17" s="328" t="s">
        <v>30</v>
      </c>
      <c r="C17" s="329"/>
      <c r="D17" s="329"/>
      <c r="E17" s="329"/>
      <c r="F17" s="328" t="s">
        <v>31</v>
      </c>
      <c r="G17" s="329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22"/>
      <c r="C18" s="323"/>
      <c r="D18" s="323"/>
      <c r="E18" s="323"/>
      <c r="F18" s="322"/>
      <c r="G18" s="323"/>
      <c r="H18" s="40"/>
      <c r="I18" s="18"/>
      <c r="J18" s="87"/>
      <c r="L18" s="5"/>
    </row>
    <row r="19" spans="1:12" ht="12.95" customHeight="1">
      <c r="A19" s="35"/>
      <c r="B19" s="322"/>
      <c r="C19" s="323"/>
      <c r="D19" s="323"/>
      <c r="E19" s="323"/>
      <c r="F19" s="322"/>
      <c r="G19" s="323"/>
      <c r="H19" s="21"/>
      <c r="I19" s="21"/>
      <c r="J19" s="87"/>
      <c r="L19" s="5"/>
    </row>
    <row r="20" spans="1:12" ht="12.95" customHeight="1">
      <c r="A20" s="35"/>
      <c r="B20" s="322"/>
      <c r="C20" s="323"/>
      <c r="D20" s="323"/>
      <c r="E20" s="323"/>
      <c r="F20" s="322"/>
      <c r="G20" s="323"/>
      <c r="H20" s="32"/>
      <c r="I20" s="32"/>
      <c r="J20" s="87"/>
      <c r="L20" s="5"/>
    </row>
    <row r="21" spans="1:12" ht="12.95" customHeight="1">
      <c r="A21" s="35"/>
      <c r="B21" s="322"/>
      <c r="C21" s="323"/>
      <c r="D21" s="323"/>
      <c r="E21" s="323"/>
      <c r="F21" s="322"/>
      <c r="G21" s="323"/>
      <c r="H21" s="32"/>
      <c r="I21" s="9"/>
      <c r="J21" s="87"/>
      <c r="L21" s="5"/>
    </row>
    <row r="22" spans="1:12" ht="12.95" customHeight="1">
      <c r="A22" s="35"/>
      <c r="B22" s="322"/>
      <c r="C22" s="323"/>
      <c r="D22" s="323"/>
      <c r="E22" s="323"/>
      <c r="F22" s="322"/>
      <c r="G22" s="323"/>
      <c r="H22" s="20"/>
      <c r="I22" s="11"/>
      <c r="J22" s="87"/>
      <c r="L22" s="5"/>
    </row>
    <row r="23" spans="1:12" ht="12.95" customHeight="1">
      <c r="A23" s="35"/>
      <c r="B23" s="322"/>
      <c r="C23" s="323"/>
      <c r="D23" s="323"/>
      <c r="E23" s="323"/>
      <c r="F23" s="322"/>
      <c r="G23" s="323"/>
      <c r="H23" s="11"/>
      <c r="I23" s="9"/>
      <c r="J23" s="87"/>
      <c r="L23" s="5"/>
    </row>
    <row r="24" spans="1:12" ht="12.95" customHeight="1">
      <c r="A24" s="35"/>
      <c r="B24" s="322"/>
      <c r="C24" s="323"/>
      <c r="D24" s="323"/>
      <c r="E24" s="323"/>
      <c r="F24" s="322"/>
      <c r="G24" s="323"/>
      <c r="H24" s="16"/>
      <c r="I24" s="9"/>
      <c r="J24" s="87"/>
      <c r="L24" s="5"/>
    </row>
    <row r="25" spans="1:12" ht="12.95" customHeight="1">
      <c r="A25" s="35"/>
      <c r="B25" s="322"/>
      <c r="C25" s="323"/>
      <c r="D25" s="323"/>
      <c r="E25" s="323"/>
      <c r="F25" s="322"/>
      <c r="G25" s="323"/>
      <c r="H25" s="16"/>
      <c r="I25" s="9"/>
      <c r="J25" s="87"/>
      <c r="L25" s="5"/>
    </row>
    <row r="26" spans="1:12" ht="12.95" customHeight="1">
      <c r="A26" s="35"/>
      <c r="B26" s="322"/>
      <c r="C26" s="323"/>
      <c r="D26" s="323"/>
      <c r="E26" s="323"/>
      <c r="F26" s="322"/>
      <c r="G26" s="323"/>
      <c r="H26" s="16"/>
      <c r="I26" s="9"/>
      <c r="J26" s="87"/>
      <c r="L26" s="5"/>
    </row>
    <row r="27" spans="1:12" ht="12.95" customHeight="1">
      <c r="A27" s="35"/>
      <c r="B27" s="322"/>
      <c r="C27" s="323"/>
      <c r="D27" s="323"/>
      <c r="E27" s="323"/>
      <c r="F27" s="322"/>
      <c r="G27" s="323"/>
      <c r="H27" s="9"/>
      <c r="I27" s="9"/>
      <c r="J27" s="87"/>
    </row>
    <row r="28" spans="1:12" ht="12.95" customHeight="1">
      <c r="A28" s="35"/>
      <c r="B28" s="322"/>
      <c r="C28" s="323"/>
      <c r="D28" s="323"/>
      <c r="E28" s="323"/>
      <c r="F28" s="322"/>
      <c r="G28" s="323"/>
      <c r="H28" s="9"/>
      <c r="I28" s="9"/>
      <c r="J28" s="87"/>
    </row>
    <row r="29" spans="1:12" ht="12.95" customHeight="1">
      <c r="A29" s="35"/>
      <c r="B29" s="322"/>
      <c r="C29" s="323"/>
      <c r="D29" s="323"/>
      <c r="E29" s="323"/>
      <c r="F29" s="322"/>
      <c r="G29" s="323"/>
      <c r="H29" s="9"/>
      <c r="I29" s="9"/>
      <c r="J29" s="87"/>
    </row>
    <row r="30" spans="1:12" ht="12.95" customHeight="1">
      <c r="A30" s="35"/>
      <c r="B30" s="322"/>
      <c r="C30" s="323"/>
      <c r="D30" s="323"/>
      <c r="E30" s="323"/>
      <c r="F30" s="322"/>
      <c r="G30" s="323"/>
      <c r="H30" s="9"/>
      <c r="I30" s="9"/>
      <c r="J30" s="87"/>
    </row>
    <row r="31" spans="1:12" ht="12.95" customHeight="1">
      <c r="A31" s="35"/>
      <c r="B31" s="322"/>
      <c r="C31" s="323"/>
      <c r="D31" s="323"/>
      <c r="E31" s="323"/>
      <c r="F31" s="322"/>
      <c r="G31" s="323"/>
      <c r="H31" s="9"/>
      <c r="I31" s="9"/>
      <c r="J31" s="87"/>
    </row>
    <row r="32" spans="1:12" ht="12.95" customHeight="1">
      <c r="A32" s="35"/>
      <c r="B32" s="322"/>
      <c r="C32" s="323"/>
      <c r="D32" s="323"/>
      <c r="E32" s="323"/>
      <c r="F32" s="322"/>
      <c r="G32" s="323"/>
      <c r="H32" s="9"/>
      <c r="I32" s="9"/>
      <c r="J32" s="87"/>
    </row>
    <row r="33" spans="1:10" ht="12.95" customHeight="1">
      <c r="A33" s="35"/>
      <c r="B33" s="322"/>
      <c r="C33" s="323"/>
      <c r="D33" s="323"/>
      <c r="E33" s="323"/>
      <c r="F33" s="322"/>
      <c r="G33" s="323"/>
      <c r="H33" s="9"/>
      <c r="I33" s="9"/>
      <c r="J33" s="87"/>
    </row>
    <row r="34" spans="1:10" ht="12.95" customHeight="1">
      <c r="A34" s="35"/>
      <c r="B34" s="322"/>
      <c r="C34" s="323"/>
      <c r="D34" s="323"/>
      <c r="E34" s="323"/>
      <c r="F34" s="322"/>
      <c r="G34" s="323"/>
      <c r="H34" s="9"/>
      <c r="I34" s="9"/>
      <c r="J34" s="87"/>
    </row>
    <row r="35" spans="1:10" ht="12.95" customHeight="1">
      <c r="A35" s="35"/>
      <c r="B35" s="322"/>
      <c r="C35" s="323"/>
      <c r="D35" s="323"/>
      <c r="E35" s="323"/>
      <c r="F35" s="322"/>
      <c r="G35" s="323"/>
      <c r="H35" s="9"/>
      <c r="I35" s="9"/>
      <c r="J35" s="87"/>
    </row>
    <row r="36" spans="1:10" ht="12.95" customHeight="1">
      <c r="A36" s="35"/>
      <c r="B36" s="322"/>
      <c r="C36" s="323"/>
      <c r="D36" s="323"/>
      <c r="E36" s="323"/>
      <c r="F36" s="322"/>
      <c r="G36" s="323"/>
      <c r="H36" s="9"/>
      <c r="I36" s="9"/>
      <c r="J36" s="87"/>
    </row>
    <row r="37" spans="1:10" ht="12.95" customHeight="1">
      <c r="A37" s="35"/>
      <c r="B37" s="322"/>
      <c r="C37" s="323"/>
      <c r="D37" s="323"/>
      <c r="E37" s="323"/>
      <c r="F37" s="322"/>
      <c r="G37" s="323"/>
      <c r="H37" s="9"/>
      <c r="I37" s="9"/>
      <c r="J37" s="87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308" t="s">
        <v>37</v>
      </c>
      <c r="B39" s="308"/>
      <c r="C39" s="308"/>
      <c r="D39" s="308"/>
      <c r="E39" s="308"/>
      <c r="F39" s="309" t="s">
        <v>38</v>
      </c>
      <c r="G39" s="312"/>
      <c r="H39" s="313"/>
      <c r="I39" s="313"/>
      <c r="J39" s="314"/>
    </row>
    <row r="40" spans="1:10" ht="12.95" customHeight="1">
      <c r="A40" s="308" t="s">
        <v>39</v>
      </c>
      <c r="B40" s="308"/>
      <c r="C40" s="308"/>
      <c r="D40" s="308"/>
      <c r="E40" s="308"/>
      <c r="F40" s="310"/>
      <c r="G40" s="315"/>
      <c r="H40" s="316"/>
      <c r="I40" s="316"/>
      <c r="J40" s="317"/>
    </row>
    <row r="41" spans="1:10" ht="12.95" customHeight="1">
      <c r="A41" s="308" t="s">
        <v>40</v>
      </c>
      <c r="B41" s="308"/>
      <c r="C41" s="308"/>
      <c r="D41" s="308"/>
      <c r="E41" s="308"/>
      <c r="F41" s="310"/>
      <c r="G41" s="315"/>
      <c r="H41" s="316"/>
      <c r="I41" s="316"/>
      <c r="J41" s="317"/>
    </row>
    <row r="42" spans="1:10" ht="12.95" customHeight="1">
      <c r="A42" s="308" t="s">
        <v>41</v>
      </c>
      <c r="B42" s="308"/>
      <c r="C42" s="321" t="s">
        <v>42</v>
      </c>
      <c r="D42" s="321"/>
      <c r="E42" s="321"/>
      <c r="F42" s="311"/>
      <c r="G42" s="318"/>
      <c r="H42" s="319"/>
      <c r="I42" s="319"/>
      <c r="J42" s="320"/>
    </row>
    <row r="43" spans="1:10" ht="12.95" customHeight="1">
      <c r="A43" s="307" t="s">
        <v>52</v>
      </c>
      <c r="B43" s="307"/>
      <c r="C43" s="307" t="e">
        <f ca="1">Calcu!U3</f>
        <v>#N/A</v>
      </c>
      <c r="D43" s="307"/>
      <c r="E43" s="307"/>
    </row>
    <row r="46" spans="1:10" ht="12.95" customHeight="1">
      <c r="B46" s="1" t="s">
        <v>185</v>
      </c>
    </row>
    <row r="47" spans="1:10" ht="12.95" customHeight="1">
      <c r="B47" s="1" t="s">
        <v>186</v>
      </c>
    </row>
    <row r="48" spans="1:10" ht="12.95" customHeight="1">
      <c r="A48" s="1">
        <f>Calcu!O91</f>
        <v>34300</v>
      </c>
      <c r="B48" s="1" t="s">
        <v>193</v>
      </c>
    </row>
    <row r="49" spans="1:2" ht="12.95" customHeight="1">
      <c r="A49" s="111"/>
    </row>
    <row r="50" spans="1:2" ht="12.95" customHeight="1">
      <c r="A50" s="1" t="str">
        <f>Calcu!V3</f>
        <v>PASS</v>
      </c>
      <c r="B50" s="1" t="s">
        <v>194</v>
      </c>
    </row>
    <row r="52" spans="1:2" ht="12.95" customHeight="1">
      <c r="B52" s="1" t="s">
        <v>594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6" bestFit="1" customWidth="1"/>
    <col min="2" max="2" width="6.6640625" style="96" bestFit="1" customWidth="1"/>
    <col min="3" max="3" width="8.88671875" style="96"/>
    <col min="4" max="4" width="6.6640625" style="96" bestFit="1" customWidth="1"/>
    <col min="5" max="13" width="1.77734375" style="96" customWidth="1"/>
    <col min="14" max="15" width="6" style="96" bestFit="1" customWidth="1"/>
    <col min="16" max="16" width="7.5546875" style="96" bestFit="1" customWidth="1"/>
    <col min="17" max="17" width="4" style="96" bestFit="1" customWidth="1"/>
    <col min="18" max="18" width="5.33203125" style="96" bestFit="1" customWidth="1"/>
    <col min="19" max="19" width="4" style="96" bestFit="1" customWidth="1"/>
    <col min="20" max="21" width="6.5546875" style="96" bestFit="1" customWidth="1"/>
    <col min="22" max="22" width="8.44140625" style="96" bestFit="1" customWidth="1"/>
    <col min="23" max="23" width="6.6640625" style="96" bestFit="1" customWidth="1"/>
    <col min="24" max="24" width="5.33203125" style="96" bestFit="1" customWidth="1"/>
    <col min="25" max="34" width="1.77734375" style="96" customWidth="1"/>
    <col min="35" max="35" width="7.5546875" style="96" bestFit="1" customWidth="1"/>
    <col min="36" max="16384" width="8.88671875" style="96"/>
  </cols>
  <sheetData>
    <row r="1" spans="1:36">
      <c r="A1" s="117" t="s">
        <v>107</v>
      </c>
      <c r="B1" s="117" t="s">
        <v>65</v>
      </c>
      <c r="C1" s="117" t="s">
        <v>66</v>
      </c>
      <c r="D1" s="117" t="s">
        <v>108</v>
      </c>
      <c r="E1" s="117"/>
      <c r="F1" s="117"/>
      <c r="G1" s="117"/>
      <c r="H1" s="117"/>
      <c r="I1" s="117"/>
      <c r="J1" s="117"/>
      <c r="K1" s="117"/>
      <c r="L1" s="117"/>
      <c r="M1" s="117"/>
      <c r="N1" s="117" t="s">
        <v>109</v>
      </c>
      <c r="O1" s="117" t="s">
        <v>110</v>
      </c>
      <c r="P1" s="117" t="s">
        <v>67</v>
      </c>
      <c r="Q1" s="117" t="s">
        <v>111</v>
      </c>
      <c r="R1" s="117" t="s">
        <v>69</v>
      </c>
      <c r="S1" s="117" t="s">
        <v>68</v>
      </c>
      <c r="T1" s="117" t="s">
        <v>70</v>
      </c>
      <c r="U1" s="117" t="s">
        <v>112</v>
      </c>
      <c r="V1" s="117" t="s">
        <v>71</v>
      </c>
      <c r="W1" s="117" t="s">
        <v>72</v>
      </c>
      <c r="X1" s="117" t="s">
        <v>113</v>
      </c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 t="s">
        <v>114</v>
      </c>
      <c r="AJ1" s="168" t="s">
        <v>184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92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22" s="12" customFormat="1" ht="33" customHeight="1">
      <c r="A1" s="15" t="s">
        <v>101</v>
      </c>
    </row>
    <row r="2" spans="1:22" s="12" customFormat="1" ht="17.100000000000001" customHeight="1">
      <c r="A2" s="17" t="s">
        <v>43</v>
      </c>
      <c r="C2" s="17"/>
      <c r="H2" s="97" t="s">
        <v>62</v>
      </c>
      <c r="K2" s="97" t="s">
        <v>74</v>
      </c>
      <c r="O2" s="17" t="s">
        <v>44</v>
      </c>
      <c r="R2" s="17" t="s">
        <v>45</v>
      </c>
    </row>
    <row r="3" spans="1:22" s="12" customFormat="1" ht="13.5">
      <c r="A3" s="14" t="s">
        <v>205</v>
      </c>
      <c r="B3" s="14" t="s">
        <v>60</v>
      </c>
      <c r="C3" s="14" t="s">
        <v>102</v>
      </c>
      <c r="D3" s="14" t="s">
        <v>60</v>
      </c>
      <c r="E3" s="14" t="s">
        <v>206</v>
      </c>
      <c r="F3" s="14" t="s">
        <v>207</v>
      </c>
      <c r="G3" s="14" t="s">
        <v>208</v>
      </c>
      <c r="H3" s="14" t="s">
        <v>55</v>
      </c>
      <c r="I3" s="14" t="s">
        <v>56</v>
      </c>
      <c r="J3" s="14" t="s">
        <v>51</v>
      </c>
      <c r="K3" s="13" t="s">
        <v>46</v>
      </c>
      <c r="L3" s="14" t="s">
        <v>61</v>
      </c>
      <c r="M3" s="14" t="s">
        <v>75</v>
      </c>
      <c r="N3" s="14" t="s">
        <v>47</v>
      </c>
      <c r="O3" s="14" t="s">
        <v>48</v>
      </c>
      <c r="P3" s="41" t="s">
        <v>49</v>
      </c>
      <c r="Q3" s="41" t="s">
        <v>50</v>
      </c>
      <c r="R3" s="41" t="s">
        <v>63</v>
      </c>
      <c r="S3" s="41" t="s">
        <v>64</v>
      </c>
      <c r="T3" s="113" t="s">
        <v>103</v>
      </c>
      <c r="U3" s="113" t="s">
        <v>104</v>
      </c>
      <c r="V3" s="41" t="s">
        <v>105</v>
      </c>
    </row>
    <row r="4" spans="1:22" s="12" customFormat="1" ht="17.100000000000001" customHeight="1">
      <c r="A4" s="112"/>
      <c r="B4" s="112"/>
      <c r="C4" s="112"/>
      <c r="D4" s="23"/>
      <c r="E4" s="189"/>
      <c r="F4" s="189"/>
      <c r="G4" s="189"/>
      <c r="H4" s="23"/>
      <c r="I4" s="55"/>
      <c r="J4" s="42"/>
      <c r="K4" s="23"/>
      <c r="L4" s="23"/>
      <c r="M4" s="98"/>
      <c r="N4" s="42"/>
      <c r="O4" s="23"/>
      <c r="P4" s="23"/>
      <c r="Q4" s="23"/>
      <c r="R4" s="23"/>
      <c r="S4" s="23"/>
      <c r="T4" s="114"/>
      <c r="U4" s="114"/>
      <c r="V4" s="23"/>
    </row>
    <row r="5" spans="1:22" s="12" customFormat="1" ht="17.100000000000001" customHeight="1">
      <c r="A5" s="112"/>
      <c r="B5" s="112"/>
      <c r="C5" s="112"/>
      <c r="D5" s="23"/>
      <c r="E5" s="189"/>
      <c r="F5" s="189"/>
      <c r="G5" s="189"/>
      <c r="H5" s="23"/>
      <c r="I5" s="55"/>
      <c r="J5" s="42"/>
      <c r="K5" s="23"/>
      <c r="L5" s="23"/>
      <c r="M5" s="98"/>
      <c r="N5" s="42"/>
      <c r="O5" s="23"/>
      <c r="P5" s="24"/>
      <c r="Q5" s="24"/>
      <c r="R5" s="24"/>
      <c r="S5" s="24"/>
      <c r="T5" s="115"/>
      <c r="U5" s="115"/>
      <c r="V5" s="24"/>
    </row>
    <row r="6" spans="1:22" s="12" customFormat="1" ht="17.100000000000001" customHeight="1">
      <c r="A6" s="112"/>
      <c r="B6" s="112"/>
      <c r="C6" s="112"/>
      <c r="D6" s="23"/>
      <c r="E6" s="189"/>
      <c r="F6" s="189"/>
      <c r="G6" s="189"/>
      <c r="H6" s="23"/>
      <c r="I6" s="55"/>
      <c r="J6" s="42"/>
      <c r="K6" s="23"/>
      <c r="L6" s="23"/>
      <c r="M6" s="98"/>
      <c r="N6" s="42"/>
      <c r="O6" s="23"/>
      <c r="P6" s="24"/>
      <c r="Q6" s="24"/>
      <c r="R6" s="24"/>
      <c r="S6" s="24"/>
      <c r="T6" s="115"/>
      <c r="U6" s="115"/>
      <c r="V6" s="24"/>
    </row>
    <row r="7" spans="1:22" s="12" customFormat="1" ht="17.100000000000001" customHeight="1">
      <c r="A7" s="112"/>
      <c r="B7" s="112"/>
      <c r="C7" s="112"/>
      <c r="D7" s="23"/>
      <c r="E7" s="189"/>
      <c r="F7" s="189"/>
      <c r="G7" s="189"/>
      <c r="H7" s="23"/>
      <c r="I7" s="55"/>
      <c r="J7" s="42"/>
      <c r="K7" s="23"/>
      <c r="L7" s="23"/>
      <c r="M7" s="98"/>
      <c r="N7" s="42"/>
      <c r="O7" s="23"/>
      <c r="P7" s="24"/>
      <c r="Q7" s="24"/>
      <c r="R7" s="24"/>
      <c r="S7" s="24"/>
      <c r="T7" s="115"/>
      <c r="U7" s="115"/>
      <c r="V7" s="24"/>
    </row>
    <row r="8" spans="1:22" s="12" customFormat="1" ht="17.100000000000001" customHeight="1">
      <c r="A8" s="112"/>
      <c r="B8" s="112"/>
      <c r="C8" s="112"/>
      <c r="D8" s="23"/>
      <c r="E8" s="189"/>
      <c r="F8" s="189"/>
      <c r="G8" s="189"/>
      <c r="H8" s="23"/>
      <c r="I8" s="55"/>
      <c r="J8" s="42"/>
      <c r="K8" s="23"/>
      <c r="L8" s="23"/>
      <c r="M8" s="98"/>
      <c r="N8" s="42"/>
      <c r="O8" s="23"/>
      <c r="P8" s="24"/>
      <c r="Q8" s="24"/>
      <c r="R8" s="24"/>
      <c r="S8" s="24"/>
      <c r="T8" s="115"/>
      <c r="U8" s="115"/>
      <c r="V8" s="24"/>
    </row>
    <row r="9" spans="1:22" s="12" customFormat="1" ht="17.100000000000001" customHeight="1">
      <c r="A9" s="112"/>
      <c r="B9" s="112"/>
      <c r="C9" s="112"/>
      <c r="D9" s="23"/>
      <c r="E9" s="189"/>
      <c r="F9" s="189"/>
      <c r="G9" s="189"/>
      <c r="H9" s="23"/>
      <c r="I9" s="55"/>
      <c r="J9" s="42"/>
      <c r="K9" s="23"/>
      <c r="L9" s="23"/>
      <c r="M9" s="98"/>
      <c r="N9" s="42"/>
      <c r="O9" s="23"/>
      <c r="P9" s="24"/>
      <c r="Q9" s="24"/>
      <c r="R9" s="24"/>
      <c r="S9" s="24"/>
      <c r="T9" s="115"/>
      <c r="U9" s="115"/>
      <c r="V9" s="24"/>
    </row>
    <row r="10" spans="1:22" s="12" customFormat="1" ht="17.100000000000001" customHeight="1">
      <c r="A10" s="112"/>
      <c r="B10" s="112"/>
      <c r="C10" s="112"/>
      <c r="D10" s="23"/>
      <c r="E10" s="189"/>
      <c r="F10" s="189"/>
      <c r="G10" s="189"/>
      <c r="H10" s="23"/>
      <c r="I10" s="55"/>
      <c r="J10" s="42"/>
      <c r="K10" s="23"/>
      <c r="L10" s="23"/>
      <c r="M10" s="98"/>
      <c r="N10" s="42"/>
      <c r="O10" s="23"/>
      <c r="P10" s="24"/>
      <c r="Q10" s="24"/>
      <c r="R10" s="24"/>
      <c r="S10" s="24"/>
      <c r="T10" s="115"/>
      <c r="U10" s="115"/>
      <c r="V10" s="24"/>
    </row>
    <row r="11" spans="1:22" s="12" customFormat="1" ht="17.100000000000001" customHeight="1">
      <c r="A11" s="112"/>
      <c r="B11" s="112"/>
      <c r="C11" s="112"/>
      <c r="D11" s="23"/>
      <c r="E11" s="189"/>
      <c r="F11" s="189"/>
      <c r="G11" s="189"/>
      <c r="H11" s="23"/>
      <c r="I11" s="55"/>
      <c r="J11" s="42"/>
      <c r="K11" s="23"/>
      <c r="L11" s="23"/>
      <c r="M11" s="98"/>
      <c r="N11" s="42"/>
      <c r="O11" s="23"/>
      <c r="P11" s="24"/>
      <c r="Q11" s="24"/>
      <c r="R11" s="24"/>
      <c r="S11" s="24"/>
      <c r="T11" s="115"/>
      <c r="U11" s="115"/>
      <c r="V11" s="24"/>
    </row>
    <row r="12" spans="1:22" s="12" customFormat="1" ht="17.100000000000001" customHeight="1">
      <c r="A12" s="112"/>
      <c r="B12" s="112"/>
      <c r="C12" s="112"/>
      <c r="D12" s="23"/>
      <c r="E12" s="189"/>
      <c r="F12" s="189"/>
      <c r="G12" s="189"/>
      <c r="H12" s="23"/>
      <c r="I12" s="55"/>
      <c r="J12" s="42"/>
      <c r="K12" s="23"/>
      <c r="L12" s="23"/>
      <c r="M12" s="98"/>
      <c r="N12" s="42"/>
      <c r="O12" s="23"/>
      <c r="P12" s="24"/>
      <c r="Q12" s="24"/>
      <c r="R12" s="24"/>
      <c r="S12" s="24"/>
      <c r="T12" s="115"/>
      <c r="U12" s="115"/>
      <c r="V12" s="24"/>
    </row>
    <row r="13" spans="1:22" s="12" customFormat="1" ht="17.100000000000001" customHeight="1">
      <c r="A13" s="112"/>
      <c r="B13" s="112"/>
      <c r="C13" s="112"/>
      <c r="D13" s="23"/>
      <c r="E13" s="189"/>
      <c r="F13" s="189"/>
      <c r="G13" s="189"/>
      <c r="H13" s="23"/>
      <c r="I13" s="55"/>
      <c r="J13" s="42"/>
      <c r="K13" s="23"/>
      <c r="L13" s="23"/>
      <c r="M13" s="98"/>
      <c r="N13" s="42"/>
      <c r="O13" s="23"/>
      <c r="P13" s="24"/>
      <c r="Q13" s="24"/>
      <c r="R13" s="24"/>
      <c r="S13" s="24"/>
      <c r="T13" s="115"/>
      <c r="U13" s="115"/>
      <c r="V13" s="24"/>
    </row>
    <row r="14" spans="1:22" s="12" customFormat="1" ht="17.100000000000001" customHeight="1">
      <c r="A14" s="112"/>
      <c r="B14" s="112"/>
      <c r="C14" s="112"/>
      <c r="D14" s="23"/>
      <c r="E14" s="189"/>
      <c r="F14" s="189"/>
      <c r="G14" s="189"/>
      <c r="H14" s="23"/>
      <c r="I14" s="55"/>
      <c r="J14" s="42"/>
      <c r="K14" s="23"/>
      <c r="L14" s="23"/>
      <c r="M14" s="98"/>
      <c r="N14" s="42"/>
      <c r="O14" s="23"/>
      <c r="P14" s="24"/>
      <c r="Q14" s="24"/>
      <c r="R14" s="24"/>
      <c r="S14" s="24"/>
      <c r="T14" s="115"/>
      <c r="U14" s="115"/>
      <c r="V14" s="24"/>
    </row>
    <row r="15" spans="1:22" s="12" customFormat="1" ht="17.100000000000001" customHeight="1">
      <c r="A15" s="112"/>
      <c r="B15" s="112"/>
      <c r="C15" s="112"/>
      <c r="D15" s="23"/>
      <c r="E15" s="189"/>
      <c r="F15" s="189"/>
      <c r="G15" s="189"/>
      <c r="H15" s="23"/>
      <c r="I15" s="55"/>
      <c r="J15" s="42"/>
      <c r="K15" s="23"/>
      <c r="L15" s="23"/>
      <c r="M15" s="98"/>
      <c r="N15" s="42"/>
      <c r="O15" s="24"/>
      <c r="P15" s="24"/>
      <c r="Q15" s="24"/>
      <c r="R15" s="24"/>
      <c r="S15" s="24"/>
      <c r="T15" s="115"/>
      <c r="U15" s="115"/>
      <c r="V15" s="24"/>
    </row>
    <row r="16" spans="1:22" s="12" customFormat="1" ht="17.100000000000001" customHeight="1">
      <c r="A16" s="112"/>
      <c r="B16" s="112"/>
      <c r="C16" s="112"/>
      <c r="D16" s="23"/>
      <c r="E16" s="189"/>
      <c r="F16" s="189"/>
      <c r="G16" s="189"/>
      <c r="H16" s="23"/>
      <c r="I16" s="55"/>
      <c r="J16" s="42"/>
      <c r="K16" s="23"/>
      <c r="L16" s="23"/>
      <c r="M16" s="98"/>
      <c r="N16" s="42"/>
      <c r="O16" s="24"/>
      <c r="P16" s="24"/>
      <c r="Q16" s="24"/>
      <c r="R16" s="24"/>
      <c r="S16" s="24"/>
      <c r="T16" s="115"/>
      <c r="U16" s="115"/>
      <c r="V16" s="24"/>
    </row>
    <row r="17" spans="1:22" s="12" customFormat="1" ht="17.100000000000001" customHeight="1">
      <c r="A17" s="112"/>
      <c r="B17" s="112"/>
      <c r="C17" s="112"/>
      <c r="D17" s="23"/>
      <c r="E17" s="189"/>
      <c r="F17" s="189"/>
      <c r="G17" s="189"/>
      <c r="H17" s="23"/>
      <c r="I17" s="55"/>
      <c r="J17" s="42"/>
      <c r="K17" s="23"/>
      <c r="L17" s="23"/>
      <c r="M17" s="98"/>
      <c r="N17" s="42"/>
      <c r="O17" s="24"/>
      <c r="P17" s="24"/>
      <c r="Q17" s="24"/>
      <c r="R17" s="24"/>
      <c r="S17" s="24"/>
      <c r="T17" s="115"/>
      <c r="U17" s="115"/>
      <c r="V17" s="24"/>
    </row>
    <row r="18" spans="1:22" s="12" customFormat="1" ht="17.100000000000001" customHeight="1">
      <c r="A18" s="112"/>
      <c r="B18" s="112"/>
      <c r="C18" s="112"/>
      <c r="D18" s="23"/>
      <c r="E18" s="189"/>
      <c r="F18" s="189"/>
      <c r="G18" s="189"/>
      <c r="H18" s="23"/>
      <c r="I18" s="55"/>
      <c r="J18" s="42"/>
      <c r="K18" s="23"/>
      <c r="L18" s="23"/>
      <c r="M18" s="98"/>
      <c r="N18" s="42"/>
      <c r="O18" s="24"/>
      <c r="P18" s="24"/>
      <c r="Q18" s="24"/>
      <c r="R18" s="24"/>
      <c r="S18" s="24"/>
      <c r="T18" s="115"/>
      <c r="U18" s="115"/>
      <c r="V18" s="24"/>
    </row>
    <row r="19" spans="1:22" s="12" customFormat="1" ht="17.100000000000001" customHeight="1">
      <c r="A19" s="112"/>
      <c r="B19" s="112"/>
      <c r="C19" s="112"/>
      <c r="D19" s="114"/>
      <c r="E19" s="189"/>
      <c r="F19" s="189"/>
      <c r="G19" s="189"/>
      <c r="H19" s="114"/>
      <c r="I19" s="114"/>
      <c r="J19" s="114"/>
      <c r="K19" s="114"/>
      <c r="L19" s="114"/>
      <c r="M19" s="114"/>
      <c r="N19" s="114"/>
      <c r="O19" s="115"/>
      <c r="P19" s="115"/>
      <c r="Q19" s="115"/>
      <c r="R19" s="115"/>
      <c r="S19" s="115"/>
      <c r="T19" s="115"/>
      <c r="U19" s="115"/>
      <c r="V19" s="115"/>
    </row>
    <row r="20" spans="1:22" s="12" customFormat="1" ht="17.100000000000001" customHeight="1">
      <c r="A20" s="112"/>
      <c r="B20" s="112"/>
      <c r="C20" s="112"/>
      <c r="D20" s="114"/>
      <c r="E20" s="189"/>
      <c r="F20" s="189"/>
      <c r="G20" s="189"/>
      <c r="H20" s="114"/>
      <c r="I20" s="114"/>
      <c r="J20" s="114"/>
      <c r="K20" s="114"/>
      <c r="L20" s="114"/>
      <c r="M20" s="114"/>
      <c r="N20" s="114"/>
      <c r="O20" s="115"/>
      <c r="P20" s="115"/>
      <c r="Q20" s="115"/>
      <c r="R20" s="115"/>
      <c r="S20" s="115"/>
      <c r="T20" s="115"/>
      <c r="U20" s="115"/>
      <c r="V20" s="115"/>
    </row>
    <row r="21" spans="1:22" s="12" customFormat="1" ht="17.100000000000001" customHeight="1">
      <c r="A21" s="112"/>
      <c r="B21" s="112"/>
      <c r="C21" s="112"/>
      <c r="D21" s="114"/>
      <c r="E21" s="189"/>
      <c r="F21" s="189"/>
      <c r="G21" s="189"/>
      <c r="H21" s="114"/>
      <c r="I21" s="114"/>
      <c r="J21" s="114"/>
      <c r="K21" s="114"/>
      <c r="L21" s="114"/>
      <c r="M21" s="114"/>
      <c r="N21" s="114"/>
      <c r="O21" s="115"/>
      <c r="P21" s="115"/>
      <c r="Q21" s="115"/>
      <c r="R21" s="115"/>
      <c r="S21" s="115"/>
      <c r="T21" s="115"/>
      <c r="U21" s="115"/>
      <c r="V21" s="115"/>
    </row>
    <row r="22" spans="1:22" s="12" customFormat="1" ht="17.100000000000001" customHeight="1">
      <c r="A22" s="112"/>
      <c r="B22" s="112"/>
      <c r="C22" s="112"/>
      <c r="D22" s="114"/>
      <c r="E22" s="189"/>
      <c r="F22" s="189"/>
      <c r="G22" s="189"/>
      <c r="H22" s="114"/>
      <c r="I22" s="114"/>
      <c r="J22" s="114"/>
      <c r="K22" s="114"/>
      <c r="L22" s="114"/>
      <c r="M22" s="114"/>
      <c r="N22" s="114"/>
      <c r="O22" s="115"/>
      <c r="P22" s="115"/>
      <c r="Q22" s="115"/>
      <c r="R22" s="115"/>
      <c r="S22" s="115"/>
      <c r="T22" s="115"/>
      <c r="U22" s="115"/>
      <c r="V22" s="115"/>
    </row>
    <row r="23" spans="1:22" s="12" customFormat="1" ht="17.100000000000001" customHeight="1">
      <c r="A23" s="112"/>
      <c r="B23" s="112"/>
      <c r="C23" s="112"/>
      <c r="D23" s="114"/>
      <c r="E23" s="189"/>
      <c r="F23" s="189"/>
      <c r="G23" s="189"/>
      <c r="H23" s="114"/>
      <c r="I23" s="114"/>
      <c r="J23" s="114"/>
      <c r="K23" s="114"/>
      <c r="L23" s="114"/>
      <c r="M23" s="114"/>
      <c r="N23" s="114"/>
      <c r="O23" s="115"/>
      <c r="P23" s="115"/>
      <c r="Q23" s="115"/>
      <c r="R23" s="115"/>
      <c r="S23" s="115"/>
      <c r="T23" s="115"/>
      <c r="U23" s="115"/>
      <c r="V23" s="115"/>
    </row>
    <row r="24" spans="1:22" s="12" customFormat="1" ht="17.100000000000001" customHeight="1">
      <c r="A24" s="112"/>
      <c r="B24" s="112"/>
      <c r="C24" s="112"/>
      <c r="D24" s="114"/>
      <c r="E24" s="189"/>
      <c r="F24" s="189"/>
      <c r="G24" s="189"/>
      <c r="H24" s="114"/>
      <c r="I24" s="114"/>
      <c r="J24" s="114"/>
      <c r="K24" s="114"/>
      <c r="L24" s="114"/>
      <c r="M24" s="114"/>
      <c r="N24" s="114"/>
      <c r="O24" s="115"/>
      <c r="P24" s="115"/>
      <c r="Q24" s="115"/>
      <c r="R24" s="115"/>
      <c r="S24" s="115"/>
      <c r="T24" s="115"/>
      <c r="U24" s="115"/>
      <c r="V24" s="115"/>
    </row>
    <row r="25" spans="1:22" s="12" customFormat="1" ht="17.100000000000001" customHeight="1">
      <c r="A25" s="112"/>
      <c r="B25" s="112"/>
      <c r="C25" s="112"/>
      <c r="D25" s="114"/>
      <c r="E25" s="189"/>
      <c r="F25" s="189"/>
      <c r="G25" s="189"/>
      <c r="H25" s="114"/>
      <c r="I25" s="114"/>
      <c r="J25" s="114"/>
      <c r="K25" s="114"/>
      <c r="L25" s="114"/>
      <c r="M25" s="114"/>
      <c r="N25" s="114"/>
      <c r="O25" s="115"/>
      <c r="P25" s="115"/>
      <c r="Q25" s="115"/>
      <c r="R25" s="115"/>
      <c r="S25" s="115"/>
      <c r="T25" s="115"/>
      <c r="U25" s="115"/>
      <c r="V25" s="115"/>
    </row>
    <row r="26" spans="1:22" s="12" customFormat="1" ht="17.100000000000001" customHeight="1">
      <c r="A26" s="112"/>
      <c r="B26" s="112"/>
      <c r="C26" s="112"/>
      <c r="D26" s="114"/>
      <c r="E26" s="189"/>
      <c r="F26" s="189"/>
      <c r="G26" s="189"/>
      <c r="H26" s="114"/>
      <c r="I26" s="114"/>
      <c r="J26" s="114"/>
      <c r="K26" s="114"/>
      <c r="L26" s="114"/>
      <c r="M26" s="114"/>
      <c r="N26" s="114"/>
      <c r="O26" s="115"/>
      <c r="P26" s="115"/>
      <c r="Q26" s="115"/>
      <c r="R26" s="115"/>
      <c r="S26" s="115"/>
      <c r="T26" s="115"/>
      <c r="U26" s="115"/>
      <c r="V26" s="115"/>
    </row>
    <row r="27" spans="1:22" s="12" customFormat="1" ht="17.100000000000001" customHeight="1">
      <c r="A27" s="112"/>
      <c r="B27" s="112"/>
      <c r="C27" s="112"/>
      <c r="D27" s="114"/>
      <c r="E27" s="189"/>
      <c r="F27" s="189"/>
      <c r="G27" s="189"/>
      <c r="H27" s="114"/>
      <c r="I27" s="114"/>
      <c r="J27" s="114"/>
      <c r="K27" s="114"/>
      <c r="L27" s="114"/>
      <c r="M27" s="114"/>
      <c r="N27" s="114"/>
      <c r="O27" s="115"/>
      <c r="P27" s="115"/>
      <c r="Q27" s="115"/>
      <c r="R27" s="115"/>
      <c r="S27" s="115"/>
      <c r="T27" s="115"/>
      <c r="U27" s="115"/>
      <c r="V27" s="115"/>
    </row>
    <row r="28" spans="1:22" s="12" customFormat="1" ht="17.100000000000001" customHeight="1">
      <c r="A28" s="112"/>
      <c r="B28" s="112"/>
      <c r="C28" s="112"/>
      <c r="D28" s="114"/>
      <c r="E28" s="189"/>
      <c r="F28" s="189"/>
      <c r="G28" s="189"/>
      <c r="H28" s="114"/>
      <c r="I28" s="114"/>
      <c r="J28" s="114"/>
      <c r="K28" s="114"/>
      <c r="L28" s="114"/>
      <c r="M28" s="114"/>
      <c r="N28" s="114"/>
      <c r="O28" s="115"/>
      <c r="P28" s="115"/>
      <c r="Q28" s="115"/>
      <c r="R28" s="115"/>
      <c r="S28" s="115"/>
      <c r="T28" s="115"/>
      <c r="U28" s="115"/>
      <c r="V28" s="115"/>
    </row>
    <row r="29" spans="1:22" s="12" customFormat="1" ht="17.100000000000001" customHeight="1">
      <c r="A29" s="112"/>
      <c r="B29" s="112"/>
      <c r="C29" s="112"/>
      <c r="D29" s="114"/>
      <c r="E29" s="189"/>
      <c r="F29" s="189"/>
      <c r="G29" s="189"/>
      <c r="H29" s="114"/>
      <c r="I29" s="114"/>
      <c r="J29" s="114"/>
      <c r="K29" s="114"/>
      <c r="L29" s="114"/>
      <c r="M29" s="114"/>
      <c r="N29" s="114"/>
      <c r="O29" s="115"/>
      <c r="P29" s="115"/>
      <c r="Q29" s="115"/>
      <c r="R29" s="115"/>
      <c r="S29" s="115"/>
      <c r="T29" s="115"/>
      <c r="U29" s="115"/>
      <c r="V29" s="115"/>
    </row>
    <row r="30" spans="1:22" s="12" customFormat="1" ht="17.100000000000001" customHeight="1">
      <c r="A30" s="112"/>
      <c r="B30" s="112"/>
      <c r="C30" s="112"/>
      <c r="D30" s="114"/>
      <c r="E30" s="189"/>
      <c r="F30" s="189"/>
      <c r="G30" s="189"/>
      <c r="H30" s="114"/>
      <c r="I30" s="114"/>
      <c r="J30" s="114"/>
      <c r="K30" s="114"/>
      <c r="L30" s="114"/>
      <c r="M30" s="114"/>
      <c r="N30" s="114"/>
      <c r="O30" s="115"/>
      <c r="P30" s="115"/>
      <c r="Q30" s="115"/>
      <c r="R30" s="115"/>
      <c r="S30" s="115"/>
      <c r="T30" s="115"/>
      <c r="U30" s="115"/>
      <c r="V30" s="115"/>
    </row>
    <row r="31" spans="1:22" s="12" customFormat="1" ht="17.100000000000001" customHeight="1">
      <c r="A31" s="112"/>
      <c r="B31" s="112"/>
      <c r="C31" s="112"/>
      <c r="D31" s="114"/>
      <c r="E31" s="189"/>
      <c r="F31" s="189"/>
      <c r="G31" s="189"/>
      <c r="H31" s="114"/>
      <c r="I31" s="114"/>
      <c r="J31" s="114"/>
      <c r="K31" s="114"/>
      <c r="L31" s="114"/>
      <c r="M31" s="114"/>
      <c r="N31" s="114"/>
      <c r="O31" s="115"/>
      <c r="P31" s="115"/>
      <c r="Q31" s="115"/>
      <c r="R31" s="115"/>
      <c r="S31" s="115"/>
      <c r="T31" s="115"/>
      <c r="U31" s="115"/>
      <c r="V31" s="115"/>
    </row>
    <row r="32" spans="1:22" s="12" customFormat="1" ht="17.100000000000001" customHeight="1">
      <c r="A32" s="112"/>
      <c r="B32" s="112"/>
      <c r="C32" s="112"/>
      <c r="D32" s="114"/>
      <c r="E32" s="189"/>
      <c r="F32" s="189"/>
      <c r="G32" s="189"/>
      <c r="H32" s="114"/>
      <c r="I32" s="114"/>
      <c r="J32" s="114"/>
      <c r="K32" s="114"/>
      <c r="L32" s="114"/>
      <c r="M32" s="114"/>
      <c r="N32" s="114"/>
      <c r="O32" s="115"/>
      <c r="P32" s="115"/>
      <c r="Q32" s="115"/>
      <c r="R32" s="115"/>
      <c r="S32" s="115"/>
      <c r="T32" s="115"/>
      <c r="U32" s="115"/>
      <c r="V32" s="115"/>
    </row>
    <row r="33" spans="1:22" s="12" customFormat="1" ht="17.100000000000001" customHeight="1">
      <c r="A33" s="112"/>
      <c r="B33" s="112"/>
      <c r="C33" s="112"/>
      <c r="D33" s="114"/>
      <c r="E33" s="189"/>
      <c r="F33" s="189"/>
      <c r="G33" s="189"/>
      <c r="H33" s="114"/>
      <c r="I33" s="114"/>
      <c r="J33" s="114"/>
      <c r="K33" s="114"/>
      <c r="L33" s="114"/>
      <c r="M33" s="114"/>
      <c r="N33" s="114"/>
      <c r="O33" s="115"/>
      <c r="P33" s="115"/>
      <c r="Q33" s="115"/>
      <c r="R33" s="115"/>
      <c r="S33" s="115"/>
      <c r="T33" s="115"/>
      <c r="U33" s="115"/>
      <c r="V33" s="115"/>
    </row>
    <row r="34" spans="1:22" s="12" customFormat="1" ht="17.100000000000001" customHeight="1">
      <c r="A34" s="112"/>
      <c r="B34" s="112"/>
      <c r="C34" s="112"/>
      <c r="D34" s="114"/>
      <c r="E34" s="189"/>
      <c r="F34" s="189"/>
      <c r="G34" s="189"/>
      <c r="H34" s="114"/>
      <c r="I34" s="114"/>
      <c r="J34" s="114"/>
      <c r="K34" s="114"/>
      <c r="L34" s="114"/>
      <c r="M34" s="114"/>
      <c r="N34" s="114"/>
      <c r="O34" s="115"/>
      <c r="P34" s="115"/>
      <c r="Q34" s="115"/>
      <c r="R34" s="115"/>
      <c r="S34" s="115"/>
      <c r="T34" s="115"/>
      <c r="U34" s="115"/>
      <c r="V34" s="115"/>
    </row>
    <row r="35" spans="1:22" s="12" customFormat="1" ht="17.100000000000001" customHeight="1">
      <c r="A35" s="112"/>
      <c r="B35" s="112"/>
      <c r="C35" s="112"/>
      <c r="D35" s="114"/>
      <c r="E35" s="189"/>
      <c r="F35" s="189"/>
      <c r="G35" s="189"/>
      <c r="H35" s="114"/>
      <c r="I35" s="114"/>
      <c r="J35" s="114"/>
      <c r="K35" s="114"/>
      <c r="L35" s="114"/>
      <c r="M35" s="114"/>
      <c r="N35" s="114"/>
      <c r="O35" s="115"/>
      <c r="P35" s="115"/>
      <c r="Q35" s="115"/>
      <c r="R35" s="115"/>
      <c r="S35" s="115"/>
      <c r="T35" s="115"/>
      <c r="U35" s="115"/>
      <c r="V35" s="115"/>
    </row>
    <row r="36" spans="1:22" s="12" customFormat="1" ht="17.100000000000001" customHeight="1">
      <c r="A36" s="112"/>
      <c r="B36" s="112"/>
      <c r="C36" s="112"/>
      <c r="D36" s="114"/>
      <c r="E36" s="189"/>
      <c r="F36" s="189"/>
      <c r="G36" s="189"/>
      <c r="H36" s="114"/>
      <c r="I36" s="114"/>
      <c r="J36" s="114"/>
      <c r="K36" s="114"/>
      <c r="L36" s="114"/>
      <c r="M36" s="114"/>
      <c r="N36" s="114"/>
      <c r="O36" s="115"/>
      <c r="P36" s="115"/>
      <c r="Q36" s="115"/>
      <c r="R36" s="115"/>
      <c r="S36" s="115"/>
      <c r="T36" s="115"/>
      <c r="U36" s="115"/>
      <c r="V36" s="115"/>
    </row>
    <row r="37" spans="1:22" s="12" customFormat="1" ht="17.100000000000001" customHeight="1">
      <c r="A37" s="112"/>
      <c r="B37" s="112"/>
      <c r="C37" s="112"/>
      <c r="D37" s="114"/>
      <c r="E37" s="189"/>
      <c r="F37" s="189"/>
      <c r="G37" s="189"/>
      <c r="H37" s="114"/>
      <c r="I37" s="114"/>
      <c r="J37" s="114"/>
      <c r="K37" s="114"/>
      <c r="L37" s="114"/>
      <c r="M37" s="114"/>
      <c r="N37" s="114"/>
      <c r="O37" s="115"/>
      <c r="P37" s="115"/>
      <c r="Q37" s="115"/>
      <c r="R37" s="115"/>
      <c r="S37" s="115"/>
      <c r="T37" s="115"/>
      <c r="U37" s="115"/>
      <c r="V37" s="115"/>
    </row>
    <row r="38" spans="1:22" s="12" customFormat="1" ht="17.100000000000001" customHeight="1">
      <c r="A38" s="112"/>
      <c r="B38" s="112"/>
      <c r="C38" s="112"/>
      <c r="D38" s="114"/>
      <c r="E38" s="189"/>
      <c r="F38" s="189"/>
      <c r="G38" s="189"/>
      <c r="H38" s="114"/>
      <c r="I38" s="114"/>
      <c r="J38" s="114"/>
      <c r="K38" s="114"/>
      <c r="L38" s="114"/>
      <c r="M38" s="114"/>
      <c r="N38" s="114"/>
      <c r="O38" s="115"/>
      <c r="P38" s="115"/>
      <c r="Q38" s="115"/>
      <c r="R38" s="115"/>
      <c r="S38" s="115"/>
      <c r="T38" s="115"/>
      <c r="U38" s="115"/>
      <c r="V38" s="115"/>
    </row>
    <row r="39" spans="1:22" s="12" customFormat="1" ht="17.100000000000001" customHeight="1">
      <c r="A39" s="112"/>
      <c r="B39" s="112"/>
      <c r="C39" s="112"/>
      <c r="D39" s="114"/>
      <c r="E39" s="189"/>
      <c r="F39" s="189"/>
      <c r="G39" s="189"/>
      <c r="H39" s="114"/>
      <c r="I39" s="114"/>
      <c r="J39" s="114"/>
      <c r="K39" s="114"/>
      <c r="L39" s="114"/>
      <c r="M39" s="114"/>
      <c r="N39" s="114"/>
      <c r="O39" s="115"/>
      <c r="P39" s="115"/>
      <c r="Q39" s="115"/>
      <c r="R39" s="115"/>
      <c r="S39" s="115"/>
      <c r="T39" s="115"/>
      <c r="U39" s="115"/>
      <c r="V39" s="115"/>
    </row>
    <row r="40" spans="1:22" s="12" customFormat="1" ht="17.100000000000001" customHeight="1">
      <c r="A40" s="112"/>
      <c r="B40" s="112"/>
      <c r="C40" s="112"/>
      <c r="D40" s="114"/>
      <c r="E40" s="189"/>
      <c r="F40" s="189"/>
      <c r="G40" s="189"/>
      <c r="H40" s="114"/>
      <c r="I40" s="114"/>
      <c r="J40" s="114"/>
      <c r="K40" s="114"/>
      <c r="L40" s="114"/>
      <c r="M40" s="114"/>
      <c r="N40" s="114"/>
      <c r="O40" s="115"/>
      <c r="P40" s="115"/>
      <c r="Q40" s="115"/>
      <c r="R40" s="115"/>
      <c r="S40" s="115"/>
      <c r="T40" s="115"/>
      <c r="U40" s="115"/>
      <c r="V40" s="115"/>
    </row>
    <row r="41" spans="1:22" s="12" customFormat="1" ht="17.100000000000001" customHeight="1">
      <c r="A41" s="112"/>
      <c r="B41" s="112"/>
      <c r="C41" s="112"/>
      <c r="D41" s="114"/>
      <c r="E41" s="189"/>
      <c r="F41" s="189"/>
      <c r="G41" s="189"/>
      <c r="H41" s="114"/>
      <c r="I41" s="114"/>
      <c r="J41" s="114"/>
      <c r="K41" s="114"/>
      <c r="L41" s="114"/>
      <c r="M41" s="114"/>
      <c r="N41" s="114"/>
      <c r="O41" s="115"/>
      <c r="P41" s="115"/>
      <c r="Q41" s="115"/>
      <c r="R41" s="115"/>
      <c r="S41" s="115"/>
      <c r="T41" s="115"/>
      <c r="U41" s="115"/>
      <c r="V41" s="115"/>
    </row>
    <row r="42" spans="1:22" s="12" customFormat="1" ht="17.100000000000001" customHeight="1">
      <c r="A42" s="112"/>
      <c r="B42" s="112"/>
      <c r="C42" s="112"/>
      <c r="D42" s="114"/>
      <c r="E42" s="189"/>
      <c r="F42" s="189"/>
      <c r="G42" s="189"/>
      <c r="H42" s="114"/>
      <c r="I42" s="114"/>
      <c r="J42" s="114"/>
      <c r="K42" s="114"/>
      <c r="L42" s="114"/>
      <c r="M42" s="114"/>
      <c r="N42" s="114"/>
      <c r="O42" s="115"/>
      <c r="P42" s="115"/>
      <c r="Q42" s="115"/>
      <c r="R42" s="115"/>
      <c r="S42" s="115"/>
      <c r="T42" s="115"/>
      <c r="U42" s="115"/>
      <c r="V42" s="115"/>
    </row>
    <row r="43" spans="1:22" s="12" customFormat="1" ht="17.100000000000001" customHeight="1">
      <c r="A43" s="112"/>
      <c r="B43" s="112"/>
      <c r="C43" s="112"/>
      <c r="D43" s="114"/>
      <c r="E43" s="189"/>
      <c r="F43" s="189"/>
      <c r="G43" s="189"/>
      <c r="H43" s="114"/>
      <c r="I43" s="114"/>
      <c r="J43" s="114"/>
      <c r="K43" s="114"/>
      <c r="L43" s="114"/>
      <c r="M43" s="114"/>
      <c r="N43" s="114"/>
      <c r="O43" s="115"/>
      <c r="P43" s="115"/>
      <c r="Q43" s="115"/>
      <c r="R43" s="115"/>
      <c r="S43" s="115"/>
      <c r="T43" s="115"/>
      <c r="U43" s="115"/>
      <c r="V43" s="115"/>
    </row>
    <row r="44" spans="1:22" s="12" customFormat="1" ht="17.100000000000001" customHeight="1">
      <c r="A44" s="112"/>
      <c r="B44" s="112"/>
      <c r="C44" s="112"/>
      <c r="D44" s="23"/>
      <c r="E44" s="189"/>
      <c r="F44" s="189"/>
      <c r="G44" s="189"/>
      <c r="H44" s="23"/>
      <c r="I44" s="55"/>
      <c r="J44" s="42"/>
      <c r="K44" s="23"/>
      <c r="L44" s="23"/>
      <c r="M44" s="98"/>
      <c r="N44" s="42"/>
      <c r="O44" s="24"/>
      <c r="P44" s="24"/>
      <c r="Q44" s="24"/>
      <c r="R44" s="24"/>
      <c r="S44" s="24"/>
      <c r="T44" s="115"/>
      <c r="U44" s="115"/>
      <c r="V44" s="24"/>
    </row>
    <row r="45" spans="1:22" s="12" customFormat="1" ht="17.100000000000001" customHeight="1"/>
    <row r="46" spans="1:22" s="12" customFormat="1" ht="17.100000000000001" customHeight="1">
      <c r="A46" s="17" t="s">
        <v>106</v>
      </c>
    </row>
    <row r="47" spans="1:22" s="19" customFormat="1" ht="18" customHeight="1">
      <c r="A47" s="178" t="s">
        <v>188</v>
      </c>
      <c r="B47" s="178" t="s">
        <v>189</v>
      </c>
      <c r="C47" s="178" t="s">
        <v>190</v>
      </c>
      <c r="D47" s="178" t="s">
        <v>210</v>
      </c>
      <c r="E47" s="178" t="s">
        <v>211</v>
      </c>
      <c r="F47" s="178" t="s">
        <v>212</v>
      </c>
      <c r="G47" s="178" t="s">
        <v>213</v>
      </c>
      <c r="H47" s="178" t="s">
        <v>214</v>
      </c>
    </row>
    <row r="48" spans="1:22" ht="17.100000000000001" customHeight="1">
      <c r="A48" s="116"/>
      <c r="B48" s="116"/>
      <c r="C48" s="116"/>
      <c r="D48" s="116"/>
      <c r="E48" s="116"/>
      <c r="F48" s="116"/>
      <c r="G48" s="116"/>
      <c r="H48" s="116"/>
    </row>
    <row r="49" spans="1:8" ht="17.100000000000001" customHeight="1">
      <c r="A49" s="116"/>
      <c r="B49" s="116"/>
      <c r="C49" s="116"/>
      <c r="D49" s="116"/>
      <c r="E49" s="116"/>
      <c r="F49" s="116"/>
      <c r="G49" s="116"/>
      <c r="H49" s="116"/>
    </row>
    <row r="50" spans="1:8" ht="17.100000000000001" customHeight="1">
      <c r="A50" s="116"/>
      <c r="B50" s="116"/>
      <c r="C50" s="116"/>
      <c r="D50" s="116"/>
      <c r="E50" s="116"/>
      <c r="F50" s="116"/>
      <c r="G50" s="116"/>
      <c r="H50" s="116"/>
    </row>
    <row r="51" spans="1:8" ht="17.100000000000001" customHeight="1">
      <c r="A51" s="116"/>
      <c r="B51" s="116"/>
      <c r="C51" s="116"/>
      <c r="D51" s="116"/>
      <c r="E51" s="116"/>
      <c r="F51" s="116"/>
      <c r="G51" s="116"/>
      <c r="H51" s="116"/>
    </row>
    <row r="52" spans="1:8" ht="17.100000000000001" customHeight="1">
      <c r="A52" s="116"/>
      <c r="B52" s="116"/>
      <c r="C52" s="116"/>
      <c r="D52" s="116"/>
      <c r="E52" s="116"/>
      <c r="F52" s="116"/>
      <c r="G52" s="116"/>
      <c r="H52" s="116"/>
    </row>
    <row r="53" spans="1:8" ht="17.100000000000001" customHeight="1">
      <c r="A53" s="116"/>
      <c r="B53" s="116"/>
      <c r="C53" s="116"/>
      <c r="D53" s="116"/>
      <c r="E53" s="116"/>
      <c r="F53" s="116"/>
      <c r="G53" s="116"/>
      <c r="H53" s="116"/>
    </row>
    <row r="54" spans="1:8" ht="17.100000000000001" customHeight="1">
      <c r="A54" s="116"/>
      <c r="B54" s="116"/>
      <c r="C54" s="116"/>
      <c r="D54" s="116"/>
      <c r="E54" s="116"/>
      <c r="F54" s="116"/>
      <c r="G54" s="116"/>
      <c r="H54" s="116"/>
    </row>
    <row r="55" spans="1:8" ht="17.100000000000001" customHeight="1">
      <c r="A55" s="116"/>
      <c r="B55" s="116"/>
      <c r="C55" s="116"/>
      <c r="D55" s="116"/>
      <c r="E55" s="116"/>
      <c r="F55" s="116"/>
      <c r="G55" s="116"/>
      <c r="H55" s="116"/>
    </row>
    <row r="56" spans="1:8" ht="17.100000000000001" customHeight="1">
      <c r="A56" s="116"/>
      <c r="B56" s="116"/>
      <c r="C56" s="116"/>
      <c r="D56" s="116"/>
      <c r="E56" s="116"/>
      <c r="F56" s="116"/>
      <c r="G56" s="116"/>
      <c r="H56" s="116"/>
    </row>
    <row r="57" spans="1:8" ht="17.100000000000001" customHeight="1">
      <c r="A57" s="116"/>
      <c r="B57" s="116"/>
      <c r="C57" s="116"/>
      <c r="D57" s="116"/>
      <c r="E57" s="116"/>
      <c r="F57" s="116"/>
      <c r="G57" s="116"/>
      <c r="H57" s="116"/>
    </row>
    <row r="58" spans="1:8" ht="17.100000000000001" customHeight="1">
      <c r="A58" s="116"/>
      <c r="B58" s="116"/>
      <c r="C58" s="116"/>
      <c r="D58" s="116"/>
      <c r="E58" s="116"/>
      <c r="F58" s="116"/>
      <c r="G58" s="116"/>
      <c r="H58" s="116"/>
    </row>
    <row r="59" spans="1:8" ht="17.100000000000001" customHeight="1">
      <c r="A59" s="116"/>
      <c r="B59" s="116"/>
      <c r="C59" s="116"/>
      <c r="D59" s="116"/>
      <c r="E59" s="116"/>
      <c r="F59" s="116"/>
      <c r="G59" s="116"/>
      <c r="H59" s="116"/>
    </row>
    <row r="60" spans="1:8" ht="17.100000000000001" customHeight="1">
      <c r="A60" s="116"/>
      <c r="B60" s="116"/>
      <c r="C60" s="116"/>
      <c r="D60" s="116"/>
      <c r="E60" s="116"/>
      <c r="F60" s="116"/>
      <c r="G60" s="116"/>
      <c r="H60" s="116"/>
    </row>
    <row r="61" spans="1:8" ht="17.100000000000001" customHeight="1">
      <c r="A61" s="116"/>
      <c r="B61" s="116"/>
      <c r="C61" s="116"/>
      <c r="D61" s="116"/>
      <c r="E61" s="116"/>
      <c r="F61" s="116"/>
      <c r="G61" s="116"/>
      <c r="H61" s="116"/>
    </row>
    <row r="62" spans="1:8" ht="17.100000000000001" customHeight="1">
      <c r="A62" s="116"/>
      <c r="B62" s="116"/>
      <c r="C62" s="116"/>
      <c r="D62" s="116"/>
      <c r="E62" s="116"/>
      <c r="F62" s="116"/>
      <c r="G62" s="116"/>
      <c r="H62" s="116"/>
    </row>
    <row r="63" spans="1:8" ht="17.100000000000001" customHeight="1">
      <c r="A63" s="116"/>
      <c r="B63" s="116"/>
      <c r="C63" s="116"/>
      <c r="D63" s="116"/>
      <c r="E63" s="116"/>
      <c r="F63" s="116"/>
      <c r="G63" s="116"/>
      <c r="H63" s="116"/>
    </row>
    <row r="64" spans="1:8" ht="17.100000000000001" customHeight="1">
      <c r="A64" s="116"/>
      <c r="B64" s="116"/>
      <c r="C64" s="116"/>
      <c r="D64" s="116"/>
      <c r="E64" s="116"/>
      <c r="F64" s="116"/>
      <c r="G64" s="116"/>
      <c r="H64" s="116"/>
    </row>
    <row r="65" spans="1:8" ht="17.100000000000001" customHeight="1">
      <c r="A65" s="116"/>
      <c r="B65" s="116"/>
      <c r="C65" s="116"/>
      <c r="D65" s="116"/>
      <c r="E65" s="116"/>
      <c r="F65" s="116"/>
      <c r="G65" s="116"/>
      <c r="H65" s="116"/>
    </row>
    <row r="66" spans="1:8" ht="17.100000000000001" customHeight="1">
      <c r="A66" s="116"/>
      <c r="B66" s="116"/>
      <c r="C66" s="116"/>
      <c r="D66" s="116"/>
      <c r="E66" s="116"/>
      <c r="F66" s="116"/>
      <c r="G66" s="116"/>
      <c r="H66" s="116"/>
    </row>
    <row r="67" spans="1:8" ht="17.100000000000001" customHeight="1">
      <c r="A67" s="116"/>
      <c r="B67" s="116"/>
      <c r="C67" s="116"/>
      <c r="D67" s="116"/>
      <c r="E67" s="116"/>
      <c r="F67" s="116"/>
      <c r="G67" s="116"/>
      <c r="H67" s="116"/>
    </row>
    <row r="68" spans="1:8" ht="17.100000000000001" customHeight="1">
      <c r="A68" s="116"/>
      <c r="B68" s="116"/>
      <c r="C68" s="116"/>
      <c r="D68" s="116"/>
      <c r="E68" s="116"/>
      <c r="F68" s="116"/>
      <c r="G68" s="116"/>
      <c r="H68" s="116"/>
    </row>
    <row r="69" spans="1:8" ht="17.100000000000001" customHeight="1">
      <c r="A69" s="116"/>
      <c r="B69" s="116"/>
      <c r="C69" s="116"/>
      <c r="D69" s="116"/>
      <c r="E69" s="116"/>
      <c r="F69" s="116"/>
      <c r="G69" s="116"/>
      <c r="H69" s="116"/>
    </row>
    <row r="70" spans="1:8" ht="17.100000000000001" customHeight="1">
      <c r="A70" s="116"/>
      <c r="B70" s="116"/>
      <c r="C70" s="116"/>
      <c r="D70" s="116"/>
      <c r="E70" s="116"/>
      <c r="F70" s="116"/>
      <c r="G70" s="116"/>
      <c r="H70" s="116"/>
    </row>
    <row r="71" spans="1:8" ht="17.100000000000001" customHeight="1">
      <c r="A71" s="116"/>
      <c r="B71" s="116"/>
      <c r="C71" s="116"/>
      <c r="D71" s="116"/>
      <c r="E71" s="116"/>
      <c r="F71" s="116"/>
      <c r="G71" s="116"/>
      <c r="H71" s="116"/>
    </row>
    <row r="72" spans="1:8" ht="17.100000000000001" customHeight="1">
      <c r="A72" s="116"/>
      <c r="B72" s="116"/>
      <c r="C72" s="116"/>
      <c r="D72" s="116"/>
      <c r="E72" s="116"/>
      <c r="F72" s="116"/>
      <c r="G72" s="116"/>
      <c r="H72" s="116"/>
    </row>
    <row r="73" spans="1:8" ht="17.100000000000001" customHeight="1">
      <c r="A73" s="116"/>
      <c r="B73" s="116"/>
      <c r="C73" s="116"/>
      <c r="D73" s="116"/>
      <c r="E73" s="116"/>
      <c r="F73" s="116"/>
      <c r="G73" s="116"/>
      <c r="H73" s="116"/>
    </row>
    <row r="74" spans="1:8" ht="17.100000000000001" customHeight="1">
      <c r="A74" s="116"/>
      <c r="B74" s="116"/>
      <c r="C74" s="116"/>
      <c r="D74" s="116"/>
      <c r="E74" s="116"/>
      <c r="F74" s="116"/>
      <c r="G74" s="116"/>
      <c r="H74" s="116"/>
    </row>
    <row r="75" spans="1:8" ht="17.100000000000001" customHeight="1">
      <c r="A75" s="116"/>
      <c r="B75" s="116"/>
      <c r="C75" s="116"/>
      <c r="D75" s="116"/>
      <c r="E75" s="116"/>
      <c r="F75" s="116"/>
      <c r="G75" s="116"/>
      <c r="H75" s="116"/>
    </row>
    <row r="76" spans="1:8" ht="17.100000000000001" customHeight="1">
      <c r="A76" s="116"/>
      <c r="B76" s="116"/>
      <c r="C76" s="116"/>
      <c r="D76" s="116"/>
      <c r="E76" s="116"/>
      <c r="F76" s="116"/>
      <c r="G76" s="116"/>
      <c r="H76" s="116"/>
    </row>
    <row r="77" spans="1:8" ht="17.100000000000001" customHeight="1">
      <c r="A77" s="116"/>
      <c r="B77" s="116"/>
      <c r="C77" s="116"/>
      <c r="D77" s="116"/>
      <c r="E77" s="116"/>
      <c r="F77" s="116"/>
      <c r="G77" s="116"/>
      <c r="H77" s="116"/>
    </row>
    <row r="78" spans="1:8" ht="17.100000000000001" customHeight="1">
      <c r="A78" s="116"/>
      <c r="B78" s="116"/>
      <c r="C78" s="116"/>
      <c r="D78" s="116"/>
      <c r="E78" s="116"/>
      <c r="F78" s="116"/>
      <c r="G78" s="116"/>
      <c r="H78" s="116"/>
    </row>
    <row r="79" spans="1:8" ht="17.100000000000001" customHeight="1">
      <c r="A79" s="116"/>
      <c r="B79" s="116"/>
      <c r="C79" s="116"/>
      <c r="D79" s="116"/>
      <c r="E79" s="116"/>
      <c r="F79" s="116"/>
      <c r="G79" s="116"/>
      <c r="H79" s="116"/>
    </row>
    <row r="80" spans="1:8" ht="17.100000000000001" customHeight="1">
      <c r="A80" s="116"/>
      <c r="B80" s="116"/>
      <c r="C80" s="116"/>
      <c r="D80" s="116"/>
      <c r="E80" s="116"/>
      <c r="F80" s="116"/>
      <c r="G80" s="116"/>
      <c r="H80" s="116"/>
    </row>
    <row r="81" spans="1:36" ht="17.100000000000001" customHeight="1">
      <c r="A81" s="116"/>
      <c r="B81" s="116"/>
      <c r="C81" s="116"/>
      <c r="D81" s="116"/>
      <c r="E81" s="116"/>
      <c r="F81" s="116"/>
      <c r="G81" s="116"/>
      <c r="H81" s="116"/>
    </row>
    <row r="82" spans="1:36" ht="17.100000000000001" customHeight="1">
      <c r="A82" s="116"/>
      <c r="B82" s="116"/>
      <c r="C82" s="116"/>
      <c r="D82" s="116"/>
      <c r="E82" s="116"/>
      <c r="F82" s="116"/>
      <c r="G82" s="116"/>
      <c r="H82" s="116"/>
    </row>
    <row r="83" spans="1:36" ht="17.100000000000001" customHeight="1">
      <c r="A83" s="116"/>
      <c r="B83" s="116"/>
      <c r="C83" s="116"/>
      <c r="D83" s="116"/>
      <c r="E83" s="116"/>
      <c r="F83" s="116"/>
      <c r="G83" s="116"/>
      <c r="H83" s="116"/>
    </row>
    <row r="84" spans="1:36" ht="17.100000000000001" customHeight="1">
      <c r="A84" s="116"/>
      <c r="B84" s="116"/>
      <c r="C84" s="116"/>
      <c r="D84" s="116"/>
      <c r="E84" s="116"/>
      <c r="F84" s="116"/>
      <c r="G84" s="116"/>
      <c r="H84" s="116"/>
    </row>
    <row r="85" spans="1:36" ht="17.100000000000001" customHeight="1">
      <c r="A85" s="116"/>
      <c r="B85" s="116"/>
      <c r="C85" s="116"/>
      <c r="D85" s="116"/>
      <c r="E85" s="116"/>
      <c r="F85" s="116"/>
      <c r="G85" s="116"/>
      <c r="H85" s="116"/>
    </row>
    <row r="86" spans="1:36" ht="17.100000000000001" customHeight="1">
      <c r="A86" s="116"/>
      <c r="B86" s="116"/>
      <c r="C86" s="116"/>
      <c r="D86" s="116"/>
      <c r="E86" s="116"/>
      <c r="F86" s="116"/>
      <c r="G86" s="116"/>
      <c r="H86" s="116"/>
    </row>
    <row r="87" spans="1:36" ht="17.100000000000001" customHeight="1">
      <c r="A87" s="116"/>
      <c r="B87" s="116"/>
      <c r="C87" s="116"/>
      <c r="D87" s="116"/>
      <c r="E87" s="116"/>
      <c r="F87" s="116"/>
      <c r="G87" s="116"/>
      <c r="H87" s="116"/>
    </row>
    <row r="88" spans="1:36" ht="17.100000000000001" customHeight="1">
      <c r="A88" s="116"/>
      <c r="B88" s="116"/>
      <c r="C88" s="116"/>
      <c r="D88" s="116"/>
      <c r="E88" s="116"/>
      <c r="F88" s="116"/>
      <c r="G88" s="116"/>
      <c r="H88" s="116"/>
    </row>
    <row r="89" spans="1:36" ht="17.100000000000001" customHeight="1">
      <c r="AE89" s="12"/>
      <c r="AF89" s="12"/>
      <c r="AG89" s="12"/>
      <c r="AH89" s="12"/>
      <c r="AI89" s="12"/>
      <c r="AJ89" s="12"/>
    </row>
    <row r="90" spans="1:36" ht="17.100000000000001" customHeight="1">
      <c r="A90" s="17" t="s">
        <v>224</v>
      </c>
      <c r="B90" s="12"/>
      <c r="C90" s="12"/>
      <c r="D90" s="12"/>
      <c r="E90" s="12"/>
      <c r="F90" s="12"/>
      <c r="G90" s="12"/>
      <c r="H90" s="12"/>
    </row>
    <row r="91" spans="1:36" ht="17.100000000000001" customHeight="1">
      <c r="A91" s="178" t="s">
        <v>215</v>
      </c>
      <c r="B91" s="178" t="s">
        <v>216</v>
      </c>
      <c r="C91" s="178" t="s">
        <v>217</v>
      </c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 t="s">
        <v>189</v>
      </c>
      <c r="O91" s="178" t="s">
        <v>218</v>
      </c>
      <c r="P91" s="178" t="s">
        <v>219</v>
      </c>
      <c r="Q91" s="178" t="s">
        <v>190</v>
      </c>
      <c r="R91" s="178" t="s">
        <v>220</v>
      </c>
      <c r="S91" s="178" t="s">
        <v>190</v>
      </c>
      <c r="T91" s="178" t="s">
        <v>209</v>
      </c>
      <c r="U91" s="178"/>
      <c r="V91" s="178" t="s">
        <v>221</v>
      </c>
      <c r="W91" s="178" t="s">
        <v>222</v>
      </c>
      <c r="X91" s="178"/>
      <c r="Y91" s="178"/>
      <c r="Z91" s="178"/>
      <c r="AA91" s="178"/>
      <c r="AB91" s="178"/>
      <c r="AC91" s="178"/>
      <c r="AD91" s="178"/>
      <c r="AE91" s="178"/>
      <c r="AF91" s="178"/>
      <c r="AG91" s="178"/>
      <c r="AH91" s="178"/>
      <c r="AI91" s="178" t="s">
        <v>223</v>
      </c>
      <c r="AJ91" s="178" t="s">
        <v>184</v>
      </c>
    </row>
    <row r="92" spans="1:36" ht="17.100000000000001" customHeight="1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3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5" width="3.77734375" style="37" customWidth="1"/>
    <col min="6" max="7" width="20.77734375" style="37" customWidth="1"/>
    <col min="8" max="12" width="3.77734375" style="37" customWidth="1"/>
    <col min="13" max="16384" width="10.77734375" style="37"/>
  </cols>
  <sheetData>
    <row r="1" spans="1:12" s="47" customFormat="1" ht="33" customHeight="1">
      <c r="A1" s="354" t="s">
        <v>34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</row>
    <row r="2" spans="1:12" s="47" customFormat="1" ht="33" customHeight="1">
      <c r="A2" s="354"/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</row>
    <row r="3" spans="1:12" s="47" customFormat="1" ht="12.75" customHeight="1">
      <c r="A3" s="48" t="s">
        <v>96</v>
      </c>
      <c r="B3" s="48"/>
      <c r="C3" s="48"/>
      <c r="D3" s="22"/>
      <c r="E3" s="22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91" t="str">
        <f>" 교   정   번   호(Calibration No) : "&amp;기본정보!H3</f>
        <v xml:space="preserve"> 교   정   번   호(Calibration No) : </v>
      </c>
      <c r="B4" s="91"/>
      <c r="C4" s="91"/>
      <c r="D4" s="92"/>
      <c r="E4" s="92"/>
      <c r="F4" s="92"/>
      <c r="G4" s="92"/>
      <c r="H4" s="100"/>
      <c r="I4" s="92"/>
      <c r="J4" s="101"/>
      <c r="K4" s="93"/>
      <c r="L4" s="100"/>
    </row>
    <row r="5" spans="1:12" s="36" customFormat="1" ht="15" customHeight="1"/>
    <row r="6" spans="1:12" ht="15" customHeight="1">
      <c r="F6" s="54" t="str">
        <f>"○ 품명 : "&amp;기본정보!C$5</f>
        <v xml:space="preserve">○ 품명 : </v>
      </c>
      <c r="G6" s="54"/>
    </row>
    <row r="7" spans="1:12" ht="15" customHeight="1">
      <c r="F7" s="54" t="str">
        <f>"○ 제작회사 : "&amp;기본정보!C$6</f>
        <v xml:space="preserve">○ 제작회사 : </v>
      </c>
      <c r="G7" s="54"/>
    </row>
    <row r="8" spans="1:12" ht="15" customHeight="1">
      <c r="F8" s="54" t="str">
        <f>"○ 형식 : "&amp;기본정보!C$7</f>
        <v xml:space="preserve">○ 형식 : </v>
      </c>
      <c r="G8" s="54"/>
    </row>
    <row r="9" spans="1:12" ht="15" customHeight="1">
      <c r="F9" s="54" t="str">
        <f>"○ 기기번호 : "&amp;기본정보!C$8</f>
        <v xml:space="preserve">○ 기기번호 : </v>
      </c>
      <c r="G9" s="54"/>
    </row>
    <row r="11" spans="1:12" ht="15" customHeight="1">
      <c r="F11" s="38" t="s">
        <v>97</v>
      </c>
      <c r="G11" s="38"/>
    </row>
    <row r="12" spans="1:12" ht="15" customHeight="1">
      <c r="F12" s="54" t="e">
        <f ca="1">"○ 교정범위 : ("&amp;Calcu!L3&amp;" ~ "&amp;Calcu!N3&amp;") mm"</f>
        <v>#N/A</v>
      </c>
      <c r="G12" s="54"/>
    </row>
    <row r="13" spans="1:12" ht="15" customHeight="1">
      <c r="A13" s="44"/>
      <c r="B13" s="44"/>
      <c r="C13" s="44"/>
      <c r="F13" s="54" t="str">
        <f ca="1">"○ 최소눈금 : "&amp;Calcu!P3&amp;" mm"</f>
        <v>○ 최소눈금 : 0 mm</v>
      </c>
      <c r="G13" s="54"/>
    </row>
    <row r="14" spans="1:12" ht="15" customHeight="1">
      <c r="A14" s="44"/>
      <c r="B14" s="44"/>
      <c r="C14" s="44"/>
    </row>
    <row r="15" spans="1:12" ht="15" customHeight="1">
      <c r="A15" s="44"/>
      <c r="B15" s="44"/>
      <c r="C15" s="44"/>
      <c r="F15" s="182" t="s">
        <v>127</v>
      </c>
      <c r="G15" s="182" t="s">
        <v>195</v>
      </c>
    </row>
    <row r="16" spans="1:12" ht="15" customHeight="1">
      <c r="A16" s="44"/>
      <c r="B16" s="43"/>
      <c r="C16" s="43"/>
      <c r="F16" s="181" t="s">
        <v>135</v>
      </c>
      <c r="G16" s="181" t="s">
        <v>135</v>
      </c>
    </row>
    <row r="17" spans="1:7" ht="15" customHeight="1">
      <c r="A17" s="44" t="str">
        <f>IF(Calcu!B9=TRUE,"","삭제")</f>
        <v>삭제</v>
      </c>
      <c r="B17" s="43"/>
      <c r="C17" s="43"/>
      <c r="F17" s="138" t="e">
        <f ca="1">Calcu!AA9</f>
        <v>#N/A</v>
      </c>
      <c r="G17" s="138" t="e">
        <f ca="1">Calcu!AC9</f>
        <v>#N/A</v>
      </c>
    </row>
    <row r="18" spans="1:7" ht="15" customHeight="1">
      <c r="A18" s="44" t="str">
        <f>IF(Calcu!B10=TRUE,"","삭제")</f>
        <v>삭제</v>
      </c>
      <c r="B18" s="43"/>
      <c r="C18" s="43"/>
      <c r="F18" s="138" t="e">
        <f ca="1">Calcu!AA10</f>
        <v>#N/A</v>
      </c>
      <c r="G18" s="138" t="e">
        <f ca="1">Calcu!AC10</f>
        <v>#N/A</v>
      </c>
    </row>
    <row r="19" spans="1:7" ht="15" customHeight="1">
      <c r="A19" s="44" t="str">
        <f>IF(Calcu!B11=TRUE,"","삭제")</f>
        <v>삭제</v>
      </c>
      <c r="B19" s="43"/>
      <c r="C19" s="43"/>
      <c r="F19" s="138" t="e">
        <f ca="1">Calcu!AA11</f>
        <v>#N/A</v>
      </c>
      <c r="G19" s="138" t="e">
        <f ca="1">Calcu!AC11</f>
        <v>#N/A</v>
      </c>
    </row>
    <row r="20" spans="1:7" ht="15" customHeight="1">
      <c r="A20" s="44" t="str">
        <f>IF(Calcu!B12=TRUE,"","삭제")</f>
        <v>삭제</v>
      </c>
      <c r="B20" s="43"/>
      <c r="C20" s="43"/>
      <c r="F20" s="138" t="e">
        <f ca="1">Calcu!AA12</f>
        <v>#N/A</v>
      </c>
      <c r="G20" s="138" t="e">
        <f ca="1">Calcu!AC12</f>
        <v>#N/A</v>
      </c>
    </row>
    <row r="21" spans="1:7" ht="15" customHeight="1">
      <c r="A21" s="44" t="str">
        <f>IF(Calcu!B13=TRUE,"","삭제")</f>
        <v>삭제</v>
      </c>
      <c r="B21" s="43"/>
      <c r="C21" s="43"/>
      <c r="F21" s="138" t="e">
        <f ca="1">Calcu!AA13</f>
        <v>#N/A</v>
      </c>
      <c r="G21" s="138" t="e">
        <f ca="1">Calcu!AC13</f>
        <v>#N/A</v>
      </c>
    </row>
    <row r="22" spans="1:7" ht="15" customHeight="1">
      <c r="A22" s="44" t="str">
        <f>IF(Calcu!B14=TRUE,"","삭제")</f>
        <v>삭제</v>
      </c>
      <c r="B22" s="43"/>
      <c r="C22" s="43"/>
      <c r="F22" s="138" t="e">
        <f ca="1">Calcu!AA14</f>
        <v>#N/A</v>
      </c>
      <c r="G22" s="138" t="e">
        <f ca="1">Calcu!AC14</f>
        <v>#N/A</v>
      </c>
    </row>
    <row r="23" spans="1:7" ht="15" customHeight="1">
      <c r="A23" s="44" t="str">
        <f>IF(Calcu!B15=TRUE,"","삭제")</f>
        <v>삭제</v>
      </c>
      <c r="B23" s="43"/>
      <c r="C23" s="43"/>
      <c r="F23" s="138" t="e">
        <f ca="1">Calcu!AA15</f>
        <v>#N/A</v>
      </c>
      <c r="G23" s="138" t="e">
        <f ca="1">Calcu!AC15</f>
        <v>#N/A</v>
      </c>
    </row>
    <row r="24" spans="1:7" ht="15" customHeight="1">
      <c r="A24" s="44" t="str">
        <f>IF(Calcu!B16=TRUE,"","삭제")</f>
        <v>삭제</v>
      </c>
      <c r="B24" s="43"/>
      <c r="C24" s="43"/>
      <c r="F24" s="138" t="e">
        <f ca="1">Calcu!AA16</f>
        <v>#N/A</v>
      </c>
      <c r="G24" s="138" t="e">
        <f ca="1">Calcu!AC16</f>
        <v>#N/A</v>
      </c>
    </row>
    <row r="25" spans="1:7" ht="15" customHeight="1">
      <c r="A25" s="44" t="str">
        <f>IF(Calcu!B17=TRUE,"","삭제")</f>
        <v>삭제</v>
      </c>
      <c r="B25" s="43"/>
      <c r="C25" s="43"/>
      <c r="F25" s="138" t="e">
        <f ca="1">Calcu!AA17</f>
        <v>#N/A</v>
      </c>
      <c r="G25" s="138" t="e">
        <f ca="1">Calcu!AC17</f>
        <v>#N/A</v>
      </c>
    </row>
    <row r="26" spans="1:7" ht="15" customHeight="1">
      <c r="A26" s="44" t="str">
        <f>IF(Calcu!B18=TRUE,"","삭제")</f>
        <v>삭제</v>
      </c>
      <c r="B26" s="43"/>
      <c r="C26" s="43"/>
      <c r="F26" s="138" t="e">
        <f ca="1">Calcu!AA18</f>
        <v>#N/A</v>
      </c>
      <c r="G26" s="138" t="e">
        <f ca="1">Calcu!AC18</f>
        <v>#N/A</v>
      </c>
    </row>
    <row r="27" spans="1:7" ht="15" customHeight="1">
      <c r="A27" s="44" t="str">
        <f>IF(Calcu!B19=TRUE,"","삭제")</f>
        <v>삭제</v>
      </c>
      <c r="B27" s="43"/>
      <c r="C27" s="43"/>
      <c r="F27" s="138" t="e">
        <f ca="1">Calcu!AA19</f>
        <v>#N/A</v>
      </c>
      <c r="G27" s="138" t="e">
        <f ca="1">Calcu!AC19</f>
        <v>#N/A</v>
      </c>
    </row>
    <row r="28" spans="1:7" ht="15" customHeight="1">
      <c r="A28" s="44" t="str">
        <f>IF(Calcu!B20=TRUE,"","삭제")</f>
        <v>삭제</v>
      </c>
      <c r="B28" s="43"/>
      <c r="C28" s="43"/>
      <c r="F28" s="138" t="e">
        <f ca="1">Calcu!AA20</f>
        <v>#N/A</v>
      </c>
      <c r="G28" s="138" t="e">
        <f ca="1">Calcu!AC20</f>
        <v>#N/A</v>
      </c>
    </row>
    <row r="29" spans="1:7" ht="15" customHeight="1">
      <c r="A29" s="44" t="str">
        <f>IF(Calcu!B21=TRUE,"","삭제")</f>
        <v>삭제</v>
      </c>
      <c r="B29" s="43"/>
      <c r="C29" s="43"/>
      <c r="F29" s="138" t="e">
        <f ca="1">Calcu!AA21</f>
        <v>#N/A</v>
      </c>
      <c r="G29" s="138" t="e">
        <f ca="1">Calcu!AC21</f>
        <v>#N/A</v>
      </c>
    </row>
    <row r="30" spans="1:7" ht="15" customHeight="1">
      <c r="A30" s="44" t="str">
        <f>IF(Calcu!B22=TRUE,"","삭제")</f>
        <v>삭제</v>
      </c>
      <c r="B30" s="43"/>
      <c r="C30" s="43"/>
      <c r="F30" s="138" t="e">
        <f ca="1">Calcu!AA22</f>
        <v>#N/A</v>
      </c>
      <c r="G30" s="138" t="e">
        <f ca="1">Calcu!AC22</f>
        <v>#N/A</v>
      </c>
    </row>
    <row r="31" spans="1:7" ht="15" customHeight="1">
      <c r="A31" s="44" t="str">
        <f>IF(Calcu!B23=TRUE,"","삭제")</f>
        <v>삭제</v>
      </c>
      <c r="B31" s="43"/>
      <c r="C31" s="43"/>
      <c r="F31" s="138" t="e">
        <f ca="1">Calcu!AA23</f>
        <v>#N/A</v>
      </c>
      <c r="G31" s="138" t="e">
        <f ca="1">Calcu!AC23</f>
        <v>#N/A</v>
      </c>
    </row>
    <row r="32" spans="1:7" ht="15" customHeight="1">
      <c r="A32" s="44" t="str">
        <f>IF(Calcu!B24=TRUE,"","삭제")</f>
        <v>삭제</v>
      </c>
      <c r="B32" s="43"/>
      <c r="C32" s="43"/>
      <c r="F32" s="138" t="e">
        <f ca="1">Calcu!AA24</f>
        <v>#N/A</v>
      </c>
      <c r="G32" s="138" t="e">
        <f ca="1">Calcu!AC24</f>
        <v>#N/A</v>
      </c>
    </row>
    <row r="33" spans="1:10" ht="15" customHeight="1">
      <c r="A33" s="44" t="str">
        <f>IF(Calcu!B25=TRUE,"","삭제")</f>
        <v>삭제</v>
      </c>
      <c r="B33" s="43"/>
      <c r="C33" s="43"/>
      <c r="F33" s="138" t="e">
        <f ca="1">Calcu!AA25</f>
        <v>#N/A</v>
      </c>
      <c r="G33" s="138" t="e">
        <f ca="1">Calcu!AC25</f>
        <v>#N/A</v>
      </c>
    </row>
    <row r="34" spans="1:10" ht="15" customHeight="1">
      <c r="A34" s="44" t="str">
        <f>IF(Calcu!B26=TRUE,"","삭제")</f>
        <v>삭제</v>
      </c>
      <c r="B34" s="43"/>
      <c r="C34" s="43"/>
      <c r="F34" s="138" t="e">
        <f ca="1">Calcu!AA26</f>
        <v>#N/A</v>
      </c>
      <c r="G34" s="138" t="e">
        <f ca="1">Calcu!AC26</f>
        <v>#N/A</v>
      </c>
    </row>
    <row r="35" spans="1:10" ht="15" customHeight="1">
      <c r="A35" s="44" t="str">
        <f>IF(Calcu!B27=TRUE,"","삭제")</f>
        <v>삭제</v>
      </c>
      <c r="B35" s="43"/>
      <c r="C35" s="43"/>
      <c r="F35" s="138" t="e">
        <f ca="1">Calcu!AA27</f>
        <v>#N/A</v>
      </c>
      <c r="G35" s="138" t="e">
        <f ca="1">Calcu!AC27</f>
        <v>#N/A</v>
      </c>
    </row>
    <row r="36" spans="1:10" ht="15" customHeight="1">
      <c r="A36" s="44" t="str">
        <f>IF(Calcu!B28=TRUE,"","삭제")</f>
        <v>삭제</v>
      </c>
      <c r="B36" s="43"/>
      <c r="C36" s="43"/>
      <c r="F36" s="138" t="e">
        <f ca="1">Calcu!AA28</f>
        <v>#N/A</v>
      </c>
      <c r="G36" s="138" t="e">
        <f ca="1">Calcu!AC28</f>
        <v>#N/A</v>
      </c>
    </row>
    <row r="37" spans="1:10" ht="15" customHeight="1">
      <c r="A37" s="44" t="str">
        <f>IF(Calcu!B29=TRUE,"","삭제")</f>
        <v>삭제</v>
      </c>
      <c r="B37" s="43"/>
      <c r="C37" s="43"/>
      <c r="F37" s="138" t="e">
        <f ca="1">Calcu!AA29</f>
        <v>#N/A</v>
      </c>
      <c r="G37" s="138" t="e">
        <f ca="1">Calcu!AC29</f>
        <v>#N/A</v>
      </c>
    </row>
    <row r="38" spans="1:10" ht="15" customHeight="1">
      <c r="A38" s="44" t="str">
        <f>IF(Calcu!B30=TRUE,"","삭제")</f>
        <v>삭제</v>
      </c>
      <c r="B38" s="43"/>
      <c r="C38" s="43"/>
      <c r="F38" s="138" t="e">
        <f ca="1">Calcu!AA30</f>
        <v>#N/A</v>
      </c>
      <c r="G38" s="138" t="e">
        <f ca="1">Calcu!AC30</f>
        <v>#N/A</v>
      </c>
    </row>
    <row r="39" spans="1:10" ht="15" customHeight="1">
      <c r="A39" s="44" t="str">
        <f>IF(Calcu!B31=TRUE,"","삭제")</f>
        <v>삭제</v>
      </c>
      <c r="B39" s="43"/>
      <c r="C39" s="43"/>
      <c r="F39" s="138" t="e">
        <f ca="1">Calcu!AA31</f>
        <v>#N/A</v>
      </c>
      <c r="G39" s="138" t="e">
        <f ca="1">Calcu!AC31</f>
        <v>#N/A</v>
      </c>
    </row>
    <row r="40" spans="1:10" ht="15" customHeight="1">
      <c r="A40" s="44"/>
      <c r="F40" s="170"/>
      <c r="G40" s="170"/>
      <c r="H40" s="51"/>
    </row>
    <row r="41" spans="1:10" ht="15" customHeight="1">
      <c r="A41" s="44"/>
      <c r="F41" s="38" t="e">
        <f ca="1">"● 측정불확도 : "&amp;Calcu!T70</f>
        <v>#N/A</v>
      </c>
      <c r="G41" s="38"/>
      <c r="H41" s="38"/>
    </row>
    <row r="42" spans="1:10" ht="15" customHeight="1">
      <c r="A42" s="44"/>
      <c r="F42" s="53" t="e">
        <f ca="1">IF(Calcu!E80="사다리꼴","(신뢰수준 95 %,","(신뢰수준 약 95 %,")</f>
        <v>#N/A</v>
      </c>
      <c r="G42" s="179" t="e">
        <f ca="1">Calcu!E81&amp;IF(Calcu!E80="사다리꼴",", 사다리꼴 확률분포)",")")</f>
        <v>#N/A</v>
      </c>
      <c r="J42" s="50"/>
    </row>
    <row r="43" spans="1:10" ht="15" customHeight="1">
      <c r="F43" s="74"/>
      <c r="G43" s="74"/>
      <c r="H43" s="75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4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5" width="3.77734375" style="37" customWidth="1"/>
    <col min="6" max="7" width="20.77734375" style="37" customWidth="1"/>
    <col min="8" max="12" width="3.77734375" style="37" customWidth="1"/>
    <col min="13" max="16384" width="10.77734375" style="37"/>
  </cols>
  <sheetData>
    <row r="1" spans="1:12" s="81" customFormat="1" ht="33" customHeight="1">
      <c r="A1" s="355" t="s">
        <v>58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</row>
    <row r="2" spans="1:12" s="81" customFormat="1" ht="33" customHeight="1">
      <c r="A2" s="355"/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</row>
    <row r="3" spans="1:12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80" t="str">
        <f>" 교   정   번   호(Calibration No) : "&amp;기본정보!H3</f>
        <v xml:space="preserve"> 교   정   번   호(Calibration No) : </v>
      </c>
      <c r="B4" s="91"/>
      <c r="C4" s="91"/>
      <c r="D4" s="80"/>
      <c r="E4" s="91"/>
      <c r="F4" s="79"/>
      <c r="G4" s="76"/>
      <c r="H4" s="78"/>
      <c r="I4" s="101"/>
      <c r="J4" s="77"/>
      <c r="K4" s="93"/>
      <c r="L4" s="76"/>
    </row>
    <row r="5" spans="1:12" s="36" customFormat="1" ht="15" customHeight="1"/>
    <row r="6" spans="1:12" ht="15" customHeight="1">
      <c r="F6" s="54" t="str">
        <f>"○ Description : "&amp;기본정보!C$5</f>
        <v xml:space="preserve">○ Description : </v>
      </c>
    </row>
    <row r="7" spans="1:12" ht="15" customHeight="1">
      <c r="F7" s="54" t="str">
        <f>"○ Manufacturer  : "&amp;기본정보!C$6</f>
        <v xml:space="preserve">○ Manufacturer  : </v>
      </c>
    </row>
    <row r="8" spans="1:12" ht="15" customHeight="1">
      <c r="F8" s="54" t="str">
        <f>"○ Model Name : "&amp;기본정보!C$7</f>
        <v xml:space="preserve">○ Model Name : </v>
      </c>
    </row>
    <row r="9" spans="1:12" ht="15" customHeight="1">
      <c r="F9" s="54" t="str">
        <f>"○ Serial Number : "&amp;기본정보!C$8</f>
        <v xml:space="preserve">○ Serial Number : </v>
      </c>
    </row>
    <row r="11" spans="1:12" ht="15" customHeight="1">
      <c r="F11" s="38" t="s">
        <v>95</v>
      </c>
    </row>
    <row r="12" spans="1:12" ht="15" customHeight="1">
      <c r="F12" s="54" t="e">
        <f ca="1">"○ Range : ("&amp;Calcu!L3&amp;" ~ "&amp;Calcu!N3&amp;") mm"</f>
        <v>#N/A</v>
      </c>
    </row>
    <row r="13" spans="1:12" ht="15" customHeight="1">
      <c r="A13" s="44"/>
      <c r="B13" s="44"/>
      <c r="C13" s="44"/>
      <c r="D13" s="44"/>
      <c r="E13" s="44"/>
      <c r="F13" s="54" t="str">
        <f ca="1">"○ Resolution : "&amp;Calcu!P3&amp;" mm"</f>
        <v>○ Resolution : 0 mm</v>
      </c>
    </row>
    <row r="14" spans="1:12" ht="15" customHeight="1">
      <c r="A14" s="44"/>
      <c r="B14" s="44"/>
      <c r="C14" s="44"/>
      <c r="D14" s="44"/>
      <c r="E14" s="44"/>
    </row>
    <row r="15" spans="1:12" ht="15" customHeight="1">
      <c r="A15" s="44"/>
      <c r="B15" s="44"/>
      <c r="C15" s="44"/>
      <c r="D15" s="43"/>
      <c r="E15" s="43"/>
      <c r="F15" s="184" t="s">
        <v>280</v>
      </c>
      <c r="G15" s="184" t="s">
        <v>196</v>
      </c>
    </row>
    <row r="16" spans="1:12" ht="15" customHeight="1">
      <c r="A16" s="44"/>
      <c r="B16" s="44"/>
      <c r="C16" s="44"/>
      <c r="D16" s="43"/>
      <c r="E16" s="43"/>
      <c r="F16" s="183" t="s">
        <v>135</v>
      </c>
      <c r="G16" s="183" t="s">
        <v>135</v>
      </c>
    </row>
    <row r="17" spans="1:7" ht="15" customHeight="1">
      <c r="A17" s="44" t="str">
        <f>IF(Calcu!B9=TRUE,"","삭제")</f>
        <v>삭제</v>
      </c>
      <c r="B17" s="43"/>
      <c r="C17" s="43"/>
      <c r="F17" s="138" t="e">
        <f ca="1">Calcu!AA9</f>
        <v>#N/A</v>
      </c>
      <c r="G17" s="138" t="e">
        <f ca="1">Calcu!AC9</f>
        <v>#N/A</v>
      </c>
    </row>
    <row r="18" spans="1:7" ht="15" customHeight="1">
      <c r="A18" s="44" t="str">
        <f>IF(Calcu!B10=TRUE,"","삭제")</f>
        <v>삭제</v>
      </c>
      <c r="B18" s="43"/>
      <c r="C18" s="43"/>
      <c r="F18" s="138" t="e">
        <f ca="1">Calcu!AA10</f>
        <v>#N/A</v>
      </c>
      <c r="G18" s="138" t="e">
        <f ca="1">Calcu!AC10</f>
        <v>#N/A</v>
      </c>
    </row>
    <row r="19" spans="1:7" ht="15" customHeight="1">
      <c r="A19" s="44" t="str">
        <f>IF(Calcu!B11=TRUE,"","삭제")</f>
        <v>삭제</v>
      </c>
      <c r="B19" s="43"/>
      <c r="C19" s="43"/>
      <c r="F19" s="138" t="e">
        <f ca="1">Calcu!AA11</f>
        <v>#N/A</v>
      </c>
      <c r="G19" s="138" t="e">
        <f ca="1">Calcu!AC11</f>
        <v>#N/A</v>
      </c>
    </row>
    <row r="20" spans="1:7" ht="15" customHeight="1">
      <c r="A20" s="44" t="str">
        <f>IF(Calcu!B12=TRUE,"","삭제")</f>
        <v>삭제</v>
      </c>
      <c r="B20" s="43"/>
      <c r="C20" s="43"/>
      <c r="F20" s="138" t="e">
        <f ca="1">Calcu!AA12</f>
        <v>#N/A</v>
      </c>
      <c r="G20" s="138" t="e">
        <f ca="1">Calcu!AC12</f>
        <v>#N/A</v>
      </c>
    </row>
    <row r="21" spans="1:7" ht="15" customHeight="1">
      <c r="A21" s="44" t="str">
        <f>IF(Calcu!B13=TRUE,"","삭제")</f>
        <v>삭제</v>
      </c>
      <c r="B21" s="43"/>
      <c r="C21" s="43"/>
      <c r="F21" s="138" t="e">
        <f ca="1">Calcu!AA13</f>
        <v>#N/A</v>
      </c>
      <c r="G21" s="138" t="e">
        <f ca="1">Calcu!AC13</f>
        <v>#N/A</v>
      </c>
    </row>
    <row r="22" spans="1:7" ht="15" customHeight="1">
      <c r="A22" s="44" t="str">
        <f>IF(Calcu!B14=TRUE,"","삭제")</f>
        <v>삭제</v>
      </c>
      <c r="B22" s="43"/>
      <c r="C22" s="43"/>
      <c r="F22" s="138" t="e">
        <f ca="1">Calcu!AA14</f>
        <v>#N/A</v>
      </c>
      <c r="G22" s="138" t="e">
        <f ca="1">Calcu!AC14</f>
        <v>#N/A</v>
      </c>
    </row>
    <row r="23" spans="1:7" ht="15" customHeight="1">
      <c r="A23" s="44" t="str">
        <f>IF(Calcu!B15=TRUE,"","삭제")</f>
        <v>삭제</v>
      </c>
      <c r="B23" s="43"/>
      <c r="C23" s="43"/>
      <c r="F23" s="138" t="e">
        <f ca="1">Calcu!AA15</f>
        <v>#N/A</v>
      </c>
      <c r="G23" s="138" t="e">
        <f ca="1">Calcu!AC15</f>
        <v>#N/A</v>
      </c>
    </row>
    <row r="24" spans="1:7" ht="15" customHeight="1">
      <c r="A24" s="44" t="str">
        <f>IF(Calcu!B16=TRUE,"","삭제")</f>
        <v>삭제</v>
      </c>
      <c r="B24" s="43"/>
      <c r="C24" s="43"/>
      <c r="F24" s="138" t="e">
        <f ca="1">Calcu!AA16</f>
        <v>#N/A</v>
      </c>
      <c r="G24" s="138" t="e">
        <f ca="1">Calcu!AC16</f>
        <v>#N/A</v>
      </c>
    </row>
    <row r="25" spans="1:7" ht="15" customHeight="1">
      <c r="A25" s="44" t="str">
        <f>IF(Calcu!B17=TRUE,"","삭제")</f>
        <v>삭제</v>
      </c>
      <c r="B25" s="43"/>
      <c r="C25" s="43"/>
      <c r="F25" s="138" t="e">
        <f ca="1">Calcu!AA17</f>
        <v>#N/A</v>
      </c>
      <c r="G25" s="138" t="e">
        <f ca="1">Calcu!AC17</f>
        <v>#N/A</v>
      </c>
    </row>
    <row r="26" spans="1:7" ht="15" customHeight="1">
      <c r="A26" s="44" t="str">
        <f>IF(Calcu!B18=TRUE,"","삭제")</f>
        <v>삭제</v>
      </c>
      <c r="B26" s="43"/>
      <c r="C26" s="43"/>
      <c r="F26" s="138" t="e">
        <f ca="1">Calcu!AA18</f>
        <v>#N/A</v>
      </c>
      <c r="G26" s="138" t="e">
        <f ca="1">Calcu!AC18</f>
        <v>#N/A</v>
      </c>
    </row>
    <row r="27" spans="1:7" ht="15" customHeight="1">
      <c r="A27" s="44" t="str">
        <f>IF(Calcu!B19=TRUE,"","삭제")</f>
        <v>삭제</v>
      </c>
      <c r="B27" s="43"/>
      <c r="C27" s="43"/>
      <c r="F27" s="138" t="e">
        <f ca="1">Calcu!AA19</f>
        <v>#N/A</v>
      </c>
      <c r="G27" s="138" t="e">
        <f ca="1">Calcu!AC19</f>
        <v>#N/A</v>
      </c>
    </row>
    <row r="28" spans="1:7" ht="15" customHeight="1">
      <c r="A28" s="44" t="str">
        <f>IF(Calcu!B20=TRUE,"","삭제")</f>
        <v>삭제</v>
      </c>
      <c r="B28" s="43"/>
      <c r="C28" s="43"/>
      <c r="F28" s="138" t="e">
        <f ca="1">Calcu!AA20</f>
        <v>#N/A</v>
      </c>
      <c r="G28" s="138" t="e">
        <f ca="1">Calcu!AC20</f>
        <v>#N/A</v>
      </c>
    </row>
    <row r="29" spans="1:7" ht="15" customHeight="1">
      <c r="A29" s="44" t="str">
        <f>IF(Calcu!B21=TRUE,"","삭제")</f>
        <v>삭제</v>
      </c>
      <c r="B29" s="43"/>
      <c r="C29" s="43"/>
      <c r="F29" s="138" t="e">
        <f ca="1">Calcu!AA21</f>
        <v>#N/A</v>
      </c>
      <c r="G29" s="138" t="e">
        <f ca="1">Calcu!AC21</f>
        <v>#N/A</v>
      </c>
    </row>
    <row r="30" spans="1:7" ht="15" customHeight="1">
      <c r="A30" s="44" t="str">
        <f>IF(Calcu!B22=TRUE,"","삭제")</f>
        <v>삭제</v>
      </c>
      <c r="B30" s="43"/>
      <c r="C30" s="43"/>
      <c r="F30" s="138" t="e">
        <f ca="1">Calcu!AA22</f>
        <v>#N/A</v>
      </c>
      <c r="G30" s="138" t="e">
        <f ca="1">Calcu!AC22</f>
        <v>#N/A</v>
      </c>
    </row>
    <row r="31" spans="1:7" ht="15" customHeight="1">
      <c r="A31" s="44" t="str">
        <f>IF(Calcu!B23=TRUE,"","삭제")</f>
        <v>삭제</v>
      </c>
      <c r="B31" s="43"/>
      <c r="C31" s="43"/>
      <c r="F31" s="138" t="e">
        <f ca="1">Calcu!AA23</f>
        <v>#N/A</v>
      </c>
      <c r="G31" s="138" t="e">
        <f ca="1">Calcu!AC23</f>
        <v>#N/A</v>
      </c>
    </row>
    <row r="32" spans="1:7" ht="15" customHeight="1">
      <c r="A32" s="44" t="str">
        <f>IF(Calcu!B24=TRUE,"","삭제")</f>
        <v>삭제</v>
      </c>
      <c r="B32" s="43"/>
      <c r="C32" s="43"/>
      <c r="F32" s="138" t="e">
        <f ca="1">Calcu!AA24</f>
        <v>#N/A</v>
      </c>
      <c r="G32" s="138" t="e">
        <f ca="1">Calcu!AC24</f>
        <v>#N/A</v>
      </c>
    </row>
    <row r="33" spans="1:11" ht="15" customHeight="1">
      <c r="A33" s="44" t="str">
        <f>IF(Calcu!B25=TRUE,"","삭제")</f>
        <v>삭제</v>
      </c>
      <c r="B33" s="43"/>
      <c r="C33" s="43"/>
      <c r="F33" s="138" t="e">
        <f ca="1">Calcu!AA25</f>
        <v>#N/A</v>
      </c>
      <c r="G33" s="138" t="e">
        <f ca="1">Calcu!AC25</f>
        <v>#N/A</v>
      </c>
    </row>
    <row r="34" spans="1:11" ht="15" customHeight="1">
      <c r="A34" s="44" t="str">
        <f>IF(Calcu!B26=TRUE,"","삭제")</f>
        <v>삭제</v>
      </c>
      <c r="B34" s="43"/>
      <c r="C34" s="43"/>
      <c r="F34" s="138" t="e">
        <f ca="1">Calcu!AA26</f>
        <v>#N/A</v>
      </c>
      <c r="G34" s="138" t="e">
        <f ca="1">Calcu!AC26</f>
        <v>#N/A</v>
      </c>
    </row>
    <row r="35" spans="1:11" ht="15" customHeight="1">
      <c r="A35" s="44" t="str">
        <f>IF(Calcu!B27=TRUE,"","삭제")</f>
        <v>삭제</v>
      </c>
      <c r="B35" s="43"/>
      <c r="C35" s="43"/>
      <c r="F35" s="138" t="e">
        <f ca="1">Calcu!AA27</f>
        <v>#N/A</v>
      </c>
      <c r="G35" s="138" t="e">
        <f ca="1">Calcu!AC27</f>
        <v>#N/A</v>
      </c>
    </row>
    <row r="36" spans="1:11" ht="15" customHeight="1">
      <c r="A36" s="44" t="str">
        <f>IF(Calcu!B28=TRUE,"","삭제")</f>
        <v>삭제</v>
      </c>
      <c r="B36" s="43"/>
      <c r="C36" s="43"/>
      <c r="F36" s="138" t="e">
        <f ca="1">Calcu!AA28</f>
        <v>#N/A</v>
      </c>
      <c r="G36" s="138" t="e">
        <f ca="1">Calcu!AC28</f>
        <v>#N/A</v>
      </c>
    </row>
    <row r="37" spans="1:11" ht="15" customHeight="1">
      <c r="A37" s="44" t="str">
        <f>IF(Calcu!B29=TRUE,"","삭제")</f>
        <v>삭제</v>
      </c>
      <c r="B37" s="43"/>
      <c r="C37" s="43"/>
      <c r="F37" s="138" t="e">
        <f ca="1">Calcu!AA29</f>
        <v>#N/A</v>
      </c>
      <c r="G37" s="138" t="e">
        <f ca="1">Calcu!AC29</f>
        <v>#N/A</v>
      </c>
    </row>
    <row r="38" spans="1:11" ht="15" customHeight="1">
      <c r="A38" s="44" t="str">
        <f>IF(Calcu!B30=TRUE,"","삭제")</f>
        <v>삭제</v>
      </c>
      <c r="B38" s="43"/>
      <c r="C38" s="43"/>
      <c r="F38" s="138" t="e">
        <f ca="1">Calcu!AA30</f>
        <v>#N/A</v>
      </c>
      <c r="G38" s="138" t="e">
        <f ca="1">Calcu!AC30</f>
        <v>#N/A</v>
      </c>
    </row>
    <row r="39" spans="1:11" ht="15" customHeight="1">
      <c r="A39" s="44" t="str">
        <f>IF(Calcu!B31=TRUE,"","삭제")</f>
        <v>삭제</v>
      </c>
      <c r="B39" s="43"/>
      <c r="C39" s="43"/>
      <c r="F39" s="138" t="e">
        <f ca="1">Calcu!AA31</f>
        <v>#N/A</v>
      </c>
      <c r="G39" s="138" t="e">
        <f ca="1">Calcu!AC31</f>
        <v>#N/A</v>
      </c>
    </row>
    <row r="40" spans="1:11" ht="15" customHeight="1">
      <c r="A40" s="44"/>
      <c r="B40" s="44"/>
      <c r="C40" s="44"/>
      <c r="F40" s="102"/>
      <c r="G40" s="102"/>
    </row>
    <row r="41" spans="1:11" ht="15" customHeight="1">
      <c r="A41" s="44"/>
      <c r="B41" s="44"/>
      <c r="C41" s="44"/>
      <c r="F41" s="38" t="e">
        <f ca="1">"● Measurement uncertainty : "&amp;Calcu!T70</f>
        <v>#N/A</v>
      </c>
      <c r="K41" s="50"/>
    </row>
    <row r="42" spans="1:11" ht="15" customHeight="1">
      <c r="A42" s="44"/>
      <c r="B42" s="44"/>
      <c r="C42" s="44"/>
      <c r="F42" s="53" t="e">
        <f ca="1">IF(Calcu!E80="사다리꼴","(Confidence level 95 %,","(Confidence level about 95 %,")</f>
        <v>#N/A</v>
      </c>
      <c r="G42" s="179" t="e">
        <f ca="1">Calcu!E81&amp;")"</f>
        <v>#N/A</v>
      </c>
      <c r="H42" s="53"/>
      <c r="I42" s="53"/>
      <c r="J42" s="50"/>
      <c r="K42" s="50"/>
    </row>
    <row r="43" spans="1:11" ht="15" customHeight="1">
      <c r="A43" s="44" t="str">
        <f>IF(Calcu!S73="사다리꼴","","삭제")</f>
        <v>삭제</v>
      </c>
      <c r="B43" s="44"/>
      <c r="C43" s="44"/>
      <c r="F43" s="50" t="e">
        <f ca="1">IF(Calcu!E80="사다리꼴","※ Trapezoid probability distribution.","")</f>
        <v>#N/A</v>
      </c>
      <c r="G43" s="53"/>
      <c r="H43" s="53"/>
      <c r="I43" s="53"/>
      <c r="J43" s="50"/>
      <c r="K43" s="50"/>
    </row>
    <row r="44" spans="1:11" ht="15" customHeight="1">
      <c r="F44" s="74"/>
      <c r="G44" s="74"/>
      <c r="H44" s="75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5" width="1.77734375" style="37" hidden="1" customWidth="1"/>
    <col min="6" max="6" width="9.2187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54" t="s">
        <v>581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17" s="47" customFormat="1" ht="33" customHeight="1">
      <c r="A2" s="354"/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354"/>
    </row>
    <row r="3" spans="1:17" s="47" customFormat="1" ht="12.75" customHeight="1">
      <c r="A3" s="48" t="s">
        <v>582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91" t="str">
        <f>" 교   정   번   호(Calibration No) : "&amp;기본정보!H3</f>
        <v xml:space="preserve"> 교   정   번   호(Calibration No) : </v>
      </c>
      <c r="B4" s="91"/>
      <c r="C4" s="91"/>
      <c r="D4" s="91"/>
      <c r="E4" s="91"/>
      <c r="F4" s="92"/>
      <c r="G4" s="92"/>
      <c r="H4" s="92"/>
      <c r="I4" s="92"/>
      <c r="J4" s="92"/>
      <c r="K4" s="101"/>
      <c r="L4" s="93"/>
      <c r="M4" s="100"/>
      <c r="N4" s="100"/>
      <c r="O4" s="100"/>
      <c r="P4" s="100"/>
      <c r="Q4" s="100"/>
    </row>
    <row r="5" spans="1:17" s="36" customFormat="1" ht="15" customHeight="1"/>
    <row r="6" spans="1:17" ht="15" customHeight="1">
      <c r="F6" s="54" t="str">
        <f>"○ 품명 : "&amp;기본정보!C$5</f>
        <v xml:space="preserve">○ 품명 : </v>
      </c>
      <c r="G6" s="54"/>
    </row>
    <row r="7" spans="1:17" ht="15" customHeight="1">
      <c r="F7" s="54" t="str">
        <f>"○ 제작회사 : "&amp;기본정보!C$6</f>
        <v xml:space="preserve">○ 제작회사 : </v>
      </c>
      <c r="G7" s="54"/>
    </row>
    <row r="8" spans="1:17" ht="15" customHeight="1">
      <c r="F8" s="54" t="str">
        <f>"○ 형식 : "&amp;기본정보!C$7</f>
        <v xml:space="preserve">○ 형식 : </v>
      </c>
      <c r="G8" s="54"/>
    </row>
    <row r="9" spans="1:17" ht="15" customHeight="1">
      <c r="F9" s="54" t="str">
        <f>"○ 기기번호 : "&amp;기본정보!C$8</f>
        <v xml:space="preserve">○ 기기번호 : </v>
      </c>
      <c r="G9" s="54"/>
    </row>
    <row r="11" spans="1:17" ht="15" customHeight="1">
      <c r="F11" s="38" t="s">
        <v>97</v>
      </c>
      <c r="G11" s="38"/>
    </row>
    <row r="12" spans="1:17" ht="15" customHeight="1">
      <c r="F12" s="54" t="e">
        <f ca="1">"○ 교정범위 : ("&amp;Calcu!L3&amp;" ~ "&amp;Calcu!N3&amp;") mm"</f>
        <v>#N/A</v>
      </c>
      <c r="G12" s="54"/>
    </row>
    <row r="13" spans="1:17" ht="15" customHeight="1">
      <c r="A13" s="44"/>
      <c r="C13" s="44"/>
      <c r="D13" s="44"/>
      <c r="E13" s="44"/>
      <c r="F13" s="54" t="str">
        <f ca="1">"○ 최소눈금 : "&amp;Calcu!P3&amp;" mm"</f>
        <v>○ 최소눈금 : 0 mm</v>
      </c>
      <c r="G13" s="54"/>
    </row>
    <row r="14" spans="1:17" ht="15" customHeight="1">
      <c r="A14" s="44"/>
      <c r="B14" s="44"/>
      <c r="C14" s="44"/>
      <c r="D14" s="44"/>
      <c r="E14" s="44"/>
    </row>
    <row r="15" spans="1:17" s="287" customFormat="1" ht="15" customHeight="1">
      <c r="B15" s="361"/>
      <c r="C15" s="363"/>
      <c r="D15" s="363"/>
      <c r="E15" s="363"/>
      <c r="F15" s="365" t="s">
        <v>590</v>
      </c>
      <c r="G15" s="367" t="s">
        <v>583</v>
      </c>
      <c r="H15" s="369" t="s">
        <v>584</v>
      </c>
      <c r="I15" s="371"/>
      <c r="J15" s="372" t="s">
        <v>585</v>
      </c>
      <c r="K15" s="372"/>
      <c r="L15" s="372"/>
      <c r="M15" s="356" t="s">
        <v>586</v>
      </c>
      <c r="N15" s="356"/>
      <c r="O15" s="356"/>
      <c r="P15" s="357"/>
      <c r="Q15" s="359" t="s">
        <v>587</v>
      </c>
    </row>
    <row r="16" spans="1:17" s="288" customFormat="1" ht="22.5">
      <c r="B16" s="362"/>
      <c r="C16" s="364"/>
      <c r="D16" s="364"/>
      <c r="E16" s="364"/>
      <c r="F16" s="366"/>
      <c r="G16" s="368"/>
      <c r="H16" s="370"/>
      <c r="I16" s="364"/>
      <c r="J16" s="289" t="s">
        <v>591</v>
      </c>
      <c r="K16" s="290" t="s">
        <v>592</v>
      </c>
      <c r="L16" s="290" t="s">
        <v>593</v>
      </c>
      <c r="M16" s="289" t="s">
        <v>591</v>
      </c>
      <c r="N16" s="290" t="s">
        <v>592</v>
      </c>
      <c r="O16" s="290" t="s">
        <v>593</v>
      </c>
      <c r="P16" s="358"/>
      <c r="Q16" s="360"/>
    </row>
    <row r="17" spans="1:17" ht="15" customHeight="1">
      <c r="A17" s="44" t="str">
        <f>IF(Calcu!B9=TRUE,"","삭제")</f>
        <v>삭제</v>
      </c>
      <c r="B17" s="43"/>
      <c r="C17" s="43"/>
      <c r="D17" s="43"/>
      <c r="E17" s="43"/>
      <c r="F17" s="51" t="e">
        <f ca="1">Calcu!AA9</f>
        <v>#N/A</v>
      </c>
      <c r="G17" s="51" t="s">
        <v>588</v>
      </c>
      <c r="H17" s="51" t="e">
        <f ca="1">Calcu!AD9</f>
        <v>#N/A</v>
      </c>
      <c r="J17" s="37" t="e">
        <f ca="1">Calcu!AB9</f>
        <v>#N/A</v>
      </c>
      <c r="K17" s="37" t="e">
        <f ca="1">Calcu!AC9</f>
        <v>#N/A</v>
      </c>
      <c r="L17" s="37" t="str">
        <f>LEFT(Calcu!AE9,1)</f>
        <v/>
      </c>
      <c r="M17" s="37" t="s">
        <v>438</v>
      </c>
      <c r="N17" s="37" t="s">
        <v>589</v>
      </c>
      <c r="O17" s="37" t="s">
        <v>589</v>
      </c>
      <c r="Q17" s="37" t="e">
        <f ca="1">Calcu!AF9</f>
        <v>#N/A</v>
      </c>
    </row>
    <row r="18" spans="1:17" ht="15" customHeight="1">
      <c r="A18" s="44" t="str">
        <f>IF(Calcu!B10=TRUE,"","삭제")</f>
        <v>삭제</v>
      </c>
      <c r="B18" s="43"/>
      <c r="C18" s="43"/>
      <c r="D18" s="43"/>
      <c r="E18" s="43"/>
      <c r="F18" s="51" t="e">
        <f ca="1">Calcu!AA10</f>
        <v>#N/A</v>
      </c>
      <c r="G18" s="51" t="s">
        <v>588</v>
      </c>
      <c r="H18" s="51" t="e">
        <f ca="1">Calcu!AD10</f>
        <v>#N/A</v>
      </c>
      <c r="J18" s="37" t="e">
        <f ca="1">Calcu!AB10</f>
        <v>#N/A</v>
      </c>
      <c r="K18" s="37" t="e">
        <f ca="1">Calcu!AC10</f>
        <v>#N/A</v>
      </c>
      <c r="L18" s="37" t="str">
        <f>LEFT(Calcu!AE10,1)</f>
        <v/>
      </c>
      <c r="M18" s="37" t="s">
        <v>438</v>
      </c>
      <c r="N18" s="37" t="s">
        <v>589</v>
      </c>
      <c r="O18" s="37" t="s">
        <v>589</v>
      </c>
      <c r="Q18" s="37" t="e">
        <f ca="1">Calcu!AF10</f>
        <v>#N/A</v>
      </c>
    </row>
    <row r="19" spans="1:17" ht="15" customHeight="1">
      <c r="A19" s="44" t="str">
        <f>IF(Calcu!B11=TRUE,"","삭제")</f>
        <v>삭제</v>
      </c>
      <c r="B19" s="43"/>
      <c r="C19" s="43"/>
      <c r="D19" s="43"/>
      <c r="E19" s="43"/>
      <c r="F19" s="51" t="e">
        <f ca="1">Calcu!AA11</f>
        <v>#N/A</v>
      </c>
      <c r="G19" s="51" t="s">
        <v>588</v>
      </c>
      <c r="H19" s="51" t="e">
        <f ca="1">Calcu!AD11</f>
        <v>#N/A</v>
      </c>
      <c r="J19" s="37" t="e">
        <f ca="1">Calcu!AB11</f>
        <v>#N/A</v>
      </c>
      <c r="K19" s="37" t="e">
        <f ca="1">Calcu!AC11</f>
        <v>#N/A</v>
      </c>
      <c r="L19" s="37" t="str">
        <f>LEFT(Calcu!AE11,1)</f>
        <v/>
      </c>
      <c r="M19" s="37" t="s">
        <v>438</v>
      </c>
      <c r="N19" s="37" t="s">
        <v>589</v>
      </c>
      <c r="O19" s="37" t="s">
        <v>589</v>
      </c>
      <c r="Q19" s="37" t="e">
        <f ca="1">Calcu!AF11</f>
        <v>#N/A</v>
      </c>
    </row>
    <row r="20" spans="1:17" ht="15" customHeight="1">
      <c r="A20" s="44" t="str">
        <f>IF(Calcu!B12=TRUE,"","삭제")</f>
        <v>삭제</v>
      </c>
      <c r="B20" s="43"/>
      <c r="C20" s="43"/>
      <c r="D20" s="43"/>
      <c r="E20" s="43"/>
      <c r="F20" s="51" t="e">
        <f ca="1">Calcu!AA12</f>
        <v>#N/A</v>
      </c>
      <c r="G20" s="51" t="s">
        <v>588</v>
      </c>
      <c r="H20" s="51" t="e">
        <f ca="1">Calcu!AD12</f>
        <v>#N/A</v>
      </c>
      <c r="J20" s="37" t="e">
        <f ca="1">Calcu!AB12</f>
        <v>#N/A</v>
      </c>
      <c r="K20" s="37" t="e">
        <f ca="1">Calcu!AC12</f>
        <v>#N/A</v>
      </c>
      <c r="L20" s="37" t="str">
        <f>LEFT(Calcu!AE12,1)</f>
        <v/>
      </c>
      <c r="M20" s="37" t="s">
        <v>438</v>
      </c>
      <c r="N20" s="37" t="s">
        <v>589</v>
      </c>
      <c r="O20" s="37" t="s">
        <v>589</v>
      </c>
      <c r="Q20" s="37" t="e">
        <f ca="1">Calcu!AF12</f>
        <v>#N/A</v>
      </c>
    </row>
    <row r="21" spans="1:17" ht="15" customHeight="1">
      <c r="A21" s="44" t="str">
        <f>IF(Calcu!B13=TRUE,"","삭제")</f>
        <v>삭제</v>
      </c>
      <c r="B21" s="43"/>
      <c r="C21" s="43"/>
      <c r="D21" s="43"/>
      <c r="E21" s="43"/>
      <c r="F21" s="51" t="e">
        <f ca="1">Calcu!AA13</f>
        <v>#N/A</v>
      </c>
      <c r="G21" s="51" t="s">
        <v>588</v>
      </c>
      <c r="H21" s="51" t="e">
        <f ca="1">Calcu!AD13</f>
        <v>#N/A</v>
      </c>
      <c r="J21" s="37" t="e">
        <f ca="1">Calcu!AB13</f>
        <v>#N/A</v>
      </c>
      <c r="K21" s="37" t="e">
        <f ca="1">Calcu!AC13</f>
        <v>#N/A</v>
      </c>
      <c r="L21" s="37" t="str">
        <f>LEFT(Calcu!AE13,1)</f>
        <v/>
      </c>
      <c r="M21" s="37" t="s">
        <v>438</v>
      </c>
      <c r="N21" s="37" t="s">
        <v>589</v>
      </c>
      <c r="O21" s="37" t="s">
        <v>589</v>
      </c>
      <c r="Q21" s="37" t="e">
        <f ca="1">Calcu!AF13</f>
        <v>#N/A</v>
      </c>
    </row>
    <row r="22" spans="1:17" ht="15" customHeight="1">
      <c r="A22" s="44" t="str">
        <f>IF(Calcu!B14=TRUE,"","삭제")</f>
        <v>삭제</v>
      </c>
      <c r="B22" s="43"/>
      <c r="C22" s="43"/>
      <c r="D22" s="43"/>
      <c r="E22" s="43"/>
      <c r="F22" s="51" t="e">
        <f ca="1">Calcu!AA14</f>
        <v>#N/A</v>
      </c>
      <c r="G22" s="51" t="s">
        <v>588</v>
      </c>
      <c r="H22" s="51" t="e">
        <f ca="1">Calcu!AD14</f>
        <v>#N/A</v>
      </c>
      <c r="J22" s="37" t="e">
        <f ca="1">Calcu!AB14</f>
        <v>#N/A</v>
      </c>
      <c r="K22" s="37" t="e">
        <f ca="1">Calcu!AC14</f>
        <v>#N/A</v>
      </c>
      <c r="L22" s="37" t="str">
        <f>LEFT(Calcu!AE14,1)</f>
        <v/>
      </c>
      <c r="M22" s="37" t="s">
        <v>438</v>
      </c>
      <c r="N22" s="37" t="s">
        <v>589</v>
      </c>
      <c r="O22" s="37" t="s">
        <v>589</v>
      </c>
      <c r="Q22" s="37" t="e">
        <f ca="1">Calcu!AF14</f>
        <v>#N/A</v>
      </c>
    </row>
    <row r="23" spans="1:17" ht="15" customHeight="1">
      <c r="A23" s="44" t="str">
        <f>IF(Calcu!B15=TRUE,"","삭제")</f>
        <v>삭제</v>
      </c>
      <c r="B23" s="43"/>
      <c r="C23" s="43"/>
      <c r="D23" s="43"/>
      <c r="E23" s="43"/>
      <c r="F23" s="51" t="e">
        <f ca="1">Calcu!AA15</f>
        <v>#N/A</v>
      </c>
      <c r="G23" s="51" t="s">
        <v>588</v>
      </c>
      <c r="H23" s="51" t="e">
        <f ca="1">Calcu!AD15</f>
        <v>#N/A</v>
      </c>
      <c r="J23" s="37" t="e">
        <f ca="1">Calcu!AB15</f>
        <v>#N/A</v>
      </c>
      <c r="K23" s="37" t="e">
        <f ca="1">Calcu!AC15</f>
        <v>#N/A</v>
      </c>
      <c r="L23" s="37" t="str">
        <f>LEFT(Calcu!AE15,1)</f>
        <v/>
      </c>
      <c r="M23" s="37" t="s">
        <v>438</v>
      </c>
      <c r="N23" s="37" t="s">
        <v>589</v>
      </c>
      <c r="O23" s="37" t="s">
        <v>589</v>
      </c>
      <c r="Q23" s="37" t="e">
        <f ca="1">Calcu!AF15</f>
        <v>#N/A</v>
      </c>
    </row>
    <row r="24" spans="1:17" ht="15" customHeight="1">
      <c r="A24" s="44" t="str">
        <f>IF(Calcu!B16=TRUE,"","삭제")</f>
        <v>삭제</v>
      </c>
      <c r="B24" s="43"/>
      <c r="C24" s="43"/>
      <c r="D24" s="43"/>
      <c r="E24" s="43"/>
      <c r="F24" s="51" t="e">
        <f ca="1">Calcu!AA16</f>
        <v>#N/A</v>
      </c>
      <c r="G24" s="51" t="s">
        <v>588</v>
      </c>
      <c r="H24" s="51" t="e">
        <f ca="1">Calcu!AD16</f>
        <v>#N/A</v>
      </c>
      <c r="J24" s="37" t="e">
        <f ca="1">Calcu!AB16</f>
        <v>#N/A</v>
      </c>
      <c r="K24" s="37" t="e">
        <f ca="1">Calcu!AC16</f>
        <v>#N/A</v>
      </c>
      <c r="L24" s="37" t="str">
        <f>LEFT(Calcu!AE16,1)</f>
        <v/>
      </c>
      <c r="M24" s="37" t="s">
        <v>438</v>
      </c>
      <c r="N24" s="37" t="s">
        <v>589</v>
      </c>
      <c r="O24" s="37" t="s">
        <v>589</v>
      </c>
      <c r="Q24" s="37" t="e">
        <f ca="1">Calcu!AF16</f>
        <v>#N/A</v>
      </c>
    </row>
    <row r="25" spans="1:17" ht="15" customHeight="1">
      <c r="A25" s="44" t="str">
        <f>IF(Calcu!B17=TRUE,"","삭제")</f>
        <v>삭제</v>
      </c>
      <c r="B25" s="43"/>
      <c r="C25" s="43"/>
      <c r="D25" s="43"/>
      <c r="E25" s="43"/>
      <c r="F25" s="51" t="e">
        <f ca="1">Calcu!AA17</f>
        <v>#N/A</v>
      </c>
      <c r="G25" s="51" t="s">
        <v>588</v>
      </c>
      <c r="H25" s="51" t="e">
        <f ca="1">Calcu!AD17</f>
        <v>#N/A</v>
      </c>
      <c r="J25" s="37" t="e">
        <f ca="1">Calcu!AB17</f>
        <v>#N/A</v>
      </c>
      <c r="K25" s="37" t="e">
        <f ca="1">Calcu!AC17</f>
        <v>#N/A</v>
      </c>
      <c r="L25" s="37" t="str">
        <f>LEFT(Calcu!AE17,1)</f>
        <v/>
      </c>
      <c r="M25" s="37" t="s">
        <v>438</v>
      </c>
      <c r="N25" s="37" t="s">
        <v>589</v>
      </c>
      <c r="O25" s="37" t="s">
        <v>589</v>
      </c>
      <c r="Q25" s="37" t="e">
        <f ca="1">Calcu!AF17</f>
        <v>#N/A</v>
      </c>
    </row>
    <row r="26" spans="1:17" ht="15" customHeight="1">
      <c r="A26" s="44" t="str">
        <f>IF(Calcu!B18=TRUE,"","삭제")</f>
        <v>삭제</v>
      </c>
      <c r="B26" s="43"/>
      <c r="C26" s="43"/>
      <c r="D26" s="43"/>
      <c r="E26" s="43"/>
      <c r="F26" s="51" t="e">
        <f ca="1">Calcu!AA18</f>
        <v>#N/A</v>
      </c>
      <c r="G26" s="51" t="s">
        <v>588</v>
      </c>
      <c r="H26" s="51" t="e">
        <f ca="1">Calcu!AD18</f>
        <v>#N/A</v>
      </c>
      <c r="J26" s="37" t="e">
        <f ca="1">Calcu!AB18</f>
        <v>#N/A</v>
      </c>
      <c r="K26" s="37" t="e">
        <f ca="1">Calcu!AC18</f>
        <v>#N/A</v>
      </c>
      <c r="L26" s="37" t="str">
        <f>LEFT(Calcu!AE18,1)</f>
        <v/>
      </c>
      <c r="M26" s="37" t="s">
        <v>438</v>
      </c>
      <c r="N26" s="37" t="s">
        <v>589</v>
      </c>
      <c r="O26" s="37" t="s">
        <v>589</v>
      </c>
      <c r="Q26" s="37" t="e">
        <f ca="1">Calcu!AF18</f>
        <v>#N/A</v>
      </c>
    </row>
    <row r="27" spans="1:17" ht="15" customHeight="1">
      <c r="A27" s="44" t="str">
        <f>IF(Calcu!B19=TRUE,"","삭제")</f>
        <v>삭제</v>
      </c>
      <c r="B27" s="43"/>
      <c r="C27" s="43"/>
      <c r="D27" s="43"/>
      <c r="E27" s="43"/>
      <c r="F27" s="51" t="e">
        <f ca="1">Calcu!AA19</f>
        <v>#N/A</v>
      </c>
      <c r="G27" s="51" t="s">
        <v>588</v>
      </c>
      <c r="H27" s="51" t="e">
        <f ca="1">Calcu!AD19</f>
        <v>#N/A</v>
      </c>
      <c r="J27" s="37" t="e">
        <f ca="1">Calcu!AB19</f>
        <v>#N/A</v>
      </c>
      <c r="K27" s="37" t="e">
        <f ca="1">Calcu!AC19</f>
        <v>#N/A</v>
      </c>
      <c r="L27" s="37" t="str">
        <f>LEFT(Calcu!AE19,1)</f>
        <v/>
      </c>
      <c r="M27" s="37" t="s">
        <v>438</v>
      </c>
      <c r="N27" s="37" t="s">
        <v>589</v>
      </c>
      <c r="O27" s="37" t="s">
        <v>589</v>
      </c>
      <c r="Q27" s="37" t="e">
        <f ca="1">Calcu!AF19</f>
        <v>#N/A</v>
      </c>
    </row>
    <row r="28" spans="1:17" ht="15" customHeight="1">
      <c r="A28" s="44" t="str">
        <f>IF(Calcu!B20=TRUE,"","삭제")</f>
        <v>삭제</v>
      </c>
      <c r="B28" s="43"/>
      <c r="C28" s="43"/>
      <c r="D28" s="43"/>
      <c r="E28" s="43"/>
      <c r="F28" s="51" t="e">
        <f ca="1">Calcu!AA20</f>
        <v>#N/A</v>
      </c>
      <c r="G28" s="51" t="s">
        <v>588</v>
      </c>
      <c r="H28" s="51" t="e">
        <f ca="1">Calcu!AD20</f>
        <v>#N/A</v>
      </c>
      <c r="J28" s="37" t="e">
        <f ca="1">Calcu!AB20</f>
        <v>#N/A</v>
      </c>
      <c r="K28" s="37" t="e">
        <f ca="1">Calcu!AC20</f>
        <v>#N/A</v>
      </c>
      <c r="L28" s="37" t="str">
        <f>LEFT(Calcu!AE20,1)</f>
        <v/>
      </c>
      <c r="M28" s="37" t="s">
        <v>438</v>
      </c>
      <c r="N28" s="37" t="s">
        <v>589</v>
      </c>
      <c r="O28" s="37" t="s">
        <v>589</v>
      </c>
      <c r="Q28" s="37" t="e">
        <f ca="1">Calcu!AF20</f>
        <v>#N/A</v>
      </c>
    </row>
    <row r="29" spans="1:17" ht="15" customHeight="1">
      <c r="A29" s="44" t="str">
        <f>IF(Calcu!B21=TRUE,"","삭제")</f>
        <v>삭제</v>
      </c>
      <c r="B29" s="43"/>
      <c r="C29" s="43"/>
      <c r="D29" s="43"/>
      <c r="E29" s="43"/>
      <c r="F29" s="51" t="e">
        <f ca="1">Calcu!AA21</f>
        <v>#N/A</v>
      </c>
      <c r="G29" s="51" t="s">
        <v>588</v>
      </c>
      <c r="H29" s="51" t="e">
        <f ca="1">Calcu!AD21</f>
        <v>#N/A</v>
      </c>
      <c r="J29" s="37" t="e">
        <f ca="1">Calcu!AB21</f>
        <v>#N/A</v>
      </c>
      <c r="K29" s="37" t="e">
        <f ca="1">Calcu!AC21</f>
        <v>#N/A</v>
      </c>
      <c r="L29" s="37" t="str">
        <f>LEFT(Calcu!AE21,1)</f>
        <v/>
      </c>
      <c r="M29" s="37" t="s">
        <v>438</v>
      </c>
      <c r="N29" s="37" t="s">
        <v>589</v>
      </c>
      <c r="O29" s="37" t="s">
        <v>589</v>
      </c>
      <c r="Q29" s="37" t="e">
        <f ca="1">Calcu!AF21</f>
        <v>#N/A</v>
      </c>
    </row>
    <row r="30" spans="1:17" ht="15" customHeight="1">
      <c r="A30" s="44" t="str">
        <f>IF(Calcu!B22=TRUE,"","삭제")</f>
        <v>삭제</v>
      </c>
      <c r="B30" s="43"/>
      <c r="C30" s="43"/>
      <c r="D30" s="43"/>
      <c r="E30" s="43"/>
      <c r="F30" s="51" t="e">
        <f ca="1">Calcu!AA22</f>
        <v>#N/A</v>
      </c>
      <c r="G30" s="51" t="s">
        <v>588</v>
      </c>
      <c r="H30" s="51" t="e">
        <f ca="1">Calcu!AD22</f>
        <v>#N/A</v>
      </c>
      <c r="J30" s="37" t="e">
        <f ca="1">Calcu!AB22</f>
        <v>#N/A</v>
      </c>
      <c r="K30" s="37" t="e">
        <f ca="1">Calcu!AC22</f>
        <v>#N/A</v>
      </c>
      <c r="L30" s="37" t="str">
        <f>LEFT(Calcu!AE22,1)</f>
        <v/>
      </c>
      <c r="M30" s="37" t="s">
        <v>438</v>
      </c>
      <c r="N30" s="37" t="s">
        <v>589</v>
      </c>
      <c r="O30" s="37" t="s">
        <v>589</v>
      </c>
      <c r="Q30" s="37" t="e">
        <f ca="1">Calcu!AF22</f>
        <v>#N/A</v>
      </c>
    </row>
    <row r="31" spans="1:17" ht="15" customHeight="1">
      <c r="A31" s="44" t="str">
        <f>IF(Calcu!B23=TRUE,"","삭제")</f>
        <v>삭제</v>
      </c>
      <c r="B31" s="43"/>
      <c r="C31" s="43"/>
      <c r="D31" s="43"/>
      <c r="E31" s="43"/>
      <c r="F31" s="51" t="e">
        <f ca="1">Calcu!AA23</f>
        <v>#N/A</v>
      </c>
      <c r="G31" s="51" t="s">
        <v>588</v>
      </c>
      <c r="H31" s="51" t="e">
        <f ca="1">Calcu!AD23</f>
        <v>#N/A</v>
      </c>
      <c r="J31" s="37" t="e">
        <f ca="1">Calcu!AB23</f>
        <v>#N/A</v>
      </c>
      <c r="K31" s="37" t="e">
        <f ca="1">Calcu!AC23</f>
        <v>#N/A</v>
      </c>
      <c r="L31" s="37" t="str">
        <f>LEFT(Calcu!AE23,1)</f>
        <v/>
      </c>
      <c r="M31" s="37" t="s">
        <v>438</v>
      </c>
      <c r="N31" s="37" t="s">
        <v>589</v>
      </c>
      <c r="O31" s="37" t="s">
        <v>589</v>
      </c>
      <c r="Q31" s="37" t="e">
        <f ca="1">Calcu!AF23</f>
        <v>#N/A</v>
      </c>
    </row>
    <row r="32" spans="1:17" ht="15" customHeight="1">
      <c r="A32" s="44" t="str">
        <f>IF(Calcu!B24=TRUE,"","삭제")</f>
        <v>삭제</v>
      </c>
      <c r="B32" s="43"/>
      <c r="C32" s="43"/>
      <c r="D32" s="43"/>
      <c r="E32" s="43"/>
      <c r="F32" s="51" t="e">
        <f ca="1">Calcu!AA24</f>
        <v>#N/A</v>
      </c>
      <c r="G32" s="51" t="s">
        <v>588</v>
      </c>
      <c r="H32" s="51" t="e">
        <f ca="1">Calcu!AD24</f>
        <v>#N/A</v>
      </c>
      <c r="J32" s="37" t="e">
        <f ca="1">Calcu!AB24</f>
        <v>#N/A</v>
      </c>
      <c r="K32" s="37" t="e">
        <f ca="1">Calcu!AC24</f>
        <v>#N/A</v>
      </c>
      <c r="L32" s="37" t="str">
        <f>LEFT(Calcu!AE24,1)</f>
        <v/>
      </c>
      <c r="M32" s="37" t="s">
        <v>438</v>
      </c>
      <c r="N32" s="37" t="s">
        <v>589</v>
      </c>
      <c r="O32" s="37" t="s">
        <v>589</v>
      </c>
      <c r="Q32" s="37" t="e">
        <f ca="1">Calcu!AF24</f>
        <v>#N/A</v>
      </c>
    </row>
    <row r="33" spans="1:17" ht="15" customHeight="1">
      <c r="A33" s="44" t="str">
        <f>IF(Calcu!B25=TRUE,"","삭제")</f>
        <v>삭제</v>
      </c>
      <c r="B33" s="43"/>
      <c r="C33" s="43"/>
      <c r="D33" s="43"/>
      <c r="E33" s="43"/>
      <c r="F33" s="51" t="e">
        <f ca="1">Calcu!AA25</f>
        <v>#N/A</v>
      </c>
      <c r="G33" s="51" t="s">
        <v>588</v>
      </c>
      <c r="H33" s="51" t="e">
        <f ca="1">Calcu!AD25</f>
        <v>#N/A</v>
      </c>
      <c r="J33" s="37" t="e">
        <f ca="1">Calcu!AB25</f>
        <v>#N/A</v>
      </c>
      <c r="K33" s="37" t="e">
        <f ca="1">Calcu!AC25</f>
        <v>#N/A</v>
      </c>
      <c r="L33" s="37" t="str">
        <f>LEFT(Calcu!AE25,1)</f>
        <v/>
      </c>
      <c r="M33" s="37" t="s">
        <v>438</v>
      </c>
      <c r="N33" s="37" t="s">
        <v>589</v>
      </c>
      <c r="O33" s="37" t="s">
        <v>589</v>
      </c>
      <c r="Q33" s="37" t="e">
        <f ca="1">Calcu!AF25</f>
        <v>#N/A</v>
      </c>
    </row>
    <row r="34" spans="1:17" ht="15" customHeight="1">
      <c r="A34" s="44" t="str">
        <f>IF(Calcu!B26=TRUE,"","삭제")</f>
        <v>삭제</v>
      </c>
      <c r="B34" s="43"/>
      <c r="C34" s="43"/>
      <c r="D34" s="43"/>
      <c r="E34" s="43"/>
      <c r="F34" s="51" t="e">
        <f ca="1">Calcu!AA26</f>
        <v>#N/A</v>
      </c>
      <c r="G34" s="51" t="s">
        <v>588</v>
      </c>
      <c r="H34" s="51" t="e">
        <f ca="1">Calcu!AD26</f>
        <v>#N/A</v>
      </c>
      <c r="J34" s="37" t="e">
        <f ca="1">Calcu!AB26</f>
        <v>#N/A</v>
      </c>
      <c r="K34" s="37" t="e">
        <f ca="1">Calcu!AC26</f>
        <v>#N/A</v>
      </c>
      <c r="L34" s="37" t="str">
        <f>LEFT(Calcu!AE26,1)</f>
        <v/>
      </c>
      <c r="M34" s="37" t="s">
        <v>438</v>
      </c>
      <c r="N34" s="37" t="s">
        <v>589</v>
      </c>
      <c r="O34" s="37" t="s">
        <v>589</v>
      </c>
      <c r="Q34" s="37" t="e">
        <f ca="1">Calcu!AF26</f>
        <v>#N/A</v>
      </c>
    </row>
    <row r="35" spans="1:17" ht="15" customHeight="1">
      <c r="A35" s="44" t="str">
        <f>IF(Calcu!B27=TRUE,"","삭제")</f>
        <v>삭제</v>
      </c>
      <c r="B35" s="43"/>
      <c r="C35" s="43"/>
      <c r="D35" s="43"/>
      <c r="E35" s="43"/>
      <c r="F35" s="51" t="e">
        <f ca="1">Calcu!AA27</f>
        <v>#N/A</v>
      </c>
      <c r="G35" s="51" t="s">
        <v>588</v>
      </c>
      <c r="H35" s="51" t="e">
        <f ca="1">Calcu!AD27</f>
        <v>#N/A</v>
      </c>
      <c r="J35" s="37" t="e">
        <f ca="1">Calcu!AB27</f>
        <v>#N/A</v>
      </c>
      <c r="K35" s="37" t="e">
        <f ca="1">Calcu!AC27</f>
        <v>#N/A</v>
      </c>
      <c r="L35" s="37" t="str">
        <f>LEFT(Calcu!AE27,1)</f>
        <v/>
      </c>
      <c r="M35" s="37" t="s">
        <v>438</v>
      </c>
      <c r="N35" s="37" t="s">
        <v>589</v>
      </c>
      <c r="O35" s="37" t="s">
        <v>589</v>
      </c>
      <c r="Q35" s="37" t="e">
        <f ca="1">Calcu!AF27</f>
        <v>#N/A</v>
      </c>
    </row>
    <row r="36" spans="1:17" ht="15" customHeight="1">
      <c r="A36" s="44" t="str">
        <f>IF(Calcu!B28=TRUE,"","삭제")</f>
        <v>삭제</v>
      </c>
      <c r="B36" s="43"/>
      <c r="C36" s="43"/>
      <c r="D36" s="43"/>
      <c r="E36" s="43"/>
      <c r="F36" s="51" t="e">
        <f ca="1">Calcu!AA28</f>
        <v>#N/A</v>
      </c>
      <c r="G36" s="51" t="s">
        <v>588</v>
      </c>
      <c r="H36" s="51" t="e">
        <f ca="1">Calcu!AD28</f>
        <v>#N/A</v>
      </c>
      <c r="J36" s="37" t="e">
        <f ca="1">Calcu!AB28</f>
        <v>#N/A</v>
      </c>
      <c r="K36" s="37" t="e">
        <f ca="1">Calcu!AC28</f>
        <v>#N/A</v>
      </c>
      <c r="L36" s="37" t="str">
        <f>LEFT(Calcu!AE28,1)</f>
        <v/>
      </c>
      <c r="M36" s="37" t="s">
        <v>438</v>
      </c>
      <c r="N36" s="37" t="s">
        <v>589</v>
      </c>
      <c r="O36" s="37" t="s">
        <v>589</v>
      </c>
      <c r="Q36" s="37" t="e">
        <f ca="1">Calcu!AF28</f>
        <v>#N/A</v>
      </c>
    </row>
    <row r="37" spans="1:17" ht="15" customHeight="1">
      <c r="A37" s="44" t="str">
        <f>IF(Calcu!B29=TRUE,"","삭제")</f>
        <v>삭제</v>
      </c>
      <c r="B37" s="43"/>
      <c r="C37" s="43"/>
      <c r="D37" s="43"/>
      <c r="E37" s="43"/>
      <c r="F37" s="51" t="e">
        <f ca="1">Calcu!AA29</f>
        <v>#N/A</v>
      </c>
      <c r="G37" s="51" t="s">
        <v>588</v>
      </c>
      <c r="H37" s="51" t="e">
        <f ca="1">Calcu!AD29</f>
        <v>#N/A</v>
      </c>
      <c r="J37" s="37" t="e">
        <f ca="1">Calcu!AB29</f>
        <v>#N/A</v>
      </c>
      <c r="K37" s="37" t="e">
        <f ca="1">Calcu!AC29</f>
        <v>#N/A</v>
      </c>
      <c r="L37" s="37" t="str">
        <f>LEFT(Calcu!AE29,1)</f>
        <v/>
      </c>
      <c r="M37" s="37" t="s">
        <v>438</v>
      </c>
      <c r="N37" s="37" t="s">
        <v>589</v>
      </c>
      <c r="O37" s="37" t="s">
        <v>589</v>
      </c>
      <c r="Q37" s="37" t="e">
        <f ca="1">Calcu!AF29</f>
        <v>#N/A</v>
      </c>
    </row>
    <row r="38" spans="1:17" ht="15" customHeight="1">
      <c r="A38" s="44" t="str">
        <f>IF(Calcu!B30=TRUE,"","삭제")</f>
        <v>삭제</v>
      </c>
      <c r="B38" s="43"/>
      <c r="C38" s="43"/>
      <c r="D38" s="43"/>
      <c r="E38" s="43"/>
      <c r="F38" s="51" t="e">
        <f ca="1">Calcu!AA30</f>
        <v>#N/A</v>
      </c>
      <c r="G38" s="51" t="s">
        <v>588</v>
      </c>
      <c r="H38" s="51" t="e">
        <f ca="1">Calcu!AD30</f>
        <v>#N/A</v>
      </c>
      <c r="J38" s="37" t="e">
        <f ca="1">Calcu!AB30</f>
        <v>#N/A</v>
      </c>
      <c r="K38" s="37" t="e">
        <f ca="1">Calcu!AC30</f>
        <v>#N/A</v>
      </c>
      <c r="L38" s="37" t="str">
        <f>LEFT(Calcu!AE30,1)</f>
        <v/>
      </c>
      <c r="M38" s="37" t="s">
        <v>438</v>
      </c>
      <c r="N38" s="37" t="s">
        <v>589</v>
      </c>
      <c r="O38" s="37" t="s">
        <v>589</v>
      </c>
      <c r="Q38" s="37" t="e">
        <f ca="1">Calcu!AF30</f>
        <v>#N/A</v>
      </c>
    </row>
    <row r="39" spans="1:17" ht="15" customHeight="1">
      <c r="A39" s="44" t="str">
        <f>IF(Calcu!B31=TRUE,"","삭제")</f>
        <v>삭제</v>
      </c>
      <c r="B39" s="43"/>
      <c r="C39" s="43"/>
      <c r="D39" s="43"/>
      <c r="E39" s="43"/>
      <c r="F39" s="51" t="e">
        <f ca="1">Calcu!AA31</f>
        <v>#N/A</v>
      </c>
      <c r="G39" s="51" t="s">
        <v>588</v>
      </c>
      <c r="H39" s="51" t="e">
        <f ca="1">Calcu!AD31</f>
        <v>#N/A</v>
      </c>
      <c r="J39" s="37" t="e">
        <f ca="1">Calcu!AB31</f>
        <v>#N/A</v>
      </c>
      <c r="K39" s="37" t="e">
        <f ca="1">Calcu!AC31</f>
        <v>#N/A</v>
      </c>
      <c r="L39" s="37" t="str">
        <f>LEFT(Calcu!AE31,1)</f>
        <v/>
      </c>
      <c r="M39" s="37" t="s">
        <v>438</v>
      </c>
      <c r="N39" s="37" t="s">
        <v>589</v>
      </c>
      <c r="O39" s="37" t="s">
        <v>589</v>
      </c>
      <c r="Q39" s="37" t="e">
        <f ca="1">Calcu!AF31</f>
        <v>#N/A</v>
      </c>
    </row>
    <row r="40" spans="1:17" ht="15" customHeight="1">
      <c r="A40" s="44" t="str">
        <f>IF(Calcu!B32=TRUE,"","삭제")</f>
        <v>삭제</v>
      </c>
      <c r="B40" s="43"/>
      <c r="C40" s="43"/>
      <c r="D40" s="43"/>
      <c r="E40" s="43"/>
      <c r="F40" s="51" t="e">
        <f ca="1">Calcu!AA32</f>
        <v>#N/A</v>
      </c>
      <c r="G40" s="51" t="s">
        <v>588</v>
      </c>
      <c r="H40" s="51" t="e">
        <f ca="1">Calcu!AD32</f>
        <v>#N/A</v>
      </c>
      <c r="J40" s="37" t="e">
        <f ca="1">Calcu!AB32</f>
        <v>#N/A</v>
      </c>
      <c r="K40" s="37" t="e">
        <f ca="1">Calcu!AC32</f>
        <v>#N/A</v>
      </c>
      <c r="L40" s="37" t="str">
        <f>LEFT(Calcu!AE32,1)</f>
        <v/>
      </c>
      <c r="M40" s="37" t="s">
        <v>438</v>
      </c>
      <c r="N40" s="37" t="s">
        <v>589</v>
      </c>
      <c r="O40" s="37" t="s">
        <v>589</v>
      </c>
      <c r="Q40" s="37" t="e">
        <f ca="1">Calcu!AF32</f>
        <v>#N/A</v>
      </c>
    </row>
    <row r="41" spans="1:17" ht="15" customHeight="1">
      <c r="A41" s="44" t="str">
        <f>IF(Calcu!B33=TRUE,"","삭제")</f>
        <v>삭제</v>
      </c>
      <c r="B41" s="43"/>
      <c r="C41" s="43"/>
      <c r="D41" s="43"/>
      <c r="E41" s="43"/>
      <c r="F41" s="51" t="e">
        <f ca="1">Calcu!AA33</f>
        <v>#N/A</v>
      </c>
      <c r="G41" s="51" t="s">
        <v>588</v>
      </c>
      <c r="H41" s="51" t="e">
        <f ca="1">Calcu!AD33</f>
        <v>#N/A</v>
      </c>
      <c r="J41" s="37" t="e">
        <f ca="1">Calcu!AB33</f>
        <v>#N/A</v>
      </c>
      <c r="K41" s="37" t="e">
        <f ca="1">Calcu!AC33</f>
        <v>#N/A</v>
      </c>
      <c r="L41" s="37" t="str">
        <f>LEFT(Calcu!AE33,1)</f>
        <v/>
      </c>
      <c r="M41" s="37" t="s">
        <v>438</v>
      </c>
      <c r="N41" s="37" t="s">
        <v>589</v>
      </c>
      <c r="O41" s="37" t="s">
        <v>589</v>
      </c>
      <c r="Q41" s="37" t="e">
        <f ca="1">Calcu!AF33</f>
        <v>#N/A</v>
      </c>
    </row>
    <row r="42" spans="1:17" ht="15" customHeight="1">
      <c r="A42" s="44" t="str">
        <f>IF(Calcu!B34=TRUE,"","삭제")</f>
        <v>삭제</v>
      </c>
      <c r="B42" s="43"/>
      <c r="C42" s="43"/>
      <c r="D42" s="43"/>
      <c r="E42" s="43"/>
      <c r="F42" s="51" t="e">
        <f ca="1">Calcu!AA34</f>
        <v>#N/A</v>
      </c>
      <c r="G42" s="51" t="s">
        <v>588</v>
      </c>
      <c r="H42" s="51" t="e">
        <f ca="1">Calcu!AD34</f>
        <v>#N/A</v>
      </c>
      <c r="J42" s="37" t="e">
        <f ca="1">Calcu!AB34</f>
        <v>#N/A</v>
      </c>
      <c r="K42" s="37" t="e">
        <f ca="1">Calcu!AC34</f>
        <v>#N/A</v>
      </c>
      <c r="L42" s="37" t="str">
        <f>LEFT(Calcu!AE34,1)</f>
        <v/>
      </c>
      <c r="M42" s="37" t="s">
        <v>438</v>
      </c>
      <c r="N42" s="37" t="s">
        <v>589</v>
      </c>
      <c r="O42" s="37" t="s">
        <v>589</v>
      </c>
      <c r="Q42" s="37" t="e">
        <f ca="1">Calcu!AF34</f>
        <v>#N/A</v>
      </c>
    </row>
    <row r="43" spans="1:17" ht="15" customHeight="1">
      <c r="A43" s="44" t="str">
        <f>IF(Calcu!B35=TRUE,"","삭제")</f>
        <v>삭제</v>
      </c>
      <c r="B43" s="43"/>
      <c r="C43" s="43"/>
      <c r="D43" s="43"/>
      <c r="E43" s="43"/>
      <c r="F43" s="51" t="e">
        <f ca="1">Calcu!AA35</f>
        <v>#N/A</v>
      </c>
      <c r="G43" s="51" t="s">
        <v>588</v>
      </c>
      <c r="H43" s="51" t="e">
        <f ca="1">Calcu!AD35</f>
        <v>#N/A</v>
      </c>
      <c r="J43" s="37" t="e">
        <f ca="1">Calcu!AB35</f>
        <v>#N/A</v>
      </c>
      <c r="K43" s="37" t="e">
        <f ca="1">Calcu!AC35</f>
        <v>#N/A</v>
      </c>
      <c r="L43" s="37" t="str">
        <f>LEFT(Calcu!AE35,1)</f>
        <v/>
      </c>
      <c r="M43" s="37" t="s">
        <v>438</v>
      </c>
      <c r="N43" s="37" t="s">
        <v>589</v>
      </c>
      <c r="O43" s="37" t="s">
        <v>589</v>
      </c>
      <c r="Q43" s="37" t="e">
        <f ca="1">Calcu!AF35</f>
        <v>#N/A</v>
      </c>
    </row>
    <row r="44" spans="1:17" ht="15" customHeight="1">
      <c r="A44" s="44" t="str">
        <f>IF(Calcu!B36=TRUE,"","삭제")</f>
        <v>삭제</v>
      </c>
      <c r="B44" s="43"/>
      <c r="C44" s="43"/>
      <c r="D44" s="43"/>
      <c r="E44" s="43"/>
      <c r="F44" s="51" t="e">
        <f ca="1">Calcu!AA36</f>
        <v>#N/A</v>
      </c>
      <c r="G44" s="51" t="s">
        <v>588</v>
      </c>
      <c r="H44" s="51" t="e">
        <f ca="1">Calcu!AD36</f>
        <v>#N/A</v>
      </c>
      <c r="J44" s="37" t="e">
        <f ca="1">Calcu!AB36</f>
        <v>#N/A</v>
      </c>
      <c r="K44" s="37" t="e">
        <f ca="1">Calcu!AC36</f>
        <v>#N/A</v>
      </c>
      <c r="L44" s="37" t="str">
        <f>LEFT(Calcu!AE36,1)</f>
        <v/>
      </c>
      <c r="M44" s="37" t="s">
        <v>438</v>
      </c>
      <c r="N44" s="37" t="s">
        <v>589</v>
      </c>
      <c r="O44" s="37" t="s">
        <v>589</v>
      </c>
      <c r="Q44" s="37" t="e">
        <f ca="1">Calcu!AF36</f>
        <v>#N/A</v>
      </c>
    </row>
    <row r="45" spans="1:17" ht="15" customHeight="1">
      <c r="A45" s="44" t="str">
        <f>IF(Calcu!B37=TRUE,"","삭제")</f>
        <v>삭제</v>
      </c>
      <c r="B45" s="43"/>
      <c r="C45" s="43"/>
      <c r="D45" s="43"/>
      <c r="E45" s="43"/>
      <c r="F45" s="51" t="e">
        <f ca="1">Calcu!AA37</f>
        <v>#N/A</v>
      </c>
      <c r="G45" s="51" t="s">
        <v>588</v>
      </c>
      <c r="H45" s="51" t="e">
        <f ca="1">Calcu!AD37</f>
        <v>#N/A</v>
      </c>
      <c r="J45" s="37" t="e">
        <f ca="1">Calcu!AB37</f>
        <v>#N/A</v>
      </c>
      <c r="K45" s="37" t="e">
        <f ca="1">Calcu!AC37</f>
        <v>#N/A</v>
      </c>
      <c r="L45" s="37" t="str">
        <f>LEFT(Calcu!AE37,1)</f>
        <v/>
      </c>
      <c r="M45" s="37" t="s">
        <v>438</v>
      </c>
      <c r="N45" s="37" t="s">
        <v>589</v>
      </c>
      <c r="O45" s="37" t="s">
        <v>589</v>
      </c>
      <c r="Q45" s="37" t="e">
        <f ca="1">Calcu!AF37</f>
        <v>#N/A</v>
      </c>
    </row>
    <row r="46" spans="1:17" ht="15" customHeight="1">
      <c r="A46" s="44" t="str">
        <f>IF(Calcu!B38=TRUE,"","삭제")</f>
        <v>삭제</v>
      </c>
      <c r="B46" s="43"/>
      <c r="C46" s="43"/>
      <c r="D46" s="43"/>
      <c r="E46" s="43"/>
      <c r="F46" s="51" t="e">
        <f ca="1">Calcu!AA38</f>
        <v>#N/A</v>
      </c>
      <c r="G46" s="51" t="s">
        <v>588</v>
      </c>
      <c r="H46" s="51" t="e">
        <f ca="1">Calcu!AD38</f>
        <v>#N/A</v>
      </c>
      <c r="J46" s="37" t="e">
        <f ca="1">Calcu!AB38</f>
        <v>#N/A</v>
      </c>
      <c r="K46" s="37" t="e">
        <f ca="1">Calcu!AC38</f>
        <v>#N/A</v>
      </c>
      <c r="L46" s="37" t="str">
        <f>LEFT(Calcu!AE38,1)</f>
        <v/>
      </c>
      <c r="M46" s="37" t="s">
        <v>438</v>
      </c>
      <c r="N46" s="37" t="s">
        <v>589</v>
      </c>
      <c r="O46" s="37" t="s">
        <v>589</v>
      </c>
      <c r="Q46" s="37" t="e">
        <f ca="1">Calcu!AF38</f>
        <v>#N/A</v>
      </c>
    </row>
    <row r="47" spans="1:17" ht="15" customHeight="1">
      <c r="A47" s="44" t="str">
        <f>IF(Calcu!B39=TRUE,"","삭제")</f>
        <v>삭제</v>
      </c>
      <c r="B47" s="43"/>
      <c r="C47" s="43"/>
      <c r="D47" s="43"/>
      <c r="E47" s="43"/>
      <c r="F47" s="51" t="e">
        <f ca="1">Calcu!AA39</f>
        <v>#N/A</v>
      </c>
      <c r="G47" s="51" t="s">
        <v>588</v>
      </c>
      <c r="H47" s="51" t="e">
        <f ca="1">Calcu!AD39</f>
        <v>#N/A</v>
      </c>
      <c r="J47" s="37" t="e">
        <f ca="1">Calcu!AB39</f>
        <v>#N/A</v>
      </c>
      <c r="K47" s="37" t="e">
        <f ca="1">Calcu!AC39</f>
        <v>#N/A</v>
      </c>
      <c r="L47" s="37" t="str">
        <f>LEFT(Calcu!AE39,1)</f>
        <v/>
      </c>
      <c r="M47" s="37" t="s">
        <v>438</v>
      </c>
      <c r="N47" s="37" t="s">
        <v>589</v>
      </c>
      <c r="O47" s="37" t="s">
        <v>589</v>
      </c>
      <c r="Q47" s="37" t="e">
        <f ca="1">Calcu!AF39</f>
        <v>#N/A</v>
      </c>
    </row>
    <row r="48" spans="1:17" ht="15" customHeight="1">
      <c r="A48" s="44" t="str">
        <f>IF(Calcu!B40=TRUE,"","삭제")</f>
        <v>삭제</v>
      </c>
      <c r="B48" s="43"/>
      <c r="C48" s="43"/>
      <c r="D48" s="43"/>
      <c r="E48" s="43"/>
      <c r="F48" s="51" t="e">
        <f ca="1">Calcu!AA40</f>
        <v>#N/A</v>
      </c>
      <c r="G48" s="51" t="s">
        <v>588</v>
      </c>
      <c r="H48" s="51" t="e">
        <f ca="1">Calcu!AD40</f>
        <v>#N/A</v>
      </c>
      <c r="J48" s="37" t="e">
        <f ca="1">Calcu!AB40</f>
        <v>#N/A</v>
      </c>
      <c r="K48" s="37" t="e">
        <f ca="1">Calcu!AC40</f>
        <v>#N/A</v>
      </c>
      <c r="L48" s="37" t="str">
        <f>LEFT(Calcu!AE40,1)</f>
        <v/>
      </c>
      <c r="M48" s="37" t="s">
        <v>438</v>
      </c>
      <c r="N48" s="37" t="s">
        <v>589</v>
      </c>
      <c r="O48" s="37" t="s">
        <v>589</v>
      </c>
      <c r="Q48" s="37" t="e">
        <f ca="1">Calcu!AF40</f>
        <v>#N/A</v>
      </c>
    </row>
    <row r="49" spans="1:17" ht="15" customHeight="1">
      <c r="A49" s="44" t="str">
        <f>IF(Calcu!B41=TRUE,"","삭제")</f>
        <v>삭제</v>
      </c>
      <c r="B49" s="43"/>
      <c r="C49" s="43"/>
      <c r="D49" s="43"/>
      <c r="E49" s="43"/>
      <c r="F49" s="51" t="e">
        <f ca="1">Calcu!AA41</f>
        <v>#N/A</v>
      </c>
      <c r="G49" s="51" t="s">
        <v>588</v>
      </c>
      <c r="H49" s="51" t="e">
        <f ca="1">Calcu!AD41</f>
        <v>#N/A</v>
      </c>
      <c r="J49" s="37" t="e">
        <f ca="1">Calcu!AB41</f>
        <v>#N/A</v>
      </c>
      <c r="K49" s="37" t="e">
        <f ca="1">Calcu!AC41</f>
        <v>#N/A</v>
      </c>
      <c r="L49" s="37" t="str">
        <f>LEFT(Calcu!AE41,1)</f>
        <v/>
      </c>
      <c r="M49" s="37" t="s">
        <v>438</v>
      </c>
      <c r="N49" s="37" t="s">
        <v>589</v>
      </c>
      <c r="O49" s="37" t="s">
        <v>589</v>
      </c>
      <c r="Q49" s="37" t="e">
        <f ca="1">Calcu!AF41</f>
        <v>#N/A</v>
      </c>
    </row>
    <row r="50" spans="1:17" ht="15" customHeight="1">
      <c r="A50" s="44" t="str">
        <f>IF(Calcu!B42=TRUE,"","삭제")</f>
        <v>삭제</v>
      </c>
      <c r="B50" s="43"/>
      <c r="C50" s="43"/>
      <c r="D50" s="43"/>
      <c r="E50" s="43"/>
      <c r="F50" s="51" t="e">
        <f ca="1">Calcu!AA42</f>
        <v>#N/A</v>
      </c>
      <c r="G50" s="51" t="s">
        <v>588</v>
      </c>
      <c r="H50" s="51" t="e">
        <f ca="1">Calcu!AD42</f>
        <v>#N/A</v>
      </c>
      <c r="J50" s="37" t="e">
        <f ca="1">Calcu!AB42</f>
        <v>#N/A</v>
      </c>
      <c r="K50" s="37" t="e">
        <f ca="1">Calcu!AC42</f>
        <v>#N/A</v>
      </c>
      <c r="L50" s="37" t="str">
        <f>LEFT(Calcu!AE42,1)</f>
        <v/>
      </c>
      <c r="M50" s="37" t="s">
        <v>438</v>
      </c>
      <c r="N50" s="37" t="s">
        <v>589</v>
      </c>
      <c r="O50" s="37" t="s">
        <v>589</v>
      </c>
      <c r="Q50" s="37" t="e">
        <f ca="1">Calcu!AF42</f>
        <v>#N/A</v>
      </c>
    </row>
    <row r="51" spans="1:17" ht="15" customHeight="1">
      <c r="A51" s="44" t="str">
        <f>IF(Calcu!B43=TRUE,"","삭제")</f>
        <v>삭제</v>
      </c>
      <c r="B51" s="43"/>
      <c r="C51" s="43"/>
      <c r="D51" s="43"/>
      <c r="E51" s="43"/>
      <c r="F51" s="51" t="e">
        <f ca="1">Calcu!AA43</f>
        <v>#N/A</v>
      </c>
      <c r="G51" s="51" t="s">
        <v>588</v>
      </c>
      <c r="H51" s="51" t="e">
        <f ca="1">Calcu!AD43</f>
        <v>#N/A</v>
      </c>
      <c r="J51" s="37" t="e">
        <f ca="1">Calcu!AB43</f>
        <v>#N/A</v>
      </c>
      <c r="K51" s="37" t="e">
        <f ca="1">Calcu!AC43</f>
        <v>#N/A</v>
      </c>
      <c r="L51" s="37" t="str">
        <f>LEFT(Calcu!AE43,1)</f>
        <v/>
      </c>
      <c r="M51" s="37" t="s">
        <v>438</v>
      </c>
      <c r="N51" s="37" t="s">
        <v>589</v>
      </c>
      <c r="O51" s="37" t="s">
        <v>589</v>
      </c>
      <c r="Q51" s="37" t="e">
        <f ca="1">Calcu!AF43</f>
        <v>#N/A</v>
      </c>
    </row>
    <row r="52" spans="1:17" ht="15" customHeight="1">
      <c r="A52" s="44" t="str">
        <f>IF(Calcu!B44=TRUE,"","삭제")</f>
        <v>삭제</v>
      </c>
      <c r="B52" s="43"/>
      <c r="C52" s="43"/>
      <c r="D52" s="43"/>
      <c r="E52" s="43"/>
      <c r="F52" s="51" t="e">
        <f ca="1">Calcu!AA44</f>
        <v>#N/A</v>
      </c>
      <c r="G52" s="51" t="s">
        <v>588</v>
      </c>
      <c r="H52" s="51" t="e">
        <f ca="1">Calcu!AD44</f>
        <v>#N/A</v>
      </c>
      <c r="J52" s="37" t="e">
        <f ca="1">Calcu!AB44</f>
        <v>#N/A</v>
      </c>
      <c r="K52" s="37" t="e">
        <f ca="1">Calcu!AC44</f>
        <v>#N/A</v>
      </c>
      <c r="L52" s="37" t="str">
        <f>LEFT(Calcu!AE44,1)</f>
        <v/>
      </c>
      <c r="M52" s="37" t="s">
        <v>438</v>
      </c>
      <c r="N52" s="37" t="s">
        <v>589</v>
      </c>
      <c r="O52" s="37" t="s">
        <v>589</v>
      </c>
      <c r="Q52" s="37" t="e">
        <f ca="1">Calcu!AF44</f>
        <v>#N/A</v>
      </c>
    </row>
    <row r="53" spans="1:17" ht="15" customHeight="1">
      <c r="A53" s="44" t="str">
        <f>IF(Calcu!B45=TRUE,"","삭제")</f>
        <v>삭제</v>
      </c>
      <c r="B53" s="43"/>
      <c r="C53" s="43"/>
      <c r="D53" s="43"/>
      <c r="E53" s="43"/>
      <c r="F53" s="51" t="e">
        <f ca="1">Calcu!AA45</f>
        <v>#N/A</v>
      </c>
      <c r="G53" s="51" t="s">
        <v>588</v>
      </c>
      <c r="H53" s="51" t="e">
        <f ca="1">Calcu!AD45</f>
        <v>#N/A</v>
      </c>
      <c r="J53" s="37" t="e">
        <f ca="1">Calcu!AB45</f>
        <v>#N/A</v>
      </c>
      <c r="K53" s="37" t="e">
        <f ca="1">Calcu!AC45</f>
        <v>#N/A</v>
      </c>
      <c r="L53" s="37" t="str">
        <f>LEFT(Calcu!AE45,1)</f>
        <v/>
      </c>
      <c r="M53" s="37" t="s">
        <v>438</v>
      </c>
      <c r="N53" s="37" t="s">
        <v>589</v>
      </c>
      <c r="O53" s="37" t="s">
        <v>589</v>
      </c>
      <c r="Q53" s="37" t="e">
        <f ca="1">Calcu!AF45</f>
        <v>#N/A</v>
      </c>
    </row>
    <row r="54" spans="1:17" ht="15" customHeight="1">
      <c r="A54" s="44" t="str">
        <f>IF(Calcu!B46=TRUE,"","삭제")</f>
        <v>삭제</v>
      </c>
      <c r="B54" s="43"/>
      <c r="C54" s="43"/>
      <c r="D54" s="43"/>
      <c r="E54" s="43"/>
      <c r="F54" s="51" t="e">
        <f ca="1">Calcu!AA46</f>
        <v>#N/A</v>
      </c>
      <c r="G54" s="51" t="s">
        <v>588</v>
      </c>
      <c r="H54" s="51" t="e">
        <f ca="1">Calcu!AD46</f>
        <v>#N/A</v>
      </c>
      <c r="J54" s="37" t="e">
        <f ca="1">Calcu!AB46</f>
        <v>#N/A</v>
      </c>
      <c r="K54" s="37" t="e">
        <f ca="1">Calcu!AC46</f>
        <v>#N/A</v>
      </c>
      <c r="L54" s="37" t="str">
        <f>LEFT(Calcu!AE46,1)</f>
        <v/>
      </c>
      <c r="M54" s="37" t="s">
        <v>438</v>
      </c>
      <c r="N54" s="37" t="s">
        <v>589</v>
      </c>
      <c r="O54" s="37" t="s">
        <v>589</v>
      </c>
      <c r="Q54" s="37" t="e">
        <f ca="1">Calcu!AF46</f>
        <v>#N/A</v>
      </c>
    </row>
    <row r="55" spans="1:17" ht="15" customHeight="1">
      <c r="A55" s="44" t="str">
        <f>IF(Calcu!B47=TRUE,"","삭제")</f>
        <v>삭제</v>
      </c>
      <c r="B55" s="43"/>
      <c r="C55" s="43"/>
      <c r="D55" s="43"/>
      <c r="E55" s="43"/>
      <c r="F55" s="51" t="e">
        <f ca="1">Calcu!AA47</f>
        <v>#N/A</v>
      </c>
      <c r="G55" s="51" t="s">
        <v>588</v>
      </c>
      <c r="H55" s="51" t="e">
        <f ca="1">Calcu!AD47</f>
        <v>#N/A</v>
      </c>
      <c r="J55" s="37" t="e">
        <f ca="1">Calcu!AB47</f>
        <v>#N/A</v>
      </c>
      <c r="K55" s="37" t="e">
        <f ca="1">Calcu!AC47</f>
        <v>#N/A</v>
      </c>
      <c r="L55" s="37" t="str">
        <f>LEFT(Calcu!AE47,1)</f>
        <v/>
      </c>
      <c r="M55" s="37" t="s">
        <v>438</v>
      </c>
      <c r="N55" s="37" t="s">
        <v>589</v>
      </c>
      <c r="O55" s="37" t="s">
        <v>589</v>
      </c>
      <c r="Q55" s="37" t="e">
        <f ca="1">Calcu!AF47</f>
        <v>#N/A</v>
      </c>
    </row>
    <row r="56" spans="1:17" ht="15" customHeight="1">
      <c r="A56" s="44" t="str">
        <f>IF(Calcu!B48=TRUE,"","삭제")</f>
        <v>삭제</v>
      </c>
      <c r="B56" s="43"/>
      <c r="C56" s="43"/>
      <c r="D56" s="43"/>
      <c r="E56" s="43"/>
      <c r="F56" s="51" t="e">
        <f ca="1">Calcu!AA48</f>
        <v>#N/A</v>
      </c>
      <c r="G56" s="51" t="s">
        <v>588</v>
      </c>
      <c r="H56" s="51" t="e">
        <f ca="1">Calcu!AD48</f>
        <v>#N/A</v>
      </c>
      <c r="J56" s="37" t="e">
        <f ca="1">Calcu!AB48</f>
        <v>#N/A</v>
      </c>
      <c r="K56" s="37" t="e">
        <f ca="1">Calcu!AC48</f>
        <v>#N/A</v>
      </c>
      <c r="L56" s="37" t="str">
        <f>LEFT(Calcu!AE48,1)</f>
        <v/>
      </c>
      <c r="M56" s="37" t="s">
        <v>438</v>
      </c>
      <c r="N56" s="37" t="s">
        <v>589</v>
      </c>
      <c r="O56" s="37" t="s">
        <v>589</v>
      </c>
      <c r="Q56" s="37" t="e">
        <f ca="1">Calcu!AF48</f>
        <v>#N/A</v>
      </c>
    </row>
    <row r="57" spans="1:17" ht="15" customHeight="1">
      <c r="A57" s="44" t="str">
        <f>IF(Calcu!B49=TRUE,"","삭제")</f>
        <v>삭제</v>
      </c>
      <c r="B57" s="43"/>
      <c r="C57" s="43"/>
      <c r="D57" s="43"/>
      <c r="E57" s="43"/>
      <c r="F57" s="51" t="e">
        <f ca="1">Calcu!AA49</f>
        <v>#N/A</v>
      </c>
      <c r="G57" s="51" t="s">
        <v>588</v>
      </c>
      <c r="H57" s="51" t="e">
        <f ca="1">Calcu!AD49</f>
        <v>#N/A</v>
      </c>
      <c r="J57" s="37" t="e">
        <f ca="1">Calcu!AB49</f>
        <v>#N/A</v>
      </c>
      <c r="K57" s="37" t="e">
        <f ca="1">Calcu!AC49</f>
        <v>#N/A</v>
      </c>
      <c r="L57" s="37" t="str">
        <f>LEFT(Calcu!AE49,1)</f>
        <v/>
      </c>
      <c r="M57" s="37" t="s">
        <v>438</v>
      </c>
      <c r="N57" s="37" t="s">
        <v>589</v>
      </c>
      <c r="O57" s="37" t="s">
        <v>589</v>
      </c>
      <c r="Q57" s="37" t="e">
        <f ca="1">Calcu!AF49</f>
        <v>#N/A</v>
      </c>
    </row>
    <row r="58" spans="1:17" ht="15" customHeight="1">
      <c r="A58" s="44"/>
      <c r="F58" s="51"/>
      <c r="G58" s="51"/>
      <c r="H58" s="51"/>
    </row>
    <row r="59" spans="1:17" ht="15" customHeight="1">
      <c r="A59" s="44"/>
      <c r="G59" s="53" t="e">
        <f ca="1">IF(Calcu!E80="사다리꼴","※ 신뢰수준 95 %,","※ 신뢰수준 약 95 %,")</f>
        <v>#N/A</v>
      </c>
      <c r="H59" s="179" t="e">
        <f ca="1">Calcu!E81&amp;IF(Calcu!E80="사다리꼴",", 사다리꼴 확률분포","")</f>
        <v>#N/A</v>
      </c>
      <c r="K59" s="50"/>
      <c r="Q59" s="53"/>
    </row>
    <row r="60" spans="1:17" ht="15" customHeight="1"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5"/>
    </row>
  </sheetData>
  <mergeCells count="13">
    <mergeCell ref="M15:O15"/>
    <mergeCell ref="P15:P16"/>
    <mergeCell ref="Q15:Q16"/>
    <mergeCell ref="A1:Q2"/>
    <mergeCell ref="B15:B16"/>
    <mergeCell ref="C15:C16"/>
    <mergeCell ref="D15:D16"/>
    <mergeCell ref="E15:E16"/>
    <mergeCell ref="F15:F16"/>
    <mergeCell ref="G15:G16"/>
    <mergeCell ref="H15:H16"/>
    <mergeCell ref="I15:I16"/>
    <mergeCell ref="J15:L15"/>
  </mergeCells>
  <phoneticPr fontId="4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34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3.77734375" style="37" customWidth="1"/>
    <col min="5" max="8" width="11.77734375" style="37" customWidth="1"/>
    <col min="9" max="11" width="3.77734375" style="37" customWidth="1"/>
    <col min="12" max="12" width="3.77734375" style="94" customWidth="1"/>
    <col min="13" max="13" width="6.77734375" style="106" customWidth="1"/>
    <col min="14" max="16384" width="10.77734375" style="94"/>
  </cols>
  <sheetData>
    <row r="1" spans="1:13" s="81" customFormat="1" ht="33" customHeight="1">
      <c r="A1" s="375" t="s">
        <v>73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83"/>
    </row>
    <row r="2" spans="1:13" s="81" customFormat="1" ht="33" customHeight="1">
      <c r="A2" s="375"/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83"/>
    </row>
    <row r="3" spans="1:13" s="81" customFormat="1" ht="12.75" customHeight="1">
      <c r="A3" s="48"/>
      <c r="B3" s="48"/>
      <c r="C3" s="48"/>
      <c r="D3" s="22"/>
      <c r="E3" s="22"/>
      <c r="F3" s="22"/>
      <c r="G3" s="22"/>
      <c r="H3" s="22"/>
      <c r="I3" s="22"/>
      <c r="J3" s="22"/>
      <c r="K3" s="22"/>
      <c r="L3" s="82"/>
      <c r="M3" s="105"/>
    </row>
    <row r="4" spans="1:13" s="83" customFormat="1" ht="13.5" customHeight="1">
      <c r="A4" s="91"/>
      <c r="B4" s="91"/>
      <c r="C4" s="91"/>
      <c r="D4" s="92"/>
      <c r="E4" s="92"/>
      <c r="F4" s="100"/>
      <c r="G4" s="92"/>
      <c r="H4" s="92"/>
      <c r="I4" s="101"/>
      <c r="J4" s="93"/>
      <c r="K4" s="100"/>
      <c r="L4" s="91"/>
      <c r="M4" s="36"/>
    </row>
    <row r="5" spans="1:13" s="84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6" customFormat="1" ht="15" customHeight="1">
      <c r="A6" s="43"/>
      <c r="D6" s="43"/>
      <c r="E6" s="38" t="s">
        <v>136</v>
      </c>
      <c r="F6" s="37"/>
      <c r="G6" s="52"/>
      <c r="H6" s="52"/>
      <c r="I6" s="52"/>
      <c r="J6" s="51"/>
      <c r="K6" s="37"/>
      <c r="L6" s="95"/>
    </row>
    <row r="7" spans="1:13" s="86" customFormat="1" ht="15" customHeight="1">
      <c r="A7" s="43"/>
      <c r="D7" s="43"/>
      <c r="E7" s="137" t="s">
        <v>127</v>
      </c>
      <c r="F7" s="137" t="s">
        <v>99</v>
      </c>
      <c r="G7" s="169" t="s">
        <v>98</v>
      </c>
      <c r="H7" s="373" t="s">
        <v>100</v>
      </c>
      <c r="I7" s="51"/>
    </row>
    <row r="8" spans="1:13" s="86" customFormat="1" ht="15" customHeight="1">
      <c r="A8" s="43"/>
      <c r="D8" s="43"/>
      <c r="E8" s="136" t="s">
        <v>137</v>
      </c>
      <c r="F8" s="136" t="s">
        <v>137</v>
      </c>
      <c r="G8" s="136" t="s">
        <v>135</v>
      </c>
      <c r="H8" s="374"/>
      <c r="I8" s="51"/>
    </row>
    <row r="9" spans="1:13" s="86" customFormat="1" ht="15" customHeight="1">
      <c r="A9" s="43" t="str">
        <f>IF(Calcu!B9=TRUE,"","삭제")</f>
        <v>삭제</v>
      </c>
      <c r="D9" s="43"/>
      <c r="E9" s="185" t="e">
        <f ca="1">Calcu!AA9</f>
        <v>#N/A</v>
      </c>
      <c r="F9" s="185" t="e">
        <f ca="1">Calcu!AB9</f>
        <v>#N/A</v>
      </c>
      <c r="G9" s="185" t="e">
        <f ca="1">Calcu!AD9</f>
        <v>#N/A</v>
      </c>
      <c r="H9" s="185" t="str">
        <f>Calcu!AE9</f>
        <v/>
      </c>
    </row>
    <row r="10" spans="1:13" s="86" customFormat="1" ht="15" customHeight="1">
      <c r="A10" s="43" t="str">
        <f>IF(Calcu!B10=TRUE,"","삭제")</f>
        <v>삭제</v>
      </c>
      <c r="D10" s="43"/>
      <c r="E10" s="185" t="e">
        <f ca="1">Calcu!AA10</f>
        <v>#N/A</v>
      </c>
      <c r="F10" s="185" t="e">
        <f ca="1">Calcu!AB10</f>
        <v>#N/A</v>
      </c>
      <c r="G10" s="185" t="e">
        <f ca="1">Calcu!AD10</f>
        <v>#N/A</v>
      </c>
      <c r="H10" s="185" t="str">
        <f>Calcu!AE10</f>
        <v/>
      </c>
    </row>
    <row r="11" spans="1:13" s="86" customFormat="1" ht="15" customHeight="1">
      <c r="A11" s="43" t="str">
        <f>IF(Calcu!B11=TRUE,"","삭제")</f>
        <v>삭제</v>
      </c>
      <c r="D11" s="43"/>
      <c r="E11" s="185" t="e">
        <f ca="1">Calcu!AA11</f>
        <v>#N/A</v>
      </c>
      <c r="F11" s="185" t="e">
        <f ca="1">Calcu!AB11</f>
        <v>#N/A</v>
      </c>
      <c r="G11" s="185" t="e">
        <f ca="1">Calcu!AD11</f>
        <v>#N/A</v>
      </c>
      <c r="H11" s="185" t="str">
        <f>Calcu!AE11</f>
        <v/>
      </c>
    </row>
    <row r="12" spans="1:13" s="86" customFormat="1" ht="15" customHeight="1">
      <c r="A12" s="43" t="str">
        <f>IF(Calcu!B12=TRUE,"","삭제")</f>
        <v>삭제</v>
      </c>
      <c r="D12" s="43"/>
      <c r="E12" s="185" t="e">
        <f ca="1">Calcu!AA12</f>
        <v>#N/A</v>
      </c>
      <c r="F12" s="185" t="e">
        <f ca="1">Calcu!AB12</f>
        <v>#N/A</v>
      </c>
      <c r="G12" s="185" t="e">
        <f ca="1">Calcu!AD12</f>
        <v>#N/A</v>
      </c>
      <c r="H12" s="185" t="str">
        <f>Calcu!AE12</f>
        <v/>
      </c>
    </row>
    <row r="13" spans="1:13" s="86" customFormat="1" ht="15" customHeight="1">
      <c r="A13" s="43" t="str">
        <f>IF(Calcu!B13=TRUE,"","삭제")</f>
        <v>삭제</v>
      </c>
      <c r="D13" s="43"/>
      <c r="E13" s="185" t="e">
        <f ca="1">Calcu!AA13</f>
        <v>#N/A</v>
      </c>
      <c r="F13" s="185" t="e">
        <f ca="1">Calcu!AB13</f>
        <v>#N/A</v>
      </c>
      <c r="G13" s="185" t="e">
        <f ca="1">Calcu!AD13</f>
        <v>#N/A</v>
      </c>
      <c r="H13" s="185" t="str">
        <f>Calcu!AE13</f>
        <v/>
      </c>
    </row>
    <row r="14" spans="1:13" s="86" customFormat="1" ht="15" customHeight="1">
      <c r="A14" s="43" t="str">
        <f>IF(Calcu!B14=TRUE,"","삭제")</f>
        <v>삭제</v>
      </c>
      <c r="D14" s="43"/>
      <c r="E14" s="185" t="e">
        <f ca="1">Calcu!AA14</f>
        <v>#N/A</v>
      </c>
      <c r="F14" s="185" t="e">
        <f ca="1">Calcu!AB14</f>
        <v>#N/A</v>
      </c>
      <c r="G14" s="185" t="e">
        <f ca="1">Calcu!AD14</f>
        <v>#N/A</v>
      </c>
      <c r="H14" s="185" t="str">
        <f>Calcu!AE14</f>
        <v/>
      </c>
    </row>
    <row r="15" spans="1:13" s="86" customFormat="1" ht="15" customHeight="1">
      <c r="A15" s="43" t="str">
        <f>IF(Calcu!B15=TRUE,"","삭제")</f>
        <v>삭제</v>
      </c>
      <c r="D15" s="43"/>
      <c r="E15" s="185" t="e">
        <f ca="1">Calcu!AA15</f>
        <v>#N/A</v>
      </c>
      <c r="F15" s="185" t="e">
        <f ca="1">Calcu!AB15</f>
        <v>#N/A</v>
      </c>
      <c r="G15" s="185" t="e">
        <f ca="1">Calcu!AD15</f>
        <v>#N/A</v>
      </c>
      <c r="H15" s="185" t="str">
        <f>Calcu!AE15</f>
        <v/>
      </c>
    </row>
    <row r="16" spans="1:13" s="86" customFormat="1" ht="15" customHeight="1">
      <c r="A16" s="43" t="str">
        <f>IF(Calcu!B16=TRUE,"","삭제")</f>
        <v>삭제</v>
      </c>
      <c r="D16" s="43"/>
      <c r="E16" s="185" t="e">
        <f ca="1">Calcu!AA16</f>
        <v>#N/A</v>
      </c>
      <c r="F16" s="185" t="e">
        <f ca="1">Calcu!AB16</f>
        <v>#N/A</v>
      </c>
      <c r="G16" s="185" t="e">
        <f ca="1">Calcu!AD16</f>
        <v>#N/A</v>
      </c>
      <c r="H16" s="185" t="str">
        <f>Calcu!AE16</f>
        <v/>
      </c>
    </row>
    <row r="17" spans="1:13" s="86" customFormat="1" ht="15" customHeight="1">
      <c r="A17" s="43" t="str">
        <f>IF(Calcu!B17=TRUE,"","삭제")</f>
        <v>삭제</v>
      </c>
      <c r="D17" s="43"/>
      <c r="E17" s="185" t="e">
        <f ca="1">Calcu!AA17</f>
        <v>#N/A</v>
      </c>
      <c r="F17" s="185" t="e">
        <f ca="1">Calcu!AB17</f>
        <v>#N/A</v>
      </c>
      <c r="G17" s="185" t="e">
        <f ca="1">Calcu!AD17</f>
        <v>#N/A</v>
      </c>
      <c r="H17" s="185" t="str">
        <f>Calcu!AE17</f>
        <v/>
      </c>
    </row>
    <row r="18" spans="1:13" s="86" customFormat="1" ht="15" customHeight="1">
      <c r="A18" s="43" t="str">
        <f>IF(Calcu!B18=TRUE,"","삭제")</f>
        <v>삭제</v>
      </c>
      <c r="D18" s="43"/>
      <c r="E18" s="185" t="e">
        <f ca="1">Calcu!AA18</f>
        <v>#N/A</v>
      </c>
      <c r="F18" s="185" t="e">
        <f ca="1">Calcu!AB18</f>
        <v>#N/A</v>
      </c>
      <c r="G18" s="185" t="e">
        <f ca="1">Calcu!AD18</f>
        <v>#N/A</v>
      </c>
      <c r="H18" s="185" t="str">
        <f>Calcu!AE18</f>
        <v/>
      </c>
    </row>
    <row r="19" spans="1:13" s="86" customFormat="1" ht="15" customHeight="1">
      <c r="A19" s="43" t="str">
        <f>IF(Calcu!B19=TRUE,"","삭제")</f>
        <v>삭제</v>
      </c>
      <c r="D19" s="43"/>
      <c r="E19" s="185" t="e">
        <f ca="1">Calcu!AA19</f>
        <v>#N/A</v>
      </c>
      <c r="F19" s="185" t="e">
        <f ca="1">Calcu!AB19</f>
        <v>#N/A</v>
      </c>
      <c r="G19" s="185" t="e">
        <f ca="1">Calcu!AD19</f>
        <v>#N/A</v>
      </c>
      <c r="H19" s="185" t="str">
        <f>Calcu!AE19</f>
        <v/>
      </c>
    </row>
    <row r="20" spans="1:13" s="86" customFormat="1" ht="15" customHeight="1">
      <c r="A20" s="43" t="str">
        <f>IF(Calcu!B20=TRUE,"","삭제")</f>
        <v>삭제</v>
      </c>
      <c r="D20" s="43"/>
      <c r="E20" s="185" t="e">
        <f ca="1">Calcu!AA20</f>
        <v>#N/A</v>
      </c>
      <c r="F20" s="185" t="e">
        <f ca="1">Calcu!AB20</f>
        <v>#N/A</v>
      </c>
      <c r="G20" s="185" t="e">
        <f ca="1">Calcu!AD20</f>
        <v>#N/A</v>
      </c>
      <c r="H20" s="185" t="str">
        <f>Calcu!AE20</f>
        <v/>
      </c>
    </row>
    <row r="21" spans="1:13" s="86" customFormat="1" ht="15" customHeight="1">
      <c r="A21" s="43" t="str">
        <f>IF(Calcu!B21=TRUE,"","삭제")</f>
        <v>삭제</v>
      </c>
      <c r="D21" s="43"/>
      <c r="E21" s="185" t="e">
        <f ca="1">Calcu!AA21</f>
        <v>#N/A</v>
      </c>
      <c r="F21" s="185" t="e">
        <f ca="1">Calcu!AB21</f>
        <v>#N/A</v>
      </c>
      <c r="G21" s="185" t="e">
        <f ca="1">Calcu!AD21</f>
        <v>#N/A</v>
      </c>
      <c r="H21" s="185" t="str">
        <f>Calcu!AE21</f>
        <v/>
      </c>
    </row>
    <row r="22" spans="1:13" s="86" customFormat="1" ht="15" customHeight="1">
      <c r="A22" s="43" t="str">
        <f>IF(Calcu!B22=TRUE,"","삭제")</f>
        <v>삭제</v>
      </c>
      <c r="D22" s="43"/>
      <c r="E22" s="185" t="e">
        <f ca="1">Calcu!AA22</f>
        <v>#N/A</v>
      </c>
      <c r="F22" s="185" t="e">
        <f ca="1">Calcu!AB22</f>
        <v>#N/A</v>
      </c>
      <c r="G22" s="185" t="e">
        <f ca="1">Calcu!AD22</f>
        <v>#N/A</v>
      </c>
      <c r="H22" s="185" t="str">
        <f>Calcu!AE22</f>
        <v/>
      </c>
    </row>
    <row r="23" spans="1:13" s="86" customFormat="1" ht="15" customHeight="1">
      <c r="A23" s="43" t="str">
        <f>IF(Calcu!B23=TRUE,"","삭제")</f>
        <v>삭제</v>
      </c>
      <c r="D23" s="43"/>
      <c r="E23" s="185" t="e">
        <f ca="1">Calcu!AA23</f>
        <v>#N/A</v>
      </c>
      <c r="F23" s="185" t="e">
        <f ca="1">Calcu!AB23</f>
        <v>#N/A</v>
      </c>
      <c r="G23" s="185" t="e">
        <f ca="1">Calcu!AD23</f>
        <v>#N/A</v>
      </c>
      <c r="H23" s="185" t="str">
        <f>Calcu!AE23</f>
        <v/>
      </c>
    </row>
    <row r="24" spans="1:13" s="86" customFormat="1" ht="15" customHeight="1">
      <c r="A24" s="43" t="str">
        <f>IF(Calcu!B24=TRUE,"","삭제")</f>
        <v>삭제</v>
      </c>
      <c r="D24" s="43"/>
      <c r="E24" s="185" t="e">
        <f ca="1">Calcu!AA24</f>
        <v>#N/A</v>
      </c>
      <c r="F24" s="185" t="e">
        <f ca="1">Calcu!AB24</f>
        <v>#N/A</v>
      </c>
      <c r="G24" s="185" t="e">
        <f ca="1">Calcu!AD24</f>
        <v>#N/A</v>
      </c>
      <c r="H24" s="185" t="str">
        <f>Calcu!AE24</f>
        <v/>
      </c>
    </row>
    <row r="25" spans="1:13" s="86" customFormat="1" ht="15" customHeight="1">
      <c r="A25" s="43" t="str">
        <f>IF(Calcu!B25=TRUE,"","삭제")</f>
        <v>삭제</v>
      </c>
      <c r="D25" s="43"/>
      <c r="E25" s="185" t="e">
        <f ca="1">Calcu!AA25</f>
        <v>#N/A</v>
      </c>
      <c r="F25" s="185" t="e">
        <f ca="1">Calcu!AB25</f>
        <v>#N/A</v>
      </c>
      <c r="G25" s="185" t="e">
        <f ca="1">Calcu!AD25</f>
        <v>#N/A</v>
      </c>
      <c r="H25" s="185" t="str">
        <f>Calcu!AE25</f>
        <v/>
      </c>
    </row>
    <row r="26" spans="1:13" s="86" customFormat="1" ht="15" customHeight="1">
      <c r="A26" s="43" t="str">
        <f>IF(Calcu!B26=TRUE,"","삭제")</f>
        <v>삭제</v>
      </c>
      <c r="D26" s="43"/>
      <c r="E26" s="185" t="e">
        <f ca="1">Calcu!AA26</f>
        <v>#N/A</v>
      </c>
      <c r="F26" s="185" t="e">
        <f ca="1">Calcu!AB26</f>
        <v>#N/A</v>
      </c>
      <c r="G26" s="185" t="e">
        <f ca="1">Calcu!AD26</f>
        <v>#N/A</v>
      </c>
      <c r="H26" s="185" t="str">
        <f>Calcu!AE26</f>
        <v/>
      </c>
    </row>
    <row r="27" spans="1:13" s="86" customFormat="1" ht="15" customHeight="1">
      <c r="A27" s="43" t="str">
        <f>IF(Calcu!B27=TRUE,"","삭제")</f>
        <v>삭제</v>
      </c>
      <c r="D27" s="43"/>
      <c r="E27" s="185" t="e">
        <f ca="1">Calcu!AA27</f>
        <v>#N/A</v>
      </c>
      <c r="F27" s="185" t="e">
        <f ca="1">Calcu!AB27</f>
        <v>#N/A</v>
      </c>
      <c r="G27" s="185" t="e">
        <f ca="1">Calcu!AD27</f>
        <v>#N/A</v>
      </c>
      <c r="H27" s="185" t="str">
        <f>Calcu!AE27</f>
        <v/>
      </c>
    </row>
    <row r="28" spans="1:13" s="86" customFormat="1" ht="15" customHeight="1">
      <c r="A28" s="43" t="str">
        <f>IF(Calcu!B28=TRUE,"","삭제")</f>
        <v>삭제</v>
      </c>
      <c r="D28" s="43"/>
      <c r="E28" s="185" t="e">
        <f ca="1">Calcu!AA28</f>
        <v>#N/A</v>
      </c>
      <c r="F28" s="185" t="e">
        <f ca="1">Calcu!AB28</f>
        <v>#N/A</v>
      </c>
      <c r="G28" s="185" t="e">
        <f ca="1">Calcu!AD28</f>
        <v>#N/A</v>
      </c>
      <c r="H28" s="185" t="str">
        <f>Calcu!AE28</f>
        <v/>
      </c>
    </row>
    <row r="29" spans="1:13" s="86" customFormat="1" ht="15" customHeight="1">
      <c r="A29" s="43" t="str">
        <f>IF(Calcu!B29=TRUE,"","삭제")</f>
        <v>삭제</v>
      </c>
      <c r="D29" s="43"/>
      <c r="E29" s="185" t="e">
        <f ca="1">Calcu!AA29</f>
        <v>#N/A</v>
      </c>
      <c r="F29" s="185" t="e">
        <f ca="1">Calcu!AB29</f>
        <v>#N/A</v>
      </c>
      <c r="G29" s="185" t="e">
        <f ca="1">Calcu!AD29</f>
        <v>#N/A</v>
      </c>
      <c r="H29" s="185" t="str">
        <f>Calcu!AE29</f>
        <v/>
      </c>
    </row>
    <row r="30" spans="1:13" s="86" customFormat="1" ht="15" customHeight="1">
      <c r="A30" s="43" t="str">
        <f>IF(Calcu!B30=TRUE,"","삭제")</f>
        <v>삭제</v>
      </c>
      <c r="D30" s="43"/>
      <c r="E30" s="185" t="e">
        <f ca="1">Calcu!AA30</f>
        <v>#N/A</v>
      </c>
      <c r="F30" s="185" t="e">
        <f ca="1">Calcu!AB30</f>
        <v>#N/A</v>
      </c>
      <c r="G30" s="185" t="e">
        <f ca="1">Calcu!AD30</f>
        <v>#N/A</v>
      </c>
      <c r="H30" s="185" t="str">
        <f>Calcu!AE30</f>
        <v/>
      </c>
    </row>
    <row r="31" spans="1:13" s="86" customFormat="1" ht="15" customHeight="1">
      <c r="A31" s="43" t="str">
        <f>IF(Calcu!B31=TRUE,"","삭제")</f>
        <v>삭제</v>
      </c>
      <c r="D31" s="43"/>
      <c r="E31" s="185" t="e">
        <f ca="1">Calcu!AA31</f>
        <v>#N/A</v>
      </c>
      <c r="F31" s="185" t="e">
        <f ca="1">Calcu!AB31</f>
        <v>#N/A</v>
      </c>
      <c r="G31" s="185" t="e">
        <f ca="1">Calcu!AD31</f>
        <v>#N/A</v>
      </c>
      <c r="H31" s="185" t="str">
        <f>Calcu!AE31</f>
        <v/>
      </c>
    </row>
    <row r="32" spans="1:13" ht="15" customHeight="1">
      <c r="B32" s="94"/>
      <c r="C32" s="94"/>
      <c r="D32" s="74"/>
      <c r="E32" s="107"/>
      <c r="F32" s="107"/>
      <c r="G32" s="107"/>
      <c r="H32" s="107"/>
      <c r="I32" s="74"/>
      <c r="J32" s="106"/>
      <c r="K32" s="94"/>
      <c r="M32" s="94"/>
    </row>
    <row r="33" spans="10:13" ht="15" customHeight="1">
      <c r="J33" s="94"/>
      <c r="K33" s="106"/>
      <c r="M33" s="94"/>
    </row>
    <row r="34" spans="10:13" ht="15" customHeight="1">
      <c r="J34" s="94"/>
      <c r="K34" s="106"/>
      <c r="M34" s="94"/>
    </row>
  </sheetData>
  <mergeCells count="2">
    <mergeCell ref="H7:H8"/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4" customWidth="1"/>
    <col min="13" max="16384" width="10.77734375" style="86"/>
  </cols>
  <sheetData>
    <row r="1" spans="1:12" s="81" customFormat="1" ht="33" customHeight="1">
      <c r="A1" s="375" t="s">
        <v>59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</row>
    <row r="2" spans="1:12" s="81" customFormat="1" ht="33" customHeight="1">
      <c r="A2" s="375"/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</row>
    <row r="3" spans="1:12" s="81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82"/>
    </row>
    <row r="4" spans="1:12" s="83" customFormat="1" ht="13.5" customHeight="1">
      <c r="A4" s="91"/>
      <c r="B4" s="91"/>
      <c r="C4" s="92"/>
      <c r="D4" s="92"/>
      <c r="E4" s="100"/>
      <c r="F4" s="92"/>
      <c r="G4" s="92"/>
      <c r="H4" s="101"/>
      <c r="I4" s="93"/>
      <c r="J4" s="100"/>
      <c r="K4" s="100"/>
      <c r="L4" s="91"/>
    </row>
    <row r="5" spans="1:12" s="85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4"/>
    </row>
    <row r="6" spans="1:12" s="37" customFormat="1" ht="15" customHeight="1">
      <c r="C6" s="54" t="str">
        <f>"○ 품명 : "&amp;기본정보!C$5</f>
        <v xml:space="preserve">○ 품명 : </v>
      </c>
      <c r="L6" s="94"/>
    </row>
    <row r="7" spans="1:12" s="37" customFormat="1" ht="15" customHeight="1">
      <c r="C7" s="54" t="str">
        <f>"○ 제작회사 : "&amp;기본정보!C$6</f>
        <v xml:space="preserve">○ 제작회사 : </v>
      </c>
      <c r="L7" s="94"/>
    </row>
    <row r="8" spans="1:12" s="37" customFormat="1" ht="15" customHeight="1">
      <c r="C8" s="54" t="str">
        <f>"○ 형식 : "&amp;기본정보!C$7</f>
        <v xml:space="preserve">○ 형식 : </v>
      </c>
      <c r="L8" s="94"/>
    </row>
    <row r="9" spans="1:12" s="37" customFormat="1" ht="15" customHeight="1">
      <c r="C9" s="54" t="str">
        <f>"○ 기기번호 : "&amp;기본정보!C$8</f>
        <v xml:space="preserve">○ 기기번호 : </v>
      </c>
      <c r="L9" s="94"/>
    </row>
    <row r="10" spans="1:12" s="37" customFormat="1" ht="15" customHeight="1">
      <c r="L10" s="94"/>
    </row>
    <row r="11" spans="1:12" ht="15" customHeight="1">
      <c r="B11" s="74"/>
      <c r="C11" s="107"/>
      <c r="D11" s="107"/>
      <c r="E11" s="107"/>
      <c r="F11" s="107"/>
      <c r="G11" s="107"/>
      <c r="H11" s="108"/>
      <c r="I11" s="108"/>
      <c r="J11" s="107"/>
      <c r="K11" s="74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55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10.44140625" style="27" customWidth="1"/>
    <col min="10" max="10" width="3.77734375" style="45" customWidth="1"/>
    <col min="11" max="12" width="10.44140625" style="45" customWidth="1"/>
    <col min="13" max="16" width="8.88671875" style="45" customWidth="1"/>
    <col min="17" max="19" width="8.88671875" style="45"/>
    <col min="20" max="16384" width="8.88671875" style="29"/>
  </cols>
  <sheetData>
    <row r="1" spans="1:30" s="67" customFormat="1" ht="25.5">
      <c r="A1" s="63" t="s">
        <v>265</v>
      </c>
      <c r="B1" s="31"/>
      <c r="C1" s="31"/>
      <c r="D1" s="31"/>
      <c r="E1" s="64"/>
      <c r="F1" s="27"/>
      <c r="G1" s="27"/>
      <c r="H1" s="27"/>
      <c r="I1" s="27"/>
      <c r="J1" s="27"/>
      <c r="K1" s="65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6"/>
      <c r="B3" s="233" t="s">
        <v>266</v>
      </c>
      <c r="C3" s="234">
        <f>기본정보!C3</f>
        <v>0</v>
      </c>
      <c r="D3" s="233" t="s">
        <v>267</v>
      </c>
      <c r="E3" s="380">
        <f>기본정보!H3</f>
        <v>0</v>
      </c>
      <c r="F3" s="381"/>
      <c r="G3" s="233" t="s">
        <v>268</v>
      </c>
      <c r="H3" s="235">
        <f>기본정보!H8</f>
        <v>0</v>
      </c>
      <c r="I3" s="25"/>
    </row>
    <row r="4" spans="1:30" s="28" customFormat="1" ht="15" customHeight="1">
      <c r="A4" s="46"/>
      <c r="B4" s="233" t="s">
        <v>269</v>
      </c>
      <c r="C4" s="236">
        <f>기본정보!C8</f>
        <v>0</v>
      </c>
      <c r="D4" s="233" t="s">
        <v>270</v>
      </c>
      <c r="E4" s="378">
        <f>기본정보!H4</f>
        <v>0</v>
      </c>
      <c r="F4" s="379"/>
      <c r="G4" s="233" t="s">
        <v>271</v>
      </c>
      <c r="H4" s="235">
        <f>기본정보!H9</f>
        <v>0</v>
      </c>
      <c r="I4" s="25"/>
    </row>
    <row r="5" spans="1:30" s="28" customFormat="1" ht="15" customHeight="1">
      <c r="A5" s="46"/>
      <c r="D5" s="25"/>
      <c r="E5" s="25"/>
      <c r="F5" s="25"/>
      <c r="G5" s="25"/>
      <c r="H5" s="25"/>
      <c r="I5" s="25"/>
    </row>
    <row r="6" spans="1:30" s="28" customFormat="1" ht="15" customHeight="1">
      <c r="A6" s="46"/>
      <c r="B6" s="46" t="s">
        <v>272</v>
      </c>
      <c r="D6" s="25"/>
      <c r="E6" s="25"/>
      <c r="F6" s="25"/>
      <c r="G6" s="25"/>
      <c r="H6" s="25"/>
      <c r="I6" s="25"/>
    </row>
    <row r="7" spans="1:30" s="28" customFormat="1" ht="15" customHeight="1">
      <c r="A7" s="46"/>
      <c r="B7" s="233" t="s">
        <v>273</v>
      </c>
      <c r="C7" s="233" t="s">
        <v>263</v>
      </c>
      <c r="D7" s="233" t="s">
        <v>274</v>
      </c>
      <c r="E7" s="233" t="s">
        <v>275</v>
      </c>
      <c r="F7" s="25"/>
      <c r="G7" s="25"/>
      <c r="H7" s="25"/>
      <c r="I7" s="25"/>
      <c r="J7" s="25"/>
    </row>
    <row r="8" spans="1:30" s="28" customFormat="1" ht="15" customHeight="1">
      <c r="A8" s="46"/>
      <c r="B8" s="234">
        <f>Calcu!F3</f>
        <v>0</v>
      </c>
      <c r="C8" s="234">
        <f>Calcu!G3</f>
        <v>0</v>
      </c>
      <c r="D8" s="234">
        <f>Calcu!H3</f>
        <v>0</v>
      </c>
      <c r="E8" s="234">
        <f>Calcu!J3</f>
        <v>0</v>
      </c>
      <c r="F8" s="25"/>
      <c r="G8" s="25"/>
      <c r="H8" s="25"/>
      <c r="I8" s="25"/>
      <c r="J8" s="25"/>
    </row>
    <row r="9" spans="1:30" s="28" customFormat="1" ht="15" customHeight="1">
      <c r="A9" s="46"/>
      <c r="B9" s="25"/>
      <c r="C9" s="25"/>
      <c r="D9" s="25"/>
      <c r="E9" s="25"/>
      <c r="F9" s="25"/>
      <c r="G9" s="25"/>
      <c r="H9" s="25"/>
      <c r="I9" s="25"/>
    </row>
    <row r="10" spans="1:30" s="28" customFormat="1" ht="15" customHeight="1">
      <c r="A10" s="46"/>
      <c r="B10" s="103" t="s">
        <v>276</v>
      </c>
      <c r="C10" s="25"/>
      <c r="D10" s="25"/>
      <c r="E10" s="25"/>
      <c r="F10" s="25"/>
      <c r="G10" s="25"/>
      <c r="H10" s="25"/>
      <c r="I10" s="25"/>
    </row>
    <row r="11" spans="1:30" ht="13.5" customHeight="1">
      <c r="A11" s="29"/>
      <c r="B11" s="104" t="s">
        <v>277</v>
      </c>
      <c r="C11" s="104"/>
      <c r="E11" s="31"/>
      <c r="F11" s="26"/>
      <c r="G11" s="25"/>
      <c r="H11" s="25"/>
      <c r="I11" s="25"/>
      <c r="J11" s="25"/>
      <c r="K11" s="28"/>
      <c r="L11" s="28"/>
      <c r="M11" s="28"/>
      <c r="N11" s="28"/>
      <c r="T11" s="45"/>
    </row>
    <row r="12" spans="1:30" ht="13.5" customHeight="1">
      <c r="B12" s="376" t="s">
        <v>278</v>
      </c>
      <c r="C12" s="376" t="s">
        <v>279</v>
      </c>
      <c r="D12" s="382" t="str">
        <f>Calcu!E6</f>
        <v>레이저 간섭계 지시값</v>
      </c>
      <c r="E12" s="383"/>
      <c r="F12" s="383"/>
      <c r="G12" s="383"/>
      <c r="H12" s="384"/>
      <c r="I12" s="25"/>
      <c r="J12" s="25"/>
      <c r="K12" s="28"/>
      <c r="L12" s="28"/>
      <c r="M12" s="28"/>
      <c r="N12" s="28"/>
      <c r="T12" s="45"/>
    </row>
    <row r="13" spans="1:30" ht="13.5" customHeight="1">
      <c r="B13" s="377"/>
      <c r="C13" s="377"/>
      <c r="D13" s="233" t="s">
        <v>94</v>
      </c>
      <c r="E13" s="233" t="s">
        <v>76</v>
      </c>
      <c r="F13" s="233" t="s">
        <v>77</v>
      </c>
      <c r="G13" s="233" t="s">
        <v>133</v>
      </c>
      <c r="H13" s="233" t="s">
        <v>134</v>
      </c>
      <c r="I13" s="25"/>
      <c r="J13" s="25"/>
      <c r="K13" s="28"/>
      <c r="L13" s="28"/>
      <c r="M13" s="28"/>
      <c r="N13" s="28"/>
      <c r="T13" s="45"/>
    </row>
    <row r="14" spans="1:30" ht="13.5" customHeight="1">
      <c r="B14" s="233">
        <f>E8</f>
        <v>0</v>
      </c>
      <c r="C14" s="233">
        <f>B14</f>
        <v>0</v>
      </c>
      <c r="D14" s="233">
        <f>B14</f>
        <v>0</v>
      </c>
      <c r="E14" s="233">
        <f t="shared" ref="E14:H14" si="0">D14</f>
        <v>0</v>
      </c>
      <c r="F14" s="233">
        <f t="shared" si="0"/>
        <v>0</v>
      </c>
      <c r="G14" s="233">
        <f t="shared" si="0"/>
        <v>0</v>
      </c>
      <c r="H14" s="233">
        <f t="shared" si="0"/>
        <v>0</v>
      </c>
      <c r="I14" s="25"/>
      <c r="J14" s="25"/>
      <c r="K14" s="28"/>
      <c r="L14" s="28"/>
      <c r="M14" s="28"/>
      <c r="N14" s="28"/>
      <c r="T14" s="45"/>
    </row>
    <row r="15" spans="1:30" ht="13.5" customHeight="1">
      <c r="B15" s="234" t="str">
        <f>Calcu!C9</f>
        <v/>
      </c>
      <c r="C15" s="234" t="str">
        <f>IF(Calcu!B9=FALSE,"",Length_1!A4)</f>
        <v/>
      </c>
      <c r="D15" s="234" t="str">
        <f>IF(Calcu!$B9=FALSE,"",TEXT(Calcu!E9,Calcu!$Q$70))</f>
        <v/>
      </c>
      <c r="E15" s="234" t="str">
        <f>IF(Calcu!$B9=FALSE,"",TEXT(Calcu!F9,Calcu!$Q$70))</f>
        <v/>
      </c>
      <c r="F15" s="234" t="str">
        <f>IF(Calcu!$B9=FALSE,"",TEXT(Calcu!G9,Calcu!$Q$70))</f>
        <v/>
      </c>
      <c r="G15" s="234" t="str">
        <f>IF(Calcu!$B9=FALSE,"",TEXT(Calcu!H9,Calcu!$Q$70))</f>
        <v/>
      </c>
      <c r="H15" s="234" t="str">
        <f>IF(Calcu!$B9=FALSE,"",TEXT(Calcu!I9,Calcu!$Q$70))</f>
        <v/>
      </c>
      <c r="I15" s="25"/>
      <c r="J15" s="25"/>
      <c r="K15" s="28"/>
      <c r="L15" s="28"/>
      <c r="M15" s="28"/>
      <c r="N15" s="28"/>
      <c r="T15" s="45"/>
    </row>
    <row r="16" spans="1:30" ht="13.5" customHeight="1">
      <c r="B16" s="234" t="str">
        <f>Calcu!C10</f>
        <v/>
      </c>
      <c r="C16" s="234" t="str">
        <f>IF(Calcu!B10=FALSE,"",Length_1!A5)</f>
        <v/>
      </c>
      <c r="D16" s="234" t="str">
        <f>IF(Calcu!$B10=FALSE,"",TEXT(Calcu!E10,Calcu!$Q$70))</f>
        <v/>
      </c>
      <c r="E16" s="234" t="str">
        <f>IF(Calcu!$B10=FALSE,"",TEXT(Calcu!F10,Calcu!$Q$70))</f>
        <v/>
      </c>
      <c r="F16" s="234" t="str">
        <f>IF(Calcu!$B10=FALSE,"",TEXT(Calcu!G10,Calcu!$Q$70))</f>
        <v/>
      </c>
      <c r="G16" s="234" t="str">
        <f>IF(Calcu!$B10=FALSE,"",TEXT(Calcu!H10,Calcu!$Q$70))</f>
        <v/>
      </c>
      <c r="H16" s="234" t="str">
        <f>IF(Calcu!$B10=FALSE,"",TEXT(Calcu!I10,Calcu!$Q$70))</f>
        <v/>
      </c>
      <c r="I16" s="25"/>
      <c r="J16" s="25"/>
      <c r="K16" s="28"/>
      <c r="L16" s="28"/>
      <c r="M16" s="28"/>
      <c r="N16" s="28"/>
      <c r="T16" s="45"/>
    </row>
    <row r="17" spans="2:20" ht="13.5" customHeight="1">
      <c r="B17" s="234" t="str">
        <f>Calcu!C11</f>
        <v/>
      </c>
      <c r="C17" s="234" t="str">
        <f>IF(Calcu!B11=FALSE,"",Length_1!A6)</f>
        <v/>
      </c>
      <c r="D17" s="234" t="str">
        <f>IF(Calcu!$B11=FALSE,"",TEXT(Calcu!E11,Calcu!$Q$70))</f>
        <v/>
      </c>
      <c r="E17" s="234" t="str">
        <f>IF(Calcu!$B11=FALSE,"",TEXT(Calcu!F11,Calcu!$Q$70))</f>
        <v/>
      </c>
      <c r="F17" s="234" t="str">
        <f>IF(Calcu!$B11=FALSE,"",TEXT(Calcu!G11,Calcu!$Q$70))</f>
        <v/>
      </c>
      <c r="G17" s="234" t="str">
        <f>IF(Calcu!$B11=FALSE,"",TEXT(Calcu!H11,Calcu!$Q$70))</f>
        <v/>
      </c>
      <c r="H17" s="234" t="str">
        <f>IF(Calcu!$B11=FALSE,"",TEXT(Calcu!I11,Calcu!$Q$70))</f>
        <v/>
      </c>
      <c r="I17" s="25"/>
      <c r="J17" s="25"/>
      <c r="K17" s="28"/>
      <c r="L17" s="28"/>
      <c r="M17" s="28"/>
      <c r="N17" s="28"/>
      <c r="T17" s="45"/>
    </row>
    <row r="18" spans="2:20" ht="13.5" customHeight="1">
      <c r="B18" s="234" t="str">
        <f>Calcu!C12</f>
        <v/>
      </c>
      <c r="C18" s="234" t="str">
        <f>IF(Calcu!B12=FALSE,"",Length_1!A7)</f>
        <v/>
      </c>
      <c r="D18" s="234" t="str">
        <f>IF(Calcu!$B12=FALSE,"",TEXT(Calcu!E12,Calcu!$Q$70))</f>
        <v/>
      </c>
      <c r="E18" s="234" t="str">
        <f>IF(Calcu!$B12=FALSE,"",TEXT(Calcu!F12,Calcu!$Q$70))</f>
        <v/>
      </c>
      <c r="F18" s="234" t="str">
        <f>IF(Calcu!$B12=FALSE,"",TEXT(Calcu!G12,Calcu!$Q$70))</f>
        <v/>
      </c>
      <c r="G18" s="234" t="str">
        <f>IF(Calcu!$B12=FALSE,"",TEXT(Calcu!H12,Calcu!$Q$70))</f>
        <v/>
      </c>
      <c r="H18" s="234" t="str">
        <f>IF(Calcu!$B12=FALSE,"",TEXT(Calcu!I12,Calcu!$Q$70))</f>
        <v/>
      </c>
      <c r="I18" s="25"/>
      <c r="J18" s="25"/>
      <c r="K18" s="28"/>
      <c r="L18" s="28"/>
      <c r="M18" s="28"/>
      <c r="N18" s="28"/>
      <c r="T18" s="45"/>
    </row>
    <row r="19" spans="2:20" ht="13.5" customHeight="1">
      <c r="B19" s="234" t="str">
        <f>Calcu!C13</f>
        <v/>
      </c>
      <c r="C19" s="234" t="str">
        <f>IF(Calcu!B13=FALSE,"",Length_1!A8)</f>
        <v/>
      </c>
      <c r="D19" s="234" t="str">
        <f>IF(Calcu!$B13=FALSE,"",TEXT(Calcu!E13,Calcu!$Q$70))</f>
        <v/>
      </c>
      <c r="E19" s="234" t="str">
        <f>IF(Calcu!$B13=FALSE,"",TEXT(Calcu!F13,Calcu!$Q$70))</f>
        <v/>
      </c>
      <c r="F19" s="234" t="str">
        <f>IF(Calcu!$B13=FALSE,"",TEXT(Calcu!G13,Calcu!$Q$70))</f>
        <v/>
      </c>
      <c r="G19" s="234" t="str">
        <f>IF(Calcu!$B13=FALSE,"",TEXT(Calcu!H13,Calcu!$Q$70))</f>
        <v/>
      </c>
      <c r="H19" s="234" t="str">
        <f>IF(Calcu!$B13=FALSE,"",TEXT(Calcu!I13,Calcu!$Q$70))</f>
        <v/>
      </c>
      <c r="I19" s="25"/>
      <c r="J19" s="25"/>
      <c r="K19" s="28"/>
      <c r="L19" s="28"/>
      <c r="M19" s="28"/>
      <c r="N19" s="28"/>
      <c r="T19" s="45"/>
    </row>
    <row r="20" spans="2:20" ht="13.5" customHeight="1">
      <c r="B20" s="234" t="str">
        <f>Calcu!C14</f>
        <v/>
      </c>
      <c r="C20" s="234" t="str">
        <f>IF(Calcu!B14=FALSE,"",Length_1!A9)</f>
        <v/>
      </c>
      <c r="D20" s="234" t="str">
        <f>IF(Calcu!$B14=FALSE,"",TEXT(Calcu!E14,Calcu!$Q$70))</f>
        <v/>
      </c>
      <c r="E20" s="234" t="str">
        <f>IF(Calcu!$B14=FALSE,"",TEXT(Calcu!F14,Calcu!$Q$70))</f>
        <v/>
      </c>
      <c r="F20" s="234" t="str">
        <f>IF(Calcu!$B14=FALSE,"",TEXT(Calcu!G14,Calcu!$Q$70))</f>
        <v/>
      </c>
      <c r="G20" s="234" t="str">
        <f>IF(Calcu!$B14=FALSE,"",TEXT(Calcu!H14,Calcu!$Q$70))</f>
        <v/>
      </c>
      <c r="H20" s="234" t="str">
        <f>IF(Calcu!$B14=FALSE,"",TEXT(Calcu!I14,Calcu!$Q$70))</f>
        <v/>
      </c>
      <c r="I20" s="25"/>
      <c r="J20" s="25"/>
      <c r="K20" s="28"/>
      <c r="L20" s="28"/>
      <c r="M20" s="28"/>
      <c r="N20" s="28"/>
      <c r="T20" s="45"/>
    </row>
    <row r="21" spans="2:20" ht="13.5" customHeight="1">
      <c r="B21" s="234" t="str">
        <f>Calcu!C15</f>
        <v/>
      </c>
      <c r="C21" s="234" t="str">
        <f>IF(Calcu!B15=FALSE,"",Length_1!A10)</f>
        <v/>
      </c>
      <c r="D21" s="234" t="str">
        <f>IF(Calcu!$B15=FALSE,"",TEXT(Calcu!E15,Calcu!$Q$70))</f>
        <v/>
      </c>
      <c r="E21" s="234" t="str">
        <f>IF(Calcu!$B15=FALSE,"",TEXT(Calcu!F15,Calcu!$Q$70))</f>
        <v/>
      </c>
      <c r="F21" s="234" t="str">
        <f>IF(Calcu!$B15=FALSE,"",TEXT(Calcu!G15,Calcu!$Q$70))</f>
        <v/>
      </c>
      <c r="G21" s="234" t="str">
        <f>IF(Calcu!$B15=FALSE,"",TEXT(Calcu!H15,Calcu!$Q$70))</f>
        <v/>
      </c>
      <c r="H21" s="234" t="str">
        <f>IF(Calcu!$B15=FALSE,"",TEXT(Calcu!I15,Calcu!$Q$70))</f>
        <v/>
      </c>
      <c r="J21" s="27"/>
      <c r="T21" s="45"/>
    </row>
    <row r="22" spans="2:20" ht="13.5" customHeight="1">
      <c r="B22" s="234" t="str">
        <f>Calcu!C16</f>
        <v/>
      </c>
      <c r="C22" s="234" t="str">
        <f>IF(Calcu!B16=FALSE,"",Length_1!A11)</f>
        <v/>
      </c>
      <c r="D22" s="234" t="str">
        <f>IF(Calcu!$B16=FALSE,"",TEXT(Calcu!E16,Calcu!$Q$70))</f>
        <v/>
      </c>
      <c r="E22" s="234" t="str">
        <f>IF(Calcu!$B16=FALSE,"",TEXT(Calcu!F16,Calcu!$Q$70))</f>
        <v/>
      </c>
      <c r="F22" s="234" t="str">
        <f>IF(Calcu!$B16=FALSE,"",TEXT(Calcu!G16,Calcu!$Q$70))</f>
        <v/>
      </c>
      <c r="G22" s="234" t="str">
        <f>IF(Calcu!$B16=FALSE,"",TEXT(Calcu!H16,Calcu!$Q$70))</f>
        <v/>
      </c>
      <c r="H22" s="234" t="str">
        <f>IF(Calcu!$B16=FALSE,"",TEXT(Calcu!I16,Calcu!$Q$70))</f>
        <v/>
      </c>
      <c r="J22" s="27"/>
      <c r="T22" s="45"/>
    </row>
    <row r="23" spans="2:20" ht="13.5" customHeight="1">
      <c r="B23" s="234" t="str">
        <f>Calcu!C17</f>
        <v/>
      </c>
      <c r="C23" s="234" t="str">
        <f>IF(Calcu!B17=FALSE,"",Length_1!A12)</f>
        <v/>
      </c>
      <c r="D23" s="234" t="str">
        <f>IF(Calcu!$B17=FALSE,"",TEXT(Calcu!E17,Calcu!$Q$70))</f>
        <v/>
      </c>
      <c r="E23" s="234" t="str">
        <f>IF(Calcu!$B17=FALSE,"",TEXT(Calcu!F17,Calcu!$Q$70))</f>
        <v/>
      </c>
      <c r="F23" s="234" t="str">
        <f>IF(Calcu!$B17=FALSE,"",TEXT(Calcu!G17,Calcu!$Q$70))</f>
        <v/>
      </c>
      <c r="G23" s="234" t="str">
        <f>IF(Calcu!$B17=FALSE,"",TEXT(Calcu!H17,Calcu!$Q$70))</f>
        <v/>
      </c>
      <c r="H23" s="234" t="str">
        <f>IF(Calcu!$B17=FALSE,"",TEXT(Calcu!I17,Calcu!$Q$70))</f>
        <v/>
      </c>
      <c r="J23" s="27"/>
      <c r="T23" s="45"/>
    </row>
    <row r="24" spans="2:20" ht="13.5" customHeight="1">
      <c r="B24" s="234" t="str">
        <f>Calcu!C18</f>
        <v/>
      </c>
      <c r="C24" s="234" t="str">
        <f>IF(Calcu!B18=FALSE,"",Length_1!A13)</f>
        <v/>
      </c>
      <c r="D24" s="234" t="str">
        <f>IF(Calcu!$B18=FALSE,"",TEXT(Calcu!E18,Calcu!$Q$70))</f>
        <v/>
      </c>
      <c r="E24" s="234" t="str">
        <f>IF(Calcu!$B18=FALSE,"",TEXT(Calcu!F18,Calcu!$Q$70))</f>
        <v/>
      </c>
      <c r="F24" s="234" t="str">
        <f>IF(Calcu!$B18=FALSE,"",TEXT(Calcu!G18,Calcu!$Q$70))</f>
        <v/>
      </c>
      <c r="G24" s="234" t="str">
        <f>IF(Calcu!$B18=FALSE,"",TEXT(Calcu!H18,Calcu!$Q$70))</f>
        <v/>
      </c>
      <c r="H24" s="234" t="str">
        <f>IF(Calcu!$B18=FALSE,"",TEXT(Calcu!I18,Calcu!$Q$70))</f>
        <v/>
      </c>
      <c r="J24" s="27"/>
      <c r="T24" s="45"/>
    </row>
    <row r="25" spans="2:20" ht="13.5" customHeight="1">
      <c r="B25" s="234" t="str">
        <f>Calcu!C19</f>
        <v/>
      </c>
      <c r="C25" s="234" t="str">
        <f>IF(Calcu!B19=FALSE,"",Length_1!A14)</f>
        <v/>
      </c>
      <c r="D25" s="234" t="str">
        <f>IF(Calcu!$B19=FALSE,"",TEXT(Calcu!E19,Calcu!$Q$70))</f>
        <v/>
      </c>
      <c r="E25" s="234" t="str">
        <f>IF(Calcu!$B19=FALSE,"",TEXT(Calcu!F19,Calcu!$Q$70))</f>
        <v/>
      </c>
      <c r="F25" s="234" t="str">
        <f>IF(Calcu!$B19=FALSE,"",TEXT(Calcu!G19,Calcu!$Q$70))</f>
        <v/>
      </c>
      <c r="G25" s="234" t="str">
        <f>IF(Calcu!$B19=FALSE,"",TEXT(Calcu!H19,Calcu!$Q$70))</f>
        <v/>
      </c>
      <c r="H25" s="234" t="str">
        <f>IF(Calcu!$B19=FALSE,"",TEXT(Calcu!I19,Calcu!$Q$70))</f>
        <v/>
      </c>
      <c r="J25" s="27"/>
      <c r="T25" s="45"/>
    </row>
    <row r="26" spans="2:20" ht="13.5" customHeight="1">
      <c r="B26" s="234" t="str">
        <f>Calcu!C20</f>
        <v/>
      </c>
      <c r="C26" s="234" t="str">
        <f>IF(Calcu!B20=FALSE,"",Length_1!A15)</f>
        <v/>
      </c>
      <c r="D26" s="234" t="str">
        <f>IF(Calcu!$B20=FALSE,"",TEXT(Calcu!E20,Calcu!$Q$70))</f>
        <v/>
      </c>
      <c r="E26" s="234" t="str">
        <f>IF(Calcu!$B20=FALSE,"",TEXT(Calcu!F20,Calcu!$Q$70))</f>
        <v/>
      </c>
      <c r="F26" s="234" t="str">
        <f>IF(Calcu!$B20=FALSE,"",TEXT(Calcu!G20,Calcu!$Q$70))</f>
        <v/>
      </c>
      <c r="G26" s="234" t="str">
        <f>IF(Calcu!$B20=FALSE,"",TEXT(Calcu!H20,Calcu!$Q$70))</f>
        <v/>
      </c>
      <c r="H26" s="234" t="str">
        <f>IF(Calcu!$B20=FALSE,"",TEXT(Calcu!I20,Calcu!$Q$70))</f>
        <v/>
      </c>
      <c r="J26" s="27"/>
      <c r="T26" s="45"/>
    </row>
    <row r="27" spans="2:20" ht="13.5" customHeight="1">
      <c r="B27" s="234" t="str">
        <f>Calcu!C21</f>
        <v/>
      </c>
      <c r="C27" s="234" t="str">
        <f>IF(Calcu!B21=FALSE,"",Length_1!A16)</f>
        <v/>
      </c>
      <c r="D27" s="234" t="str">
        <f>IF(Calcu!$B21=FALSE,"",TEXT(Calcu!E21,Calcu!$Q$70))</f>
        <v/>
      </c>
      <c r="E27" s="234" t="str">
        <f>IF(Calcu!$B21=FALSE,"",TEXT(Calcu!F21,Calcu!$Q$70))</f>
        <v/>
      </c>
      <c r="F27" s="234" t="str">
        <f>IF(Calcu!$B21=FALSE,"",TEXT(Calcu!G21,Calcu!$Q$70))</f>
        <v/>
      </c>
      <c r="G27" s="234" t="str">
        <f>IF(Calcu!$B21=FALSE,"",TEXT(Calcu!H21,Calcu!$Q$70))</f>
        <v/>
      </c>
      <c r="H27" s="234" t="str">
        <f>IF(Calcu!$B21=FALSE,"",TEXT(Calcu!I21,Calcu!$Q$70))</f>
        <v/>
      </c>
      <c r="J27" s="27"/>
      <c r="T27" s="45"/>
    </row>
    <row r="28" spans="2:20" ht="13.5" customHeight="1">
      <c r="B28" s="234" t="str">
        <f>Calcu!C22</f>
        <v/>
      </c>
      <c r="C28" s="234" t="str">
        <f>IF(Calcu!B22=FALSE,"",Length_1!A17)</f>
        <v/>
      </c>
      <c r="D28" s="234" t="str">
        <f>IF(Calcu!$B22=FALSE,"",TEXT(Calcu!E22,Calcu!$Q$70))</f>
        <v/>
      </c>
      <c r="E28" s="234" t="str">
        <f>IF(Calcu!$B22=FALSE,"",TEXT(Calcu!F22,Calcu!$Q$70))</f>
        <v/>
      </c>
      <c r="F28" s="234" t="str">
        <f>IF(Calcu!$B22=FALSE,"",TEXT(Calcu!G22,Calcu!$Q$70))</f>
        <v/>
      </c>
      <c r="G28" s="234" t="str">
        <f>IF(Calcu!$B22=FALSE,"",TEXT(Calcu!H22,Calcu!$Q$70))</f>
        <v/>
      </c>
      <c r="H28" s="234" t="str">
        <f>IF(Calcu!$B22=FALSE,"",TEXT(Calcu!I22,Calcu!$Q$70))</f>
        <v/>
      </c>
      <c r="J28" s="27"/>
      <c r="T28" s="45"/>
    </row>
    <row r="29" spans="2:20" ht="13.5" customHeight="1">
      <c r="B29" s="234" t="str">
        <f>Calcu!C23</f>
        <v/>
      </c>
      <c r="C29" s="234" t="str">
        <f>IF(Calcu!B23=FALSE,"",Length_1!A18)</f>
        <v/>
      </c>
      <c r="D29" s="234" t="str">
        <f>IF(Calcu!$B23=FALSE,"",TEXT(Calcu!E23,Calcu!$Q$70))</f>
        <v/>
      </c>
      <c r="E29" s="234" t="str">
        <f>IF(Calcu!$B23=FALSE,"",TEXT(Calcu!F23,Calcu!$Q$70))</f>
        <v/>
      </c>
      <c r="F29" s="234" t="str">
        <f>IF(Calcu!$B23=FALSE,"",TEXT(Calcu!G23,Calcu!$Q$70))</f>
        <v/>
      </c>
      <c r="G29" s="234" t="str">
        <f>IF(Calcu!$B23=FALSE,"",TEXT(Calcu!H23,Calcu!$Q$70))</f>
        <v/>
      </c>
      <c r="H29" s="234" t="str">
        <f>IF(Calcu!$B23=FALSE,"",TEXT(Calcu!I23,Calcu!$Q$70))</f>
        <v/>
      </c>
      <c r="J29" s="27"/>
      <c r="T29" s="45"/>
    </row>
    <row r="30" spans="2:20" ht="13.5" customHeight="1">
      <c r="B30" s="234" t="str">
        <f>Calcu!C24</f>
        <v/>
      </c>
      <c r="C30" s="234" t="str">
        <f>IF(Calcu!B24=FALSE,"",Length_1!A19)</f>
        <v/>
      </c>
      <c r="D30" s="234" t="str">
        <f>IF(Calcu!$B24=FALSE,"",TEXT(Calcu!E24,Calcu!$Q$70))</f>
        <v/>
      </c>
      <c r="E30" s="234" t="str">
        <f>IF(Calcu!$B24=FALSE,"",TEXT(Calcu!F24,Calcu!$Q$70))</f>
        <v/>
      </c>
      <c r="F30" s="234" t="str">
        <f>IF(Calcu!$B24=FALSE,"",TEXT(Calcu!G24,Calcu!$Q$70))</f>
        <v/>
      </c>
      <c r="G30" s="234" t="str">
        <f>IF(Calcu!$B24=FALSE,"",TEXT(Calcu!H24,Calcu!$Q$70))</f>
        <v/>
      </c>
      <c r="H30" s="234" t="str">
        <f>IF(Calcu!$B24=FALSE,"",TEXT(Calcu!I24,Calcu!$Q$70))</f>
        <v/>
      </c>
      <c r="J30" s="27"/>
      <c r="T30" s="45"/>
    </row>
    <row r="31" spans="2:20" ht="13.5" customHeight="1">
      <c r="B31" s="234" t="str">
        <f>Calcu!C25</f>
        <v/>
      </c>
      <c r="C31" s="234" t="str">
        <f>IF(Calcu!B25=FALSE,"",Length_1!A20)</f>
        <v/>
      </c>
      <c r="D31" s="234" t="str">
        <f>IF(Calcu!$B25=FALSE,"",TEXT(Calcu!E25,Calcu!$Q$70))</f>
        <v/>
      </c>
      <c r="E31" s="234" t="str">
        <f>IF(Calcu!$B25=FALSE,"",TEXT(Calcu!F25,Calcu!$Q$70))</f>
        <v/>
      </c>
      <c r="F31" s="234" t="str">
        <f>IF(Calcu!$B25=FALSE,"",TEXT(Calcu!G25,Calcu!$Q$70))</f>
        <v/>
      </c>
      <c r="G31" s="234" t="str">
        <f>IF(Calcu!$B25=FALSE,"",TEXT(Calcu!H25,Calcu!$Q$70))</f>
        <v/>
      </c>
      <c r="H31" s="234" t="str">
        <f>IF(Calcu!$B25=FALSE,"",TEXT(Calcu!I25,Calcu!$Q$70))</f>
        <v/>
      </c>
      <c r="J31" s="27"/>
      <c r="T31" s="45"/>
    </row>
    <row r="32" spans="2:20" ht="13.5" customHeight="1">
      <c r="B32" s="234" t="str">
        <f>Calcu!C26</f>
        <v/>
      </c>
      <c r="C32" s="234" t="str">
        <f>IF(Calcu!B26=FALSE,"",Length_1!A21)</f>
        <v/>
      </c>
      <c r="D32" s="234" t="str">
        <f>IF(Calcu!$B26=FALSE,"",TEXT(Calcu!E26,Calcu!$Q$70))</f>
        <v/>
      </c>
      <c r="E32" s="234" t="str">
        <f>IF(Calcu!$B26=FALSE,"",TEXT(Calcu!F26,Calcu!$Q$70))</f>
        <v/>
      </c>
      <c r="F32" s="234" t="str">
        <f>IF(Calcu!$B26=FALSE,"",TEXT(Calcu!G26,Calcu!$Q$70))</f>
        <v/>
      </c>
      <c r="G32" s="234" t="str">
        <f>IF(Calcu!$B26=FALSE,"",TEXT(Calcu!H26,Calcu!$Q$70))</f>
        <v/>
      </c>
      <c r="H32" s="234" t="str">
        <f>IF(Calcu!$B26=FALSE,"",TEXT(Calcu!I26,Calcu!$Q$70))</f>
        <v/>
      </c>
      <c r="J32" s="27"/>
      <c r="T32" s="45"/>
    </row>
    <row r="33" spans="2:20" ht="13.5" customHeight="1">
      <c r="B33" s="234" t="str">
        <f>Calcu!C27</f>
        <v/>
      </c>
      <c r="C33" s="234" t="str">
        <f>IF(Calcu!B27=FALSE,"",Length_1!A22)</f>
        <v/>
      </c>
      <c r="D33" s="234" t="str">
        <f>IF(Calcu!$B27=FALSE,"",TEXT(Calcu!E27,Calcu!$Q$70))</f>
        <v/>
      </c>
      <c r="E33" s="234" t="str">
        <f>IF(Calcu!$B27=FALSE,"",TEXT(Calcu!F27,Calcu!$Q$70))</f>
        <v/>
      </c>
      <c r="F33" s="234" t="str">
        <f>IF(Calcu!$B27=FALSE,"",TEXT(Calcu!G27,Calcu!$Q$70))</f>
        <v/>
      </c>
      <c r="G33" s="234" t="str">
        <f>IF(Calcu!$B27=FALSE,"",TEXT(Calcu!H27,Calcu!$Q$70))</f>
        <v/>
      </c>
      <c r="H33" s="234" t="str">
        <f>IF(Calcu!$B27=FALSE,"",TEXT(Calcu!I27,Calcu!$Q$70))</f>
        <v/>
      </c>
      <c r="J33" s="27"/>
      <c r="T33" s="45"/>
    </row>
    <row r="34" spans="2:20" ht="13.5" customHeight="1">
      <c r="B34" s="234" t="str">
        <f>Calcu!C28</f>
        <v/>
      </c>
      <c r="C34" s="234" t="str">
        <f>IF(Calcu!B28=FALSE,"",Length_1!A23)</f>
        <v/>
      </c>
      <c r="D34" s="234" t="str">
        <f>IF(Calcu!$B28=FALSE,"",TEXT(Calcu!E28,Calcu!$Q$70))</f>
        <v/>
      </c>
      <c r="E34" s="234" t="str">
        <f>IF(Calcu!$B28=FALSE,"",TEXT(Calcu!F28,Calcu!$Q$70))</f>
        <v/>
      </c>
      <c r="F34" s="234" t="str">
        <f>IF(Calcu!$B28=FALSE,"",TEXT(Calcu!G28,Calcu!$Q$70))</f>
        <v/>
      </c>
      <c r="G34" s="234" t="str">
        <f>IF(Calcu!$B28=FALSE,"",TEXT(Calcu!H28,Calcu!$Q$70))</f>
        <v/>
      </c>
      <c r="H34" s="234" t="str">
        <f>IF(Calcu!$B28=FALSE,"",TEXT(Calcu!I28,Calcu!$Q$70))</f>
        <v/>
      </c>
      <c r="J34" s="27"/>
      <c r="T34" s="45"/>
    </row>
    <row r="35" spans="2:20" ht="13.5" customHeight="1">
      <c r="B35" s="234" t="str">
        <f>Calcu!C29</f>
        <v/>
      </c>
      <c r="C35" s="234" t="str">
        <f>IF(Calcu!B29=FALSE,"",Length_1!A24)</f>
        <v/>
      </c>
      <c r="D35" s="234" t="str">
        <f>IF(Calcu!$B29=FALSE,"",TEXT(Calcu!E29,Calcu!$Q$70))</f>
        <v/>
      </c>
      <c r="E35" s="234" t="str">
        <f>IF(Calcu!$B29=FALSE,"",TEXT(Calcu!F29,Calcu!$Q$70))</f>
        <v/>
      </c>
      <c r="F35" s="234" t="str">
        <f>IF(Calcu!$B29=FALSE,"",TEXT(Calcu!G29,Calcu!$Q$70))</f>
        <v/>
      </c>
      <c r="G35" s="234" t="str">
        <f>IF(Calcu!$B29=FALSE,"",TEXT(Calcu!H29,Calcu!$Q$70))</f>
        <v/>
      </c>
      <c r="H35" s="234" t="str">
        <f>IF(Calcu!$B29=FALSE,"",TEXT(Calcu!I29,Calcu!$Q$70))</f>
        <v/>
      </c>
      <c r="J35" s="27"/>
      <c r="T35" s="45"/>
    </row>
    <row r="36" spans="2:20" ht="13.5" customHeight="1">
      <c r="B36" s="234" t="str">
        <f>Calcu!C30</f>
        <v/>
      </c>
      <c r="C36" s="234" t="str">
        <f>IF(Calcu!B30=FALSE,"",Length_1!A25)</f>
        <v/>
      </c>
      <c r="D36" s="234" t="str">
        <f>IF(Calcu!$B30=FALSE,"",TEXT(Calcu!E30,Calcu!$Q$70))</f>
        <v/>
      </c>
      <c r="E36" s="234" t="str">
        <f>IF(Calcu!$B30=FALSE,"",TEXT(Calcu!F30,Calcu!$Q$70))</f>
        <v/>
      </c>
      <c r="F36" s="234" t="str">
        <f>IF(Calcu!$B30=FALSE,"",TEXT(Calcu!G30,Calcu!$Q$70))</f>
        <v/>
      </c>
      <c r="G36" s="234" t="str">
        <f>IF(Calcu!$B30=FALSE,"",TEXT(Calcu!H30,Calcu!$Q$70))</f>
        <v/>
      </c>
      <c r="H36" s="234" t="str">
        <f>IF(Calcu!$B30=FALSE,"",TEXT(Calcu!I30,Calcu!$Q$70))</f>
        <v/>
      </c>
      <c r="J36" s="27"/>
      <c r="T36" s="45"/>
    </row>
    <row r="37" spans="2:20" ht="13.5" customHeight="1">
      <c r="B37" s="234" t="str">
        <f>Calcu!C31</f>
        <v/>
      </c>
      <c r="C37" s="234" t="str">
        <f>IF(Calcu!B31=FALSE,"",Length_1!A26)</f>
        <v/>
      </c>
      <c r="D37" s="234" t="str">
        <f>IF(Calcu!$B31=FALSE,"",TEXT(Calcu!E31,Calcu!$Q$70))</f>
        <v/>
      </c>
      <c r="E37" s="234" t="str">
        <f>IF(Calcu!$B31=FALSE,"",TEXT(Calcu!F31,Calcu!$Q$70))</f>
        <v/>
      </c>
      <c r="F37" s="234" t="str">
        <f>IF(Calcu!$B31=FALSE,"",TEXT(Calcu!G31,Calcu!$Q$70))</f>
        <v/>
      </c>
      <c r="G37" s="234" t="str">
        <f>IF(Calcu!$B31=FALSE,"",TEXT(Calcu!H31,Calcu!$Q$70))</f>
        <v/>
      </c>
      <c r="H37" s="234" t="str">
        <f>IF(Calcu!$B31=FALSE,"",TEXT(Calcu!I31,Calcu!$Q$70))</f>
        <v/>
      </c>
      <c r="J37" s="27"/>
      <c r="T37" s="45"/>
    </row>
    <row r="38" spans="2:20" ht="13.5" customHeight="1">
      <c r="B38" s="234" t="str">
        <f>Calcu!C32</f>
        <v/>
      </c>
      <c r="C38" s="234" t="str">
        <f>IF(Calcu!B32=FALSE,"",Length_1!A27)</f>
        <v/>
      </c>
      <c r="D38" s="234" t="str">
        <f>IF(Calcu!$B32=FALSE,"",TEXT(Calcu!E32,Calcu!$Q$70))</f>
        <v/>
      </c>
      <c r="E38" s="234" t="str">
        <f>IF(Calcu!$B32=FALSE,"",TEXT(Calcu!F32,Calcu!$Q$70))</f>
        <v/>
      </c>
      <c r="F38" s="234" t="str">
        <f>IF(Calcu!$B32=FALSE,"",TEXT(Calcu!G32,Calcu!$Q$70))</f>
        <v/>
      </c>
      <c r="G38" s="234" t="str">
        <f>IF(Calcu!$B32=FALSE,"",TEXT(Calcu!H32,Calcu!$Q$70))</f>
        <v/>
      </c>
      <c r="H38" s="234" t="str">
        <f>IF(Calcu!$B32=FALSE,"",TEXT(Calcu!I32,Calcu!$Q$70))</f>
        <v/>
      </c>
      <c r="J38" s="27"/>
      <c r="T38" s="45"/>
    </row>
    <row r="39" spans="2:20" ht="13.5" customHeight="1">
      <c r="B39" s="234" t="str">
        <f>Calcu!C33</f>
        <v/>
      </c>
      <c r="C39" s="234" t="str">
        <f>IF(Calcu!B33=FALSE,"",Length_1!A28)</f>
        <v/>
      </c>
      <c r="D39" s="234" t="str">
        <f>IF(Calcu!$B33=FALSE,"",TEXT(Calcu!E33,Calcu!$Q$70))</f>
        <v/>
      </c>
      <c r="E39" s="234" t="str">
        <f>IF(Calcu!$B33=FALSE,"",TEXT(Calcu!F33,Calcu!$Q$70))</f>
        <v/>
      </c>
      <c r="F39" s="234" t="str">
        <f>IF(Calcu!$B33=FALSE,"",TEXT(Calcu!G33,Calcu!$Q$70))</f>
        <v/>
      </c>
      <c r="G39" s="234" t="str">
        <f>IF(Calcu!$B33=FALSE,"",TEXT(Calcu!H33,Calcu!$Q$70))</f>
        <v/>
      </c>
      <c r="H39" s="234" t="str">
        <f>IF(Calcu!$B33=FALSE,"",TEXT(Calcu!I33,Calcu!$Q$70))</f>
        <v/>
      </c>
      <c r="J39" s="27"/>
      <c r="T39" s="45"/>
    </row>
    <row r="40" spans="2:20" ht="13.5" customHeight="1">
      <c r="B40" s="234" t="str">
        <f>Calcu!C34</f>
        <v/>
      </c>
      <c r="C40" s="234" t="str">
        <f>IF(Calcu!B34=FALSE,"",Length_1!A29)</f>
        <v/>
      </c>
      <c r="D40" s="234" t="str">
        <f>IF(Calcu!$B34=FALSE,"",TEXT(Calcu!E34,Calcu!$Q$70))</f>
        <v/>
      </c>
      <c r="E40" s="234" t="str">
        <f>IF(Calcu!$B34=FALSE,"",TEXT(Calcu!F34,Calcu!$Q$70))</f>
        <v/>
      </c>
      <c r="F40" s="234" t="str">
        <f>IF(Calcu!$B34=FALSE,"",TEXT(Calcu!G34,Calcu!$Q$70))</f>
        <v/>
      </c>
      <c r="G40" s="234" t="str">
        <f>IF(Calcu!$B34=FALSE,"",TEXT(Calcu!H34,Calcu!$Q$70))</f>
        <v/>
      </c>
      <c r="H40" s="234" t="str">
        <f>IF(Calcu!$B34=FALSE,"",TEXT(Calcu!I34,Calcu!$Q$70))</f>
        <v/>
      </c>
      <c r="J40" s="27"/>
      <c r="T40" s="45"/>
    </row>
    <row r="41" spans="2:20" ht="13.5" customHeight="1">
      <c r="B41" s="234" t="str">
        <f>Calcu!C35</f>
        <v/>
      </c>
      <c r="C41" s="234" t="str">
        <f>IF(Calcu!B35=FALSE,"",Length_1!A30)</f>
        <v/>
      </c>
      <c r="D41" s="234" t="str">
        <f>IF(Calcu!$B35=FALSE,"",TEXT(Calcu!E35,Calcu!$Q$70))</f>
        <v/>
      </c>
      <c r="E41" s="234" t="str">
        <f>IF(Calcu!$B35=FALSE,"",TEXT(Calcu!F35,Calcu!$Q$70))</f>
        <v/>
      </c>
      <c r="F41" s="234" t="str">
        <f>IF(Calcu!$B35=FALSE,"",TEXT(Calcu!G35,Calcu!$Q$70))</f>
        <v/>
      </c>
      <c r="G41" s="234" t="str">
        <f>IF(Calcu!$B35=FALSE,"",TEXT(Calcu!H35,Calcu!$Q$70))</f>
        <v/>
      </c>
      <c r="H41" s="234" t="str">
        <f>IF(Calcu!$B35=FALSE,"",TEXT(Calcu!I35,Calcu!$Q$70))</f>
        <v/>
      </c>
      <c r="J41" s="27"/>
      <c r="T41" s="45"/>
    </row>
    <row r="42" spans="2:20" ht="13.5" customHeight="1">
      <c r="B42" s="234" t="str">
        <f>Calcu!C36</f>
        <v/>
      </c>
      <c r="C42" s="234" t="str">
        <f>IF(Calcu!B36=FALSE,"",Length_1!A31)</f>
        <v/>
      </c>
      <c r="D42" s="234" t="str">
        <f>IF(Calcu!$B36=FALSE,"",TEXT(Calcu!E36,Calcu!$Q$70))</f>
        <v/>
      </c>
      <c r="E42" s="234" t="str">
        <f>IF(Calcu!$B36=FALSE,"",TEXT(Calcu!F36,Calcu!$Q$70))</f>
        <v/>
      </c>
      <c r="F42" s="234" t="str">
        <f>IF(Calcu!$B36=FALSE,"",TEXT(Calcu!G36,Calcu!$Q$70))</f>
        <v/>
      </c>
      <c r="G42" s="234" t="str">
        <f>IF(Calcu!$B36=FALSE,"",TEXT(Calcu!H36,Calcu!$Q$70))</f>
        <v/>
      </c>
      <c r="H42" s="234" t="str">
        <f>IF(Calcu!$B36=FALSE,"",TEXT(Calcu!I36,Calcu!$Q$70))</f>
        <v/>
      </c>
      <c r="J42" s="27"/>
      <c r="T42" s="45"/>
    </row>
    <row r="43" spans="2:20" ht="13.5" customHeight="1">
      <c r="B43" s="234" t="str">
        <f>Calcu!C37</f>
        <v/>
      </c>
      <c r="C43" s="234" t="str">
        <f>IF(Calcu!B37=FALSE,"",Length_1!A32)</f>
        <v/>
      </c>
      <c r="D43" s="234" t="str">
        <f>IF(Calcu!$B37=FALSE,"",TEXT(Calcu!E37,Calcu!$Q$70))</f>
        <v/>
      </c>
      <c r="E43" s="234" t="str">
        <f>IF(Calcu!$B37=FALSE,"",TEXT(Calcu!F37,Calcu!$Q$70))</f>
        <v/>
      </c>
      <c r="F43" s="234" t="str">
        <f>IF(Calcu!$B37=FALSE,"",TEXT(Calcu!G37,Calcu!$Q$70))</f>
        <v/>
      </c>
      <c r="G43" s="234" t="str">
        <f>IF(Calcu!$B37=FALSE,"",TEXT(Calcu!H37,Calcu!$Q$70))</f>
        <v/>
      </c>
      <c r="H43" s="234" t="str">
        <f>IF(Calcu!$B37=FALSE,"",TEXT(Calcu!I37,Calcu!$Q$70))</f>
        <v/>
      </c>
      <c r="J43" s="27"/>
      <c r="T43" s="45"/>
    </row>
    <row r="44" spans="2:20" ht="13.5" customHeight="1">
      <c r="B44" s="234" t="str">
        <f>Calcu!C38</f>
        <v/>
      </c>
      <c r="C44" s="234" t="str">
        <f>IF(Calcu!B38=FALSE,"",Length_1!A33)</f>
        <v/>
      </c>
      <c r="D44" s="234" t="str">
        <f>IF(Calcu!$B38=FALSE,"",TEXT(Calcu!E38,Calcu!$Q$70))</f>
        <v/>
      </c>
      <c r="E44" s="234" t="str">
        <f>IF(Calcu!$B38=FALSE,"",TEXT(Calcu!F38,Calcu!$Q$70))</f>
        <v/>
      </c>
      <c r="F44" s="234" t="str">
        <f>IF(Calcu!$B38=FALSE,"",TEXT(Calcu!G38,Calcu!$Q$70))</f>
        <v/>
      </c>
      <c r="G44" s="234" t="str">
        <f>IF(Calcu!$B38=FALSE,"",TEXT(Calcu!H38,Calcu!$Q$70))</f>
        <v/>
      </c>
      <c r="H44" s="234" t="str">
        <f>IF(Calcu!$B38=FALSE,"",TEXT(Calcu!I38,Calcu!$Q$70))</f>
        <v/>
      </c>
      <c r="J44" s="27"/>
      <c r="T44" s="45"/>
    </row>
    <row r="45" spans="2:20" ht="13.5" customHeight="1">
      <c r="B45" s="234" t="str">
        <f>Calcu!C39</f>
        <v/>
      </c>
      <c r="C45" s="234" t="str">
        <f>IF(Calcu!B39=FALSE,"",Length_1!A34)</f>
        <v/>
      </c>
      <c r="D45" s="234" t="str">
        <f>IF(Calcu!$B39=FALSE,"",TEXT(Calcu!E39,Calcu!$Q$70))</f>
        <v/>
      </c>
      <c r="E45" s="234" t="str">
        <f>IF(Calcu!$B39=FALSE,"",TEXT(Calcu!F39,Calcu!$Q$70))</f>
        <v/>
      </c>
      <c r="F45" s="234" t="str">
        <f>IF(Calcu!$B39=FALSE,"",TEXT(Calcu!G39,Calcu!$Q$70))</f>
        <v/>
      </c>
      <c r="G45" s="234" t="str">
        <f>IF(Calcu!$B39=FALSE,"",TEXT(Calcu!H39,Calcu!$Q$70))</f>
        <v/>
      </c>
      <c r="H45" s="234" t="str">
        <f>IF(Calcu!$B39=FALSE,"",TEXT(Calcu!I39,Calcu!$Q$70))</f>
        <v/>
      </c>
      <c r="J45" s="27"/>
      <c r="T45" s="45"/>
    </row>
    <row r="46" spans="2:20" ht="13.5" customHeight="1">
      <c r="B46" s="234" t="str">
        <f>Calcu!C40</f>
        <v/>
      </c>
      <c r="C46" s="234" t="str">
        <f>IF(Calcu!B40=FALSE,"",Length_1!A35)</f>
        <v/>
      </c>
      <c r="D46" s="234" t="str">
        <f>IF(Calcu!$B40=FALSE,"",TEXT(Calcu!E40,Calcu!$Q$70))</f>
        <v/>
      </c>
      <c r="E46" s="234" t="str">
        <f>IF(Calcu!$B40=FALSE,"",TEXT(Calcu!F40,Calcu!$Q$70))</f>
        <v/>
      </c>
      <c r="F46" s="234" t="str">
        <f>IF(Calcu!$B40=FALSE,"",TEXT(Calcu!G40,Calcu!$Q$70))</f>
        <v/>
      </c>
      <c r="G46" s="234" t="str">
        <f>IF(Calcu!$B40=FALSE,"",TEXT(Calcu!H40,Calcu!$Q$70))</f>
        <v/>
      </c>
      <c r="H46" s="234" t="str">
        <f>IF(Calcu!$B40=FALSE,"",TEXT(Calcu!I40,Calcu!$Q$70))</f>
        <v/>
      </c>
      <c r="J46" s="27"/>
      <c r="T46" s="45"/>
    </row>
    <row r="47" spans="2:20" ht="13.5" customHeight="1">
      <c r="B47" s="234" t="str">
        <f>Calcu!C41</f>
        <v/>
      </c>
      <c r="C47" s="234" t="str">
        <f>IF(Calcu!B41=FALSE,"",Length_1!A36)</f>
        <v/>
      </c>
      <c r="D47" s="234" t="str">
        <f>IF(Calcu!$B41=FALSE,"",TEXT(Calcu!E41,Calcu!$Q$70))</f>
        <v/>
      </c>
      <c r="E47" s="234" t="str">
        <f>IF(Calcu!$B41=FALSE,"",TEXT(Calcu!F41,Calcu!$Q$70))</f>
        <v/>
      </c>
      <c r="F47" s="234" t="str">
        <f>IF(Calcu!$B41=FALSE,"",TEXT(Calcu!G41,Calcu!$Q$70))</f>
        <v/>
      </c>
      <c r="G47" s="234" t="str">
        <f>IF(Calcu!$B41=FALSE,"",TEXT(Calcu!H41,Calcu!$Q$70))</f>
        <v/>
      </c>
      <c r="H47" s="234" t="str">
        <f>IF(Calcu!$B41=FALSE,"",TEXT(Calcu!I41,Calcu!$Q$70))</f>
        <v/>
      </c>
      <c r="J47" s="27"/>
      <c r="T47" s="45"/>
    </row>
    <row r="48" spans="2:20" ht="13.5" customHeight="1">
      <c r="B48" s="234" t="str">
        <f>Calcu!C42</f>
        <v/>
      </c>
      <c r="C48" s="234" t="str">
        <f>IF(Calcu!B42=FALSE,"",Length_1!A37)</f>
        <v/>
      </c>
      <c r="D48" s="234" t="str">
        <f>IF(Calcu!$B42=FALSE,"",TEXT(Calcu!E42,Calcu!$Q$70))</f>
        <v/>
      </c>
      <c r="E48" s="234" t="str">
        <f>IF(Calcu!$B42=FALSE,"",TEXT(Calcu!F42,Calcu!$Q$70))</f>
        <v/>
      </c>
      <c r="F48" s="234" t="str">
        <f>IF(Calcu!$B42=FALSE,"",TEXT(Calcu!G42,Calcu!$Q$70))</f>
        <v/>
      </c>
      <c r="G48" s="234" t="str">
        <f>IF(Calcu!$B42=FALSE,"",TEXT(Calcu!H42,Calcu!$Q$70))</f>
        <v/>
      </c>
      <c r="H48" s="234" t="str">
        <f>IF(Calcu!$B42=FALSE,"",TEXT(Calcu!I42,Calcu!$Q$70))</f>
        <v/>
      </c>
      <c r="J48" s="27"/>
      <c r="T48" s="45"/>
    </row>
    <row r="49" spans="2:20" ht="13.5" customHeight="1">
      <c r="B49" s="234" t="str">
        <f>Calcu!C43</f>
        <v/>
      </c>
      <c r="C49" s="234" t="str">
        <f>IF(Calcu!B43=FALSE,"",Length_1!A38)</f>
        <v/>
      </c>
      <c r="D49" s="234" t="str">
        <f>IF(Calcu!$B43=FALSE,"",TEXT(Calcu!E43,Calcu!$Q$70))</f>
        <v/>
      </c>
      <c r="E49" s="234" t="str">
        <f>IF(Calcu!$B43=FALSE,"",TEXT(Calcu!F43,Calcu!$Q$70))</f>
        <v/>
      </c>
      <c r="F49" s="234" t="str">
        <f>IF(Calcu!$B43=FALSE,"",TEXT(Calcu!G43,Calcu!$Q$70))</f>
        <v/>
      </c>
      <c r="G49" s="234" t="str">
        <f>IF(Calcu!$B43=FALSE,"",TEXT(Calcu!H43,Calcu!$Q$70))</f>
        <v/>
      </c>
      <c r="H49" s="234" t="str">
        <f>IF(Calcu!$B43=FALSE,"",TEXT(Calcu!I43,Calcu!$Q$70))</f>
        <v/>
      </c>
      <c r="J49" s="27"/>
      <c r="T49" s="45"/>
    </row>
    <row r="50" spans="2:20" ht="13.5" customHeight="1">
      <c r="B50" s="234" t="str">
        <f>Calcu!C44</f>
        <v/>
      </c>
      <c r="C50" s="234" t="str">
        <f>IF(Calcu!B44=FALSE,"",Length_1!A39)</f>
        <v/>
      </c>
      <c r="D50" s="234" t="str">
        <f>IF(Calcu!$B44=FALSE,"",TEXT(Calcu!E44,Calcu!$Q$70))</f>
        <v/>
      </c>
      <c r="E50" s="234" t="str">
        <f>IF(Calcu!$B44=FALSE,"",TEXT(Calcu!F44,Calcu!$Q$70))</f>
        <v/>
      </c>
      <c r="F50" s="234" t="str">
        <f>IF(Calcu!$B44=FALSE,"",TEXT(Calcu!G44,Calcu!$Q$70))</f>
        <v/>
      </c>
      <c r="G50" s="234" t="str">
        <f>IF(Calcu!$B44=FALSE,"",TEXT(Calcu!H44,Calcu!$Q$70))</f>
        <v/>
      </c>
      <c r="H50" s="234" t="str">
        <f>IF(Calcu!$B44=FALSE,"",TEXT(Calcu!I44,Calcu!$Q$70))</f>
        <v/>
      </c>
      <c r="J50" s="27"/>
      <c r="T50" s="45"/>
    </row>
    <row r="51" spans="2:20" ht="13.5" customHeight="1">
      <c r="B51" s="234" t="str">
        <f>Calcu!C45</f>
        <v/>
      </c>
      <c r="C51" s="234" t="str">
        <f>IF(Calcu!B45=FALSE,"",Length_1!A40)</f>
        <v/>
      </c>
      <c r="D51" s="234" t="str">
        <f>IF(Calcu!$B45=FALSE,"",TEXT(Calcu!E45,Calcu!$Q$70))</f>
        <v/>
      </c>
      <c r="E51" s="234" t="str">
        <f>IF(Calcu!$B45=FALSE,"",TEXT(Calcu!F45,Calcu!$Q$70))</f>
        <v/>
      </c>
      <c r="F51" s="234" t="str">
        <f>IF(Calcu!$B45=FALSE,"",TEXT(Calcu!G45,Calcu!$Q$70))</f>
        <v/>
      </c>
      <c r="G51" s="234" t="str">
        <f>IF(Calcu!$B45=FALSE,"",TEXT(Calcu!H45,Calcu!$Q$70))</f>
        <v/>
      </c>
      <c r="H51" s="234" t="str">
        <f>IF(Calcu!$B45=FALSE,"",TEXT(Calcu!I45,Calcu!$Q$70))</f>
        <v/>
      </c>
      <c r="J51" s="27"/>
      <c r="T51" s="45"/>
    </row>
    <row r="52" spans="2:20" ht="13.5" customHeight="1">
      <c r="B52" s="234" t="str">
        <f>Calcu!C46</f>
        <v/>
      </c>
      <c r="C52" s="234" t="str">
        <f>IF(Calcu!B46=FALSE,"",Length_1!A41)</f>
        <v/>
      </c>
      <c r="D52" s="234" t="str">
        <f>IF(Calcu!$B46=FALSE,"",TEXT(Calcu!E46,Calcu!$Q$70))</f>
        <v/>
      </c>
      <c r="E52" s="234" t="str">
        <f>IF(Calcu!$B46=FALSE,"",TEXT(Calcu!F46,Calcu!$Q$70))</f>
        <v/>
      </c>
      <c r="F52" s="234" t="str">
        <f>IF(Calcu!$B46=FALSE,"",TEXT(Calcu!G46,Calcu!$Q$70))</f>
        <v/>
      </c>
      <c r="G52" s="234" t="str">
        <f>IF(Calcu!$B46=FALSE,"",TEXT(Calcu!H46,Calcu!$Q$70))</f>
        <v/>
      </c>
      <c r="H52" s="234" t="str">
        <f>IF(Calcu!$B46=FALSE,"",TEXT(Calcu!I46,Calcu!$Q$70))</f>
        <v/>
      </c>
      <c r="J52" s="27"/>
      <c r="T52" s="45"/>
    </row>
    <row r="53" spans="2:20" ht="13.5" customHeight="1">
      <c r="B53" s="234" t="str">
        <f>Calcu!C47</f>
        <v/>
      </c>
      <c r="C53" s="234" t="str">
        <f>IF(Calcu!B47=FALSE,"",Length_1!A42)</f>
        <v/>
      </c>
      <c r="D53" s="234" t="str">
        <f>IF(Calcu!$B47=FALSE,"",TEXT(Calcu!E47,Calcu!$Q$70))</f>
        <v/>
      </c>
      <c r="E53" s="234" t="str">
        <f>IF(Calcu!$B47=FALSE,"",TEXT(Calcu!F47,Calcu!$Q$70))</f>
        <v/>
      </c>
      <c r="F53" s="234" t="str">
        <f>IF(Calcu!$B47=FALSE,"",TEXT(Calcu!G47,Calcu!$Q$70))</f>
        <v/>
      </c>
      <c r="G53" s="234" t="str">
        <f>IF(Calcu!$B47=FALSE,"",TEXT(Calcu!H47,Calcu!$Q$70))</f>
        <v/>
      </c>
      <c r="H53" s="234" t="str">
        <f>IF(Calcu!$B47=FALSE,"",TEXT(Calcu!I47,Calcu!$Q$70))</f>
        <v/>
      </c>
      <c r="J53" s="27"/>
      <c r="T53" s="45"/>
    </row>
    <row r="54" spans="2:20" ht="13.5" customHeight="1">
      <c r="B54" s="234" t="str">
        <f>Calcu!C48</f>
        <v/>
      </c>
      <c r="C54" s="234" t="str">
        <f>IF(Calcu!B48=FALSE,"",Length_1!A43)</f>
        <v/>
      </c>
      <c r="D54" s="234" t="str">
        <f>IF(Calcu!$B48=FALSE,"",TEXT(Calcu!E48,Calcu!$Q$70))</f>
        <v/>
      </c>
      <c r="E54" s="234" t="str">
        <f>IF(Calcu!$B48=FALSE,"",TEXT(Calcu!F48,Calcu!$Q$70))</f>
        <v/>
      </c>
      <c r="F54" s="234" t="str">
        <f>IF(Calcu!$B48=FALSE,"",TEXT(Calcu!G48,Calcu!$Q$70))</f>
        <v/>
      </c>
      <c r="G54" s="234" t="str">
        <f>IF(Calcu!$B48=FALSE,"",TEXT(Calcu!H48,Calcu!$Q$70))</f>
        <v/>
      </c>
      <c r="H54" s="234" t="str">
        <f>IF(Calcu!$B48=FALSE,"",TEXT(Calcu!I48,Calcu!$Q$70))</f>
        <v/>
      </c>
      <c r="J54" s="27"/>
      <c r="T54" s="45"/>
    </row>
    <row r="55" spans="2:20" ht="13.5" customHeight="1">
      <c r="B55" s="234" t="str">
        <f>Calcu!C49</f>
        <v/>
      </c>
      <c r="C55" s="234" t="str">
        <f>IF(Calcu!B49=FALSE,"",Length_1!A44)</f>
        <v/>
      </c>
      <c r="D55" s="234" t="str">
        <f>IF(Calcu!$B49=FALSE,"",TEXT(Calcu!E49,Calcu!$Q$70))</f>
        <v/>
      </c>
      <c r="E55" s="234" t="str">
        <f>IF(Calcu!$B49=FALSE,"",TEXT(Calcu!F49,Calcu!$Q$70))</f>
        <v/>
      </c>
      <c r="F55" s="234" t="str">
        <f>IF(Calcu!$B49=FALSE,"",TEXT(Calcu!G49,Calcu!$Q$70))</f>
        <v/>
      </c>
      <c r="G55" s="234" t="str">
        <f>IF(Calcu!$B49=FALSE,"",TEXT(Calcu!H49,Calcu!$Q$70))</f>
        <v/>
      </c>
      <c r="H55" s="234" t="str">
        <f>IF(Calcu!$B49=FALSE,"",TEXT(Calcu!I49,Calcu!$Q$70))</f>
        <v/>
      </c>
      <c r="J55" s="27"/>
      <c r="T55" s="45"/>
    </row>
  </sheetData>
  <sortState ref="T5:U14">
    <sortCondition descending="1" ref="T5"/>
  </sortState>
  <mergeCells count="5">
    <mergeCell ref="B12:B13"/>
    <mergeCell ref="E4:F4"/>
    <mergeCell ref="E3:F3"/>
    <mergeCell ref="C12:C13"/>
    <mergeCell ref="D12:H12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291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6"/>
    <col min="12" max="12" width="1.77734375" style="56" customWidth="1"/>
    <col min="13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56" s="69" customFormat="1" ht="31.5">
      <c r="A1" s="68" t="s">
        <v>78</v>
      </c>
    </row>
    <row r="2" spans="1:56" s="69" customFormat="1" ht="18.75" customHeight="1"/>
    <row r="3" spans="1:56" s="69" customFormat="1" ht="18.75" customHeight="1">
      <c r="A3" s="70" t="s">
        <v>386</v>
      </c>
    </row>
    <row r="4" spans="1:56" s="69" customFormat="1" ht="18.75" customHeight="1">
      <c r="B4" s="459" t="s">
        <v>387</v>
      </c>
      <c r="C4" s="460"/>
      <c r="D4" s="460"/>
      <c r="E4" s="460"/>
      <c r="F4" s="460"/>
      <c r="G4" s="461"/>
      <c r="H4" s="462" t="s">
        <v>388</v>
      </c>
      <c r="I4" s="463"/>
      <c r="J4" s="463"/>
      <c r="K4" s="463"/>
      <c r="L4" s="463"/>
      <c r="M4" s="464"/>
      <c r="N4" s="457" t="s">
        <v>389</v>
      </c>
      <c r="O4" s="457"/>
      <c r="P4" s="457"/>
      <c r="Q4" s="457"/>
      <c r="R4" s="457"/>
      <c r="S4" s="457"/>
      <c r="T4" s="457" t="s">
        <v>390</v>
      </c>
      <c r="U4" s="457"/>
      <c r="V4" s="457"/>
      <c r="W4" s="457"/>
      <c r="X4" s="457"/>
      <c r="Y4" s="457"/>
    </row>
    <row r="5" spans="1:56" s="69" customFormat="1" ht="18.75" customHeight="1">
      <c r="B5" s="465">
        <f>Calcu!J3</f>
        <v>0</v>
      </c>
      <c r="C5" s="466"/>
      <c r="D5" s="466"/>
      <c r="E5" s="466"/>
      <c r="F5" s="466"/>
      <c r="G5" s="467"/>
      <c r="H5" s="468">
        <f>Calcu!K3</f>
        <v>1</v>
      </c>
      <c r="I5" s="469"/>
      <c r="J5" s="469"/>
      <c r="K5" s="469"/>
      <c r="L5" s="469"/>
      <c r="M5" s="470"/>
      <c r="N5" s="458" t="s">
        <v>391</v>
      </c>
      <c r="O5" s="458"/>
      <c r="P5" s="458"/>
      <c r="Q5" s="458"/>
      <c r="R5" s="458"/>
      <c r="S5" s="458"/>
      <c r="T5" s="458" t="s">
        <v>607</v>
      </c>
      <c r="U5" s="458"/>
      <c r="V5" s="458"/>
      <c r="W5" s="458"/>
      <c r="X5" s="458"/>
      <c r="Y5" s="458"/>
    </row>
    <row r="6" spans="1:56" s="69" customFormat="1" ht="18.75" customHeight="1"/>
    <row r="7" spans="1:56" ht="18.75" customHeight="1">
      <c r="A7" s="57" t="s">
        <v>392</v>
      </c>
      <c r="B7" s="239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9"/>
      <c r="AP7" s="239"/>
      <c r="AQ7" s="239"/>
      <c r="AR7" s="239"/>
    </row>
    <row r="8" spans="1:56" ht="18.75" customHeight="1">
      <c r="A8" s="57"/>
      <c r="B8" s="432" t="s">
        <v>393</v>
      </c>
      <c r="C8" s="433"/>
      <c r="D8" s="433"/>
      <c r="E8" s="433"/>
      <c r="F8" s="434"/>
      <c r="G8" s="438" t="str">
        <f>$T$5&amp;" 지시값"</f>
        <v>줄자교정장치 지시값</v>
      </c>
      <c r="H8" s="439"/>
      <c r="I8" s="439"/>
      <c r="J8" s="439"/>
      <c r="K8" s="439"/>
      <c r="L8" s="439"/>
      <c r="M8" s="439"/>
      <c r="N8" s="439"/>
      <c r="O8" s="439"/>
      <c r="P8" s="439"/>
      <c r="Q8" s="439"/>
      <c r="R8" s="439"/>
      <c r="S8" s="439"/>
      <c r="T8" s="439"/>
      <c r="U8" s="439"/>
      <c r="V8" s="439"/>
      <c r="W8" s="439"/>
      <c r="X8" s="439"/>
      <c r="Y8" s="439"/>
      <c r="Z8" s="439"/>
      <c r="AA8" s="439"/>
      <c r="AB8" s="439"/>
      <c r="AC8" s="439"/>
      <c r="AD8" s="439"/>
      <c r="AE8" s="440"/>
      <c r="AF8" s="432" t="s">
        <v>394</v>
      </c>
      <c r="AG8" s="433"/>
      <c r="AH8" s="433"/>
      <c r="AI8" s="433"/>
      <c r="AJ8" s="434"/>
      <c r="AK8" s="432" t="s">
        <v>395</v>
      </c>
      <c r="AL8" s="433"/>
      <c r="AM8" s="433"/>
      <c r="AN8" s="433"/>
      <c r="AO8" s="434"/>
      <c r="AP8" s="432" t="s">
        <v>80</v>
      </c>
      <c r="AQ8" s="433"/>
      <c r="AR8" s="433"/>
      <c r="AS8" s="433"/>
      <c r="AT8" s="434"/>
      <c r="AU8" s="432" t="s">
        <v>396</v>
      </c>
      <c r="AV8" s="433"/>
      <c r="AW8" s="433"/>
      <c r="AX8" s="433"/>
      <c r="AY8" s="434"/>
      <c r="AZ8" s="432" t="s">
        <v>397</v>
      </c>
      <c r="BA8" s="433"/>
      <c r="BB8" s="433"/>
      <c r="BC8" s="433"/>
      <c r="BD8" s="434"/>
    </row>
    <row r="9" spans="1:56" ht="18.75" customHeight="1">
      <c r="A9" s="57"/>
      <c r="B9" s="435"/>
      <c r="C9" s="436"/>
      <c r="D9" s="436"/>
      <c r="E9" s="436"/>
      <c r="F9" s="437"/>
      <c r="G9" s="438" t="s">
        <v>398</v>
      </c>
      <c r="H9" s="439"/>
      <c r="I9" s="439"/>
      <c r="J9" s="439"/>
      <c r="K9" s="440"/>
      <c r="L9" s="438" t="s">
        <v>121</v>
      </c>
      <c r="M9" s="439"/>
      <c r="N9" s="439"/>
      <c r="O9" s="439"/>
      <c r="P9" s="440"/>
      <c r="Q9" s="438" t="s">
        <v>399</v>
      </c>
      <c r="R9" s="439"/>
      <c r="S9" s="439"/>
      <c r="T9" s="439"/>
      <c r="U9" s="440"/>
      <c r="V9" s="438" t="s">
        <v>400</v>
      </c>
      <c r="W9" s="439"/>
      <c r="X9" s="439"/>
      <c r="Y9" s="439"/>
      <c r="Z9" s="440"/>
      <c r="AA9" s="438" t="s">
        <v>138</v>
      </c>
      <c r="AB9" s="439"/>
      <c r="AC9" s="439"/>
      <c r="AD9" s="439"/>
      <c r="AE9" s="440"/>
      <c r="AF9" s="435"/>
      <c r="AG9" s="436"/>
      <c r="AH9" s="436"/>
      <c r="AI9" s="436"/>
      <c r="AJ9" s="437"/>
      <c r="AK9" s="435"/>
      <c r="AL9" s="436"/>
      <c r="AM9" s="436"/>
      <c r="AN9" s="436"/>
      <c r="AO9" s="437"/>
      <c r="AP9" s="435"/>
      <c r="AQ9" s="436"/>
      <c r="AR9" s="436"/>
      <c r="AS9" s="436"/>
      <c r="AT9" s="437"/>
      <c r="AU9" s="435"/>
      <c r="AV9" s="436"/>
      <c r="AW9" s="436"/>
      <c r="AX9" s="436"/>
      <c r="AY9" s="437"/>
      <c r="AZ9" s="435"/>
      <c r="BA9" s="436"/>
      <c r="BB9" s="436"/>
      <c r="BC9" s="436"/>
      <c r="BD9" s="437"/>
    </row>
    <row r="10" spans="1:56" ht="18.75" customHeight="1">
      <c r="A10" s="57"/>
      <c r="B10" s="438" t="s">
        <v>401</v>
      </c>
      <c r="C10" s="439"/>
      <c r="D10" s="439"/>
      <c r="E10" s="439"/>
      <c r="F10" s="440"/>
      <c r="G10" s="438" t="str">
        <f>B10</f>
        <v>mm</v>
      </c>
      <c r="H10" s="439"/>
      <c r="I10" s="439"/>
      <c r="J10" s="439"/>
      <c r="K10" s="440"/>
      <c r="L10" s="438" t="str">
        <f>G10</f>
        <v>mm</v>
      </c>
      <c r="M10" s="439"/>
      <c r="N10" s="439"/>
      <c r="O10" s="439"/>
      <c r="P10" s="440"/>
      <c r="Q10" s="438" t="str">
        <f>L10</f>
        <v>mm</v>
      </c>
      <c r="R10" s="439"/>
      <c r="S10" s="439"/>
      <c r="T10" s="439"/>
      <c r="U10" s="440"/>
      <c r="V10" s="438" t="str">
        <f>Q10</f>
        <v>mm</v>
      </c>
      <c r="W10" s="439"/>
      <c r="X10" s="439"/>
      <c r="Y10" s="439"/>
      <c r="Z10" s="440"/>
      <c r="AA10" s="438" t="str">
        <f>V10</f>
        <v>mm</v>
      </c>
      <c r="AB10" s="439"/>
      <c r="AC10" s="439"/>
      <c r="AD10" s="439"/>
      <c r="AE10" s="440"/>
      <c r="AF10" s="438" t="s">
        <v>401</v>
      </c>
      <c r="AG10" s="439"/>
      <c r="AH10" s="439"/>
      <c r="AI10" s="439"/>
      <c r="AJ10" s="440"/>
      <c r="AK10" s="438" t="s">
        <v>402</v>
      </c>
      <c r="AL10" s="439"/>
      <c r="AM10" s="439"/>
      <c r="AN10" s="439"/>
      <c r="AO10" s="440"/>
      <c r="AP10" s="438" t="s">
        <v>129</v>
      </c>
      <c r="AQ10" s="439"/>
      <c r="AR10" s="439"/>
      <c r="AS10" s="439"/>
      <c r="AT10" s="440"/>
      <c r="AU10" s="438" t="s">
        <v>401</v>
      </c>
      <c r="AV10" s="439"/>
      <c r="AW10" s="439"/>
      <c r="AX10" s="439"/>
      <c r="AY10" s="440"/>
      <c r="AZ10" s="438" t="s">
        <v>129</v>
      </c>
      <c r="BA10" s="439"/>
      <c r="BB10" s="439"/>
      <c r="BC10" s="439"/>
      <c r="BD10" s="440"/>
    </row>
    <row r="11" spans="1:56" ht="18.75" customHeight="1">
      <c r="A11" s="57"/>
      <c r="B11" s="389" t="str">
        <f>Calcu!C9</f>
        <v/>
      </c>
      <c r="C11" s="390"/>
      <c r="D11" s="390"/>
      <c r="E11" s="390"/>
      <c r="F11" s="391"/>
      <c r="G11" s="389" t="str">
        <f>IF(Calcu!B9=TRUE,Calcu!E9*$H$5,"")</f>
        <v/>
      </c>
      <c r="H11" s="390"/>
      <c r="I11" s="390"/>
      <c r="J11" s="390"/>
      <c r="K11" s="391"/>
      <c r="L11" s="389" t="str">
        <f>IF(Calcu!B9=TRUE,Calcu!F9*H$5,"")</f>
        <v/>
      </c>
      <c r="M11" s="390"/>
      <c r="N11" s="390"/>
      <c r="O11" s="390"/>
      <c r="P11" s="391"/>
      <c r="Q11" s="389" t="str">
        <f>IF(Calcu!B9=TRUE,Calcu!G9*H$5,"")</f>
        <v/>
      </c>
      <c r="R11" s="390"/>
      <c r="S11" s="390"/>
      <c r="T11" s="390"/>
      <c r="U11" s="391"/>
      <c r="V11" s="389" t="str">
        <f>IF(Calcu!B9=TRUE,Calcu!H9*H$5,"")</f>
        <v/>
      </c>
      <c r="W11" s="390"/>
      <c r="X11" s="390"/>
      <c r="Y11" s="390"/>
      <c r="Z11" s="391"/>
      <c r="AA11" s="389" t="str">
        <f>IF(Calcu!B9=TRUE,Calcu!I9*H$5,"")</f>
        <v/>
      </c>
      <c r="AB11" s="390"/>
      <c r="AC11" s="390"/>
      <c r="AD11" s="390"/>
      <c r="AE11" s="391"/>
      <c r="AF11" s="389" t="str">
        <f>Calcu!M9</f>
        <v/>
      </c>
      <c r="AG11" s="390"/>
      <c r="AH11" s="390"/>
      <c r="AI11" s="390"/>
      <c r="AJ11" s="391"/>
      <c r="AK11" s="389" t="str">
        <f>Calcu!P9</f>
        <v/>
      </c>
      <c r="AL11" s="390"/>
      <c r="AM11" s="390"/>
      <c r="AN11" s="390"/>
      <c r="AO11" s="391"/>
      <c r="AP11" s="389" t="str">
        <f>Calcu!K9</f>
        <v/>
      </c>
      <c r="AQ11" s="390"/>
      <c r="AR11" s="390"/>
      <c r="AS11" s="390"/>
      <c r="AT11" s="391"/>
      <c r="AU11" s="389" t="str">
        <f>Calcu!N9</f>
        <v/>
      </c>
      <c r="AV11" s="390"/>
      <c r="AW11" s="390"/>
      <c r="AX11" s="390"/>
      <c r="AY11" s="391"/>
      <c r="AZ11" s="389" t="str">
        <f>Calcu!U9</f>
        <v/>
      </c>
      <c r="BA11" s="390"/>
      <c r="BB11" s="390"/>
      <c r="BC11" s="390"/>
      <c r="BD11" s="391"/>
    </row>
    <row r="12" spans="1:56" ht="18.75" customHeight="1">
      <c r="A12" s="57"/>
      <c r="B12" s="389" t="str">
        <f>Calcu!C10</f>
        <v/>
      </c>
      <c r="C12" s="390"/>
      <c r="D12" s="390"/>
      <c r="E12" s="390"/>
      <c r="F12" s="391"/>
      <c r="G12" s="389" t="str">
        <f>IF(Calcu!B10=TRUE,Calcu!E10*$H$5,"")</f>
        <v/>
      </c>
      <c r="H12" s="390"/>
      <c r="I12" s="390"/>
      <c r="J12" s="390"/>
      <c r="K12" s="391"/>
      <c r="L12" s="389" t="str">
        <f>IF(Calcu!B10=TRUE,Calcu!F10*H$5,"")</f>
        <v/>
      </c>
      <c r="M12" s="390"/>
      <c r="N12" s="390"/>
      <c r="O12" s="390"/>
      <c r="P12" s="391"/>
      <c r="Q12" s="389" t="str">
        <f>IF(Calcu!B10=TRUE,Calcu!G10*H$5,"")</f>
        <v/>
      </c>
      <c r="R12" s="390"/>
      <c r="S12" s="390"/>
      <c r="T12" s="390"/>
      <c r="U12" s="391"/>
      <c r="V12" s="389" t="str">
        <f>IF(Calcu!B10=TRUE,Calcu!H10*H$5,"")</f>
        <v/>
      </c>
      <c r="W12" s="390"/>
      <c r="X12" s="390"/>
      <c r="Y12" s="390"/>
      <c r="Z12" s="391"/>
      <c r="AA12" s="389" t="str">
        <f>IF(Calcu!B10=TRUE,Calcu!I10*H$5,"")</f>
        <v/>
      </c>
      <c r="AB12" s="390"/>
      <c r="AC12" s="390"/>
      <c r="AD12" s="390"/>
      <c r="AE12" s="391"/>
      <c r="AF12" s="389" t="str">
        <f>Calcu!M10</f>
        <v/>
      </c>
      <c r="AG12" s="390"/>
      <c r="AH12" s="390"/>
      <c r="AI12" s="390"/>
      <c r="AJ12" s="391"/>
      <c r="AK12" s="389" t="str">
        <f>Calcu!P10</f>
        <v/>
      </c>
      <c r="AL12" s="390"/>
      <c r="AM12" s="390"/>
      <c r="AN12" s="390"/>
      <c r="AO12" s="391"/>
      <c r="AP12" s="389" t="str">
        <f>Calcu!K10</f>
        <v/>
      </c>
      <c r="AQ12" s="390"/>
      <c r="AR12" s="390"/>
      <c r="AS12" s="390"/>
      <c r="AT12" s="391"/>
      <c r="AU12" s="389" t="str">
        <f>Calcu!N10</f>
        <v/>
      </c>
      <c r="AV12" s="390"/>
      <c r="AW12" s="390"/>
      <c r="AX12" s="390"/>
      <c r="AY12" s="391"/>
      <c r="AZ12" s="389" t="str">
        <f>Calcu!U10</f>
        <v/>
      </c>
      <c r="BA12" s="390"/>
      <c r="BB12" s="390"/>
      <c r="BC12" s="390"/>
      <c r="BD12" s="391"/>
    </row>
    <row r="13" spans="1:56" ht="18.75" customHeight="1">
      <c r="A13" s="57"/>
      <c r="B13" s="389" t="str">
        <f>Calcu!C11</f>
        <v/>
      </c>
      <c r="C13" s="390"/>
      <c r="D13" s="390"/>
      <c r="E13" s="390"/>
      <c r="F13" s="391"/>
      <c r="G13" s="389" t="str">
        <f>IF(Calcu!B11=TRUE,Calcu!E11*$H$5,"")</f>
        <v/>
      </c>
      <c r="H13" s="390"/>
      <c r="I13" s="390"/>
      <c r="J13" s="390"/>
      <c r="K13" s="391"/>
      <c r="L13" s="389" t="str">
        <f>IF(Calcu!B11=TRUE,Calcu!F11*H$5,"")</f>
        <v/>
      </c>
      <c r="M13" s="390"/>
      <c r="N13" s="390"/>
      <c r="O13" s="390"/>
      <c r="P13" s="391"/>
      <c r="Q13" s="389" t="str">
        <f>IF(Calcu!B11=TRUE,Calcu!G11*H$5,"")</f>
        <v/>
      </c>
      <c r="R13" s="390"/>
      <c r="S13" s="390"/>
      <c r="T13" s="390"/>
      <c r="U13" s="391"/>
      <c r="V13" s="389" t="str">
        <f>IF(Calcu!B11=TRUE,Calcu!H11*H$5,"")</f>
        <v/>
      </c>
      <c r="W13" s="390"/>
      <c r="X13" s="390"/>
      <c r="Y13" s="390"/>
      <c r="Z13" s="391"/>
      <c r="AA13" s="389" t="str">
        <f>IF(Calcu!B11=TRUE,Calcu!I11*H$5,"")</f>
        <v/>
      </c>
      <c r="AB13" s="390"/>
      <c r="AC13" s="390"/>
      <c r="AD13" s="390"/>
      <c r="AE13" s="391"/>
      <c r="AF13" s="389" t="str">
        <f>Calcu!M11</f>
        <v/>
      </c>
      <c r="AG13" s="390"/>
      <c r="AH13" s="390"/>
      <c r="AI13" s="390"/>
      <c r="AJ13" s="391"/>
      <c r="AK13" s="389" t="str">
        <f>Calcu!P11</f>
        <v/>
      </c>
      <c r="AL13" s="390"/>
      <c r="AM13" s="390"/>
      <c r="AN13" s="390"/>
      <c r="AO13" s="391"/>
      <c r="AP13" s="389" t="str">
        <f>Calcu!K11</f>
        <v/>
      </c>
      <c r="AQ13" s="390"/>
      <c r="AR13" s="390"/>
      <c r="AS13" s="390"/>
      <c r="AT13" s="391"/>
      <c r="AU13" s="389" t="str">
        <f>Calcu!N11</f>
        <v/>
      </c>
      <c r="AV13" s="390"/>
      <c r="AW13" s="390"/>
      <c r="AX13" s="390"/>
      <c r="AY13" s="391"/>
      <c r="AZ13" s="389" t="str">
        <f>Calcu!U11</f>
        <v/>
      </c>
      <c r="BA13" s="390"/>
      <c r="BB13" s="390"/>
      <c r="BC13" s="390"/>
      <c r="BD13" s="391"/>
    </row>
    <row r="14" spans="1:56" ht="18.75" customHeight="1">
      <c r="A14" s="57"/>
      <c r="B14" s="389" t="str">
        <f>Calcu!C12</f>
        <v/>
      </c>
      <c r="C14" s="390"/>
      <c r="D14" s="390"/>
      <c r="E14" s="390"/>
      <c r="F14" s="391"/>
      <c r="G14" s="389" t="str">
        <f>IF(Calcu!B12=TRUE,Calcu!E12*$H$5,"")</f>
        <v/>
      </c>
      <c r="H14" s="390"/>
      <c r="I14" s="390"/>
      <c r="J14" s="390"/>
      <c r="K14" s="391"/>
      <c r="L14" s="389" t="str">
        <f>IF(Calcu!B12=TRUE,Calcu!F12*H$5,"")</f>
        <v/>
      </c>
      <c r="M14" s="390"/>
      <c r="N14" s="390"/>
      <c r="O14" s="390"/>
      <c r="P14" s="391"/>
      <c r="Q14" s="389" t="str">
        <f>IF(Calcu!B12=TRUE,Calcu!G12*H$5,"")</f>
        <v/>
      </c>
      <c r="R14" s="390"/>
      <c r="S14" s="390"/>
      <c r="T14" s="390"/>
      <c r="U14" s="391"/>
      <c r="V14" s="389" t="str">
        <f>IF(Calcu!B12=TRUE,Calcu!H12*H$5,"")</f>
        <v/>
      </c>
      <c r="W14" s="390"/>
      <c r="X14" s="390"/>
      <c r="Y14" s="390"/>
      <c r="Z14" s="391"/>
      <c r="AA14" s="389" t="str">
        <f>IF(Calcu!B12=TRUE,Calcu!I12*H$5,"")</f>
        <v/>
      </c>
      <c r="AB14" s="390"/>
      <c r="AC14" s="390"/>
      <c r="AD14" s="390"/>
      <c r="AE14" s="391"/>
      <c r="AF14" s="389" t="str">
        <f>Calcu!M12</f>
        <v/>
      </c>
      <c r="AG14" s="390"/>
      <c r="AH14" s="390"/>
      <c r="AI14" s="390"/>
      <c r="AJ14" s="391"/>
      <c r="AK14" s="389" t="str">
        <f>Calcu!P12</f>
        <v/>
      </c>
      <c r="AL14" s="390"/>
      <c r="AM14" s="390"/>
      <c r="AN14" s="390"/>
      <c r="AO14" s="391"/>
      <c r="AP14" s="389" t="str">
        <f>Calcu!K12</f>
        <v/>
      </c>
      <c r="AQ14" s="390"/>
      <c r="AR14" s="390"/>
      <c r="AS14" s="390"/>
      <c r="AT14" s="391"/>
      <c r="AU14" s="389" t="str">
        <f>Calcu!N12</f>
        <v/>
      </c>
      <c r="AV14" s="390"/>
      <c r="AW14" s="390"/>
      <c r="AX14" s="390"/>
      <c r="AY14" s="391"/>
      <c r="AZ14" s="389" t="str">
        <f>Calcu!U12</f>
        <v/>
      </c>
      <c r="BA14" s="390"/>
      <c r="BB14" s="390"/>
      <c r="BC14" s="390"/>
      <c r="BD14" s="391"/>
    </row>
    <row r="15" spans="1:56" ht="18.75" customHeight="1">
      <c r="A15" s="57"/>
      <c r="B15" s="389" t="str">
        <f>Calcu!C13</f>
        <v/>
      </c>
      <c r="C15" s="390"/>
      <c r="D15" s="390"/>
      <c r="E15" s="390"/>
      <c r="F15" s="391"/>
      <c r="G15" s="389" t="str">
        <f>IF(Calcu!B13=TRUE,Calcu!E13*$H$5,"")</f>
        <v/>
      </c>
      <c r="H15" s="390"/>
      <c r="I15" s="390"/>
      <c r="J15" s="390"/>
      <c r="K15" s="391"/>
      <c r="L15" s="389" t="str">
        <f>IF(Calcu!B13=TRUE,Calcu!F13*H$5,"")</f>
        <v/>
      </c>
      <c r="M15" s="390"/>
      <c r="N15" s="390"/>
      <c r="O15" s="390"/>
      <c r="P15" s="391"/>
      <c r="Q15" s="389" t="str">
        <f>IF(Calcu!B13=TRUE,Calcu!G13*H$5,"")</f>
        <v/>
      </c>
      <c r="R15" s="390"/>
      <c r="S15" s="390"/>
      <c r="T15" s="390"/>
      <c r="U15" s="391"/>
      <c r="V15" s="389" t="str">
        <f>IF(Calcu!B13=TRUE,Calcu!H13*H$5,"")</f>
        <v/>
      </c>
      <c r="W15" s="390"/>
      <c r="X15" s="390"/>
      <c r="Y15" s="390"/>
      <c r="Z15" s="391"/>
      <c r="AA15" s="389" t="str">
        <f>IF(Calcu!B13=TRUE,Calcu!I13*H$5,"")</f>
        <v/>
      </c>
      <c r="AB15" s="390"/>
      <c r="AC15" s="390"/>
      <c r="AD15" s="390"/>
      <c r="AE15" s="391"/>
      <c r="AF15" s="389" t="str">
        <f>Calcu!M13</f>
        <v/>
      </c>
      <c r="AG15" s="390"/>
      <c r="AH15" s="390"/>
      <c r="AI15" s="390"/>
      <c r="AJ15" s="391"/>
      <c r="AK15" s="389" t="str">
        <f>Calcu!P13</f>
        <v/>
      </c>
      <c r="AL15" s="390"/>
      <c r="AM15" s="390"/>
      <c r="AN15" s="390"/>
      <c r="AO15" s="391"/>
      <c r="AP15" s="389" t="str">
        <f>Calcu!K13</f>
        <v/>
      </c>
      <c r="AQ15" s="390"/>
      <c r="AR15" s="390"/>
      <c r="AS15" s="390"/>
      <c r="AT15" s="391"/>
      <c r="AU15" s="389" t="str">
        <f>Calcu!N13</f>
        <v/>
      </c>
      <c r="AV15" s="390"/>
      <c r="AW15" s="390"/>
      <c r="AX15" s="390"/>
      <c r="AY15" s="391"/>
      <c r="AZ15" s="389" t="str">
        <f>Calcu!U13</f>
        <v/>
      </c>
      <c r="BA15" s="390"/>
      <c r="BB15" s="390"/>
      <c r="BC15" s="390"/>
      <c r="BD15" s="391"/>
    </row>
    <row r="16" spans="1:56" ht="18.75" customHeight="1">
      <c r="A16" s="57"/>
      <c r="B16" s="389" t="str">
        <f>Calcu!C14</f>
        <v/>
      </c>
      <c r="C16" s="390"/>
      <c r="D16" s="390"/>
      <c r="E16" s="390"/>
      <c r="F16" s="391"/>
      <c r="G16" s="389" t="str">
        <f>IF(Calcu!B14=TRUE,Calcu!E14*$H$5,"")</f>
        <v/>
      </c>
      <c r="H16" s="390"/>
      <c r="I16" s="390"/>
      <c r="J16" s="390"/>
      <c r="K16" s="391"/>
      <c r="L16" s="389" t="str">
        <f>IF(Calcu!B14=TRUE,Calcu!F14*H$5,"")</f>
        <v/>
      </c>
      <c r="M16" s="390"/>
      <c r="N16" s="390"/>
      <c r="O16" s="390"/>
      <c r="P16" s="391"/>
      <c r="Q16" s="389" t="str">
        <f>IF(Calcu!B14=TRUE,Calcu!G14*H$5,"")</f>
        <v/>
      </c>
      <c r="R16" s="390"/>
      <c r="S16" s="390"/>
      <c r="T16" s="390"/>
      <c r="U16" s="391"/>
      <c r="V16" s="389" t="str">
        <f>IF(Calcu!B14=TRUE,Calcu!H14*H$5,"")</f>
        <v/>
      </c>
      <c r="W16" s="390"/>
      <c r="X16" s="390"/>
      <c r="Y16" s="390"/>
      <c r="Z16" s="391"/>
      <c r="AA16" s="389" t="str">
        <f>IF(Calcu!B14=TRUE,Calcu!I14*H$5,"")</f>
        <v/>
      </c>
      <c r="AB16" s="390"/>
      <c r="AC16" s="390"/>
      <c r="AD16" s="390"/>
      <c r="AE16" s="391"/>
      <c r="AF16" s="389" t="str">
        <f>Calcu!M14</f>
        <v/>
      </c>
      <c r="AG16" s="390"/>
      <c r="AH16" s="390"/>
      <c r="AI16" s="390"/>
      <c r="AJ16" s="391"/>
      <c r="AK16" s="389" t="str">
        <f>Calcu!P14</f>
        <v/>
      </c>
      <c r="AL16" s="390"/>
      <c r="AM16" s="390"/>
      <c r="AN16" s="390"/>
      <c r="AO16" s="391"/>
      <c r="AP16" s="389" t="str">
        <f>Calcu!K14</f>
        <v/>
      </c>
      <c r="AQ16" s="390"/>
      <c r="AR16" s="390"/>
      <c r="AS16" s="390"/>
      <c r="AT16" s="391"/>
      <c r="AU16" s="389" t="str">
        <f>Calcu!N14</f>
        <v/>
      </c>
      <c r="AV16" s="390"/>
      <c r="AW16" s="390"/>
      <c r="AX16" s="390"/>
      <c r="AY16" s="391"/>
      <c r="AZ16" s="389" t="str">
        <f>Calcu!U14</f>
        <v/>
      </c>
      <c r="BA16" s="390"/>
      <c r="BB16" s="390"/>
      <c r="BC16" s="390"/>
      <c r="BD16" s="391"/>
    </row>
    <row r="17" spans="1:56" ht="18.75" customHeight="1">
      <c r="A17" s="57"/>
      <c r="B17" s="389" t="str">
        <f>Calcu!C15</f>
        <v/>
      </c>
      <c r="C17" s="390"/>
      <c r="D17" s="390"/>
      <c r="E17" s="390"/>
      <c r="F17" s="391"/>
      <c r="G17" s="389" t="str">
        <f>IF(Calcu!B15=TRUE,Calcu!E15*$H$5,"")</f>
        <v/>
      </c>
      <c r="H17" s="390"/>
      <c r="I17" s="390"/>
      <c r="J17" s="390"/>
      <c r="K17" s="391"/>
      <c r="L17" s="389" t="str">
        <f>IF(Calcu!B15=TRUE,Calcu!F15*H$5,"")</f>
        <v/>
      </c>
      <c r="M17" s="390"/>
      <c r="N17" s="390"/>
      <c r="O17" s="390"/>
      <c r="P17" s="391"/>
      <c r="Q17" s="389" t="str">
        <f>IF(Calcu!B15=TRUE,Calcu!G15*H$5,"")</f>
        <v/>
      </c>
      <c r="R17" s="390"/>
      <c r="S17" s="390"/>
      <c r="T17" s="390"/>
      <c r="U17" s="391"/>
      <c r="V17" s="389" t="str">
        <f>IF(Calcu!B15=TRUE,Calcu!H15*H$5,"")</f>
        <v/>
      </c>
      <c r="W17" s="390"/>
      <c r="X17" s="390"/>
      <c r="Y17" s="390"/>
      <c r="Z17" s="391"/>
      <c r="AA17" s="389" t="str">
        <f>IF(Calcu!B15=TRUE,Calcu!I15*H$5,"")</f>
        <v/>
      </c>
      <c r="AB17" s="390"/>
      <c r="AC17" s="390"/>
      <c r="AD17" s="390"/>
      <c r="AE17" s="391"/>
      <c r="AF17" s="389" t="str">
        <f>Calcu!M15</f>
        <v/>
      </c>
      <c r="AG17" s="390"/>
      <c r="AH17" s="390"/>
      <c r="AI17" s="390"/>
      <c r="AJ17" s="391"/>
      <c r="AK17" s="389" t="str">
        <f>Calcu!P15</f>
        <v/>
      </c>
      <c r="AL17" s="390"/>
      <c r="AM17" s="390"/>
      <c r="AN17" s="390"/>
      <c r="AO17" s="391"/>
      <c r="AP17" s="389" t="str">
        <f>Calcu!K15</f>
        <v/>
      </c>
      <c r="AQ17" s="390"/>
      <c r="AR17" s="390"/>
      <c r="AS17" s="390"/>
      <c r="AT17" s="391"/>
      <c r="AU17" s="389" t="str">
        <f>Calcu!N15</f>
        <v/>
      </c>
      <c r="AV17" s="390"/>
      <c r="AW17" s="390"/>
      <c r="AX17" s="390"/>
      <c r="AY17" s="391"/>
      <c r="AZ17" s="389" t="str">
        <f>Calcu!U15</f>
        <v/>
      </c>
      <c r="BA17" s="390"/>
      <c r="BB17" s="390"/>
      <c r="BC17" s="390"/>
      <c r="BD17" s="391"/>
    </row>
    <row r="18" spans="1:56" ht="18.75" customHeight="1">
      <c r="A18" s="57"/>
      <c r="B18" s="389" t="str">
        <f>Calcu!C16</f>
        <v/>
      </c>
      <c r="C18" s="390"/>
      <c r="D18" s="390"/>
      <c r="E18" s="390"/>
      <c r="F18" s="391"/>
      <c r="G18" s="389" t="str">
        <f>IF(Calcu!B16=TRUE,Calcu!E16*$H$5,"")</f>
        <v/>
      </c>
      <c r="H18" s="390"/>
      <c r="I18" s="390"/>
      <c r="J18" s="390"/>
      <c r="K18" s="391"/>
      <c r="L18" s="389" t="str">
        <f>IF(Calcu!B16=TRUE,Calcu!F16*H$5,"")</f>
        <v/>
      </c>
      <c r="M18" s="390"/>
      <c r="N18" s="390"/>
      <c r="O18" s="390"/>
      <c r="P18" s="391"/>
      <c r="Q18" s="389" t="str">
        <f>IF(Calcu!B16=TRUE,Calcu!G16*H$5,"")</f>
        <v/>
      </c>
      <c r="R18" s="390"/>
      <c r="S18" s="390"/>
      <c r="T18" s="390"/>
      <c r="U18" s="391"/>
      <c r="V18" s="389" t="str">
        <f>IF(Calcu!B16=TRUE,Calcu!H16*H$5,"")</f>
        <v/>
      </c>
      <c r="W18" s="390"/>
      <c r="X18" s="390"/>
      <c r="Y18" s="390"/>
      <c r="Z18" s="391"/>
      <c r="AA18" s="389" t="str">
        <f>IF(Calcu!B16=TRUE,Calcu!I16*H$5,"")</f>
        <v/>
      </c>
      <c r="AB18" s="390"/>
      <c r="AC18" s="390"/>
      <c r="AD18" s="390"/>
      <c r="AE18" s="391"/>
      <c r="AF18" s="389" t="str">
        <f>Calcu!M16</f>
        <v/>
      </c>
      <c r="AG18" s="390"/>
      <c r="AH18" s="390"/>
      <c r="AI18" s="390"/>
      <c r="AJ18" s="391"/>
      <c r="AK18" s="389" t="str">
        <f>Calcu!P16</f>
        <v/>
      </c>
      <c r="AL18" s="390"/>
      <c r="AM18" s="390"/>
      <c r="AN18" s="390"/>
      <c r="AO18" s="391"/>
      <c r="AP18" s="389" t="str">
        <f>Calcu!K16</f>
        <v/>
      </c>
      <c r="AQ18" s="390"/>
      <c r="AR18" s="390"/>
      <c r="AS18" s="390"/>
      <c r="AT18" s="391"/>
      <c r="AU18" s="389" t="str">
        <f>Calcu!N16</f>
        <v/>
      </c>
      <c r="AV18" s="390"/>
      <c r="AW18" s="390"/>
      <c r="AX18" s="390"/>
      <c r="AY18" s="391"/>
      <c r="AZ18" s="389" t="str">
        <f>Calcu!U16</f>
        <v/>
      </c>
      <c r="BA18" s="390"/>
      <c r="BB18" s="390"/>
      <c r="BC18" s="390"/>
      <c r="BD18" s="391"/>
    </row>
    <row r="19" spans="1:56" ht="18.75" customHeight="1">
      <c r="A19" s="57"/>
      <c r="B19" s="389" t="str">
        <f>Calcu!C17</f>
        <v/>
      </c>
      <c r="C19" s="390"/>
      <c r="D19" s="390"/>
      <c r="E19" s="390"/>
      <c r="F19" s="391"/>
      <c r="G19" s="389" t="str">
        <f>IF(Calcu!B17=TRUE,Calcu!E17*$H$5,"")</f>
        <v/>
      </c>
      <c r="H19" s="390"/>
      <c r="I19" s="390"/>
      <c r="J19" s="390"/>
      <c r="K19" s="391"/>
      <c r="L19" s="389" t="str">
        <f>IF(Calcu!B17=TRUE,Calcu!F17*H$5,"")</f>
        <v/>
      </c>
      <c r="M19" s="390"/>
      <c r="N19" s="390"/>
      <c r="O19" s="390"/>
      <c r="P19" s="391"/>
      <c r="Q19" s="389" t="str">
        <f>IF(Calcu!B17=TRUE,Calcu!G17*H$5,"")</f>
        <v/>
      </c>
      <c r="R19" s="390"/>
      <c r="S19" s="390"/>
      <c r="T19" s="390"/>
      <c r="U19" s="391"/>
      <c r="V19" s="389" t="str">
        <f>IF(Calcu!B17=TRUE,Calcu!H17*H$5,"")</f>
        <v/>
      </c>
      <c r="W19" s="390"/>
      <c r="X19" s="390"/>
      <c r="Y19" s="390"/>
      <c r="Z19" s="391"/>
      <c r="AA19" s="389" t="str">
        <f>IF(Calcu!B17=TRUE,Calcu!I17*H$5,"")</f>
        <v/>
      </c>
      <c r="AB19" s="390"/>
      <c r="AC19" s="390"/>
      <c r="AD19" s="390"/>
      <c r="AE19" s="391"/>
      <c r="AF19" s="389" t="str">
        <f>Calcu!M17</f>
        <v/>
      </c>
      <c r="AG19" s="390"/>
      <c r="AH19" s="390"/>
      <c r="AI19" s="390"/>
      <c r="AJ19" s="391"/>
      <c r="AK19" s="389" t="str">
        <f>Calcu!P17</f>
        <v/>
      </c>
      <c r="AL19" s="390"/>
      <c r="AM19" s="390"/>
      <c r="AN19" s="390"/>
      <c r="AO19" s="391"/>
      <c r="AP19" s="389" t="str">
        <f>Calcu!K17</f>
        <v/>
      </c>
      <c r="AQ19" s="390"/>
      <c r="AR19" s="390"/>
      <c r="AS19" s="390"/>
      <c r="AT19" s="391"/>
      <c r="AU19" s="389" t="str">
        <f>Calcu!N17</f>
        <v/>
      </c>
      <c r="AV19" s="390"/>
      <c r="AW19" s="390"/>
      <c r="AX19" s="390"/>
      <c r="AY19" s="391"/>
      <c r="AZ19" s="389" t="str">
        <f>Calcu!U17</f>
        <v/>
      </c>
      <c r="BA19" s="390"/>
      <c r="BB19" s="390"/>
      <c r="BC19" s="390"/>
      <c r="BD19" s="391"/>
    </row>
    <row r="20" spans="1:56" ht="18.75" customHeight="1">
      <c r="A20" s="57"/>
      <c r="B20" s="389" t="str">
        <f>Calcu!C18</f>
        <v/>
      </c>
      <c r="C20" s="390"/>
      <c r="D20" s="390"/>
      <c r="E20" s="390"/>
      <c r="F20" s="391"/>
      <c r="G20" s="389" t="str">
        <f>IF(Calcu!B18=TRUE,Calcu!E18*$H$5,"")</f>
        <v/>
      </c>
      <c r="H20" s="390"/>
      <c r="I20" s="390"/>
      <c r="J20" s="390"/>
      <c r="K20" s="391"/>
      <c r="L20" s="389" t="str">
        <f>IF(Calcu!B18=TRUE,Calcu!F18*H$5,"")</f>
        <v/>
      </c>
      <c r="M20" s="390"/>
      <c r="N20" s="390"/>
      <c r="O20" s="390"/>
      <c r="P20" s="391"/>
      <c r="Q20" s="389" t="str">
        <f>IF(Calcu!B18=TRUE,Calcu!G18*H$5,"")</f>
        <v/>
      </c>
      <c r="R20" s="390"/>
      <c r="S20" s="390"/>
      <c r="T20" s="390"/>
      <c r="U20" s="391"/>
      <c r="V20" s="389" t="str">
        <f>IF(Calcu!B18=TRUE,Calcu!H18*H$5,"")</f>
        <v/>
      </c>
      <c r="W20" s="390"/>
      <c r="X20" s="390"/>
      <c r="Y20" s="390"/>
      <c r="Z20" s="391"/>
      <c r="AA20" s="389" t="str">
        <f>IF(Calcu!B18=TRUE,Calcu!I18*H$5,"")</f>
        <v/>
      </c>
      <c r="AB20" s="390"/>
      <c r="AC20" s="390"/>
      <c r="AD20" s="390"/>
      <c r="AE20" s="391"/>
      <c r="AF20" s="389" t="str">
        <f>Calcu!M18</f>
        <v/>
      </c>
      <c r="AG20" s="390"/>
      <c r="AH20" s="390"/>
      <c r="AI20" s="390"/>
      <c r="AJ20" s="391"/>
      <c r="AK20" s="389" t="str">
        <f>Calcu!P18</f>
        <v/>
      </c>
      <c r="AL20" s="390"/>
      <c r="AM20" s="390"/>
      <c r="AN20" s="390"/>
      <c r="AO20" s="391"/>
      <c r="AP20" s="389" t="str">
        <f>Calcu!K18</f>
        <v/>
      </c>
      <c r="AQ20" s="390"/>
      <c r="AR20" s="390"/>
      <c r="AS20" s="390"/>
      <c r="AT20" s="391"/>
      <c r="AU20" s="389" t="str">
        <f>Calcu!N18</f>
        <v/>
      </c>
      <c r="AV20" s="390"/>
      <c r="AW20" s="390"/>
      <c r="AX20" s="390"/>
      <c r="AY20" s="391"/>
      <c r="AZ20" s="389" t="str">
        <f>Calcu!U18</f>
        <v/>
      </c>
      <c r="BA20" s="390"/>
      <c r="BB20" s="390"/>
      <c r="BC20" s="390"/>
      <c r="BD20" s="391"/>
    </row>
    <row r="21" spans="1:56" ht="18.75" customHeight="1">
      <c r="A21" s="57"/>
      <c r="B21" s="389" t="str">
        <f>Calcu!C19</f>
        <v/>
      </c>
      <c r="C21" s="390"/>
      <c r="D21" s="390"/>
      <c r="E21" s="390"/>
      <c r="F21" s="391"/>
      <c r="G21" s="389" t="str">
        <f>IF(Calcu!B19=TRUE,Calcu!E19*$H$5,"")</f>
        <v/>
      </c>
      <c r="H21" s="390"/>
      <c r="I21" s="390"/>
      <c r="J21" s="390"/>
      <c r="K21" s="391"/>
      <c r="L21" s="389" t="str">
        <f>IF(Calcu!B19=TRUE,Calcu!F19*H$5,"")</f>
        <v/>
      </c>
      <c r="M21" s="390"/>
      <c r="N21" s="390"/>
      <c r="O21" s="390"/>
      <c r="P21" s="391"/>
      <c r="Q21" s="389" t="str">
        <f>IF(Calcu!B19=TRUE,Calcu!G19*H$5,"")</f>
        <v/>
      </c>
      <c r="R21" s="390"/>
      <c r="S21" s="390"/>
      <c r="T21" s="390"/>
      <c r="U21" s="391"/>
      <c r="V21" s="389" t="str">
        <f>IF(Calcu!B19=TRUE,Calcu!H19*H$5,"")</f>
        <v/>
      </c>
      <c r="W21" s="390"/>
      <c r="X21" s="390"/>
      <c r="Y21" s="390"/>
      <c r="Z21" s="391"/>
      <c r="AA21" s="389" t="str">
        <f>IF(Calcu!B19=TRUE,Calcu!I19*H$5,"")</f>
        <v/>
      </c>
      <c r="AB21" s="390"/>
      <c r="AC21" s="390"/>
      <c r="AD21" s="390"/>
      <c r="AE21" s="391"/>
      <c r="AF21" s="389" t="str">
        <f>Calcu!M19</f>
        <v/>
      </c>
      <c r="AG21" s="390"/>
      <c r="AH21" s="390"/>
      <c r="AI21" s="390"/>
      <c r="AJ21" s="391"/>
      <c r="AK21" s="389" t="str">
        <f>Calcu!P19</f>
        <v/>
      </c>
      <c r="AL21" s="390"/>
      <c r="AM21" s="390"/>
      <c r="AN21" s="390"/>
      <c r="AO21" s="391"/>
      <c r="AP21" s="389" t="str">
        <f>Calcu!K19</f>
        <v/>
      </c>
      <c r="AQ21" s="390"/>
      <c r="AR21" s="390"/>
      <c r="AS21" s="390"/>
      <c r="AT21" s="391"/>
      <c r="AU21" s="389" t="str">
        <f>Calcu!N19</f>
        <v/>
      </c>
      <c r="AV21" s="390"/>
      <c r="AW21" s="390"/>
      <c r="AX21" s="390"/>
      <c r="AY21" s="391"/>
      <c r="AZ21" s="389" t="str">
        <f>Calcu!U19</f>
        <v/>
      </c>
      <c r="BA21" s="390"/>
      <c r="BB21" s="390"/>
      <c r="BC21" s="390"/>
      <c r="BD21" s="391"/>
    </row>
    <row r="22" spans="1:56" ht="18.75" customHeight="1">
      <c r="A22" s="57"/>
      <c r="B22" s="389" t="str">
        <f>Calcu!C20</f>
        <v/>
      </c>
      <c r="C22" s="390"/>
      <c r="D22" s="390"/>
      <c r="E22" s="390"/>
      <c r="F22" s="391"/>
      <c r="G22" s="389" t="str">
        <f>IF(Calcu!B20=TRUE,Calcu!E20*$H$5,"")</f>
        <v/>
      </c>
      <c r="H22" s="390"/>
      <c r="I22" s="390"/>
      <c r="J22" s="390"/>
      <c r="K22" s="391"/>
      <c r="L22" s="389" t="str">
        <f>IF(Calcu!B20=TRUE,Calcu!F20*H$5,"")</f>
        <v/>
      </c>
      <c r="M22" s="390"/>
      <c r="N22" s="390"/>
      <c r="O22" s="390"/>
      <c r="P22" s="391"/>
      <c r="Q22" s="389" t="str">
        <f>IF(Calcu!B20=TRUE,Calcu!G20*H$5,"")</f>
        <v/>
      </c>
      <c r="R22" s="390"/>
      <c r="S22" s="390"/>
      <c r="T22" s="390"/>
      <c r="U22" s="391"/>
      <c r="V22" s="389" t="str">
        <f>IF(Calcu!B20=TRUE,Calcu!H20*H$5,"")</f>
        <v/>
      </c>
      <c r="W22" s="390"/>
      <c r="X22" s="390"/>
      <c r="Y22" s="390"/>
      <c r="Z22" s="391"/>
      <c r="AA22" s="389" t="str">
        <f>IF(Calcu!B20=TRUE,Calcu!I20*H$5,"")</f>
        <v/>
      </c>
      <c r="AB22" s="390"/>
      <c r="AC22" s="390"/>
      <c r="AD22" s="390"/>
      <c r="AE22" s="391"/>
      <c r="AF22" s="389" t="str">
        <f>Calcu!M20</f>
        <v/>
      </c>
      <c r="AG22" s="390"/>
      <c r="AH22" s="390"/>
      <c r="AI22" s="390"/>
      <c r="AJ22" s="391"/>
      <c r="AK22" s="389" t="str">
        <f>Calcu!P20</f>
        <v/>
      </c>
      <c r="AL22" s="390"/>
      <c r="AM22" s="390"/>
      <c r="AN22" s="390"/>
      <c r="AO22" s="391"/>
      <c r="AP22" s="389" t="str">
        <f>Calcu!K20</f>
        <v/>
      </c>
      <c r="AQ22" s="390"/>
      <c r="AR22" s="390"/>
      <c r="AS22" s="390"/>
      <c r="AT22" s="391"/>
      <c r="AU22" s="389" t="str">
        <f>Calcu!N20</f>
        <v/>
      </c>
      <c r="AV22" s="390"/>
      <c r="AW22" s="390"/>
      <c r="AX22" s="390"/>
      <c r="AY22" s="391"/>
      <c r="AZ22" s="389" t="str">
        <f>Calcu!U20</f>
        <v/>
      </c>
      <c r="BA22" s="390"/>
      <c r="BB22" s="390"/>
      <c r="BC22" s="390"/>
      <c r="BD22" s="391"/>
    </row>
    <row r="23" spans="1:56" ht="18.75" customHeight="1">
      <c r="A23" s="57"/>
      <c r="B23" s="389" t="str">
        <f>Calcu!C21</f>
        <v/>
      </c>
      <c r="C23" s="390"/>
      <c r="D23" s="390"/>
      <c r="E23" s="390"/>
      <c r="F23" s="391"/>
      <c r="G23" s="389" t="str">
        <f>IF(Calcu!B21=TRUE,Calcu!E21*$H$5,"")</f>
        <v/>
      </c>
      <c r="H23" s="390"/>
      <c r="I23" s="390"/>
      <c r="J23" s="390"/>
      <c r="K23" s="391"/>
      <c r="L23" s="389" t="str">
        <f>IF(Calcu!B21=TRUE,Calcu!F21*H$5,"")</f>
        <v/>
      </c>
      <c r="M23" s="390"/>
      <c r="N23" s="390"/>
      <c r="O23" s="390"/>
      <c r="P23" s="391"/>
      <c r="Q23" s="389" t="str">
        <f>IF(Calcu!B21=TRUE,Calcu!G21*H$5,"")</f>
        <v/>
      </c>
      <c r="R23" s="390"/>
      <c r="S23" s="390"/>
      <c r="T23" s="390"/>
      <c r="U23" s="391"/>
      <c r="V23" s="389" t="str">
        <f>IF(Calcu!B21=TRUE,Calcu!H21*H$5,"")</f>
        <v/>
      </c>
      <c r="W23" s="390"/>
      <c r="X23" s="390"/>
      <c r="Y23" s="390"/>
      <c r="Z23" s="391"/>
      <c r="AA23" s="389" t="str">
        <f>IF(Calcu!B21=TRUE,Calcu!I21*H$5,"")</f>
        <v/>
      </c>
      <c r="AB23" s="390"/>
      <c r="AC23" s="390"/>
      <c r="AD23" s="390"/>
      <c r="AE23" s="391"/>
      <c r="AF23" s="389" t="str">
        <f>Calcu!M21</f>
        <v/>
      </c>
      <c r="AG23" s="390"/>
      <c r="AH23" s="390"/>
      <c r="AI23" s="390"/>
      <c r="AJ23" s="391"/>
      <c r="AK23" s="389" t="str">
        <f>Calcu!P21</f>
        <v/>
      </c>
      <c r="AL23" s="390"/>
      <c r="AM23" s="390"/>
      <c r="AN23" s="390"/>
      <c r="AO23" s="391"/>
      <c r="AP23" s="389" t="str">
        <f>Calcu!K21</f>
        <v/>
      </c>
      <c r="AQ23" s="390"/>
      <c r="AR23" s="390"/>
      <c r="AS23" s="390"/>
      <c r="AT23" s="391"/>
      <c r="AU23" s="389" t="str">
        <f>Calcu!N21</f>
        <v/>
      </c>
      <c r="AV23" s="390"/>
      <c r="AW23" s="390"/>
      <c r="AX23" s="390"/>
      <c r="AY23" s="391"/>
      <c r="AZ23" s="389" t="str">
        <f>Calcu!U21</f>
        <v/>
      </c>
      <c r="BA23" s="390"/>
      <c r="BB23" s="390"/>
      <c r="BC23" s="390"/>
      <c r="BD23" s="391"/>
    </row>
    <row r="24" spans="1:56" ht="18.75" customHeight="1">
      <c r="A24" s="57"/>
      <c r="B24" s="389" t="str">
        <f>Calcu!C22</f>
        <v/>
      </c>
      <c r="C24" s="390"/>
      <c r="D24" s="390"/>
      <c r="E24" s="390"/>
      <c r="F24" s="391"/>
      <c r="G24" s="389" t="str">
        <f>IF(Calcu!B22=TRUE,Calcu!E22*$H$5,"")</f>
        <v/>
      </c>
      <c r="H24" s="390"/>
      <c r="I24" s="390"/>
      <c r="J24" s="390"/>
      <c r="K24" s="391"/>
      <c r="L24" s="389" t="str">
        <f>IF(Calcu!B22=TRUE,Calcu!F22*H$5,"")</f>
        <v/>
      </c>
      <c r="M24" s="390"/>
      <c r="N24" s="390"/>
      <c r="O24" s="390"/>
      <c r="P24" s="391"/>
      <c r="Q24" s="389" t="str">
        <f>IF(Calcu!B22=TRUE,Calcu!G22*H$5,"")</f>
        <v/>
      </c>
      <c r="R24" s="390"/>
      <c r="S24" s="390"/>
      <c r="T24" s="390"/>
      <c r="U24" s="391"/>
      <c r="V24" s="389" t="str">
        <f>IF(Calcu!B22=TRUE,Calcu!H22*H$5,"")</f>
        <v/>
      </c>
      <c r="W24" s="390"/>
      <c r="X24" s="390"/>
      <c r="Y24" s="390"/>
      <c r="Z24" s="391"/>
      <c r="AA24" s="389" t="str">
        <f>IF(Calcu!B22=TRUE,Calcu!I22*H$5,"")</f>
        <v/>
      </c>
      <c r="AB24" s="390"/>
      <c r="AC24" s="390"/>
      <c r="AD24" s="390"/>
      <c r="AE24" s="391"/>
      <c r="AF24" s="389" t="str">
        <f>Calcu!M22</f>
        <v/>
      </c>
      <c r="AG24" s="390"/>
      <c r="AH24" s="390"/>
      <c r="AI24" s="390"/>
      <c r="AJ24" s="391"/>
      <c r="AK24" s="389" t="str">
        <f>Calcu!P22</f>
        <v/>
      </c>
      <c r="AL24" s="390"/>
      <c r="AM24" s="390"/>
      <c r="AN24" s="390"/>
      <c r="AO24" s="391"/>
      <c r="AP24" s="389" t="str">
        <f>Calcu!K22</f>
        <v/>
      </c>
      <c r="AQ24" s="390"/>
      <c r="AR24" s="390"/>
      <c r="AS24" s="390"/>
      <c r="AT24" s="391"/>
      <c r="AU24" s="389" t="str">
        <f>Calcu!N22</f>
        <v/>
      </c>
      <c r="AV24" s="390"/>
      <c r="AW24" s="390"/>
      <c r="AX24" s="390"/>
      <c r="AY24" s="391"/>
      <c r="AZ24" s="389" t="str">
        <f>Calcu!U22</f>
        <v/>
      </c>
      <c r="BA24" s="390"/>
      <c r="BB24" s="390"/>
      <c r="BC24" s="390"/>
      <c r="BD24" s="391"/>
    </row>
    <row r="25" spans="1:56" ht="18.75" customHeight="1">
      <c r="A25" s="57"/>
      <c r="B25" s="389" t="str">
        <f>Calcu!C23</f>
        <v/>
      </c>
      <c r="C25" s="390"/>
      <c r="D25" s="390"/>
      <c r="E25" s="390"/>
      <c r="F25" s="391"/>
      <c r="G25" s="389" t="str">
        <f>IF(Calcu!B23=TRUE,Calcu!E23*$H$5,"")</f>
        <v/>
      </c>
      <c r="H25" s="390"/>
      <c r="I25" s="390"/>
      <c r="J25" s="390"/>
      <c r="K25" s="391"/>
      <c r="L25" s="389" t="str">
        <f>IF(Calcu!B23=TRUE,Calcu!F23*H$5,"")</f>
        <v/>
      </c>
      <c r="M25" s="390"/>
      <c r="N25" s="390"/>
      <c r="O25" s="390"/>
      <c r="P25" s="391"/>
      <c r="Q25" s="389" t="str">
        <f>IF(Calcu!B23=TRUE,Calcu!G23*H$5,"")</f>
        <v/>
      </c>
      <c r="R25" s="390"/>
      <c r="S25" s="390"/>
      <c r="T25" s="390"/>
      <c r="U25" s="391"/>
      <c r="V25" s="389" t="str">
        <f>IF(Calcu!B23=TRUE,Calcu!H23*H$5,"")</f>
        <v/>
      </c>
      <c r="W25" s="390"/>
      <c r="X25" s="390"/>
      <c r="Y25" s="390"/>
      <c r="Z25" s="391"/>
      <c r="AA25" s="389" t="str">
        <f>IF(Calcu!B23=TRUE,Calcu!I23*H$5,"")</f>
        <v/>
      </c>
      <c r="AB25" s="390"/>
      <c r="AC25" s="390"/>
      <c r="AD25" s="390"/>
      <c r="AE25" s="391"/>
      <c r="AF25" s="389" t="str">
        <f>Calcu!M23</f>
        <v/>
      </c>
      <c r="AG25" s="390"/>
      <c r="AH25" s="390"/>
      <c r="AI25" s="390"/>
      <c r="AJ25" s="391"/>
      <c r="AK25" s="389" t="str">
        <f>Calcu!P23</f>
        <v/>
      </c>
      <c r="AL25" s="390"/>
      <c r="AM25" s="390"/>
      <c r="AN25" s="390"/>
      <c r="AO25" s="391"/>
      <c r="AP25" s="389" t="str">
        <f>Calcu!K23</f>
        <v/>
      </c>
      <c r="AQ25" s="390"/>
      <c r="AR25" s="390"/>
      <c r="AS25" s="390"/>
      <c r="AT25" s="391"/>
      <c r="AU25" s="389" t="str">
        <f>Calcu!N23</f>
        <v/>
      </c>
      <c r="AV25" s="390"/>
      <c r="AW25" s="390"/>
      <c r="AX25" s="390"/>
      <c r="AY25" s="391"/>
      <c r="AZ25" s="389" t="str">
        <f>Calcu!U23</f>
        <v/>
      </c>
      <c r="BA25" s="390"/>
      <c r="BB25" s="390"/>
      <c r="BC25" s="390"/>
      <c r="BD25" s="391"/>
    </row>
    <row r="26" spans="1:56" ht="18.75" customHeight="1">
      <c r="A26" s="57"/>
      <c r="B26" s="389" t="str">
        <f>Calcu!C24</f>
        <v/>
      </c>
      <c r="C26" s="390"/>
      <c r="D26" s="390"/>
      <c r="E26" s="390"/>
      <c r="F26" s="391"/>
      <c r="G26" s="389" t="str">
        <f>IF(Calcu!B24=TRUE,Calcu!E24*$H$5,"")</f>
        <v/>
      </c>
      <c r="H26" s="390"/>
      <c r="I26" s="390"/>
      <c r="J26" s="390"/>
      <c r="K26" s="391"/>
      <c r="L26" s="389" t="str">
        <f>IF(Calcu!B24=TRUE,Calcu!F24*H$5,"")</f>
        <v/>
      </c>
      <c r="M26" s="390"/>
      <c r="N26" s="390"/>
      <c r="O26" s="390"/>
      <c r="P26" s="391"/>
      <c r="Q26" s="389" t="str">
        <f>IF(Calcu!B24=TRUE,Calcu!G24*H$5,"")</f>
        <v/>
      </c>
      <c r="R26" s="390"/>
      <c r="S26" s="390"/>
      <c r="T26" s="390"/>
      <c r="U26" s="391"/>
      <c r="V26" s="389" t="str">
        <f>IF(Calcu!B24=TRUE,Calcu!H24*H$5,"")</f>
        <v/>
      </c>
      <c r="W26" s="390"/>
      <c r="X26" s="390"/>
      <c r="Y26" s="390"/>
      <c r="Z26" s="391"/>
      <c r="AA26" s="389" t="str">
        <f>IF(Calcu!B24=TRUE,Calcu!I24*H$5,"")</f>
        <v/>
      </c>
      <c r="AB26" s="390"/>
      <c r="AC26" s="390"/>
      <c r="AD26" s="390"/>
      <c r="AE26" s="391"/>
      <c r="AF26" s="389" t="str">
        <f>Calcu!M24</f>
        <v/>
      </c>
      <c r="AG26" s="390"/>
      <c r="AH26" s="390"/>
      <c r="AI26" s="390"/>
      <c r="AJ26" s="391"/>
      <c r="AK26" s="389" t="str">
        <f>Calcu!P24</f>
        <v/>
      </c>
      <c r="AL26" s="390"/>
      <c r="AM26" s="390"/>
      <c r="AN26" s="390"/>
      <c r="AO26" s="391"/>
      <c r="AP26" s="389" t="str">
        <f>Calcu!K24</f>
        <v/>
      </c>
      <c r="AQ26" s="390"/>
      <c r="AR26" s="390"/>
      <c r="AS26" s="390"/>
      <c r="AT26" s="391"/>
      <c r="AU26" s="389" t="str">
        <f>Calcu!N24</f>
        <v/>
      </c>
      <c r="AV26" s="390"/>
      <c r="AW26" s="390"/>
      <c r="AX26" s="390"/>
      <c r="AY26" s="391"/>
      <c r="AZ26" s="389" t="str">
        <f>Calcu!U24</f>
        <v/>
      </c>
      <c r="BA26" s="390"/>
      <c r="BB26" s="390"/>
      <c r="BC26" s="390"/>
      <c r="BD26" s="391"/>
    </row>
    <row r="27" spans="1:56" ht="18.75" customHeight="1">
      <c r="A27" s="57"/>
      <c r="B27" s="389" t="str">
        <f>Calcu!C25</f>
        <v/>
      </c>
      <c r="C27" s="390"/>
      <c r="D27" s="390"/>
      <c r="E27" s="390"/>
      <c r="F27" s="391"/>
      <c r="G27" s="389" t="str">
        <f>IF(Calcu!B25=TRUE,Calcu!E25*$H$5,"")</f>
        <v/>
      </c>
      <c r="H27" s="390"/>
      <c r="I27" s="390"/>
      <c r="J27" s="390"/>
      <c r="K27" s="391"/>
      <c r="L27" s="389" t="str">
        <f>IF(Calcu!B25=TRUE,Calcu!F25*H$5,"")</f>
        <v/>
      </c>
      <c r="M27" s="390"/>
      <c r="N27" s="390"/>
      <c r="O27" s="390"/>
      <c r="P27" s="391"/>
      <c r="Q27" s="389" t="str">
        <f>IF(Calcu!B25=TRUE,Calcu!G25*H$5,"")</f>
        <v/>
      </c>
      <c r="R27" s="390"/>
      <c r="S27" s="390"/>
      <c r="T27" s="390"/>
      <c r="U27" s="391"/>
      <c r="V27" s="389" t="str">
        <f>IF(Calcu!B25=TRUE,Calcu!H25*H$5,"")</f>
        <v/>
      </c>
      <c r="W27" s="390"/>
      <c r="X27" s="390"/>
      <c r="Y27" s="390"/>
      <c r="Z27" s="391"/>
      <c r="AA27" s="389" t="str">
        <f>IF(Calcu!B25=TRUE,Calcu!I25*H$5,"")</f>
        <v/>
      </c>
      <c r="AB27" s="390"/>
      <c r="AC27" s="390"/>
      <c r="AD27" s="390"/>
      <c r="AE27" s="391"/>
      <c r="AF27" s="389" t="str">
        <f>Calcu!M25</f>
        <v/>
      </c>
      <c r="AG27" s="390"/>
      <c r="AH27" s="390"/>
      <c r="AI27" s="390"/>
      <c r="AJ27" s="391"/>
      <c r="AK27" s="389" t="str">
        <f>Calcu!P25</f>
        <v/>
      </c>
      <c r="AL27" s="390"/>
      <c r="AM27" s="390"/>
      <c r="AN27" s="390"/>
      <c r="AO27" s="391"/>
      <c r="AP27" s="389" t="str">
        <f>Calcu!K25</f>
        <v/>
      </c>
      <c r="AQ27" s="390"/>
      <c r="AR27" s="390"/>
      <c r="AS27" s="390"/>
      <c r="AT27" s="391"/>
      <c r="AU27" s="389" t="str">
        <f>Calcu!N25</f>
        <v/>
      </c>
      <c r="AV27" s="390"/>
      <c r="AW27" s="390"/>
      <c r="AX27" s="390"/>
      <c r="AY27" s="391"/>
      <c r="AZ27" s="389" t="str">
        <f>Calcu!U25</f>
        <v/>
      </c>
      <c r="BA27" s="390"/>
      <c r="BB27" s="390"/>
      <c r="BC27" s="390"/>
      <c r="BD27" s="391"/>
    </row>
    <row r="28" spans="1:56" ht="18.75" customHeight="1">
      <c r="A28" s="57"/>
      <c r="B28" s="389" t="str">
        <f>Calcu!C26</f>
        <v/>
      </c>
      <c r="C28" s="390"/>
      <c r="D28" s="390"/>
      <c r="E28" s="390"/>
      <c r="F28" s="391"/>
      <c r="G28" s="389" t="str">
        <f>IF(Calcu!B26=TRUE,Calcu!E26*$H$5,"")</f>
        <v/>
      </c>
      <c r="H28" s="390"/>
      <c r="I28" s="390"/>
      <c r="J28" s="390"/>
      <c r="K28" s="391"/>
      <c r="L28" s="389" t="str">
        <f>IF(Calcu!B26=TRUE,Calcu!F26*H$5,"")</f>
        <v/>
      </c>
      <c r="M28" s="390"/>
      <c r="N28" s="390"/>
      <c r="O28" s="390"/>
      <c r="P28" s="391"/>
      <c r="Q28" s="389" t="str">
        <f>IF(Calcu!B26=TRUE,Calcu!G26*H$5,"")</f>
        <v/>
      </c>
      <c r="R28" s="390"/>
      <c r="S28" s="390"/>
      <c r="T28" s="390"/>
      <c r="U28" s="391"/>
      <c r="V28" s="389" t="str">
        <f>IF(Calcu!B26=TRUE,Calcu!H26*H$5,"")</f>
        <v/>
      </c>
      <c r="W28" s="390"/>
      <c r="X28" s="390"/>
      <c r="Y28" s="390"/>
      <c r="Z28" s="391"/>
      <c r="AA28" s="389" t="str">
        <f>IF(Calcu!B26=TRUE,Calcu!I26*H$5,"")</f>
        <v/>
      </c>
      <c r="AB28" s="390"/>
      <c r="AC28" s="390"/>
      <c r="AD28" s="390"/>
      <c r="AE28" s="391"/>
      <c r="AF28" s="389" t="str">
        <f>Calcu!M26</f>
        <v/>
      </c>
      <c r="AG28" s="390"/>
      <c r="AH28" s="390"/>
      <c r="AI28" s="390"/>
      <c r="AJ28" s="391"/>
      <c r="AK28" s="389" t="str">
        <f>Calcu!P26</f>
        <v/>
      </c>
      <c r="AL28" s="390"/>
      <c r="AM28" s="390"/>
      <c r="AN28" s="390"/>
      <c r="AO28" s="391"/>
      <c r="AP28" s="389" t="str">
        <f>Calcu!K26</f>
        <v/>
      </c>
      <c r="AQ28" s="390"/>
      <c r="AR28" s="390"/>
      <c r="AS28" s="390"/>
      <c r="AT28" s="391"/>
      <c r="AU28" s="389" t="str">
        <f>Calcu!N26</f>
        <v/>
      </c>
      <c r="AV28" s="390"/>
      <c r="AW28" s="390"/>
      <c r="AX28" s="390"/>
      <c r="AY28" s="391"/>
      <c r="AZ28" s="389" t="str">
        <f>Calcu!U26</f>
        <v/>
      </c>
      <c r="BA28" s="390"/>
      <c r="BB28" s="390"/>
      <c r="BC28" s="390"/>
      <c r="BD28" s="391"/>
    </row>
    <row r="29" spans="1:56" ht="18.75" customHeight="1">
      <c r="A29" s="57"/>
      <c r="B29" s="389" t="str">
        <f>Calcu!C27</f>
        <v/>
      </c>
      <c r="C29" s="390"/>
      <c r="D29" s="390"/>
      <c r="E29" s="390"/>
      <c r="F29" s="391"/>
      <c r="G29" s="389" t="str">
        <f>IF(Calcu!B27=TRUE,Calcu!E27*$H$5,"")</f>
        <v/>
      </c>
      <c r="H29" s="390"/>
      <c r="I29" s="390"/>
      <c r="J29" s="390"/>
      <c r="K29" s="391"/>
      <c r="L29" s="389" t="str">
        <f>IF(Calcu!B27=TRUE,Calcu!F27*H$5,"")</f>
        <v/>
      </c>
      <c r="M29" s="390"/>
      <c r="N29" s="390"/>
      <c r="O29" s="390"/>
      <c r="P29" s="391"/>
      <c r="Q29" s="389" t="str">
        <f>IF(Calcu!B27=TRUE,Calcu!G27*H$5,"")</f>
        <v/>
      </c>
      <c r="R29" s="390"/>
      <c r="S29" s="390"/>
      <c r="T29" s="390"/>
      <c r="U29" s="391"/>
      <c r="V29" s="389" t="str">
        <f>IF(Calcu!B27=TRUE,Calcu!H27*H$5,"")</f>
        <v/>
      </c>
      <c r="W29" s="390"/>
      <c r="X29" s="390"/>
      <c r="Y29" s="390"/>
      <c r="Z29" s="391"/>
      <c r="AA29" s="389" t="str">
        <f>IF(Calcu!B27=TRUE,Calcu!I27*H$5,"")</f>
        <v/>
      </c>
      <c r="AB29" s="390"/>
      <c r="AC29" s="390"/>
      <c r="AD29" s="390"/>
      <c r="AE29" s="391"/>
      <c r="AF29" s="389" t="str">
        <f>Calcu!M27</f>
        <v/>
      </c>
      <c r="AG29" s="390"/>
      <c r="AH29" s="390"/>
      <c r="AI29" s="390"/>
      <c r="AJ29" s="391"/>
      <c r="AK29" s="389" t="str">
        <f>Calcu!P27</f>
        <v/>
      </c>
      <c r="AL29" s="390"/>
      <c r="AM29" s="390"/>
      <c r="AN29" s="390"/>
      <c r="AO29" s="391"/>
      <c r="AP29" s="389" t="str">
        <f>Calcu!K27</f>
        <v/>
      </c>
      <c r="AQ29" s="390"/>
      <c r="AR29" s="390"/>
      <c r="AS29" s="390"/>
      <c r="AT29" s="391"/>
      <c r="AU29" s="389" t="str">
        <f>Calcu!N27</f>
        <v/>
      </c>
      <c r="AV29" s="390"/>
      <c r="AW29" s="390"/>
      <c r="AX29" s="390"/>
      <c r="AY29" s="391"/>
      <c r="AZ29" s="389" t="str">
        <f>Calcu!U27</f>
        <v/>
      </c>
      <c r="BA29" s="390"/>
      <c r="BB29" s="390"/>
      <c r="BC29" s="390"/>
      <c r="BD29" s="391"/>
    </row>
    <row r="30" spans="1:56" ht="18.75" customHeight="1">
      <c r="A30" s="57"/>
      <c r="B30" s="389" t="str">
        <f>Calcu!C28</f>
        <v/>
      </c>
      <c r="C30" s="390"/>
      <c r="D30" s="390"/>
      <c r="E30" s="390"/>
      <c r="F30" s="391"/>
      <c r="G30" s="389" t="str">
        <f>IF(Calcu!B28=TRUE,Calcu!E28*$H$5,"")</f>
        <v/>
      </c>
      <c r="H30" s="390"/>
      <c r="I30" s="390"/>
      <c r="J30" s="390"/>
      <c r="K30" s="391"/>
      <c r="L30" s="389" t="str">
        <f>IF(Calcu!B28=TRUE,Calcu!F28*H$5,"")</f>
        <v/>
      </c>
      <c r="M30" s="390"/>
      <c r="N30" s="390"/>
      <c r="O30" s="390"/>
      <c r="P30" s="391"/>
      <c r="Q30" s="389" t="str">
        <f>IF(Calcu!B28=TRUE,Calcu!G28*H$5,"")</f>
        <v/>
      </c>
      <c r="R30" s="390"/>
      <c r="S30" s="390"/>
      <c r="T30" s="390"/>
      <c r="U30" s="391"/>
      <c r="V30" s="389" t="str">
        <f>IF(Calcu!B28=TRUE,Calcu!H28*H$5,"")</f>
        <v/>
      </c>
      <c r="W30" s="390"/>
      <c r="X30" s="390"/>
      <c r="Y30" s="390"/>
      <c r="Z30" s="391"/>
      <c r="AA30" s="389" t="str">
        <f>IF(Calcu!B28=TRUE,Calcu!I28*H$5,"")</f>
        <v/>
      </c>
      <c r="AB30" s="390"/>
      <c r="AC30" s="390"/>
      <c r="AD30" s="390"/>
      <c r="AE30" s="391"/>
      <c r="AF30" s="389" t="str">
        <f>Calcu!M28</f>
        <v/>
      </c>
      <c r="AG30" s="390"/>
      <c r="AH30" s="390"/>
      <c r="AI30" s="390"/>
      <c r="AJ30" s="391"/>
      <c r="AK30" s="389" t="str">
        <f>Calcu!P28</f>
        <v/>
      </c>
      <c r="AL30" s="390"/>
      <c r="AM30" s="390"/>
      <c r="AN30" s="390"/>
      <c r="AO30" s="391"/>
      <c r="AP30" s="389" t="str">
        <f>Calcu!K28</f>
        <v/>
      </c>
      <c r="AQ30" s="390"/>
      <c r="AR30" s="390"/>
      <c r="AS30" s="390"/>
      <c r="AT30" s="391"/>
      <c r="AU30" s="389" t="str">
        <f>Calcu!N28</f>
        <v/>
      </c>
      <c r="AV30" s="390"/>
      <c r="AW30" s="390"/>
      <c r="AX30" s="390"/>
      <c r="AY30" s="391"/>
      <c r="AZ30" s="389" t="str">
        <f>Calcu!U28</f>
        <v/>
      </c>
      <c r="BA30" s="390"/>
      <c r="BB30" s="390"/>
      <c r="BC30" s="390"/>
      <c r="BD30" s="391"/>
    </row>
    <row r="31" spans="1:56" ht="18.75" customHeight="1">
      <c r="A31" s="57"/>
      <c r="B31" s="389" t="str">
        <f>Calcu!C29</f>
        <v/>
      </c>
      <c r="C31" s="390"/>
      <c r="D31" s="390"/>
      <c r="E31" s="390"/>
      <c r="F31" s="391"/>
      <c r="G31" s="389" t="str">
        <f>IF(Calcu!B29=TRUE,Calcu!E29*$H$5,"")</f>
        <v/>
      </c>
      <c r="H31" s="390"/>
      <c r="I31" s="390"/>
      <c r="J31" s="390"/>
      <c r="K31" s="391"/>
      <c r="L31" s="389" t="str">
        <f>IF(Calcu!B29=TRUE,Calcu!F29*H$5,"")</f>
        <v/>
      </c>
      <c r="M31" s="390"/>
      <c r="N31" s="390"/>
      <c r="O31" s="390"/>
      <c r="P31" s="391"/>
      <c r="Q31" s="389" t="str">
        <f>IF(Calcu!B29=TRUE,Calcu!G29*H$5,"")</f>
        <v/>
      </c>
      <c r="R31" s="390"/>
      <c r="S31" s="390"/>
      <c r="T31" s="390"/>
      <c r="U31" s="391"/>
      <c r="V31" s="389" t="str">
        <f>IF(Calcu!B29=TRUE,Calcu!H29*H$5,"")</f>
        <v/>
      </c>
      <c r="W31" s="390"/>
      <c r="X31" s="390"/>
      <c r="Y31" s="390"/>
      <c r="Z31" s="391"/>
      <c r="AA31" s="389" t="str">
        <f>IF(Calcu!B29=TRUE,Calcu!I29*H$5,"")</f>
        <v/>
      </c>
      <c r="AB31" s="390"/>
      <c r="AC31" s="390"/>
      <c r="AD31" s="390"/>
      <c r="AE31" s="391"/>
      <c r="AF31" s="389" t="str">
        <f>Calcu!M29</f>
        <v/>
      </c>
      <c r="AG31" s="390"/>
      <c r="AH31" s="390"/>
      <c r="AI31" s="390"/>
      <c r="AJ31" s="391"/>
      <c r="AK31" s="389" t="str">
        <f>Calcu!P29</f>
        <v/>
      </c>
      <c r="AL31" s="390"/>
      <c r="AM31" s="390"/>
      <c r="AN31" s="390"/>
      <c r="AO31" s="391"/>
      <c r="AP31" s="389" t="str">
        <f>Calcu!K29</f>
        <v/>
      </c>
      <c r="AQ31" s="390"/>
      <c r="AR31" s="390"/>
      <c r="AS31" s="390"/>
      <c r="AT31" s="391"/>
      <c r="AU31" s="389" t="str">
        <f>Calcu!N29</f>
        <v/>
      </c>
      <c r="AV31" s="390"/>
      <c r="AW31" s="390"/>
      <c r="AX31" s="390"/>
      <c r="AY31" s="391"/>
      <c r="AZ31" s="389" t="str">
        <f>Calcu!U29</f>
        <v/>
      </c>
      <c r="BA31" s="390"/>
      <c r="BB31" s="390"/>
      <c r="BC31" s="390"/>
      <c r="BD31" s="391"/>
    </row>
    <row r="32" spans="1:56" ht="18.75" customHeight="1">
      <c r="A32" s="57"/>
      <c r="B32" s="389" t="str">
        <f>Calcu!C30</f>
        <v/>
      </c>
      <c r="C32" s="390"/>
      <c r="D32" s="390"/>
      <c r="E32" s="390"/>
      <c r="F32" s="391"/>
      <c r="G32" s="389" t="str">
        <f>IF(Calcu!B30=TRUE,Calcu!E30*$H$5,"")</f>
        <v/>
      </c>
      <c r="H32" s="390"/>
      <c r="I32" s="390"/>
      <c r="J32" s="390"/>
      <c r="K32" s="391"/>
      <c r="L32" s="389" t="str">
        <f>IF(Calcu!B30=TRUE,Calcu!F30*H$5,"")</f>
        <v/>
      </c>
      <c r="M32" s="390"/>
      <c r="N32" s="390"/>
      <c r="O32" s="390"/>
      <c r="P32" s="391"/>
      <c r="Q32" s="389" t="str">
        <f>IF(Calcu!B30=TRUE,Calcu!G30*H$5,"")</f>
        <v/>
      </c>
      <c r="R32" s="390"/>
      <c r="S32" s="390"/>
      <c r="T32" s="390"/>
      <c r="U32" s="391"/>
      <c r="V32" s="389" t="str">
        <f>IF(Calcu!B30=TRUE,Calcu!H30*H$5,"")</f>
        <v/>
      </c>
      <c r="W32" s="390"/>
      <c r="X32" s="390"/>
      <c r="Y32" s="390"/>
      <c r="Z32" s="391"/>
      <c r="AA32" s="389" t="str">
        <f>IF(Calcu!B30=TRUE,Calcu!I30*H$5,"")</f>
        <v/>
      </c>
      <c r="AB32" s="390"/>
      <c r="AC32" s="390"/>
      <c r="AD32" s="390"/>
      <c r="AE32" s="391"/>
      <c r="AF32" s="389" t="str">
        <f>Calcu!M30</f>
        <v/>
      </c>
      <c r="AG32" s="390"/>
      <c r="AH32" s="390"/>
      <c r="AI32" s="390"/>
      <c r="AJ32" s="391"/>
      <c r="AK32" s="389" t="str">
        <f>Calcu!P30</f>
        <v/>
      </c>
      <c r="AL32" s="390"/>
      <c r="AM32" s="390"/>
      <c r="AN32" s="390"/>
      <c r="AO32" s="391"/>
      <c r="AP32" s="389" t="str">
        <f>Calcu!K30</f>
        <v/>
      </c>
      <c r="AQ32" s="390"/>
      <c r="AR32" s="390"/>
      <c r="AS32" s="390"/>
      <c r="AT32" s="391"/>
      <c r="AU32" s="389" t="str">
        <f>Calcu!N30</f>
        <v/>
      </c>
      <c r="AV32" s="390"/>
      <c r="AW32" s="390"/>
      <c r="AX32" s="390"/>
      <c r="AY32" s="391"/>
      <c r="AZ32" s="389" t="str">
        <f>Calcu!U30</f>
        <v/>
      </c>
      <c r="BA32" s="390"/>
      <c r="BB32" s="390"/>
      <c r="BC32" s="390"/>
      <c r="BD32" s="391"/>
    </row>
    <row r="33" spans="1:56" ht="18.75" customHeight="1">
      <c r="A33" s="57"/>
      <c r="B33" s="389" t="str">
        <f>Calcu!C31</f>
        <v/>
      </c>
      <c r="C33" s="390"/>
      <c r="D33" s="390"/>
      <c r="E33" s="390"/>
      <c r="F33" s="391"/>
      <c r="G33" s="389" t="str">
        <f>IF(Calcu!B31=TRUE,Calcu!E31*$H$5,"")</f>
        <v/>
      </c>
      <c r="H33" s="390"/>
      <c r="I33" s="390"/>
      <c r="J33" s="390"/>
      <c r="K33" s="391"/>
      <c r="L33" s="389" t="str">
        <f>IF(Calcu!B31=TRUE,Calcu!F31*H$5,"")</f>
        <v/>
      </c>
      <c r="M33" s="390"/>
      <c r="N33" s="390"/>
      <c r="O33" s="390"/>
      <c r="P33" s="391"/>
      <c r="Q33" s="389" t="str">
        <f>IF(Calcu!B31=TRUE,Calcu!G31*H$5,"")</f>
        <v/>
      </c>
      <c r="R33" s="390"/>
      <c r="S33" s="390"/>
      <c r="T33" s="390"/>
      <c r="U33" s="391"/>
      <c r="V33" s="389" t="str">
        <f>IF(Calcu!B31=TRUE,Calcu!H31*H$5,"")</f>
        <v/>
      </c>
      <c r="W33" s="390"/>
      <c r="X33" s="390"/>
      <c r="Y33" s="390"/>
      <c r="Z33" s="391"/>
      <c r="AA33" s="389" t="str">
        <f>IF(Calcu!B31=TRUE,Calcu!I31*H$5,"")</f>
        <v/>
      </c>
      <c r="AB33" s="390"/>
      <c r="AC33" s="390"/>
      <c r="AD33" s="390"/>
      <c r="AE33" s="391"/>
      <c r="AF33" s="389" t="str">
        <f>Calcu!M31</f>
        <v/>
      </c>
      <c r="AG33" s="390"/>
      <c r="AH33" s="390"/>
      <c r="AI33" s="390"/>
      <c r="AJ33" s="391"/>
      <c r="AK33" s="389" t="str">
        <f>Calcu!P31</f>
        <v/>
      </c>
      <c r="AL33" s="390"/>
      <c r="AM33" s="390"/>
      <c r="AN33" s="390"/>
      <c r="AO33" s="391"/>
      <c r="AP33" s="389" t="str">
        <f>Calcu!K31</f>
        <v/>
      </c>
      <c r="AQ33" s="390"/>
      <c r="AR33" s="390"/>
      <c r="AS33" s="390"/>
      <c r="AT33" s="391"/>
      <c r="AU33" s="389" t="str">
        <f>Calcu!N31</f>
        <v/>
      </c>
      <c r="AV33" s="390"/>
      <c r="AW33" s="390"/>
      <c r="AX33" s="390"/>
      <c r="AY33" s="391"/>
      <c r="AZ33" s="389" t="str">
        <f>Calcu!U31</f>
        <v/>
      </c>
      <c r="BA33" s="390"/>
      <c r="BB33" s="390"/>
      <c r="BC33" s="390"/>
      <c r="BD33" s="391"/>
    </row>
    <row r="34" spans="1:56" ht="18.75" customHeight="1">
      <c r="A34" s="57"/>
      <c r="B34" s="389" t="str">
        <f>Calcu!C32</f>
        <v/>
      </c>
      <c r="C34" s="390"/>
      <c r="D34" s="390"/>
      <c r="E34" s="390"/>
      <c r="F34" s="391"/>
      <c r="G34" s="389" t="str">
        <f>IF(Calcu!B32=TRUE,Calcu!E32*$H$5,"")</f>
        <v/>
      </c>
      <c r="H34" s="390"/>
      <c r="I34" s="390"/>
      <c r="J34" s="390"/>
      <c r="K34" s="391"/>
      <c r="L34" s="389" t="str">
        <f>IF(Calcu!B32=TRUE,Calcu!F32*H$5,"")</f>
        <v/>
      </c>
      <c r="M34" s="390"/>
      <c r="N34" s="390"/>
      <c r="O34" s="390"/>
      <c r="P34" s="391"/>
      <c r="Q34" s="389" t="str">
        <f>IF(Calcu!B32=TRUE,Calcu!G32*H$5,"")</f>
        <v/>
      </c>
      <c r="R34" s="390"/>
      <c r="S34" s="390"/>
      <c r="T34" s="390"/>
      <c r="U34" s="391"/>
      <c r="V34" s="389" t="str">
        <f>IF(Calcu!B32=TRUE,Calcu!H32*H$5,"")</f>
        <v/>
      </c>
      <c r="W34" s="390"/>
      <c r="X34" s="390"/>
      <c r="Y34" s="390"/>
      <c r="Z34" s="391"/>
      <c r="AA34" s="389" t="str">
        <f>IF(Calcu!B32=TRUE,Calcu!I32*H$5,"")</f>
        <v/>
      </c>
      <c r="AB34" s="390"/>
      <c r="AC34" s="390"/>
      <c r="AD34" s="390"/>
      <c r="AE34" s="391"/>
      <c r="AF34" s="389" t="str">
        <f>Calcu!M32</f>
        <v/>
      </c>
      <c r="AG34" s="390"/>
      <c r="AH34" s="390"/>
      <c r="AI34" s="390"/>
      <c r="AJ34" s="391"/>
      <c r="AK34" s="389" t="str">
        <f>Calcu!P32</f>
        <v/>
      </c>
      <c r="AL34" s="390"/>
      <c r="AM34" s="390"/>
      <c r="AN34" s="390"/>
      <c r="AO34" s="391"/>
      <c r="AP34" s="389" t="str">
        <f>Calcu!K32</f>
        <v/>
      </c>
      <c r="AQ34" s="390"/>
      <c r="AR34" s="390"/>
      <c r="AS34" s="390"/>
      <c r="AT34" s="391"/>
      <c r="AU34" s="389" t="str">
        <f>Calcu!N32</f>
        <v/>
      </c>
      <c r="AV34" s="390"/>
      <c r="AW34" s="390"/>
      <c r="AX34" s="390"/>
      <c r="AY34" s="391"/>
      <c r="AZ34" s="389" t="str">
        <f>Calcu!U32</f>
        <v/>
      </c>
      <c r="BA34" s="390"/>
      <c r="BB34" s="390"/>
      <c r="BC34" s="390"/>
      <c r="BD34" s="391"/>
    </row>
    <row r="35" spans="1:56" ht="18.75" customHeight="1">
      <c r="A35" s="57"/>
      <c r="B35" s="389" t="str">
        <f>Calcu!C33</f>
        <v/>
      </c>
      <c r="C35" s="390"/>
      <c r="D35" s="390"/>
      <c r="E35" s="390"/>
      <c r="F35" s="391"/>
      <c r="G35" s="389" t="str">
        <f>IF(Calcu!B33=TRUE,Calcu!E33*$H$5,"")</f>
        <v/>
      </c>
      <c r="H35" s="390"/>
      <c r="I35" s="390"/>
      <c r="J35" s="390"/>
      <c r="K35" s="391"/>
      <c r="L35" s="389" t="str">
        <f>IF(Calcu!B33=TRUE,Calcu!F33*H$5,"")</f>
        <v/>
      </c>
      <c r="M35" s="390"/>
      <c r="N35" s="390"/>
      <c r="O35" s="390"/>
      <c r="P35" s="391"/>
      <c r="Q35" s="389" t="str">
        <f>IF(Calcu!B33=TRUE,Calcu!G33*H$5,"")</f>
        <v/>
      </c>
      <c r="R35" s="390"/>
      <c r="S35" s="390"/>
      <c r="T35" s="390"/>
      <c r="U35" s="391"/>
      <c r="V35" s="389" t="str">
        <f>IF(Calcu!B33=TRUE,Calcu!H33*H$5,"")</f>
        <v/>
      </c>
      <c r="W35" s="390"/>
      <c r="X35" s="390"/>
      <c r="Y35" s="390"/>
      <c r="Z35" s="391"/>
      <c r="AA35" s="389" t="str">
        <f>IF(Calcu!B33=TRUE,Calcu!I33*H$5,"")</f>
        <v/>
      </c>
      <c r="AB35" s="390"/>
      <c r="AC35" s="390"/>
      <c r="AD35" s="390"/>
      <c r="AE35" s="391"/>
      <c r="AF35" s="389" t="str">
        <f>Calcu!M33</f>
        <v/>
      </c>
      <c r="AG35" s="390"/>
      <c r="AH35" s="390"/>
      <c r="AI35" s="390"/>
      <c r="AJ35" s="391"/>
      <c r="AK35" s="389" t="str">
        <f>Calcu!P33</f>
        <v/>
      </c>
      <c r="AL35" s="390"/>
      <c r="AM35" s="390"/>
      <c r="AN35" s="390"/>
      <c r="AO35" s="391"/>
      <c r="AP35" s="389" t="str">
        <f>Calcu!K33</f>
        <v/>
      </c>
      <c r="AQ35" s="390"/>
      <c r="AR35" s="390"/>
      <c r="AS35" s="390"/>
      <c r="AT35" s="391"/>
      <c r="AU35" s="389" t="str">
        <f>Calcu!N33</f>
        <v/>
      </c>
      <c r="AV35" s="390"/>
      <c r="AW35" s="390"/>
      <c r="AX35" s="390"/>
      <c r="AY35" s="391"/>
      <c r="AZ35" s="389" t="str">
        <f>Calcu!U33</f>
        <v/>
      </c>
      <c r="BA35" s="390"/>
      <c r="BB35" s="390"/>
      <c r="BC35" s="390"/>
      <c r="BD35" s="391"/>
    </row>
    <row r="36" spans="1:56" ht="18.75" customHeight="1">
      <c r="A36" s="57"/>
      <c r="B36" s="389" t="str">
        <f>Calcu!C34</f>
        <v/>
      </c>
      <c r="C36" s="390"/>
      <c r="D36" s="390"/>
      <c r="E36" s="390"/>
      <c r="F36" s="391"/>
      <c r="G36" s="389" t="str">
        <f>IF(Calcu!B34=TRUE,Calcu!E34*$H$5,"")</f>
        <v/>
      </c>
      <c r="H36" s="390"/>
      <c r="I36" s="390"/>
      <c r="J36" s="390"/>
      <c r="K36" s="391"/>
      <c r="L36" s="389" t="str">
        <f>IF(Calcu!B34=TRUE,Calcu!F34*H$5,"")</f>
        <v/>
      </c>
      <c r="M36" s="390"/>
      <c r="N36" s="390"/>
      <c r="O36" s="390"/>
      <c r="P36" s="391"/>
      <c r="Q36" s="389" t="str">
        <f>IF(Calcu!B34=TRUE,Calcu!G34*H$5,"")</f>
        <v/>
      </c>
      <c r="R36" s="390"/>
      <c r="S36" s="390"/>
      <c r="T36" s="390"/>
      <c r="U36" s="391"/>
      <c r="V36" s="389" t="str">
        <f>IF(Calcu!B34=TRUE,Calcu!H34*H$5,"")</f>
        <v/>
      </c>
      <c r="W36" s="390"/>
      <c r="X36" s="390"/>
      <c r="Y36" s="390"/>
      <c r="Z36" s="391"/>
      <c r="AA36" s="389" t="str">
        <f>IF(Calcu!B34=TRUE,Calcu!I34*H$5,"")</f>
        <v/>
      </c>
      <c r="AB36" s="390"/>
      <c r="AC36" s="390"/>
      <c r="AD36" s="390"/>
      <c r="AE36" s="391"/>
      <c r="AF36" s="389" t="str">
        <f>Calcu!M34</f>
        <v/>
      </c>
      <c r="AG36" s="390"/>
      <c r="AH36" s="390"/>
      <c r="AI36" s="390"/>
      <c r="AJ36" s="391"/>
      <c r="AK36" s="389" t="str">
        <f>Calcu!P34</f>
        <v/>
      </c>
      <c r="AL36" s="390"/>
      <c r="AM36" s="390"/>
      <c r="AN36" s="390"/>
      <c r="AO36" s="391"/>
      <c r="AP36" s="389" t="str">
        <f>Calcu!K34</f>
        <v/>
      </c>
      <c r="AQ36" s="390"/>
      <c r="AR36" s="390"/>
      <c r="AS36" s="390"/>
      <c r="AT36" s="391"/>
      <c r="AU36" s="389" t="str">
        <f>Calcu!N34</f>
        <v/>
      </c>
      <c r="AV36" s="390"/>
      <c r="AW36" s="390"/>
      <c r="AX36" s="390"/>
      <c r="AY36" s="391"/>
      <c r="AZ36" s="389" t="str">
        <f>Calcu!U34</f>
        <v/>
      </c>
      <c r="BA36" s="390"/>
      <c r="BB36" s="390"/>
      <c r="BC36" s="390"/>
      <c r="BD36" s="391"/>
    </row>
    <row r="37" spans="1:56" ht="18.75" customHeight="1">
      <c r="A37" s="57"/>
      <c r="B37" s="389" t="str">
        <f>Calcu!C35</f>
        <v/>
      </c>
      <c r="C37" s="390"/>
      <c r="D37" s="390"/>
      <c r="E37" s="390"/>
      <c r="F37" s="391"/>
      <c r="G37" s="389" t="str">
        <f>IF(Calcu!B35=TRUE,Calcu!E35*$H$5,"")</f>
        <v/>
      </c>
      <c r="H37" s="390"/>
      <c r="I37" s="390"/>
      <c r="J37" s="390"/>
      <c r="K37" s="391"/>
      <c r="L37" s="389" t="str">
        <f>IF(Calcu!B35=TRUE,Calcu!F35*H$5,"")</f>
        <v/>
      </c>
      <c r="M37" s="390"/>
      <c r="N37" s="390"/>
      <c r="O37" s="390"/>
      <c r="P37" s="391"/>
      <c r="Q37" s="389" t="str">
        <f>IF(Calcu!B35=TRUE,Calcu!G35*H$5,"")</f>
        <v/>
      </c>
      <c r="R37" s="390"/>
      <c r="S37" s="390"/>
      <c r="T37" s="390"/>
      <c r="U37" s="391"/>
      <c r="V37" s="389" t="str">
        <f>IF(Calcu!B35=TRUE,Calcu!H35*H$5,"")</f>
        <v/>
      </c>
      <c r="W37" s="390"/>
      <c r="X37" s="390"/>
      <c r="Y37" s="390"/>
      <c r="Z37" s="391"/>
      <c r="AA37" s="389" t="str">
        <f>IF(Calcu!B35=TRUE,Calcu!I35*H$5,"")</f>
        <v/>
      </c>
      <c r="AB37" s="390"/>
      <c r="AC37" s="390"/>
      <c r="AD37" s="390"/>
      <c r="AE37" s="391"/>
      <c r="AF37" s="389" t="str">
        <f>Calcu!M35</f>
        <v/>
      </c>
      <c r="AG37" s="390"/>
      <c r="AH37" s="390"/>
      <c r="AI37" s="390"/>
      <c r="AJ37" s="391"/>
      <c r="AK37" s="389" t="str">
        <f>Calcu!P35</f>
        <v/>
      </c>
      <c r="AL37" s="390"/>
      <c r="AM37" s="390"/>
      <c r="AN37" s="390"/>
      <c r="AO37" s="391"/>
      <c r="AP37" s="389" t="str">
        <f>Calcu!K35</f>
        <v/>
      </c>
      <c r="AQ37" s="390"/>
      <c r="AR37" s="390"/>
      <c r="AS37" s="390"/>
      <c r="AT37" s="391"/>
      <c r="AU37" s="389" t="str">
        <f>Calcu!N35</f>
        <v/>
      </c>
      <c r="AV37" s="390"/>
      <c r="AW37" s="390"/>
      <c r="AX37" s="390"/>
      <c r="AY37" s="391"/>
      <c r="AZ37" s="389" t="str">
        <f>Calcu!U35</f>
        <v/>
      </c>
      <c r="BA37" s="390"/>
      <c r="BB37" s="390"/>
      <c r="BC37" s="390"/>
      <c r="BD37" s="391"/>
    </row>
    <row r="38" spans="1:56" ht="18.75" customHeight="1">
      <c r="A38" s="57"/>
      <c r="B38" s="389" t="str">
        <f>Calcu!C36</f>
        <v/>
      </c>
      <c r="C38" s="390"/>
      <c r="D38" s="390"/>
      <c r="E38" s="390"/>
      <c r="F38" s="391"/>
      <c r="G38" s="389" t="str">
        <f>IF(Calcu!B36=TRUE,Calcu!E36*$H$5,"")</f>
        <v/>
      </c>
      <c r="H38" s="390"/>
      <c r="I38" s="390"/>
      <c r="J38" s="390"/>
      <c r="K38" s="391"/>
      <c r="L38" s="389" t="str">
        <f>IF(Calcu!B36=TRUE,Calcu!F36*H$5,"")</f>
        <v/>
      </c>
      <c r="M38" s="390"/>
      <c r="N38" s="390"/>
      <c r="O38" s="390"/>
      <c r="P38" s="391"/>
      <c r="Q38" s="389" t="str">
        <f>IF(Calcu!B36=TRUE,Calcu!G36*H$5,"")</f>
        <v/>
      </c>
      <c r="R38" s="390"/>
      <c r="S38" s="390"/>
      <c r="T38" s="390"/>
      <c r="U38" s="391"/>
      <c r="V38" s="389" t="str">
        <f>IF(Calcu!B36=TRUE,Calcu!H36*H$5,"")</f>
        <v/>
      </c>
      <c r="W38" s="390"/>
      <c r="X38" s="390"/>
      <c r="Y38" s="390"/>
      <c r="Z38" s="391"/>
      <c r="AA38" s="389" t="str">
        <f>IF(Calcu!B36=TRUE,Calcu!I36*H$5,"")</f>
        <v/>
      </c>
      <c r="AB38" s="390"/>
      <c r="AC38" s="390"/>
      <c r="AD38" s="390"/>
      <c r="AE38" s="391"/>
      <c r="AF38" s="389" t="str">
        <f>Calcu!M36</f>
        <v/>
      </c>
      <c r="AG38" s="390"/>
      <c r="AH38" s="390"/>
      <c r="AI38" s="390"/>
      <c r="AJ38" s="391"/>
      <c r="AK38" s="389" t="str">
        <f>Calcu!P36</f>
        <v/>
      </c>
      <c r="AL38" s="390"/>
      <c r="AM38" s="390"/>
      <c r="AN38" s="390"/>
      <c r="AO38" s="391"/>
      <c r="AP38" s="389" t="str">
        <f>Calcu!K36</f>
        <v/>
      </c>
      <c r="AQ38" s="390"/>
      <c r="AR38" s="390"/>
      <c r="AS38" s="390"/>
      <c r="AT38" s="391"/>
      <c r="AU38" s="389" t="str">
        <f>Calcu!N36</f>
        <v/>
      </c>
      <c r="AV38" s="390"/>
      <c r="AW38" s="390"/>
      <c r="AX38" s="390"/>
      <c r="AY38" s="391"/>
      <c r="AZ38" s="389" t="str">
        <f>Calcu!U36</f>
        <v/>
      </c>
      <c r="BA38" s="390"/>
      <c r="BB38" s="390"/>
      <c r="BC38" s="390"/>
      <c r="BD38" s="391"/>
    </row>
    <row r="39" spans="1:56" ht="18.75" customHeight="1">
      <c r="A39" s="57"/>
      <c r="B39" s="389" t="str">
        <f>Calcu!C37</f>
        <v/>
      </c>
      <c r="C39" s="390"/>
      <c r="D39" s="390"/>
      <c r="E39" s="390"/>
      <c r="F39" s="391"/>
      <c r="G39" s="389" t="str">
        <f>IF(Calcu!B37=TRUE,Calcu!E37*$H$5,"")</f>
        <v/>
      </c>
      <c r="H39" s="390"/>
      <c r="I39" s="390"/>
      <c r="J39" s="390"/>
      <c r="K39" s="391"/>
      <c r="L39" s="389" t="str">
        <f>IF(Calcu!B37=TRUE,Calcu!F37*H$5,"")</f>
        <v/>
      </c>
      <c r="M39" s="390"/>
      <c r="N39" s="390"/>
      <c r="O39" s="390"/>
      <c r="P39" s="391"/>
      <c r="Q39" s="389" t="str">
        <f>IF(Calcu!B37=TRUE,Calcu!G37*H$5,"")</f>
        <v/>
      </c>
      <c r="R39" s="390"/>
      <c r="S39" s="390"/>
      <c r="T39" s="390"/>
      <c r="U39" s="391"/>
      <c r="V39" s="389" t="str">
        <f>IF(Calcu!B37=TRUE,Calcu!H37*H$5,"")</f>
        <v/>
      </c>
      <c r="W39" s="390"/>
      <c r="X39" s="390"/>
      <c r="Y39" s="390"/>
      <c r="Z39" s="391"/>
      <c r="AA39" s="389" t="str">
        <f>IF(Calcu!B37=TRUE,Calcu!I37*H$5,"")</f>
        <v/>
      </c>
      <c r="AB39" s="390"/>
      <c r="AC39" s="390"/>
      <c r="AD39" s="390"/>
      <c r="AE39" s="391"/>
      <c r="AF39" s="389" t="str">
        <f>Calcu!M37</f>
        <v/>
      </c>
      <c r="AG39" s="390"/>
      <c r="AH39" s="390"/>
      <c r="AI39" s="390"/>
      <c r="AJ39" s="391"/>
      <c r="AK39" s="389" t="str">
        <f>Calcu!P37</f>
        <v/>
      </c>
      <c r="AL39" s="390"/>
      <c r="AM39" s="390"/>
      <c r="AN39" s="390"/>
      <c r="AO39" s="391"/>
      <c r="AP39" s="389" t="str">
        <f>Calcu!K37</f>
        <v/>
      </c>
      <c r="AQ39" s="390"/>
      <c r="AR39" s="390"/>
      <c r="AS39" s="390"/>
      <c r="AT39" s="391"/>
      <c r="AU39" s="389" t="str">
        <f>Calcu!N37</f>
        <v/>
      </c>
      <c r="AV39" s="390"/>
      <c r="AW39" s="390"/>
      <c r="AX39" s="390"/>
      <c r="AY39" s="391"/>
      <c r="AZ39" s="389" t="str">
        <f>Calcu!U37</f>
        <v/>
      </c>
      <c r="BA39" s="390"/>
      <c r="BB39" s="390"/>
      <c r="BC39" s="390"/>
      <c r="BD39" s="391"/>
    </row>
    <row r="40" spans="1:56" ht="18.75" customHeight="1">
      <c r="A40" s="57"/>
      <c r="B40" s="389" t="str">
        <f>Calcu!C38</f>
        <v/>
      </c>
      <c r="C40" s="390"/>
      <c r="D40" s="390"/>
      <c r="E40" s="390"/>
      <c r="F40" s="391"/>
      <c r="G40" s="389" t="str">
        <f>IF(Calcu!B38=TRUE,Calcu!E38*$H$5,"")</f>
        <v/>
      </c>
      <c r="H40" s="390"/>
      <c r="I40" s="390"/>
      <c r="J40" s="390"/>
      <c r="K40" s="391"/>
      <c r="L40" s="389" t="str">
        <f>IF(Calcu!B38=TRUE,Calcu!F38*H$5,"")</f>
        <v/>
      </c>
      <c r="M40" s="390"/>
      <c r="N40" s="390"/>
      <c r="O40" s="390"/>
      <c r="P40" s="391"/>
      <c r="Q40" s="389" t="str">
        <f>IF(Calcu!B38=TRUE,Calcu!G38*H$5,"")</f>
        <v/>
      </c>
      <c r="R40" s="390"/>
      <c r="S40" s="390"/>
      <c r="T40" s="390"/>
      <c r="U40" s="391"/>
      <c r="V40" s="389" t="str">
        <f>IF(Calcu!B38=TRUE,Calcu!H38*H$5,"")</f>
        <v/>
      </c>
      <c r="W40" s="390"/>
      <c r="X40" s="390"/>
      <c r="Y40" s="390"/>
      <c r="Z40" s="391"/>
      <c r="AA40" s="389" t="str">
        <f>IF(Calcu!B38=TRUE,Calcu!I38*H$5,"")</f>
        <v/>
      </c>
      <c r="AB40" s="390"/>
      <c r="AC40" s="390"/>
      <c r="AD40" s="390"/>
      <c r="AE40" s="391"/>
      <c r="AF40" s="389" t="str">
        <f>Calcu!M38</f>
        <v/>
      </c>
      <c r="AG40" s="390"/>
      <c r="AH40" s="390"/>
      <c r="AI40" s="390"/>
      <c r="AJ40" s="391"/>
      <c r="AK40" s="389" t="str">
        <f>Calcu!P38</f>
        <v/>
      </c>
      <c r="AL40" s="390"/>
      <c r="AM40" s="390"/>
      <c r="AN40" s="390"/>
      <c r="AO40" s="391"/>
      <c r="AP40" s="389" t="str">
        <f>Calcu!K38</f>
        <v/>
      </c>
      <c r="AQ40" s="390"/>
      <c r="AR40" s="390"/>
      <c r="AS40" s="390"/>
      <c r="AT40" s="391"/>
      <c r="AU40" s="389" t="str">
        <f>Calcu!N38</f>
        <v/>
      </c>
      <c r="AV40" s="390"/>
      <c r="AW40" s="390"/>
      <c r="AX40" s="390"/>
      <c r="AY40" s="391"/>
      <c r="AZ40" s="389" t="str">
        <f>Calcu!U38</f>
        <v/>
      </c>
      <c r="BA40" s="390"/>
      <c r="BB40" s="390"/>
      <c r="BC40" s="390"/>
      <c r="BD40" s="391"/>
    </row>
    <row r="41" spans="1:56" ht="18.75" customHeight="1">
      <c r="A41" s="57"/>
      <c r="B41" s="389" t="str">
        <f>Calcu!C39</f>
        <v/>
      </c>
      <c r="C41" s="390"/>
      <c r="D41" s="390"/>
      <c r="E41" s="390"/>
      <c r="F41" s="391"/>
      <c r="G41" s="389" t="str">
        <f>IF(Calcu!B39=TRUE,Calcu!E39*$H$5,"")</f>
        <v/>
      </c>
      <c r="H41" s="390"/>
      <c r="I41" s="390"/>
      <c r="J41" s="390"/>
      <c r="K41" s="391"/>
      <c r="L41" s="389" t="str">
        <f>IF(Calcu!B39=TRUE,Calcu!F39*H$5,"")</f>
        <v/>
      </c>
      <c r="M41" s="390"/>
      <c r="N41" s="390"/>
      <c r="O41" s="390"/>
      <c r="P41" s="391"/>
      <c r="Q41" s="389" t="str">
        <f>IF(Calcu!B39=TRUE,Calcu!G39*H$5,"")</f>
        <v/>
      </c>
      <c r="R41" s="390"/>
      <c r="S41" s="390"/>
      <c r="T41" s="390"/>
      <c r="U41" s="391"/>
      <c r="V41" s="389" t="str">
        <f>IF(Calcu!B39=TRUE,Calcu!H39*H$5,"")</f>
        <v/>
      </c>
      <c r="W41" s="390"/>
      <c r="X41" s="390"/>
      <c r="Y41" s="390"/>
      <c r="Z41" s="391"/>
      <c r="AA41" s="389" t="str">
        <f>IF(Calcu!B39=TRUE,Calcu!I39*H$5,"")</f>
        <v/>
      </c>
      <c r="AB41" s="390"/>
      <c r="AC41" s="390"/>
      <c r="AD41" s="390"/>
      <c r="AE41" s="391"/>
      <c r="AF41" s="389" t="str">
        <f>Calcu!M39</f>
        <v/>
      </c>
      <c r="AG41" s="390"/>
      <c r="AH41" s="390"/>
      <c r="AI41" s="390"/>
      <c r="AJ41" s="391"/>
      <c r="AK41" s="389" t="str">
        <f>Calcu!P39</f>
        <v/>
      </c>
      <c r="AL41" s="390"/>
      <c r="AM41" s="390"/>
      <c r="AN41" s="390"/>
      <c r="AO41" s="391"/>
      <c r="AP41" s="389" t="str">
        <f>Calcu!K39</f>
        <v/>
      </c>
      <c r="AQ41" s="390"/>
      <c r="AR41" s="390"/>
      <c r="AS41" s="390"/>
      <c r="AT41" s="391"/>
      <c r="AU41" s="389" t="str">
        <f>Calcu!N39</f>
        <v/>
      </c>
      <c r="AV41" s="390"/>
      <c r="AW41" s="390"/>
      <c r="AX41" s="390"/>
      <c r="AY41" s="391"/>
      <c r="AZ41" s="389" t="str">
        <f>Calcu!U39</f>
        <v/>
      </c>
      <c r="BA41" s="390"/>
      <c r="BB41" s="390"/>
      <c r="BC41" s="390"/>
      <c r="BD41" s="391"/>
    </row>
    <row r="42" spans="1:56" ht="18.75" customHeight="1">
      <c r="A42" s="57"/>
      <c r="B42" s="389" t="str">
        <f>Calcu!C40</f>
        <v/>
      </c>
      <c r="C42" s="390"/>
      <c r="D42" s="390"/>
      <c r="E42" s="390"/>
      <c r="F42" s="391"/>
      <c r="G42" s="389" t="str">
        <f>IF(Calcu!B40=TRUE,Calcu!E40*$H$5,"")</f>
        <v/>
      </c>
      <c r="H42" s="390"/>
      <c r="I42" s="390"/>
      <c r="J42" s="390"/>
      <c r="K42" s="391"/>
      <c r="L42" s="389" t="str">
        <f>IF(Calcu!B40=TRUE,Calcu!F40*H$5,"")</f>
        <v/>
      </c>
      <c r="M42" s="390"/>
      <c r="N42" s="390"/>
      <c r="O42" s="390"/>
      <c r="P42" s="391"/>
      <c r="Q42" s="389" t="str">
        <f>IF(Calcu!B40=TRUE,Calcu!G40*H$5,"")</f>
        <v/>
      </c>
      <c r="R42" s="390"/>
      <c r="S42" s="390"/>
      <c r="T42" s="390"/>
      <c r="U42" s="391"/>
      <c r="V42" s="389" t="str">
        <f>IF(Calcu!B40=TRUE,Calcu!H40*H$5,"")</f>
        <v/>
      </c>
      <c r="W42" s="390"/>
      <c r="X42" s="390"/>
      <c r="Y42" s="390"/>
      <c r="Z42" s="391"/>
      <c r="AA42" s="389" t="str">
        <f>IF(Calcu!B40=TRUE,Calcu!I40*H$5,"")</f>
        <v/>
      </c>
      <c r="AB42" s="390"/>
      <c r="AC42" s="390"/>
      <c r="AD42" s="390"/>
      <c r="AE42" s="391"/>
      <c r="AF42" s="389" t="str">
        <f>Calcu!M40</f>
        <v/>
      </c>
      <c r="AG42" s="390"/>
      <c r="AH42" s="390"/>
      <c r="AI42" s="390"/>
      <c r="AJ42" s="391"/>
      <c r="AK42" s="389" t="str">
        <f>Calcu!P40</f>
        <v/>
      </c>
      <c r="AL42" s="390"/>
      <c r="AM42" s="390"/>
      <c r="AN42" s="390"/>
      <c r="AO42" s="391"/>
      <c r="AP42" s="389" t="str">
        <f>Calcu!K40</f>
        <v/>
      </c>
      <c r="AQ42" s="390"/>
      <c r="AR42" s="390"/>
      <c r="AS42" s="390"/>
      <c r="AT42" s="391"/>
      <c r="AU42" s="389" t="str">
        <f>Calcu!N40</f>
        <v/>
      </c>
      <c r="AV42" s="390"/>
      <c r="AW42" s="390"/>
      <c r="AX42" s="390"/>
      <c r="AY42" s="391"/>
      <c r="AZ42" s="389" t="str">
        <f>Calcu!U40</f>
        <v/>
      </c>
      <c r="BA42" s="390"/>
      <c r="BB42" s="390"/>
      <c r="BC42" s="390"/>
      <c r="BD42" s="391"/>
    </row>
    <row r="43" spans="1:56" ht="18.75" customHeight="1">
      <c r="A43" s="57"/>
      <c r="B43" s="389" t="str">
        <f>Calcu!C41</f>
        <v/>
      </c>
      <c r="C43" s="390"/>
      <c r="D43" s="390"/>
      <c r="E43" s="390"/>
      <c r="F43" s="391"/>
      <c r="G43" s="389" t="str">
        <f>IF(Calcu!B41=TRUE,Calcu!E41*$H$5,"")</f>
        <v/>
      </c>
      <c r="H43" s="390"/>
      <c r="I43" s="390"/>
      <c r="J43" s="390"/>
      <c r="K43" s="391"/>
      <c r="L43" s="389" t="str">
        <f>IF(Calcu!B41=TRUE,Calcu!F41*H$5,"")</f>
        <v/>
      </c>
      <c r="M43" s="390"/>
      <c r="N43" s="390"/>
      <c r="O43" s="390"/>
      <c r="P43" s="391"/>
      <c r="Q43" s="389" t="str">
        <f>IF(Calcu!B41=TRUE,Calcu!G41*H$5,"")</f>
        <v/>
      </c>
      <c r="R43" s="390"/>
      <c r="S43" s="390"/>
      <c r="T43" s="390"/>
      <c r="U43" s="391"/>
      <c r="V43" s="389" t="str">
        <f>IF(Calcu!B41=TRUE,Calcu!H41*H$5,"")</f>
        <v/>
      </c>
      <c r="W43" s="390"/>
      <c r="X43" s="390"/>
      <c r="Y43" s="390"/>
      <c r="Z43" s="391"/>
      <c r="AA43" s="389" t="str">
        <f>IF(Calcu!B41=TRUE,Calcu!I41*H$5,"")</f>
        <v/>
      </c>
      <c r="AB43" s="390"/>
      <c r="AC43" s="390"/>
      <c r="AD43" s="390"/>
      <c r="AE43" s="391"/>
      <c r="AF43" s="389" t="str">
        <f>Calcu!M41</f>
        <v/>
      </c>
      <c r="AG43" s="390"/>
      <c r="AH43" s="390"/>
      <c r="AI43" s="390"/>
      <c r="AJ43" s="391"/>
      <c r="AK43" s="389" t="str">
        <f>Calcu!P41</f>
        <v/>
      </c>
      <c r="AL43" s="390"/>
      <c r="AM43" s="390"/>
      <c r="AN43" s="390"/>
      <c r="AO43" s="391"/>
      <c r="AP43" s="389" t="str">
        <f>Calcu!K41</f>
        <v/>
      </c>
      <c r="AQ43" s="390"/>
      <c r="AR43" s="390"/>
      <c r="AS43" s="390"/>
      <c r="AT43" s="391"/>
      <c r="AU43" s="389" t="str">
        <f>Calcu!N41</f>
        <v/>
      </c>
      <c r="AV43" s="390"/>
      <c r="AW43" s="390"/>
      <c r="AX43" s="390"/>
      <c r="AY43" s="391"/>
      <c r="AZ43" s="389" t="str">
        <f>Calcu!U41</f>
        <v/>
      </c>
      <c r="BA43" s="390"/>
      <c r="BB43" s="390"/>
      <c r="BC43" s="390"/>
      <c r="BD43" s="391"/>
    </row>
    <row r="44" spans="1:56" ht="18.75" customHeight="1">
      <c r="A44" s="57"/>
      <c r="B44" s="389" t="str">
        <f>Calcu!C42</f>
        <v/>
      </c>
      <c r="C44" s="390"/>
      <c r="D44" s="390"/>
      <c r="E44" s="390"/>
      <c r="F44" s="391"/>
      <c r="G44" s="389" t="str">
        <f>IF(Calcu!B42=TRUE,Calcu!E42*$H$5,"")</f>
        <v/>
      </c>
      <c r="H44" s="390"/>
      <c r="I44" s="390"/>
      <c r="J44" s="390"/>
      <c r="K44" s="391"/>
      <c r="L44" s="389" t="str">
        <f>IF(Calcu!B42=TRUE,Calcu!F42*H$5,"")</f>
        <v/>
      </c>
      <c r="M44" s="390"/>
      <c r="N44" s="390"/>
      <c r="O44" s="390"/>
      <c r="P44" s="391"/>
      <c r="Q44" s="389" t="str">
        <f>IF(Calcu!B42=TRUE,Calcu!G42*H$5,"")</f>
        <v/>
      </c>
      <c r="R44" s="390"/>
      <c r="S44" s="390"/>
      <c r="T44" s="390"/>
      <c r="U44" s="391"/>
      <c r="V44" s="389" t="str">
        <f>IF(Calcu!B42=TRUE,Calcu!H42*H$5,"")</f>
        <v/>
      </c>
      <c r="W44" s="390"/>
      <c r="X44" s="390"/>
      <c r="Y44" s="390"/>
      <c r="Z44" s="391"/>
      <c r="AA44" s="389" t="str">
        <f>IF(Calcu!B42=TRUE,Calcu!I42*H$5,"")</f>
        <v/>
      </c>
      <c r="AB44" s="390"/>
      <c r="AC44" s="390"/>
      <c r="AD44" s="390"/>
      <c r="AE44" s="391"/>
      <c r="AF44" s="389" t="str">
        <f>Calcu!M42</f>
        <v/>
      </c>
      <c r="AG44" s="390"/>
      <c r="AH44" s="390"/>
      <c r="AI44" s="390"/>
      <c r="AJ44" s="391"/>
      <c r="AK44" s="389" t="str">
        <f>Calcu!P42</f>
        <v/>
      </c>
      <c r="AL44" s="390"/>
      <c r="AM44" s="390"/>
      <c r="AN44" s="390"/>
      <c r="AO44" s="391"/>
      <c r="AP44" s="389" t="str">
        <f>Calcu!K42</f>
        <v/>
      </c>
      <c r="AQ44" s="390"/>
      <c r="AR44" s="390"/>
      <c r="AS44" s="390"/>
      <c r="AT44" s="391"/>
      <c r="AU44" s="389" t="str">
        <f>Calcu!N42</f>
        <v/>
      </c>
      <c r="AV44" s="390"/>
      <c r="AW44" s="390"/>
      <c r="AX44" s="390"/>
      <c r="AY44" s="391"/>
      <c r="AZ44" s="389" t="str">
        <f>Calcu!U42</f>
        <v/>
      </c>
      <c r="BA44" s="390"/>
      <c r="BB44" s="390"/>
      <c r="BC44" s="390"/>
      <c r="BD44" s="391"/>
    </row>
    <row r="45" spans="1:56" ht="18.75" customHeight="1">
      <c r="A45" s="57"/>
      <c r="B45" s="389" t="str">
        <f>Calcu!C43</f>
        <v/>
      </c>
      <c r="C45" s="390"/>
      <c r="D45" s="390"/>
      <c r="E45" s="390"/>
      <c r="F45" s="391"/>
      <c r="G45" s="389" t="str">
        <f>IF(Calcu!B43=TRUE,Calcu!E43*$H$5,"")</f>
        <v/>
      </c>
      <c r="H45" s="390"/>
      <c r="I45" s="390"/>
      <c r="J45" s="390"/>
      <c r="K45" s="391"/>
      <c r="L45" s="389" t="str">
        <f>IF(Calcu!B43=TRUE,Calcu!F43*H$5,"")</f>
        <v/>
      </c>
      <c r="M45" s="390"/>
      <c r="N45" s="390"/>
      <c r="O45" s="390"/>
      <c r="P45" s="391"/>
      <c r="Q45" s="389" t="str">
        <f>IF(Calcu!B43=TRUE,Calcu!G43*H$5,"")</f>
        <v/>
      </c>
      <c r="R45" s="390"/>
      <c r="S45" s="390"/>
      <c r="T45" s="390"/>
      <c r="U45" s="391"/>
      <c r="V45" s="389" t="str">
        <f>IF(Calcu!B43=TRUE,Calcu!H43*H$5,"")</f>
        <v/>
      </c>
      <c r="W45" s="390"/>
      <c r="X45" s="390"/>
      <c r="Y45" s="390"/>
      <c r="Z45" s="391"/>
      <c r="AA45" s="389" t="str">
        <f>IF(Calcu!B43=TRUE,Calcu!I43*H$5,"")</f>
        <v/>
      </c>
      <c r="AB45" s="390"/>
      <c r="AC45" s="390"/>
      <c r="AD45" s="390"/>
      <c r="AE45" s="391"/>
      <c r="AF45" s="389" t="str">
        <f>Calcu!M43</f>
        <v/>
      </c>
      <c r="AG45" s="390"/>
      <c r="AH45" s="390"/>
      <c r="AI45" s="390"/>
      <c r="AJ45" s="391"/>
      <c r="AK45" s="389" t="str">
        <f>Calcu!P43</f>
        <v/>
      </c>
      <c r="AL45" s="390"/>
      <c r="AM45" s="390"/>
      <c r="AN45" s="390"/>
      <c r="AO45" s="391"/>
      <c r="AP45" s="389" t="str">
        <f>Calcu!K43</f>
        <v/>
      </c>
      <c r="AQ45" s="390"/>
      <c r="AR45" s="390"/>
      <c r="AS45" s="390"/>
      <c r="AT45" s="391"/>
      <c r="AU45" s="389" t="str">
        <f>Calcu!N43</f>
        <v/>
      </c>
      <c r="AV45" s="390"/>
      <c r="AW45" s="390"/>
      <c r="AX45" s="390"/>
      <c r="AY45" s="391"/>
      <c r="AZ45" s="389" t="str">
        <f>Calcu!U43</f>
        <v/>
      </c>
      <c r="BA45" s="390"/>
      <c r="BB45" s="390"/>
      <c r="BC45" s="390"/>
      <c r="BD45" s="391"/>
    </row>
    <row r="46" spans="1:56" ht="18.75" customHeight="1">
      <c r="A46" s="57"/>
      <c r="B46" s="389" t="str">
        <f>Calcu!C44</f>
        <v/>
      </c>
      <c r="C46" s="390"/>
      <c r="D46" s="390"/>
      <c r="E46" s="390"/>
      <c r="F46" s="391"/>
      <c r="G46" s="389" t="str">
        <f>IF(Calcu!B44=TRUE,Calcu!E44*$H$5,"")</f>
        <v/>
      </c>
      <c r="H46" s="390"/>
      <c r="I46" s="390"/>
      <c r="J46" s="390"/>
      <c r="K46" s="391"/>
      <c r="L46" s="389" t="str">
        <f>IF(Calcu!B44=TRUE,Calcu!F44*H$5,"")</f>
        <v/>
      </c>
      <c r="M46" s="390"/>
      <c r="N46" s="390"/>
      <c r="O46" s="390"/>
      <c r="P46" s="391"/>
      <c r="Q46" s="389" t="str">
        <f>IF(Calcu!B44=TRUE,Calcu!G44*H$5,"")</f>
        <v/>
      </c>
      <c r="R46" s="390"/>
      <c r="S46" s="390"/>
      <c r="T46" s="390"/>
      <c r="U46" s="391"/>
      <c r="V46" s="389" t="str">
        <f>IF(Calcu!B44=TRUE,Calcu!H44*H$5,"")</f>
        <v/>
      </c>
      <c r="W46" s="390"/>
      <c r="X46" s="390"/>
      <c r="Y46" s="390"/>
      <c r="Z46" s="391"/>
      <c r="AA46" s="389" t="str">
        <f>IF(Calcu!B44=TRUE,Calcu!I44*H$5,"")</f>
        <v/>
      </c>
      <c r="AB46" s="390"/>
      <c r="AC46" s="390"/>
      <c r="AD46" s="390"/>
      <c r="AE46" s="391"/>
      <c r="AF46" s="389" t="str">
        <f>Calcu!M44</f>
        <v/>
      </c>
      <c r="AG46" s="390"/>
      <c r="AH46" s="390"/>
      <c r="AI46" s="390"/>
      <c r="AJ46" s="391"/>
      <c r="AK46" s="389" t="str">
        <f>Calcu!P44</f>
        <v/>
      </c>
      <c r="AL46" s="390"/>
      <c r="AM46" s="390"/>
      <c r="AN46" s="390"/>
      <c r="AO46" s="391"/>
      <c r="AP46" s="389" t="str">
        <f>Calcu!K44</f>
        <v/>
      </c>
      <c r="AQ46" s="390"/>
      <c r="AR46" s="390"/>
      <c r="AS46" s="390"/>
      <c r="AT46" s="391"/>
      <c r="AU46" s="389" t="str">
        <f>Calcu!N44</f>
        <v/>
      </c>
      <c r="AV46" s="390"/>
      <c r="AW46" s="390"/>
      <c r="AX46" s="390"/>
      <c r="AY46" s="391"/>
      <c r="AZ46" s="389" t="str">
        <f>Calcu!U44</f>
        <v/>
      </c>
      <c r="BA46" s="390"/>
      <c r="BB46" s="390"/>
      <c r="BC46" s="390"/>
      <c r="BD46" s="391"/>
    </row>
    <row r="47" spans="1:56" ht="18.75" customHeight="1">
      <c r="A47" s="57"/>
      <c r="B47" s="389" t="str">
        <f>Calcu!C45</f>
        <v/>
      </c>
      <c r="C47" s="390"/>
      <c r="D47" s="390"/>
      <c r="E47" s="390"/>
      <c r="F47" s="391"/>
      <c r="G47" s="389" t="str">
        <f>IF(Calcu!B45=TRUE,Calcu!E45*$H$5,"")</f>
        <v/>
      </c>
      <c r="H47" s="390"/>
      <c r="I47" s="390"/>
      <c r="J47" s="390"/>
      <c r="K47" s="391"/>
      <c r="L47" s="389" t="str">
        <f>IF(Calcu!B45=TRUE,Calcu!F45*H$5,"")</f>
        <v/>
      </c>
      <c r="M47" s="390"/>
      <c r="N47" s="390"/>
      <c r="O47" s="390"/>
      <c r="P47" s="391"/>
      <c r="Q47" s="389" t="str">
        <f>IF(Calcu!B45=TRUE,Calcu!G45*H$5,"")</f>
        <v/>
      </c>
      <c r="R47" s="390"/>
      <c r="S47" s="390"/>
      <c r="T47" s="390"/>
      <c r="U47" s="391"/>
      <c r="V47" s="389" t="str">
        <f>IF(Calcu!B45=TRUE,Calcu!H45*H$5,"")</f>
        <v/>
      </c>
      <c r="W47" s="390"/>
      <c r="X47" s="390"/>
      <c r="Y47" s="390"/>
      <c r="Z47" s="391"/>
      <c r="AA47" s="389" t="str">
        <f>IF(Calcu!B45=TRUE,Calcu!I45*H$5,"")</f>
        <v/>
      </c>
      <c r="AB47" s="390"/>
      <c r="AC47" s="390"/>
      <c r="AD47" s="390"/>
      <c r="AE47" s="391"/>
      <c r="AF47" s="389" t="str">
        <f>Calcu!M45</f>
        <v/>
      </c>
      <c r="AG47" s="390"/>
      <c r="AH47" s="390"/>
      <c r="AI47" s="390"/>
      <c r="AJ47" s="391"/>
      <c r="AK47" s="389" t="str">
        <f>Calcu!P45</f>
        <v/>
      </c>
      <c r="AL47" s="390"/>
      <c r="AM47" s="390"/>
      <c r="AN47" s="390"/>
      <c r="AO47" s="391"/>
      <c r="AP47" s="389" t="str">
        <f>Calcu!K45</f>
        <v/>
      </c>
      <c r="AQ47" s="390"/>
      <c r="AR47" s="390"/>
      <c r="AS47" s="390"/>
      <c r="AT47" s="391"/>
      <c r="AU47" s="389" t="str">
        <f>Calcu!N45</f>
        <v/>
      </c>
      <c r="AV47" s="390"/>
      <c r="AW47" s="390"/>
      <c r="AX47" s="390"/>
      <c r="AY47" s="391"/>
      <c r="AZ47" s="389" t="str">
        <f>Calcu!U45</f>
        <v/>
      </c>
      <c r="BA47" s="390"/>
      <c r="BB47" s="390"/>
      <c r="BC47" s="390"/>
      <c r="BD47" s="391"/>
    </row>
    <row r="48" spans="1:56" ht="18.75" customHeight="1">
      <c r="A48" s="57"/>
      <c r="B48" s="389" t="str">
        <f>Calcu!C46</f>
        <v/>
      </c>
      <c r="C48" s="390"/>
      <c r="D48" s="390"/>
      <c r="E48" s="390"/>
      <c r="F48" s="391"/>
      <c r="G48" s="389" t="str">
        <f>IF(Calcu!B46=TRUE,Calcu!E46*$H$5,"")</f>
        <v/>
      </c>
      <c r="H48" s="390"/>
      <c r="I48" s="390"/>
      <c r="J48" s="390"/>
      <c r="K48" s="391"/>
      <c r="L48" s="389" t="str">
        <f>IF(Calcu!B46=TRUE,Calcu!F46*H$5,"")</f>
        <v/>
      </c>
      <c r="M48" s="390"/>
      <c r="N48" s="390"/>
      <c r="O48" s="390"/>
      <c r="P48" s="391"/>
      <c r="Q48" s="389" t="str">
        <f>IF(Calcu!B46=TRUE,Calcu!G46*H$5,"")</f>
        <v/>
      </c>
      <c r="R48" s="390"/>
      <c r="S48" s="390"/>
      <c r="T48" s="390"/>
      <c r="U48" s="391"/>
      <c r="V48" s="389" t="str">
        <f>IF(Calcu!B46=TRUE,Calcu!H46*H$5,"")</f>
        <v/>
      </c>
      <c r="W48" s="390"/>
      <c r="X48" s="390"/>
      <c r="Y48" s="390"/>
      <c r="Z48" s="391"/>
      <c r="AA48" s="389" t="str">
        <f>IF(Calcu!B46=TRUE,Calcu!I46*H$5,"")</f>
        <v/>
      </c>
      <c r="AB48" s="390"/>
      <c r="AC48" s="390"/>
      <c r="AD48" s="390"/>
      <c r="AE48" s="391"/>
      <c r="AF48" s="389" t="str">
        <f>Calcu!M46</f>
        <v/>
      </c>
      <c r="AG48" s="390"/>
      <c r="AH48" s="390"/>
      <c r="AI48" s="390"/>
      <c r="AJ48" s="391"/>
      <c r="AK48" s="389" t="str">
        <f>Calcu!P46</f>
        <v/>
      </c>
      <c r="AL48" s="390"/>
      <c r="AM48" s="390"/>
      <c r="AN48" s="390"/>
      <c r="AO48" s="391"/>
      <c r="AP48" s="389" t="str">
        <f>Calcu!K46</f>
        <v/>
      </c>
      <c r="AQ48" s="390"/>
      <c r="AR48" s="390"/>
      <c r="AS48" s="390"/>
      <c r="AT48" s="391"/>
      <c r="AU48" s="389" t="str">
        <f>Calcu!N46</f>
        <v/>
      </c>
      <c r="AV48" s="390"/>
      <c r="AW48" s="390"/>
      <c r="AX48" s="390"/>
      <c r="AY48" s="391"/>
      <c r="AZ48" s="389" t="str">
        <f>Calcu!U46</f>
        <v/>
      </c>
      <c r="BA48" s="390"/>
      <c r="BB48" s="390"/>
      <c r="BC48" s="390"/>
      <c r="BD48" s="391"/>
    </row>
    <row r="49" spans="1:56" ht="18.75" customHeight="1">
      <c r="A49" s="57"/>
      <c r="B49" s="389" t="str">
        <f>Calcu!C47</f>
        <v/>
      </c>
      <c r="C49" s="390"/>
      <c r="D49" s="390"/>
      <c r="E49" s="390"/>
      <c r="F49" s="391"/>
      <c r="G49" s="389" t="str">
        <f>IF(Calcu!B47=TRUE,Calcu!E47*$H$5,"")</f>
        <v/>
      </c>
      <c r="H49" s="390"/>
      <c r="I49" s="390"/>
      <c r="J49" s="390"/>
      <c r="K49" s="391"/>
      <c r="L49" s="389" t="str">
        <f>IF(Calcu!B47=TRUE,Calcu!F47*H$5,"")</f>
        <v/>
      </c>
      <c r="M49" s="390"/>
      <c r="N49" s="390"/>
      <c r="O49" s="390"/>
      <c r="P49" s="391"/>
      <c r="Q49" s="389" t="str">
        <f>IF(Calcu!B47=TRUE,Calcu!G47*H$5,"")</f>
        <v/>
      </c>
      <c r="R49" s="390"/>
      <c r="S49" s="390"/>
      <c r="T49" s="390"/>
      <c r="U49" s="391"/>
      <c r="V49" s="389" t="str">
        <f>IF(Calcu!B47=TRUE,Calcu!H47*H$5,"")</f>
        <v/>
      </c>
      <c r="W49" s="390"/>
      <c r="X49" s="390"/>
      <c r="Y49" s="390"/>
      <c r="Z49" s="391"/>
      <c r="AA49" s="389" t="str">
        <f>IF(Calcu!B47=TRUE,Calcu!I47*H$5,"")</f>
        <v/>
      </c>
      <c r="AB49" s="390"/>
      <c r="AC49" s="390"/>
      <c r="AD49" s="390"/>
      <c r="AE49" s="391"/>
      <c r="AF49" s="389" t="str">
        <f>Calcu!M47</f>
        <v/>
      </c>
      <c r="AG49" s="390"/>
      <c r="AH49" s="390"/>
      <c r="AI49" s="390"/>
      <c r="AJ49" s="391"/>
      <c r="AK49" s="389" t="str">
        <f>Calcu!P47</f>
        <v/>
      </c>
      <c r="AL49" s="390"/>
      <c r="AM49" s="390"/>
      <c r="AN49" s="390"/>
      <c r="AO49" s="391"/>
      <c r="AP49" s="389" t="str">
        <f>Calcu!K47</f>
        <v/>
      </c>
      <c r="AQ49" s="390"/>
      <c r="AR49" s="390"/>
      <c r="AS49" s="390"/>
      <c r="AT49" s="391"/>
      <c r="AU49" s="389" t="str">
        <f>Calcu!N47</f>
        <v/>
      </c>
      <c r="AV49" s="390"/>
      <c r="AW49" s="390"/>
      <c r="AX49" s="390"/>
      <c r="AY49" s="391"/>
      <c r="AZ49" s="389" t="str">
        <f>Calcu!U47</f>
        <v/>
      </c>
      <c r="BA49" s="390"/>
      <c r="BB49" s="390"/>
      <c r="BC49" s="390"/>
      <c r="BD49" s="391"/>
    </row>
    <row r="50" spans="1:56" ht="18.75" customHeight="1">
      <c r="A50" s="57"/>
      <c r="B50" s="389" t="str">
        <f>Calcu!C48</f>
        <v/>
      </c>
      <c r="C50" s="390"/>
      <c r="D50" s="390"/>
      <c r="E50" s="390"/>
      <c r="F50" s="391"/>
      <c r="G50" s="389" t="str">
        <f>IF(Calcu!B48=TRUE,Calcu!E48*$H$5,"")</f>
        <v/>
      </c>
      <c r="H50" s="390"/>
      <c r="I50" s="390"/>
      <c r="J50" s="390"/>
      <c r="K50" s="391"/>
      <c r="L50" s="389" t="str">
        <f>IF(Calcu!B48=TRUE,Calcu!F48*H$5,"")</f>
        <v/>
      </c>
      <c r="M50" s="390"/>
      <c r="N50" s="390"/>
      <c r="O50" s="390"/>
      <c r="P50" s="391"/>
      <c r="Q50" s="389" t="str">
        <f>IF(Calcu!B48=TRUE,Calcu!G48*H$5,"")</f>
        <v/>
      </c>
      <c r="R50" s="390"/>
      <c r="S50" s="390"/>
      <c r="T50" s="390"/>
      <c r="U50" s="391"/>
      <c r="V50" s="389" t="str">
        <f>IF(Calcu!B48=TRUE,Calcu!H48*H$5,"")</f>
        <v/>
      </c>
      <c r="W50" s="390"/>
      <c r="X50" s="390"/>
      <c r="Y50" s="390"/>
      <c r="Z50" s="391"/>
      <c r="AA50" s="389" t="str">
        <f>IF(Calcu!B48=TRUE,Calcu!I48*H$5,"")</f>
        <v/>
      </c>
      <c r="AB50" s="390"/>
      <c r="AC50" s="390"/>
      <c r="AD50" s="390"/>
      <c r="AE50" s="391"/>
      <c r="AF50" s="389" t="str">
        <f>Calcu!M48</f>
        <v/>
      </c>
      <c r="AG50" s="390"/>
      <c r="AH50" s="390"/>
      <c r="AI50" s="390"/>
      <c r="AJ50" s="391"/>
      <c r="AK50" s="389" t="str">
        <f>Calcu!P48</f>
        <v/>
      </c>
      <c r="AL50" s="390"/>
      <c r="AM50" s="390"/>
      <c r="AN50" s="390"/>
      <c r="AO50" s="391"/>
      <c r="AP50" s="389" t="str">
        <f>Calcu!K48</f>
        <v/>
      </c>
      <c r="AQ50" s="390"/>
      <c r="AR50" s="390"/>
      <c r="AS50" s="390"/>
      <c r="AT50" s="391"/>
      <c r="AU50" s="389" t="str">
        <f>Calcu!N48</f>
        <v/>
      </c>
      <c r="AV50" s="390"/>
      <c r="AW50" s="390"/>
      <c r="AX50" s="390"/>
      <c r="AY50" s="391"/>
      <c r="AZ50" s="389" t="str">
        <f>Calcu!U48</f>
        <v/>
      </c>
      <c r="BA50" s="390"/>
      <c r="BB50" s="390"/>
      <c r="BC50" s="390"/>
      <c r="BD50" s="391"/>
    </row>
    <row r="51" spans="1:56" ht="18.75" customHeight="1">
      <c r="A51" s="57"/>
      <c r="B51" s="389" t="str">
        <f>Calcu!C49</f>
        <v/>
      </c>
      <c r="C51" s="390"/>
      <c r="D51" s="390"/>
      <c r="E51" s="390"/>
      <c r="F51" s="391"/>
      <c r="G51" s="389" t="str">
        <f>IF(Calcu!B49=TRUE,Calcu!E49*$H$5,"")</f>
        <v/>
      </c>
      <c r="H51" s="390"/>
      <c r="I51" s="390"/>
      <c r="J51" s="390"/>
      <c r="K51" s="391"/>
      <c r="L51" s="389" t="str">
        <f>IF(Calcu!B49=TRUE,Calcu!F49*H$5,"")</f>
        <v/>
      </c>
      <c r="M51" s="390"/>
      <c r="N51" s="390"/>
      <c r="O51" s="390"/>
      <c r="P51" s="391"/>
      <c r="Q51" s="389" t="str">
        <f>IF(Calcu!B49=TRUE,Calcu!G49*H$5,"")</f>
        <v/>
      </c>
      <c r="R51" s="390"/>
      <c r="S51" s="390"/>
      <c r="T51" s="390"/>
      <c r="U51" s="391"/>
      <c r="V51" s="389" t="str">
        <f>IF(Calcu!B49=TRUE,Calcu!H49*H$5,"")</f>
        <v/>
      </c>
      <c r="W51" s="390"/>
      <c r="X51" s="390"/>
      <c r="Y51" s="390"/>
      <c r="Z51" s="391"/>
      <c r="AA51" s="389" t="str">
        <f>IF(Calcu!B49=TRUE,Calcu!I49*H$5,"")</f>
        <v/>
      </c>
      <c r="AB51" s="390"/>
      <c r="AC51" s="390"/>
      <c r="AD51" s="390"/>
      <c r="AE51" s="391"/>
      <c r="AF51" s="389" t="str">
        <f>Calcu!M49</f>
        <v/>
      </c>
      <c r="AG51" s="390"/>
      <c r="AH51" s="390"/>
      <c r="AI51" s="390"/>
      <c r="AJ51" s="391"/>
      <c r="AK51" s="389" t="str">
        <f>Calcu!P49</f>
        <v/>
      </c>
      <c r="AL51" s="390"/>
      <c r="AM51" s="390"/>
      <c r="AN51" s="390"/>
      <c r="AO51" s="391"/>
      <c r="AP51" s="389" t="str">
        <f>Calcu!K49</f>
        <v/>
      </c>
      <c r="AQ51" s="390"/>
      <c r="AR51" s="390"/>
      <c r="AS51" s="390"/>
      <c r="AT51" s="391"/>
      <c r="AU51" s="389" t="str">
        <f>Calcu!N49</f>
        <v/>
      </c>
      <c r="AV51" s="390"/>
      <c r="AW51" s="390"/>
      <c r="AX51" s="390"/>
      <c r="AY51" s="391"/>
      <c r="AZ51" s="389" t="str">
        <f>Calcu!U49</f>
        <v/>
      </c>
      <c r="BA51" s="390"/>
      <c r="BB51" s="390"/>
      <c r="BC51" s="390"/>
      <c r="BD51" s="391"/>
    </row>
    <row r="52" spans="1:56" ht="18.75" customHeight="1">
      <c r="A52" s="57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39"/>
      <c r="AJ52" s="239"/>
      <c r="AK52" s="239"/>
      <c r="AL52" s="239"/>
      <c r="AM52" s="239"/>
      <c r="AN52" s="239"/>
      <c r="AO52" s="239"/>
      <c r="AP52" s="239"/>
      <c r="AQ52" s="239"/>
      <c r="AR52" s="239"/>
      <c r="AS52" s="239"/>
      <c r="AT52" s="239"/>
    </row>
    <row r="53" spans="1:56" ht="18.75" customHeight="1">
      <c r="A53" s="57" t="s">
        <v>139</v>
      </c>
      <c r="B53" s="251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  <c r="AA53" s="251"/>
      <c r="AB53" s="251"/>
      <c r="AC53" s="251"/>
      <c r="AD53" s="251"/>
      <c r="AE53" s="251"/>
      <c r="AF53" s="251"/>
      <c r="AG53" s="251"/>
      <c r="AH53" s="251"/>
      <c r="AI53" s="251"/>
      <c r="AJ53" s="251"/>
      <c r="AK53" s="251"/>
      <c r="AL53" s="251"/>
      <c r="AM53" s="251"/>
      <c r="AN53" s="251"/>
      <c r="AO53" s="251"/>
      <c r="AP53" s="251"/>
      <c r="AQ53" s="251"/>
      <c r="AR53" s="251"/>
      <c r="AS53" s="251"/>
      <c r="AT53" s="251"/>
    </row>
    <row r="54" spans="1:56" ht="18.75" customHeight="1">
      <c r="A54" s="71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  <c r="AA54" s="251"/>
      <c r="AB54" s="251"/>
      <c r="AC54" s="251"/>
      <c r="AD54" s="251"/>
      <c r="AE54" s="251"/>
      <c r="AF54" s="251"/>
      <c r="AG54" s="251"/>
      <c r="AH54" s="251"/>
      <c r="AI54" s="251"/>
      <c r="AJ54" s="251"/>
      <c r="AK54" s="251"/>
      <c r="AL54" s="251"/>
      <c r="AM54" s="251"/>
      <c r="AN54" s="251"/>
      <c r="AO54" s="251"/>
      <c r="AP54" s="251"/>
      <c r="AQ54" s="251"/>
      <c r="AR54" s="251"/>
      <c r="AS54" s="251"/>
      <c r="AT54" s="251"/>
    </row>
    <row r="55" spans="1:56" ht="18.75" customHeight="1">
      <c r="A55" s="71"/>
      <c r="B55" s="251"/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  <c r="AA55" s="251"/>
      <c r="AB55" s="251"/>
      <c r="AC55" s="251"/>
      <c r="AD55" s="251"/>
      <c r="AE55" s="251"/>
      <c r="AF55" s="251"/>
      <c r="AG55" s="251"/>
      <c r="AH55" s="251"/>
      <c r="AI55" s="251"/>
      <c r="AJ55" s="251"/>
      <c r="AK55" s="251"/>
      <c r="AL55" s="251"/>
      <c r="AM55" s="251"/>
      <c r="AN55" s="251"/>
      <c r="AO55" s="251"/>
      <c r="AP55" s="251"/>
      <c r="AQ55" s="251"/>
      <c r="AR55" s="251"/>
      <c r="AS55" s="251"/>
      <c r="AT55" s="251"/>
    </row>
    <row r="56" spans="1:56" ht="18.75" customHeight="1">
      <c r="A56" s="71"/>
      <c r="B56" s="251"/>
      <c r="C56" s="421" t="s">
        <v>181</v>
      </c>
      <c r="D56" s="421"/>
      <c r="E56" s="421"/>
      <c r="F56" s="239" t="s">
        <v>403</v>
      </c>
      <c r="G56" s="251" t="str">
        <f>"표준온도에서 "&amp;$N$5&amp;"의 보정값"</f>
        <v>표준온도에서 줄자의 보정값</v>
      </c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W56" s="59"/>
      <c r="X56" s="59"/>
      <c r="Y56" s="59"/>
      <c r="Z56" s="251"/>
      <c r="AA56" s="251"/>
      <c r="AB56" s="251"/>
      <c r="AC56" s="251"/>
      <c r="AD56" s="251"/>
      <c r="AE56" s="251"/>
      <c r="AF56" s="251"/>
      <c r="AG56" s="251"/>
      <c r="AH56" s="251"/>
      <c r="AI56" s="251"/>
      <c r="AJ56" s="251"/>
      <c r="AK56" s="251"/>
      <c r="AL56" s="251"/>
      <c r="AM56" s="251"/>
      <c r="AN56" s="251"/>
      <c r="AO56" s="251"/>
      <c r="AP56" s="251"/>
      <c r="AQ56" s="251"/>
      <c r="AR56" s="251"/>
      <c r="AS56" s="251"/>
      <c r="AT56" s="251"/>
    </row>
    <row r="57" spans="1:56" ht="18.75" customHeight="1">
      <c r="A57" s="71"/>
      <c r="B57" s="251"/>
      <c r="C57" s="421" t="s">
        <v>404</v>
      </c>
      <c r="D57" s="421"/>
      <c r="E57" s="421"/>
      <c r="F57" s="239" t="s">
        <v>140</v>
      </c>
      <c r="G57" s="251" t="str">
        <f>$T$5&amp;"의 지시값"</f>
        <v>줄자교정장치의 지시값</v>
      </c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  <c r="AA57" s="251"/>
      <c r="AB57" s="251"/>
      <c r="AC57" s="251"/>
      <c r="AD57" s="251"/>
      <c r="AE57" s="251"/>
      <c r="AF57" s="251"/>
      <c r="AG57" s="251"/>
      <c r="AH57" s="251"/>
      <c r="AI57" s="251"/>
      <c r="AJ57" s="251"/>
      <c r="AK57" s="251"/>
      <c r="AL57" s="251"/>
      <c r="AM57" s="251"/>
      <c r="AN57" s="251"/>
      <c r="AO57" s="251"/>
      <c r="AP57" s="251"/>
      <c r="AQ57" s="251"/>
      <c r="AR57" s="251"/>
      <c r="AS57" s="251"/>
      <c r="AT57" s="251"/>
      <c r="AU57" s="251"/>
      <c r="AV57" s="251"/>
      <c r="AW57" s="251"/>
      <c r="AX57" s="251"/>
      <c r="AY57" s="251"/>
      <c r="AZ57" s="251"/>
      <c r="BA57" s="251"/>
      <c r="BB57" s="251"/>
    </row>
    <row r="58" spans="1:56" ht="18.75" customHeight="1">
      <c r="A58" s="71"/>
      <c r="B58" s="251"/>
      <c r="C58" s="421" t="s">
        <v>405</v>
      </c>
      <c r="D58" s="421"/>
      <c r="E58" s="421"/>
      <c r="F58" s="239" t="s">
        <v>406</v>
      </c>
      <c r="G58" s="251" t="str">
        <f>$T$5&amp;"의 보정값"</f>
        <v>줄자교정장치의 보정값</v>
      </c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  <c r="AA58" s="251"/>
      <c r="AB58" s="251"/>
      <c r="AC58" s="251"/>
      <c r="AD58" s="251"/>
      <c r="AE58" s="251"/>
      <c r="AF58" s="251"/>
      <c r="AG58" s="251"/>
      <c r="AH58" s="251"/>
      <c r="AI58" s="251"/>
      <c r="AJ58" s="251"/>
      <c r="AK58" s="251"/>
      <c r="AL58" s="251"/>
      <c r="AM58" s="251"/>
      <c r="AN58" s="251"/>
      <c r="AO58" s="251"/>
      <c r="AP58" s="251"/>
      <c r="AQ58" s="251"/>
      <c r="AR58" s="251"/>
      <c r="AS58" s="251"/>
      <c r="AT58" s="251"/>
      <c r="AU58" s="251"/>
      <c r="AV58" s="251"/>
      <c r="AW58" s="251"/>
      <c r="AX58" s="251"/>
      <c r="AY58" s="251"/>
      <c r="AZ58" s="251"/>
      <c r="BA58" s="251"/>
      <c r="BB58" s="251"/>
    </row>
    <row r="59" spans="1:56" ht="18.75" customHeight="1">
      <c r="A59" s="71"/>
      <c r="B59" s="251"/>
      <c r="C59" s="421" t="s">
        <v>407</v>
      </c>
      <c r="D59" s="421"/>
      <c r="E59" s="421"/>
      <c r="F59" s="239" t="s">
        <v>403</v>
      </c>
      <c r="G59" s="251" t="str">
        <f>$N$5&amp;"의 눈금값"</f>
        <v>줄자의 눈금값</v>
      </c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U59" s="251"/>
      <c r="V59" s="251"/>
      <c r="W59" s="251"/>
      <c r="X59" s="251"/>
      <c r="Y59" s="251"/>
      <c r="Z59" s="251"/>
      <c r="AA59" s="251"/>
      <c r="AB59" s="251"/>
      <c r="AC59" s="251"/>
      <c r="AD59" s="251"/>
      <c r="AE59" s="251"/>
      <c r="AF59" s="251"/>
      <c r="AG59" s="251"/>
      <c r="AH59" s="251"/>
      <c r="AI59" s="251"/>
      <c r="AJ59" s="251"/>
      <c r="AK59" s="251"/>
      <c r="AL59" s="251"/>
      <c r="AM59" s="251"/>
      <c r="AN59" s="251"/>
      <c r="AO59" s="251"/>
      <c r="AP59" s="251"/>
      <c r="AQ59" s="251"/>
      <c r="AR59" s="251"/>
      <c r="AS59" s="251"/>
      <c r="AT59" s="251"/>
      <c r="AU59" s="251"/>
      <c r="AV59" s="251"/>
      <c r="AW59" s="251"/>
      <c r="AX59" s="251"/>
      <c r="AY59" s="251"/>
      <c r="AZ59" s="251"/>
      <c r="BA59" s="251"/>
      <c r="BB59" s="251"/>
    </row>
    <row r="60" spans="1:56" ht="18.75" customHeight="1">
      <c r="A60" s="71"/>
      <c r="B60" s="251"/>
      <c r="C60" s="421" t="s">
        <v>408</v>
      </c>
      <c r="D60" s="421"/>
      <c r="E60" s="421"/>
      <c r="F60" s="239" t="s">
        <v>403</v>
      </c>
      <c r="G60" s="251" t="s">
        <v>409</v>
      </c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  <c r="AA60" s="251"/>
      <c r="AB60" s="251"/>
      <c r="AC60" s="251"/>
      <c r="AD60" s="251"/>
      <c r="AE60" s="251"/>
      <c r="AF60" s="251"/>
      <c r="AG60" s="251"/>
      <c r="AH60" s="251"/>
      <c r="AI60" s="251"/>
      <c r="AJ60" s="251"/>
      <c r="AK60" s="251"/>
      <c r="AL60" s="251"/>
      <c r="AM60" s="251"/>
      <c r="AN60" s="251"/>
      <c r="AO60" s="251"/>
      <c r="AP60" s="251"/>
      <c r="AQ60" s="251"/>
      <c r="AR60" s="251"/>
      <c r="AS60" s="251"/>
      <c r="AT60" s="251"/>
      <c r="AU60" s="251"/>
      <c r="AV60" s="251"/>
      <c r="AW60" s="251"/>
      <c r="AX60" s="251"/>
      <c r="AY60" s="251"/>
      <c r="AZ60" s="251"/>
      <c r="BA60" s="251"/>
      <c r="BB60" s="251"/>
    </row>
    <row r="61" spans="1:56" ht="18.75" customHeight="1">
      <c r="A61" s="71"/>
      <c r="B61" s="251"/>
      <c r="C61" s="421"/>
      <c r="D61" s="421"/>
      <c r="E61" s="421"/>
      <c r="F61" s="239" t="s">
        <v>403</v>
      </c>
      <c r="G61" s="251" t="str">
        <f>$N$5&amp;"와 "&amp;$T$5&amp;"의 평균열팽창계수"</f>
        <v>줄자와 줄자교정장치의 평균열팽창계수</v>
      </c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  <c r="AA61" s="251"/>
      <c r="AB61" s="251"/>
      <c r="AC61" s="251"/>
      <c r="AD61" s="251"/>
      <c r="AE61" s="251"/>
      <c r="AF61" s="251"/>
      <c r="AG61" s="251"/>
      <c r="AH61" s="251"/>
      <c r="AI61" s="251"/>
      <c r="AJ61" s="251"/>
      <c r="AK61" s="251"/>
      <c r="AL61" s="251"/>
      <c r="AM61" s="251"/>
      <c r="AN61" s="251"/>
      <c r="AO61" s="251"/>
      <c r="AP61" s="251"/>
      <c r="AQ61" s="251"/>
      <c r="AR61" s="251"/>
      <c r="AS61" s="251"/>
      <c r="AT61" s="251"/>
      <c r="AU61" s="251"/>
      <c r="AV61" s="251"/>
      <c r="AW61" s="251"/>
      <c r="AX61" s="251"/>
      <c r="AY61" s="251"/>
      <c r="AZ61" s="251"/>
      <c r="BA61" s="251"/>
      <c r="BB61" s="251"/>
    </row>
    <row r="62" spans="1:56" ht="18.75" customHeight="1">
      <c r="A62" s="71"/>
      <c r="B62" s="251"/>
      <c r="C62" s="421" t="s">
        <v>410</v>
      </c>
      <c r="D62" s="421"/>
      <c r="E62" s="421"/>
      <c r="F62" s="239" t="s">
        <v>140</v>
      </c>
      <c r="G62" s="251" t="str">
        <f>$N$5&amp;"와 "&amp;$T$5&amp;"의 온도차이"</f>
        <v>줄자와 줄자교정장치의 온도차이</v>
      </c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  <c r="AA62" s="251"/>
      <c r="AB62" s="251"/>
      <c r="AC62" s="251"/>
      <c r="AD62" s="251"/>
      <c r="AE62" s="251"/>
      <c r="AF62" s="251"/>
      <c r="AG62" s="251"/>
      <c r="AH62" s="251"/>
      <c r="AI62" s="251"/>
      <c r="AJ62" s="251"/>
      <c r="AK62" s="251"/>
      <c r="AL62" s="251"/>
      <c r="AM62" s="251"/>
      <c r="AN62" s="251"/>
      <c r="AO62" s="251"/>
      <c r="AP62" s="251"/>
      <c r="AQ62" s="251"/>
      <c r="AR62" s="251"/>
      <c r="AS62" s="251"/>
      <c r="AT62" s="251"/>
      <c r="AU62" s="251"/>
      <c r="AV62" s="251"/>
      <c r="AW62" s="251"/>
      <c r="AX62" s="251"/>
      <c r="AY62" s="251"/>
      <c r="AZ62" s="251"/>
      <c r="BA62" s="251"/>
      <c r="BB62" s="251"/>
    </row>
    <row r="63" spans="1:56" ht="18.75" customHeight="1">
      <c r="A63" s="71"/>
      <c r="B63" s="251"/>
      <c r="C63" s="421" t="s">
        <v>411</v>
      </c>
      <c r="D63" s="421"/>
      <c r="E63" s="421"/>
      <c r="F63" s="239" t="s">
        <v>412</v>
      </c>
      <c r="G63" s="251" t="str">
        <f>$N$5&amp;"와 "&amp;$T$5&amp;"의 열팽창계수 차이"</f>
        <v>줄자와 줄자교정장치의 열팽창계수 차이</v>
      </c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  <c r="AA63" s="251"/>
      <c r="AB63" s="251"/>
      <c r="AC63" s="251"/>
      <c r="AD63" s="251"/>
      <c r="AE63" s="251"/>
      <c r="AF63" s="251"/>
      <c r="AG63" s="251"/>
      <c r="AH63" s="251"/>
      <c r="AI63" s="251"/>
      <c r="AJ63" s="251"/>
      <c r="AK63" s="251"/>
      <c r="AL63" s="251"/>
      <c r="AM63" s="251"/>
      <c r="AN63" s="251"/>
      <c r="AO63" s="251"/>
      <c r="AP63" s="251"/>
      <c r="AQ63" s="251"/>
      <c r="AR63" s="251"/>
      <c r="AS63" s="251"/>
      <c r="AT63" s="251"/>
      <c r="AU63" s="251"/>
      <c r="AV63" s="251"/>
      <c r="AW63" s="251"/>
      <c r="AX63" s="251"/>
      <c r="AY63" s="251"/>
      <c r="AZ63" s="251"/>
      <c r="BA63" s="251"/>
      <c r="BB63" s="251"/>
    </row>
    <row r="64" spans="1:56" ht="18.75" customHeight="1">
      <c r="A64" s="71"/>
      <c r="B64" s="251"/>
      <c r="C64" s="421" t="s">
        <v>413</v>
      </c>
      <c r="D64" s="421"/>
      <c r="E64" s="421"/>
      <c r="F64" s="239" t="s">
        <v>414</v>
      </c>
      <c r="G64" s="251" t="str">
        <f>$N$5&amp;"와 "&amp;$T$5&amp;"의 평균 온도값과 기준온도와의 차"</f>
        <v>줄자와 줄자교정장치의 평균 온도값과 기준온도와의 차</v>
      </c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  <c r="AA64" s="251"/>
      <c r="AB64" s="251"/>
      <c r="AC64" s="251"/>
      <c r="AD64" s="251"/>
      <c r="AE64" s="251"/>
      <c r="AF64" s="251"/>
      <c r="AG64" s="251"/>
      <c r="AH64" s="251"/>
      <c r="AI64" s="251"/>
      <c r="AJ64" s="251"/>
      <c r="AK64" s="251"/>
      <c r="AL64" s="251"/>
      <c r="AM64" s="251"/>
      <c r="AN64" s="251"/>
      <c r="AO64" s="251"/>
      <c r="AP64" s="251"/>
      <c r="AQ64" s="251"/>
      <c r="AR64" s="251"/>
      <c r="AS64" s="251"/>
      <c r="AT64" s="251"/>
      <c r="AU64" s="251"/>
      <c r="AV64" s="251"/>
      <c r="AW64" s="251"/>
      <c r="AX64" s="251"/>
      <c r="AY64" s="251"/>
      <c r="AZ64" s="251"/>
      <c r="BA64" s="251"/>
      <c r="BB64" s="251"/>
    </row>
    <row r="65" spans="1:69" ht="18.75" customHeight="1">
      <c r="A65" s="71"/>
      <c r="B65" s="251"/>
      <c r="C65" s="421" t="s">
        <v>415</v>
      </c>
      <c r="D65" s="421"/>
      <c r="E65" s="421"/>
      <c r="F65" s="239" t="s">
        <v>414</v>
      </c>
      <c r="G65" s="251" t="s">
        <v>416</v>
      </c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  <c r="AA65" s="251"/>
      <c r="AB65" s="251"/>
      <c r="AC65" s="251"/>
      <c r="AD65" s="251"/>
      <c r="AE65" s="251"/>
      <c r="AF65" s="251"/>
      <c r="AG65" s="251"/>
      <c r="AH65" s="251"/>
      <c r="AI65" s="251"/>
      <c r="AJ65" s="251"/>
      <c r="AK65" s="251"/>
      <c r="AL65" s="251"/>
      <c r="AM65" s="251"/>
      <c r="AN65" s="251"/>
      <c r="AO65" s="251"/>
      <c r="AP65" s="251"/>
      <c r="AQ65" s="251"/>
      <c r="AR65" s="251"/>
      <c r="AS65" s="251"/>
      <c r="AT65" s="251"/>
      <c r="AU65" s="251"/>
      <c r="AV65" s="251"/>
      <c r="AW65" s="251"/>
      <c r="AX65" s="251"/>
      <c r="AY65" s="251"/>
      <c r="AZ65" s="251"/>
      <c r="BA65" s="251"/>
      <c r="BB65" s="251"/>
    </row>
    <row r="66" spans="1:69" ht="18.75" customHeight="1">
      <c r="A66" s="71"/>
      <c r="B66" s="251"/>
      <c r="C66" s="421"/>
      <c r="D66" s="421"/>
      <c r="E66" s="42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  <c r="AA66" s="251"/>
      <c r="AB66" s="251"/>
      <c r="AC66" s="251"/>
      <c r="AD66" s="251"/>
      <c r="AE66" s="251"/>
      <c r="AF66" s="251"/>
      <c r="AG66" s="251"/>
      <c r="AH66" s="251"/>
      <c r="AI66" s="251"/>
      <c r="AJ66" s="251"/>
      <c r="AK66" s="251"/>
      <c r="AL66" s="251"/>
      <c r="AM66" s="251"/>
      <c r="AN66" s="251"/>
      <c r="AO66" s="251"/>
      <c r="AP66" s="251"/>
      <c r="AQ66" s="251"/>
      <c r="AR66" s="251"/>
      <c r="AS66" s="251"/>
      <c r="AT66" s="251"/>
      <c r="AU66" s="251"/>
      <c r="AV66" s="251"/>
      <c r="AW66" s="251"/>
      <c r="AX66" s="251"/>
      <c r="AY66" s="251"/>
      <c r="AZ66" s="251"/>
      <c r="BA66" s="251"/>
      <c r="BB66" s="251"/>
      <c r="BD66" s="58"/>
      <c r="BE66" s="58"/>
      <c r="BF66" s="58"/>
      <c r="BG66" s="58"/>
      <c r="BH66" s="58"/>
      <c r="BI66" s="58"/>
      <c r="BJ66" s="58"/>
      <c r="BK66" s="58"/>
      <c r="BL66" s="58"/>
      <c r="BM66" s="58"/>
      <c r="BN66" s="58"/>
      <c r="BO66" s="58"/>
      <c r="BP66" s="58"/>
      <c r="BQ66" s="58"/>
    </row>
    <row r="67" spans="1:69" ht="18.75" customHeight="1">
      <c r="A67" s="57" t="s">
        <v>417</v>
      </c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  <c r="AA67" s="251"/>
      <c r="AB67" s="251"/>
      <c r="AC67" s="251"/>
      <c r="AD67" s="251"/>
      <c r="AE67" s="251"/>
      <c r="AF67" s="251"/>
      <c r="AG67" s="251"/>
      <c r="AH67" s="251"/>
      <c r="AI67" s="251"/>
      <c r="AJ67" s="251"/>
      <c r="AK67" s="251"/>
      <c r="AL67" s="251"/>
      <c r="AM67" s="251"/>
      <c r="AN67" s="251"/>
      <c r="AO67" s="251"/>
      <c r="AP67" s="251"/>
      <c r="AQ67" s="251"/>
      <c r="AR67" s="251"/>
      <c r="AS67" s="251"/>
      <c r="AT67" s="251"/>
    </row>
    <row r="68" spans="1:69" ht="18.75" customHeight="1">
      <c r="A68" s="251"/>
      <c r="B68" s="251"/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  <c r="AA68" s="251"/>
      <c r="AB68" s="251"/>
      <c r="AC68" s="251"/>
      <c r="AD68" s="251"/>
      <c r="AE68" s="251"/>
      <c r="AF68" s="251"/>
      <c r="AG68" s="251"/>
      <c r="AH68" s="251"/>
      <c r="AI68" s="251"/>
      <c r="AJ68" s="251"/>
      <c r="AK68" s="251"/>
      <c r="AL68" s="251"/>
      <c r="AM68" s="251"/>
      <c r="AN68" s="251"/>
      <c r="AO68" s="251"/>
      <c r="AP68" s="251"/>
      <c r="AQ68" s="251"/>
      <c r="AR68" s="251"/>
      <c r="AS68" s="251"/>
      <c r="AT68" s="251"/>
    </row>
    <row r="69" spans="1:69" ht="18.75" customHeight="1">
      <c r="A69" s="251"/>
      <c r="B69" s="251"/>
      <c r="C69" s="251" t="s">
        <v>418</v>
      </c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  <c r="AA69" s="251"/>
      <c r="AB69" s="251"/>
      <c r="AC69" s="251"/>
      <c r="AD69" s="251"/>
      <c r="AE69" s="251"/>
      <c r="AF69" s="251"/>
      <c r="AG69" s="251"/>
      <c r="AH69" s="251"/>
      <c r="AI69" s="251"/>
      <c r="AJ69" s="251"/>
      <c r="AK69" s="251"/>
      <c r="AL69" s="251"/>
      <c r="AM69" s="251"/>
      <c r="AN69" s="251"/>
      <c r="AO69" s="251"/>
      <c r="AP69" s="251"/>
      <c r="AQ69" s="251"/>
      <c r="AR69" s="251"/>
      <c r="AS69" s="251"/>
      <c r="AT69" s="251"/>
    </row>
    <row r="70" spans="1:69" ht="18.75" customHeight="1">
      <c r="A70" s="251"/>
      <c r="B70" s="251"/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  <c r="AA70" s="251"/>
      <c r="AB70" s="251"/>
      <c r="AC70" s="251"/>
      <c r="AD70" s="251"/>
      <c r="AE70" s="251"/>
      <c r="AF70" s="251"/>
      <c r="AG70" s="251"/>
      <c r="AH70" s="251"/>
      <c r="AI70" s="251"/>
      <c r="AJ70" s="251"/>
      <c r="AK70" s="251"/>
      <c r="AL70" s="251"/>
      <c r="AM70" s="251"/>
      <c r="AN70" s="251"/>
      <c r="AO70" s="251"/>
      <c r="AP70" s="251"/>
      <c r="AQ70" s="251"/>
      <c r="AR70" s="251"/>
      <c r="AS70" s="251"/>
      <c r="AT70" s="251"/>
    </row>
    <row r="71" spans="1:69" ht="18.75" customHeight="1">
      <c r="A71" s="251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  <c r="AA71" s="251"/>
      <c r="AB71" s="251"/>
      <c r="AC71" s="251"/>
      <c r="AD71" s="251"/>
      <c r="AE71" s="251"/>
      <c r="AF71" s="251"/>
      <c r="AG71" s="251"/>
      <c r="AH71" s="251"/>
      <c r="AI71" s="251"/>
      <c r="AJ71" s="251"/>
      <c r="AK71" s="251"/>
      <c r="AL71" s="251"/>
      <c r="AM71" s="251"/>
      <c r="AN71" s="251"/>
      <c r="AO71" s="251"/>
      <c r="AP71" s="251"/>
      <c r="AQ71" s="251"/>
      <c r="AR71" s="251"/>
      <c r="AS71" s="251"/>
      <c r="AT71" s="251"/>
    </row>
    <row r="72" spans="1:69" ht="18.75" customHeight="1">
      <c r="A72" s="251"/>
      <c r="B72" s="251"/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  <c r="AA72" s="251"/>
      <c r="AB72" s="251"/>
      <c r="AC72" s="251"/>
      <c r="AD72" s="251"/>
      <c r="AE72" s="251"/>
      <c r="AF72" s="251"/>
      <c r="AG72" s="251"/>
      <c r="AH72" s="251"/>
      <c r="AI72" s="251"/>
      <c r="AJ72" s="251"/>
      <c r="AK72" s="251"/>
      <c r="AL72" s="251"/>
      <c r="AM72" s="251"/>
      <c r="AN72" s="251"/>
      <c r="AO72" s="251"/>
      <c r="AP72" s="251"/>
      <c r="AQ72" s="251"/>
      <c r="AR72" s="251"/>
      <c r="AS72" s="251"/>
      <c r="AT72" s="251"/>
    </row>
    <row r="73" spans="1:69" ht="18.75" customHeight="1">
      <c r="A73" s="251"/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  <c r="AA73" s="251"/>
      <c r="AB73" s="251"/>
      <c r="AC73" s="251"/>
      <c r="AD73" s="251"/>
      <c r="AE73" s="251"/>
      <c r="AF73" s="251"/>
      <c r="AG73" s="251"/>
      <c r="AH73" s="251"/>
      <c r="AI73" s="251"/>
      <c r="AJ73" s="251"/>
      <c r="AK73" s="251"/>
      <c r="AL73" s="251"/>
      <c r="AM73" s="251"/>
      <c r="AN73" s="251"/>
      <c r="AO73" s="251"/>
      <c r="AP73" s="251"/>
      <c r="AQ73" s="251"/>
      <c r="AR73" s="251"/>
      <c r="AS73" s="251"/>
      <c r="AT73" s="251"/>
    </row>
    <row r="74" spans="1:69" ht="18.75" customHeight="1">
      <c r="A74" s="60" t="s">
        <v>419</v>
      </c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  <c r="AA74" s="251"/>
      <c r="AB74" s="251"/>
      <c r="AC74" s="251"/>
      <c r="AD74" s="251"/>
      <c r="AE74" s="251"/>
      <c r="AF74" s="251"/>
      <c r="AG74" s="251"/>
      <c r="AH74" s="251"/>
      <c r="AI74" s="251"/>
      <c r="AJ74" s="251"/>
      <c r="AK74" s="251"/>
      <c r="AL74" s="251"/>
      <c r="AM74" s="251"/>
      <c r="AN74" s="251"/>
      <c r="AO74" s="251"/>
      <c r="AP74" s="251"/>
      <c r="AQ74" s="251"/>
      <c r="AR74" s="251"/>
      <c r="AS74" s="251"/>
      <c r="AT74" s="251"/>
    </row>
    <row r="75" spans="1:69" ht="18.75" customHeight="1">
      <c r="A75" s="251"/>
      <c r="B75" s="426"/>
      <c r="C75" s="428"/>
      <c r="D75" s="429"/>
      <c r="E75" s="430"/>
      <c r="F75" s="430"/>
      <c r="G75" s="431"/>
      <c r="H75" s="403">
        <v>1</v>
      </c>
      <c r="I75" s="403"/>
      <c r="J75" s="403"/>
      <c r="K75" s="403"/>
      <c r="L75" s="403"/>
      <c r="M75" s="403"/>
      <c r="N75" s="403"/>
      <c r="O75" s="403">
        <v>2</v>
      </c>
      <c r="P75" s="403"/>
      <c r="Q75" s="403"/>
      <c r="R75" s="403"/>
      <c r="S75" s="403"/>
      <c r="T75" s="403"/>
      <c r="U75" s="403"/>
      <c r="V75" s="403">
        <v>3</v>
      </c>
      <c r="W75" s="403"/>
      <c r="X75" s="403"/>
      <c r="Y75" s="403"/>
      <c r="Z75" s="403"/>
      <c r="AA75" s="429">
        <v>4</v>
      </c>
      <c r="AB75" s="430"/>
      <c r="AC75" s="430"/>
      <c r="AD75" s="430"/>
      <c r="AE75" s="430"/>
      <c r="AF75" s="430"/>
      <c r="AG75" s="431"/>
      <c r="AH75" s="403">
        <v>5</v>
      </c>
      <c r="AI75" s="403"/>
      <c r="AJ75" s="403"/>
      <c r="AK75" s="403"/>
      <c r="AL75" s="403"/>
      <c r="AM75" s="403"/>
      <c r="AN75" s="403"/>
      <c r="AO75" s="403"/>
      <c r="AP75" s="403">
        <v>6</v>
      </c>
      <c r="AQ75" s="403"/>
      <c r="AR75" s="403"/>
      <c r="AS75" s="403"/>
      <c r="AT75" s="251"/>
    </row>
    <row r="76" spans="1:69" ht="18.75" customHeight="1">
      <c r="A76" s="251"/>
      <c r="B76" s="471"/>
      <c r="C76" s="472"/>
      <c r="D76" s="426" t="s">
        <v>420</v>
      </c>
      <c r="E76" s="427"/>
      <c r="F76" s="427"/>
      <c r="G76" s="428"/>
      <c r="H76" s="407" t="s">
        <v>421</v>
      </c>
      <c r="I76" s="407"/>
      <c r="J76" s="407"/>
      <c r="K76" s="407"/>
      <c r="L76" s="407"/>
      <c r="M76" s="407"/>
      <c r="N76" s="407"/>
      <c r="O76" s="407" t="s">
        <v>422</v>
      </c>
      <c r="P76" s="407"/>
      <c r="Q76" s="407"/>
      <c r="R76" s="407"/>
      <c r="S76" s="407"/>
      <c r="T76" s="407"/>
      <c r="U76" s="407"/>
      <c r="V76" s="407" t="s">
        <v>423</v>
      </c>
      <c r="W76" s="407"/>
      <c r="X76" s="407"/>
      <c r="Y76" s="407"/>
      <c r="Z76" s="407"/>
      <c r="AA76" s="426" t="s">
        <v>424</v>
      </c>
      <c r="AB76" s="427"/>
      <c r="AC76" s="427"/>
      <c r="AD76" s="427"/>
      <c r="AE76" s="427"/>
      <c r="AF76" s="427"/>
      <c r="AG76" s="428"/>
      <c r="AH76" s="407" t="s">
        <v>425</v>
      </c>
      <c r="AI76" s="407"/>
      <c r="AJ76" s="407"/>
      <c r="AK76" s="407"/>
      <c r="AL76" s="407"/>
      <c r="AM76" s="407"/>
      <c r="AN76" s="407"/>
      <c r="AO76" s="407"/>
      <c r="AP76" s="407" t="s">
        <v>426</v>
      </c>
      <c r="AQ76" s="407"/>
      <c r="AR76" s="407"/>
      <c r="AS76" s="407"/>
      <c r="AT76" s="251"/>
    </row>
    <row r="77" spans="1:69" ht="18.75" customHeight="1">
      <c r="A77" s="251"/>
      <c r="B77" s="473"/>
      <c r="C77" s="474"/>
      <c r="D77" s="422" t="s">
        <v>427</v>
      </c>
      <c r="E77" s="423"/>
      <c r="F77" s="423"/>
      <c r="G77" s="424"/>
      <c r="H77" s="425" t="s">
        <v>428</v>
      </c>
      <c r="I77" s="425"/>
      <c r="J77" s="425"/>
      <c r="K77" s="425"/>
      <c r="L77" s="425"/>
      <c r="M77" s="425"/>
      <c r="N77" s="425"/>
      <c r="O77" s="425" t="s">
        <v>429</v>
      </c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  <c r="AA77" s="451" t="s">
        <v>430</v>
      </c>
      <c r="AB77" s="452"/>
      <c r="AC77" s="452"/>
      <c r="AD77" s="452"/>
      <c r="AE77" s="452"/>
      <c r="AF77" s="452"/>
      <c r="AG77" s="453"/>
      <c r="AH77" s="425" t="s">
        <v>431</v>
      </c>
      <c r="AI77" s="425"/>
      <c r="AJ77" s="425"/>
      <c r="AK77" s="425"/>
      <c r="AL77" s="425"/>
      <c r="AM77" s="425"/>
      <c r="AN77" s="425"/>
      <c r="AO77" s="425"/>
      <c r="AP77" s="425"/>
      <c r="AQ77" s="425"/>
      <c r="AR77" s="425"/>
      <c r="AS77" s="425"/>
      <c r="AT77" s="251"/>
    </row>
    <row r="78" spans="1:69" ht="18.75" customHeight="1">
      <c r="A78" s="251"/>
      <c r="B78" s="403" t="s">
        <v>432</v>
      </c>
      <c r="C78" s="403"/>
      <c r="D78" s="404" t="s">
        <v>433</v>
      </c>
      <c r="E78" s="405"/>
      <c r="F78" s="405"/>
      <c r="G78" s="406"/>
      <c r="H78" s="416" t="e">
        <f ca="1">Calcu!E54</f>
        <v>#N/A</v>
      </c>
      <c r="I78" s="417"/>
      <c r="J78" s="417"/>
      <c r="K78" s="417"/>
      <c r="L78" s="417"/>
      <c r="M78" s="411" t="str">
        <f>Calcu!F54</f>
        <v>mm</v>
      </c>
      <c r="N78" s="412"/>
      <c r="O78" s="408">
        <f>Calcu!J54</f>
        <v>0</v>
      </c>
      <c r="P78" s="409"/>
      <c r="Q78" s="409"/>
      <c r="R78" s="409"/>
      <c r="S78" s="410" t="str">
        <f>Calcu!K54</f>
        <v>mm</v>
      </c>
      <c r="T78" s="411"/>
      <c r="U78" s="412"/>
      <c r="V78" s="403" t="str">
        <f>Calcu!L54</f>
        <v>t</v>
      </c>
      <c r="W78" s="403"/>
      <c r="X78" s="403"/>
      <c r="Y78" s="403"/>
      <c r="Z78" s="403"/>
      <c r="AA78" s="429">
        <f>Calcu!O54</f>
        <v>1</v>
      </c>
      <c r="AB78" s="430"/>
      <c r="AC78" s="430"/>
      <c r="AD78" s="430"/>
      <c r="AE78" s="430"/>
      <c r="AF78" s="430"/>
      <c r="AG78" s="431"/>
      <c r="AH78" s="408">
        <f>Calcu!Q54</f>
        <v>0</v>
      </c>
      <c r="AI78" s="409"/>
      <c r="AJ78" s="409"/>
      <c r="AK78" s="409"/>
      <c r="AL78" s="409"/>
      <c r="AM78" s="410" t="str">
        <f>Calcu!R54</f>
        <v>mm</v>
      </c>
      <c r="AN78" s="410"/>
      <c r="AO78" s="443"/>
      <c r="AP78" s="403">
        <f>Calcu!S54</f>
        <v>4</v>
      </c>
      <c r="AQ78" s="403"/>
      <c r="AR78" s="403"/>
      <c r="AS78" s="403"/>
      <c r="AT78" s="251"/>
    </row>
    <row r="79" spans="1:69" ht="18.75" customHeight="1">
      <c r="A79" s="251"/>
      <c r="B79" s="403" t="s">
        <v>434</v>
      </c>
      <c r="C79" s="403"/>
      <c r="D79" s="404" t="s">
        <v>435</v>
      </c>
      <c r="E79" s="405"/>
      <c r="F79" s="405"/>
      <c r="G79" s="406"/>
      <c r="H79" s="416" t="e">
        <f ca="1">Calcu!E55</f>
        <v>#N/A</v>
      </c>
      <c r="I79" s="417"/>
      <c r="J79" s="417"/>
      <c r="K79" s="417"/>
      <c r="L79" s="417"/>
      <c r="M79" s="411" t="str">
        <f>Calcu!F55</f>
        <v>mm</v>
      </c>
      <c r="N79" s="412"/>
      <c r="O79" s="418" t="e">
        <f ca="1">Calcu!J55</f>
        <v>#N/A</v>
      </c>
      <c r="P79" s="419"/>
      <c r="Q79" s="419"/>
      <c r="R79" s="419"/>
      <c r="S79" s="410" t="str">
        <f>Calcu!K55</f>
        <v>mm</v>
      </c>
      <c r="T79" s="411"/>
      <c r="U79" s="412"/>
      <c r="V79" s="403" t="str">
        <f>Calcu!L55</f>
        <v>정규</v>
      </c>
      <c r="W79" s="403"/>
      <c r="X79" s="403"/>
      <c r="Y79" s="403"/>
      <c r="Z79" s="403"/>
      <c r="AA79" s="429">
        <f>Calcu!O55</f>
        <v>1</v>
      </c>
      <c r="AB79" s="430"/>
      <c r="AC79" s="430"/>
      <c r="AD79" s="430"/>
      <c r="AE79" s="430"/>
      <c r="AF79" s="430"/>
      <c r="AG79" s="431"/>
      <c r="AH79" s="418" t="e">
        <f ca="1">Calcu!Q55</f>
        <v>#N/A</v>
      </c>
      <c r="AI79" s="419"/>
      <c r="AJ79" s="419"/>
      <c r="AK79" s="419"/>
      <c r="AL79" s="419"/>
      <c r="AM79" s="410" t="str">
        <f>Calcu!R55</f>
        <v>mm</v>
      </c>
      <c r="AN79" s="410"/>
      <c r="AO79" s="443"/>
      <c r="AP79" s="403" t="str">
        <f>Calcu!S55</f>
        <v>∞</v>
      </c>
      <c r="AQ79" s="403"/>
      <c r="AR79" s="403"/>
      <c r="AS79" s="403"/>
      <c r="AT79" s="251"/>
    </row>
    <row r="80" spans="1:69" ht="18.75" customHeight="1">
      <c r="A80" s="251"/>
      <c r="B80" s="403" t="s">
        <v>81</v>
      </c>
      <c r="C80" s="403"/>
      <c r="D80" s="404" t="s">
        <v>141</v>
      </c>
      <c r="E80" s="405"/>
      <c r="F80" s="405"/>
      <c r="G80" s="406"/>
      <c r="H80" s="416" t="e">
        <f ca="1">Calcu!E56</f>
        <v>#N/A</v>
      </c>
      <c r="I80" s="417"/>
      <c r="J80" s="417"/>
      <c r="K80" s="417"/>
      <c r="L80" s="417"/>
      <c r="M80" s="411" t="str">
        <f>Calcu!F56</f>
        <v>mm</v>
      </c>
      <c r="N80" s="412"/>
      <c r="O80" s="408">
        <f>Calcu!J56</f>
        <v>0</v>
      </c>
      <c r="P80" s="409"/>
      <c r="Q80" s="409"/>
      <c r="R80" s="409"/>
      <c r="S80" s="410" t="str">
        <f>Calcu!K56</f>
        <v>mm</v>
      </c>
      <c r="T80" s="411"/>
      <c r="U80" s="412"/>
      <c r="V80" s="403" t="str">
        <f>Calcu!L56</f>
        <v>직사각형</v>
      </c>
      <c r="W80" s="403"/>
      <c r="X80" s="403"/>
      <c r="Y80" s="403"/>
      <c r="Z80" s="403"/>
      <c r="AA80" s="429">
        <f>Calcu!O56</f>
        <v>-1</v>
      </c>
      <c r="AB80" s="430"/>
      <c r="AC80" s="430"/>
      <c r="AD80" s="430"/>
      <c r="AE80" s="430"/>
      <c r="AF80" s="430"/>
      <c r="AG80" s="431"/>
      <c r="AH80" s="408">
        <f>Calcu!Q56</f>
        <v>0</v>
      </c>
      <c r="AI80" s="409"/>
      <c r="AJ80" s="409"/>
      <c r="AK80" s="409"/>
      <c r="AL80" s="409"/>
      <c r="AM80" s="410" t="str">
        <f>Calcu!R56</f>
        <v>mm</v>
      </c>
      <c r="AN80" s="410"/>
      <c r="AO80" s="443"/>
      <c r="AP80" s="403" t="str">
        <f>Calcu!S56</f>
        <v>∞</v>
      </c>
      <c r="AQ80" s="403"/>
      <c r="AR80" s="403"/>
      <c r="AS80" s="403"/>
      <c r="AT80" s="251"/>
    </row>
    <row r="81" spans="1:47" ht="18.75" customHeight="1">
      <c r="A81" s="251"/>
      <c r="B81" s="403" t="s">
        <v>82</v>
      </c>
      <c r="C81" s="403"/>
      <c r="D81" s="404" t="s">
        <v>436</v>
      </c>
      <c r="E81" s="405"/>
      <c r="F81" s="405"/>
      <c r="G81" s="406"/>
      <c r="H81" s="416" t="e">
        <f ca="1">Calcu!E57</f>
        <v>#N/A</v>
      </c>
      <c r="I81" s="417"/>
      <c r="J81" s="417"/>
      <c r="K81" s="417"/>
      <c r="L81" s="417"/>
      <c r="M81" s="411" t="str">
        <f>Calcu!F57</f>
        <v>mm</v>
      </c>
      <c r="N81" s="412"/>
      <c r="O81" s="408" t="e">
        <f ca="1">Calcu!J57</f>
        <v>#N/A</v>
      </c>
      <c r="P81" s="409"/>
      <c r="Q81" s="409"/>
      <c r="R81" s="409"/>
      <c r="S81" s="410" t="str">
        <f>Calcu!K57</f>
        <v>mm</v>
      </c>
      <c r="T81" s="411"/>
      <c r="U81" s="412"/>
      <c r="V81" s="403" t="str">
        <f>Calcu!L57</f>
        <v>정규</v>
      </c>
      <c r="W81" s="403"/>
      <c r="X81" s="403"/>
      <c r="Y81" s="403"/>
      <c r="Z81" s="403"/>
      <c r="AA81" s="429">
        <f>Calcu!O57</f>
        <v>1</v>
      </c>
      <c r="AB81" s="430"/>
      <c r="AC81" s="430"/>
      <c r="AD81" s="430"/>
      <c r="AE81" s="430"/>
      <c r="AF81" s="430"/>
      <c r="AG81" s="431"/>
      <c r="AH81" s="408" t="e">
        <f ca="1">Calcu!Q57</f>
        <v>#N/A</v>
      </c>
      <c r="AI81" s="409"/>
      <c r="AJ81" s="409"/>
      <c r="AK81" s="409"/>
      <c r="AL81" s="409"/>
      <c r="AM81" s="410" t="str">
        <f>Calcu!R57</f>
        <v>mm</v>
      </c>
      <c r="AN81" s="410"/>
      <c r="AO81" s="443"/>
      <c r="AP81" s="403" t="str">
        <f>Calcu!S57</f>
        <v>∞</v>
      </c>
      <c r="AQ81" s="403"/>
      <c r="AR81" s="403"/>
      <c r="AS81" s="403"/>
      <c r="AT81" s="251"/>
    </row>
    <row r="82" spans="1:47" ht="18.75" customHeight="1">
      <c r="A82" s="251"/>
      <c r="B82" s="403" t="s">
        <v>130</v>
      </c>
      <c r="C82" s="403"/>
      <c r="D82" s="413" t="s">
        <v>437</v>
      </c>
      <c r="E82" s="414"/>
      <c r="F82" s="414"/>
      <c r="G82" s="415"/>
      <c r="H82" s="416">
        <f>Calcu!E58</f>
        <v>0</v>
      </c>
      <c r="I82" s="417"/>
      <c r="J82" s="417"/>
      <c r="K82" s="417"/>
      <c r="L82" s="417"/>
      <c r="M82" s="411" t="str">
        <f>Calcu!F58</f>
        <v>mm</v>
      </c>
      <c r="N82" s="412"/>
      <c r="O82" s="418">
        <f ca="1">Calcu!J58</f>
        <v>0</v>
      </c>
      <c r="P82" s="419"/>
      <c r="Q82" s="419"/>
      <c r="R82" s="419"/>
      <c r="S82" s="410" t="str">
        <f>Calcu!K58</f>
        <v>mm</v>
      </c>
      <c r="T82" s="411"/>
      <c r="U82" s="412"/>
      <c r="V82" s="420" t="str">
        <f>Calcu!L58</f>
        <v>정규</v>
      </c>
      <c r="W82" s="420"/>
      <c r="X82" s="420"/>
      <c r="Y82" s="420"/>
      <c r="Z82" s="420"/>
      <c r="AA82" s="454">
        <f>Calcu!O58</f>
        <v>1</v>
      </c>
      <c r="AB82" s="455"/>
      <c r="AC82" s="455"/>
      <c r="AD82" s="455"/>
      <c r="AE82" s="455"/>
      <c r="AF82" s="455"/>
      <c r="AG82" s="456"/>
      <c r="AH82" s="444" t="s">
        <v>438</v>
      </c>
      <c r="AI82" s="445"/>
      <c r="AJ82" s="445"/>
      <c r="AK82" s="445"/>
      <c r="AL82" s="445"/>
      <c r="AM82" s="445"/>
      <c r="AN82" s="445"/>
      <c r="AO82" s="446"/>
      <c r="AP82" s="420" t="str">
        <f>Calcu!S58</f>
        <v>∞</v>
      </c>
      <c r="AQ82" s="420"/>
      <c r="AR82" s="420"/>
      <c r="AS82" s="420"/>
      <c r="AT82" s="251"/>
    </row>
    <row r="83" spans="1:47" ht="18.75" customHeight="1">
      <c r="A83" s="251"/>
      <c r="B83" s="403" t="s">
        <v>131</v>
      </c>
      <c r="C83" s="403"/>
      <c r="D83" s="413" t="s">
        <v>439</v>
      </c>
      <c r="E83" s="414"/>
      <c r="F83" s="414"/>
      <c r="G83" s="415"/>
      <c r="H83" s="416">
        <f>Calcu!E59</f>
        <v>0</v>
      </c>
      <c r="I83" s="417"/>
      <c r="J83" s="417"/>
      <c r="K83" s="417"/>
      <c r="L83" s="417"/>
      <c r="M83" s="411" t="str">
        <f>Calcu!F59</f>
        <v>mm</v>
      </c>
      <c r="N83" s="412"/>
      <c r="O83" s="408">
        <f>Calcu!J59</f>
        <v>0</v>
      </c>
      <c r="P83" s="409"/>
      <c r="Q83" s="409"/>
      <c r="R83" s="409"/>
      <c r="S83" s="410" t="str">
        <f>Calcu!K59</f>
        <v>mm</v>
      </c>
      <c r="T83" s="411"/>
      <c r="U83" s="412"/>
      <c r="V83" s="420" t="str">
        <f>Calcu!L59</f>
        <v>직사각형</v>
      </c>
      <c r="W83" s="420"/>
      <c r="X83" s="420"/>
      <c r="Y83" s="420"/>
      <c r="Z83" s="420"/>
      <c r="AA83" s="454">
        <f>Calcu!O59</f>
        <v>1</v>
      </c>
      <c r="AB83" s="455"/>
      <c r="AC83" s="455"/>
      <c r="AD83" s="455"/>
      <c r="AE83" s="455"/>
      <c r="AF83" s="455"/>
      <c r="AG83" s="456"/>
      <c r="AH83" s="444" t="s">
        <v>440</v>
      </c>
      <c r="AI83" s="445"/>
      <c r="AJ83" s="445"/>
      <c r="AK83" s="445"/>
      <c r="AL83" s="445"/>
      <c r="AM83" s="445"/>
      <c r="AN83" s="445"/>
      <c r="AO83" s="446"/>
      <c r="AP83" s="420" t="str">
        <f>Calcu!S59</f>
        <v>∞</v>
      </c>
      <c r="AQ83" s="420"/>
      <c r="AR83" s="420"/>
      <c r="AS83" s="420"/>
      <c r="AT83" s="251"/>
    </row>
    <row r="84" spans="1:47" ht="18.75" customHeight="1">
      <c r="A84" s="251"/>
      <c r="B84" s="403" t="s">
        <v>296</v>
      </c>
      <c r="C84" s="403"/>
      <c r="D84" s="413" t="s">
        <v>441</v>
      </c>
      <c r="E84" s="414"/>
      <c r="F84" s="414"/>
      <c r="G84" s="415"/>
      <c r="H84" s="416">
        <f>Calcu!E60</f>
        <v>0</v>
      </c>
      <c r="I84" s="417"/>
      <c r="J84" s="417"/>
      <c r="K84" s="417"/>
      <c r="L84" s="417"/>
      <c r="M84" s="411" t="str">
        <f>Calcu!F60</f>
        <v>mm</v>
      </c>
      <c r="N84" s="412"/>
      <c r="O84" s="408" t="e">
        <f>Calcu!J60</f>
        <v>#N/A</v>
      </c>
      <c r="P84" s="409"/>
      <c r="Q84" s="409"/>
      <c r="R84" s="409"/>
      <c r="S84" s="410" t="str">
        <f>Calcu!K60</f>
        <v>mm</v>
      </c>
      <c r="T84" s="411"/>
      <c r="U84" s="412"/>
      <c r="V84" s="420" t="str">
        <f>Calcu!L60</f>
        <v>정규</v>
      </c>
      <c r="W84" s="420"/>
      <c r="X84" s="420"/>
      <c r="Y84" s="420"/>
      <c r="Z84" s="420"/>
      <c r="AA84" s="454">
        <f>Calcu!O60</f>
        <v>1</v>
      </c>
      <c r="AB84" s="455"/>
      <c r="AC84" s="455"/>
      <c r="AD84" s="455"/>
      <c r="AE84" s="455"/>
      <c r="AF84" s="455"/>
      <c r="AG84" s="456"/>
      <c r="AH84" s="444" t="s">
        <v>438</v>
      </c>
      <c r="AI84" s="445"/>
      <c r="AJ84" s="445"/>
      <c r="AK84" s="445"/>
      <c r="AL84" s="445"/>
      <c r="AM84" s="445"/>
      <c r="AN84" s="445"/>
      <c r="AO84" s="446"/>
      <c r="AP84" s="420" t="str">
        <f>Calcu!S60</f>
        <v>∞</v>
      </c>
      <c r="AQ84" s="420"/>
      <c r="AR84" s="420"/>
      <c r="AS84" s="420"/>
      <c r="AT84" s="251"/>
    </row>
    <row r="85" spans="1:47" ht="18.75" customHeight="1">
      <c r="A85" s="251"/>
      <c r="B85" s="403" t="s">
        <v>442</v>
      </c>
      <c r="C85" s="403"/>
      <c r="D85" s="404"/>
      <c r="E85" s="405"/>
      <c r="F85" s="405"/>
      <c r="G85" s="406"/>
      <c r="H85" s="416" t="str">
        <f>Calcu!E61</f>
        <v/>
      </c>
      <c r="I85" s="417"/>
      <c r="J85" s="417"/>
      <c r="K85" s="417"/>
      <c r="L85" s="417"/>
      <c r="M85" s="411" t="str">
        <f>Calcu!F61</f>
        <v>/℃</v>
      </c>
      <c r="N85" s="412"/>
      <c r="O85" s="441">
        <f>Calcu!J61</f>
        <v>4.0824829046386305E-7</v>
      </c>
      <c r="P85" s="442"/>
      <c r="Q85" s="442"/>
      <c r="R85" s="442"/>
      <c r="S85" s="410" t="str">
        <f>Calcu!K61</f>
        <v>/℃</v>
      </c>
      <c r="T85" s="411"/>
      <c r="U85" s="412"/>
      <c r="V85" s="403" t="str">
        <f>Calcu!L61</f>
        <v>삼각형</v>
      </c>
      <c r="W85" s="403"/>
      <c r="X85" s="403"/>
      <c r="Y85" s="403"/>
      <c r="Z85" s="403"/>
      <c r="AA85" s="447" t="e">
        <f>Calcu!O61</f>
        <v>#VALUE!</v>
      </c>
      <c r="AB85" s="448"/>
      <c r="AC85" s="448"/>
      <c r="AD85" s="448"/>
      <c r="AE85" s="449" t="str">
        <f>Calcu!P61</f>
        <v>℃·mm</v>
      </c>
      <c r="AF85" s="449"/>
      <c r="AG85" s="450"/>
      <c r="AH85" s="408" t="e">
        <f>Calcu!Q61</f>
        <v>#VALUE!</v>
      </c>
      <c r="AI85" s="409"/>
      <c r="AJ85" s="409"/>
      <c r="AK85" s="409"/>
      <c r="AL85" s="409"/>
      <c r="AM85" s="410" t="str">
        <f>Calcu!R61</f>
        <v>mm</v>
      </c>
      <c r="AN85" s="410"/>
      <c r="AO85" s="443"/>
      <c r="AP85" s="403">
        <f>Calcu!S61</f>
        <v>100</v>
      </c>
      <c r="AQ85" s="403"/>
      <c r="AR85" s="403"/>
      <c r="AS85" s="403"/>
      <c r="AT85" s="251"/>
    </row>
    <row r="86" spans="1:47" ht="18.75" customHeight="1">
      <c r="A86" s="251"/>
      <c r="B86" s="403" t="s">
        <v>132</v>
      </c>
      <c r="C86" s="403"/>
      <c r="D86" s="404" t="s">
        <v>443</v>
      </c>
      <c r="E86" s="405"/>
      <c r="F86" s="405"/>
      <c r="G86" s="406"/>
      <c r="H86" s="416" t="str">
        <f>Calcu!E62</f>
        <v/>
      </c>
      <c r="I86" s="417"/>
      <c r="J86" s="417"/>
      <c r="K86" s="417"/>
      <c r="L86" s="417"/>
      <c r="M86" s="411" t="str">
        <f>Calcu!F62</f>
        <v>℃</v>
      </c>
      <c r="N86" s="412"/>
      <c r="O86" s="408" t="e">
        <f>Calcu!J62</f>
        <v>#VALUE!</v>
      </c>
      <c r="P86" s="409"/>
      <c r="Q86" s="409"/>
      <c r="R86" s="409"/>
      <c r="S86" s="410" t="str">
        <f>Calcu!K62</f>
        <v>℃</v>
      </c>
      <c r="T86" s="411"/>
      <c r="U86" s="412"/>
      <c r="V86" s="403" t="str">
        <f>Calcu!L62</f>
        <v>직사각형</v>
      </c>
      <c r="W86" s="403"/>
      <c r="X86" s="403"/>
      <c r="Y86" s="403"/>
      <c r="Z86" s="403"/>
      <c r="AA86" s="447" t="e">
        <f>Calcu!O62</f>
        <v>#VALUE!</v>
      </c>
      <c r="AB86" s="448"/>
      <c r="AC86" s="448"/>
      <c r="AD86" s="448"/>
      <c r="AE86" s="449" t="str">
        <f>Calcu!P62</f>
        <v>/℃·mm</v>
      </c>
      <c r="AF86" s="449"/>
      <c r="AG86" s="450"/>
      <c r="AH86" s="408" t="e">
        <f>Calcu!Q62</f>
        <v>#VALUE!</v>
      </c>
      <c r="AI86" s="409"/>
      <c r="AJ86" s="409"/>
      <c r="AK86" s="409"/>
      <c r="AL86" s="409"/>
      <c r="AM86" s="410" t="str">
        <f>Calcu!R62</f>
        <v>mm</v>
      </c>
      <c r="AN86" s="410"/>
      <c r="AO86" s="443"/>
      <c r="AP86" s="403">
        <f>Calcu!S62</f>
        <v>12</v>
      </c>
      <c r="AQ86" s="403"/>
      <c r="AR86" s="403"/>
      <c r="AS86" s="403"/>
      <c r="AT86" s="251"/>
    </row>
    <row r="87" spans="1:47" ht="18.75" customHeight="1">
      <c r="A87" s="251"/>
      <c r="B87" s="403" t="s">
        <v>261</v>
      </c>
      <c r="C87" s="403"/>
      <c r="D87" s="404" t="s">
        <v>411</v>
      </c>
      <c r="E87" s="405"/>
      <c r="F87" s="405"/>
      <c r="G87" s="406"/>
      <c r="H87" s="416" t="str">
        <f>Calcu!E63</f>
        <v/>
      </c>
      <c r="I87" s="417"/>
      <c r="J87" s="417"/>
      <c r="K87" s="417"/>
      <c r="L87" s="417"/>
      <c r="M87" s="411" t="str">
        <f>Calcu!F63</f>
        <v>/℃</v>
      </c>
      <c r="N87" s="412"/>
      <c r="O87" s="441">
        <f>Calcu!J63</f>
        <v>8.1649658092772609E-7</v>
      </c>
      <c r="P87" s="442"/>
      <c r="Q87" s="442"/>
      <c r="R87" s="442"/>
      <c r="S87" s="410" t="str">
        <f>Calcu!K63</f>
        <v>/℃</v>
      </c>
      <c r="T87" s="411"/>
      <c r="U87" s="412"/>
      <c r="V87" s="403" t="str">
        <f>Calcu!L63</f>
        <v>삼각형</v>
      </c>
      <c r="W87" s="403"/>
      <c r="X87" s="403"/>
      <c r="Y87" s="403"/>
      <c r="Z87" s="403"/>
      <c r="AA87" s="447" t="e">
        <f>Calcu!O63</f>
        <v>#VALUE!</v>
      </c>
      <c r="AB87" s="448"/>
      <c r="AC87" s="448"/>
      <c r="AD87" s="448"/>
      <c r="AE87" s="449" t="str">
        <f>Calcu!P63</f>
        <v>℃·mm</v>
      </c>
      <c r="AF87" s="449"/>
      <c r="AG87" s="450"/>
      <c r="AH87" s="408" t="e">
        <f>Calcu!Q63</f>
        <v>#VALUE!</v>
      </c>
      <c r="AI87" s="409"/>
      <c r="AJ87" s="409"/>
      <c r="AK87" s="409"/>
      <c r="AL87" s="409"/>
      <c r="AM87" s="410" t="str">
        <f>Calcu!R63</f>
        <v>mm</v>
      </c>
      <c r="AN87" s="410"/>
      <c r="AO87" s="443"/>
      <c r="AP87" s="403">
        <f>Calcu!S63</f>
        <v>100</v>
      </c>
      <c r="AQ87" s="403"/>
      <c r="AR87" s="403"/>
      <c r="AS87" s="403"/>
      <c r="AT87" s="251"/>
    </row>
    <row r="88" spans="1:47" ht="18.75" customHeight="1">
      <c r="A88" s="251"/>
      <c r="B88" s="403" t="s">
        <v>444</v>
      </c>
      <c r="C88" s="403"/>
      <c r="D88" s="404" t="s">
        <v>413</v>
      </c>
      <c r="E88" s="405"/>
      <c r="F88" s="405"/>
      <c r="G88" s="406"/>
      <c r="H88" s="416" t="str">
        <f>Calcu!E64</f>
        <v/>
      </c>
      <c r="I88" s="417"/>
      <c r="J88" s="417"/>
      <c r="K88" s="417"/>
      <c r="L88" s="417"/>
      <c r="M88" s="411" t="str">
        <f>Calcu!F64</f>
        <v>℃</v>
      </c>
      <c r="N88" s="412"/>
      <c r="O88" s="408">
        <f>Calcu!J64</f>
        <v>0.57735026918962584</v>
      </c>
      <c r="P88" s="409"/>
      <c r="Q88" s="409"/>
      <c r="R88" s="409"/>
      <c r="S88" s="410" t="str">
        <f>Calcu!K64</f>
        <v>℃</v>
      </c>
      <c r="T88" s="411"/>
      <c r="U88" s="412"/>
      <c r="V88" s="403" t="str">
        <f>Calcu!L64</f>
        <v>직사각형</v>
      </c>
      <c r="W88" s="403"/>
      <c r="X88" s="403"/>
      <c r="Y88" s="403"/>
      <c r="Z88" s="403"/>
      <c r="AA88" s="447">
        <f>Calcu!O64</f>
        <v>0</v>
      </c>
      <c r="AB88" s="448"/>
      <c r="AC88" s="448"/>
      <c r="AD88" s="448"/>
      <c r="AE88" s="449" t="str">
        <f>Calcu!P64</f>
        <v>/℃·mm</v>
      </c>
      <c r="AF88" s="449"/>
      <c r="AG88" s="450"/>
      <c r="AH88" s="408">
        <f>Calcu!Q64</f>
        <v>0</v>
      </c>
      <c r="AI88" s="409"/>
      <c r="AJ88" s="409"/>
      <c r="AK88" s="409"/>
      <c r="AL88" s="409"/>
      <c r="AM88" s="410" t="str">
        <f>Calcu!R64</f>
        <v>mm</v>
      </c>
      <c r="AN88" s="410"/>
      <c r="AO88" s="443"/>
      <c r="AP88" s="403">
        <f>Calcu!S64</f>
        <v>12</v>
      </c>
      <c r="AQ88" s="403"/>
      <c r="AR88" s="403"/>
      <c r="AS88" s="403"/>
      <c r="AT88" s="251"/>
    </row>
    <row r="89" spans="1:47" ht="18.75" customHeight="1">
      <c r="A89" s="251"/>
      <c r="B89" s="403" t="s">
        <v>445</v>
      </c>
      <c r="C89" s="403"/>
      <c r="D89" s="404" t="s">
        <v>446</v>
      </c>
      <c r="E89" s="405"/>
      <c r="F89" s="405"/>
      <c r="G89" s="406"/>
      <c r="H89" s="416">
        <f>Calcu!E65</f>
        <v>0</v>
      </c>
      <c r="I89" s="417"/>
      <c r="J89" s="417"/>
      <c r="K89" s="417"/>
      <c r="L89" s="417"/>
      <c r="M89" s="411" t="str">
        <f>Calcu!F65</f>
        <v>mm</v>
      </c>
      <c r="N89" s="412"/>
      <c r="O89" s="408">
        <f>Calcu!J65</f>
        <v>2.8867513459481291E-2</v>
      </c>
      <c r="P89" s="409"/>
      <c r="Q89" s="409"/>
      <c r="R89" s="409"/>
      <c r="S89" s="410" t="str">
        <f>Calcu!K65</f>
        <v>mm</v>
      </c>
      <c r="T89" s="411"/>
      <c r="U89" s="412"/>
      <c r="V89" s="403" t="str">
        <f>Calcu!L65</f>
        <v>직사각형</v>
      </c>
      <c r="W89" s="403"/>
      <c r="X89" s="403"/>
      <c r="Y89" s="403"/>
      <c r="Z89" s="403"/>
      <c r="AA89" s="429">
        <f>Calcu!O65</f>
        <v>1</v>
      </c>
      <c r="AB89" s="430"/>
      <c r="AC89" s="430"/>
      <c r="AD89" s="430"/>
      <c r="AE89" s="430"/>
      <c r="AF89" s="430"/>
      <c r="AG89" s="431"/>
      <c r="AH89" s="408">
        <f>Calcu!Q65</f>
        <v>2.8867513459481291E-2</v>
      </c>
      <c r="AI89" s="409"/>
      <c r="AJ89" s="409"/>
      <c r="AK89" s="409"/>
      <c r="AL89" s="409"/>
      <c r="AM89" s="410" t="str">
        <f>Calcu!R65</f>
        <v>mm</v>
      </c>
      <c r="AN89" s="410"/>
      <c r="AO89" s="443"/>
      <c r="AP89" s="403">
        <f>Calcu!S65</f>
        <v>12</v>
      </c>
      <c r="AQ89" s="403"/>
      <c r="AR89" s="403"/>
      <c r="AS89" s="403"/>
      <c r="AT89" s="251"/>
    </row>
    <row r="90" spans="1:47" ht="18.75" customHeight="1">
      <c r="A90" s="251"/>
      <c r="B90" s="403" t="s">
        <v>447</v>
      </c>
      <c r="C90" s="403"/>
      <c r="D90" s="404" t="s">
        <v>448</v>
      </c>
      <c r="E90" s="405"/>
      <c r="F90" s="405"/>
      <c r="G90" s="406"/>
      <c r="H90" s="416" t="e">
        <f ca="1">Calcu!E66</f>
        <v>#N/A</v>
      </c>
      <c r="I90" s="417"/>
      <c r="J90" s="417"/>
      <c r="K90" s="417"/>
      <c r="L90" s="417"/>
      <c r="M90" s="411" t="str">
        <f>Calcu!F66</f>
        <v>mm</v>
      </c>
      <c r="N90" s="412"/>
      <c r="O90" s="429"/>
      <c r="P90" s="430"/>
      <c r="Q90" s="430"/>
      <c r="R90" s="430"/>
      <c r="S90" s="430"/>
      <c r="T90" s="430"/>
      <c r="U90" s="431"/>
      <c r="V90" s="403"/>
      <c r="W90" s="403"/>
      <c r="X90" s="403"/>
      <c r="Y90" s="403"/>
      <c r="Z90" s="403"/>
      <c r="AA90" s="429"/>
      <c r="AB90" s="430"/>
      <c r="AC90" s="430"/>
      <c r="AD90" s="430"/>
      <c r="AE90" s="430"/>
      <c r="AF90" s="430"/>
      <c r="AG90" s="431"/>
      <c r="AH90" s="408" t="e">
        <f ca="1">Calcu!Q66</f>
        <v>#N/A</v>
      </c>
      <c r="AI90" s="409"/>
      <c r="AJ90" s="409"/>
      <c r="AK90" s="409"/>
      <c r="AL90" s="409"/>
      <c r="AM90" s="410" t="str">
        <f>Calcu!R66</f>
        <v>mm</v>
      </c>
      <c r="AN90" s="410"/>
      <c r="AO90" s="443"/>
      <c r="AP90" s="403" t="e">
        <f>Calcu!S66</f>
        <v>#VALUE!</v>
      </c>
      <c r="AQ90" s="403"/>
      <c r="AR90" s="403"/>
      <c r="AS90" s="403"/>
      <c r="AT90" s="251"/>
    </row>
    <row r="91" spans="1:47" ht="18.75" customHeight="1">
      <c r="A91" s="251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51"/>
      <c r="X91" s="251"/>
      <c r="Y91" s="251"/>
      <c r="Z91" s="251"/>
      <c r="AA91" s="251"/>
      <c r="AB91" s="251"/>
      <c r="AC91" s="251"/>
      <c r="AD91" s="251"/>
      <c r="AE91" s="251"/>
      <c r="AF91" s="251"/>
      <c r="AG91" s="251"/>
      <c r="AH91" s="251"/>
      <c r="AI91" s="251"/>
      <c r="AJ91" s="251"/>
      <c r="AK91" s="251"/>
      <c r="AL91" s="251"/>
      <c r="AM91" s="251"/>
      <c r="AN91" s="251"/>
      <c r="AO91" s="251"/>
      <c r="AP91" s="251"/>
      <c r="AQ91" s="251"/>
      <c r="AR91" s="251"/>
      <c r="AS91" s="251"/>
      <c r="AT91" s="251"/>
    </row>
    <row r="92" spans="1:47" ht="18.75" customHeight="1">
      <c r="A92" s="57" t="s">
        <v>449</v>
      </c>
      <c r="B92" s="251"/>
      <c r="C92" s="251"/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51"/>
      <c r="X92" s="251"/>
      <c r="Y92" s="251"/>
      <c r="Z92" s="251"/>
      <c r="AA92" s="251"/>
      <c r="AB92" s="251"/>
      <c r="AC92" s="251"/>
      <c r="AD92" s="251"/>
      <c r="AE92" s="251"/>
      <c r="AF92" s="251"/>
      <c r="AG92" s="251"/>
      <c r="AH92" s="251"/>
      <c r="AI92" s="251"/>
      <c r="AJ92" s="251"/>
      <c r="AK92" s="251"/>
      <c r="AL92" s="251"/>
      <c r="AM92" s="251"/>
      <c r="AN92" s="251"/>
      <c r="AO92" s="251"/>
      <c r="AP92" s="251"/>
      <c r="AQ92" s="251"/>
      <c r="AR92" s="251"/>
      <c r="AS92" s="251"/>
      <c r="AT92" s="251"/>
    </row>
    <row r="93" spans="1:47" ht="18.75" customHeight="1">
      <c r="A93" s="251"/>
      <c r="B93" s="60" t="str">
        <f>"1. "&amp;$T$5&amp;" 지시값의 표준불확도,"</f>
        <v>1. 줄자교정장치 지시값의 표준불확도,</v>
      </c>
      <c r="C93" s="251"/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P93" s="251"/>
      <c r="R93" s="186" t="s">
        <v>197</v>
      </c>
      <c r="T93" s="251"/>
      <c r="U93" s="251"/>
      <c r="V93" s="251"/>
      <c r="W93" s="251"/>
      <c r="X93" s="251"/>
      <c r="Y93" s="251"/>
      <c r="Z93" s="251"/>
      <c r="AA93" s="251"/>
      <c r="AB93" s="251"/>
      <c r="AC93" s="251"/>
      <c r="AD93" s="251"/>
      <c r="AE93" s="251"/>
      <c r="AF93" s="251"/>
      <c r="AG93" s="251"/>
      <c r="AH93" s="251"/>
      <c r="AI93" s="251"/>
      <c r="AJ93" s="251"/>
      <c r="AK93" s="251"/>
      <c r="AL93" s="251"/>
      <c r="AM93" s="251"/>
      <c r="AN93" s="251"/>
      <c r="AO93" s="251"/>
      <c r="AP93" s="251"/>
      <c r="AQ93" s="251"/>
      <c r="AR93" s="251"/>
      <c r="AS93" s="251"/>
      <c r="AT93" s="251"/>
    </row>
    <row r="94" spans="1:47" ht="18.75" customHeight="1">
      <c r="A94" s="251"/>
      <c r="C94" s="251" t="s">
        <v>142</v>
      </c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  <c r="T94" s="251"/>
      <c r="U94" s="251"/>
      <c r="V94" s="251"/>
      <c r="W94" s="251"/>
      <c r="X94" s="251"/>
      <c r="Y94" s="251"/>
      <c r="Z94" s="251"/>
      <c r="AA94" s="251"/>
      <c r="AB94" s="251"/>
      <c r="AC94" s="251"/>
      <c r="AD94" s="251"/>
      <c r="AE94" s="251"/>
      <c r="AF94" s="251"/>
      <c r="AG94" s="251"/>
      <c r="AH94" s="251"/>
      <c r="AI94" s="251"/>
      <c r="AJ94" s="251"/>
      <c r="AK94" s="251"/>
      <c r="AL94" s="251"/>
      <c r="AM94" s="251"/>
      <c r="AN94" s="251"/>
      <c r="AO94" s="251"/>
      <c r="AP94" s="251"/>
      <c r="AQ94" s="251"/>
      <c r="AR94" s="251"/>
      <c r="AS94" s="251"/>
      <c r="AT94" s="251"/>
    </row>
    <row r="95" spans="1:47" ht="18.75" customHeight="1">
      <c r="A95" s="251"/>
      <c r="C95" s="60"/>
      <c r="D95" s="251" t="s">
        <v>450</v>
      </c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51"/>
      <c r="X95" s="251"/>
      <c r="Y95" s="251"/>
      <c r="Z95" s="251"/>
      <c r="AA95" s="251"/>
      <c r="AB95" s="251"/>
      <c r="AC95" s="251"/>
      <c r="AD95" s="251"/>
      <c r="AE95" s="251"/>
      <c r="AF95" s="251"/>
      <c r="AG95" s="251"/>
      <c r="AH95" s="251"/>
      <c r="AI95" s="251"/>
      <c r="AJ95" s="251"/>
      <c r="AK95" s="251"/>
      <c r="AL95" s="251"/>
      <c r="AM95" s="251"/>
      <c r="AN95" s="251"/>
      <c r="AO95" s="251"/>
      <c r="AP95" s="251"/>
      <c r="AQ95" s="251"/>
      <c r="AR95" s="251"/>
      <c r="AS95" s="251"/>
      <c r="AT95" s="251"/>
    </row>
    <row r="96" spans="1:47" ht="18.75" customHeight="1">
      <c r="B96" s="251"/>
      <c r="C96" s="251" t="s">
        <v>182</v>
      </c>
      <c r="D96" s="251"/>
      <c r="E96" s="251"/>
      <c r="F96" s="251"/>
      <c r="G96" s="251"/>
      <c r="H96" s="251"/>
      <c r="I96" s="387" t="e">
        <f ca="1">H78</f>
        <v>#N/A</v>
      </c>
      <c r="J96" s="387"/>
      <c r="K96" s="387"/>
      <c r="L96" s="387"/>
      <c r="M96" s="387"/>
      <c r="N96" s="387" t="str">
        <f>M78</f>
        <v>mm</v>
      </c>
      <c r="O96" s="387"/>
      <c r="P96" s="238"/>
      <c r="Q96" s="251"/>
      <c r="R96" s="251"/>
      <c r="S96" s="251"/>
      <c r="T96" s="251"/>
      <c r="U96" s="251"/>
      <c r="V96" s="251"/>
      <c r="W96" s="251"/>
      <c r="X96" s="251"/>
      <c r="Y96" s="251"/>
      <c r="Z96" s="251"/>
      <c r="AA96" s="251"/>
      <c r="AB96" s="251"/>
      <c r="AC96" s="251"/>
      <c r="AD96" s="251"/>
      <c r="AE96" s="251"/>
      <c r="AF96" s="251"/>
      <c r="AG96" s="251"/>
      <c r="AH96" s="251"/>
      <c r="AI96" s="251"/>
      <c r="AJ96" s="251"/>
      <c r="AK96" s="251"/>
      <c r="AL96" s="251"/>
      <c r="AM96" s="251"/>
      <c r="AN96" s="251"/>
      <c r="AO96" s="251"/>
      <c r="AP96" s="251"/>
      <c r="AQ96" s="251"/>
      <c r="AR96" s="251"/>
      <c r="AS96" s="251"/>
      <c r="AT96" s="251"/>
      <c r="AU96" s="251"/>
    </row>
    <row r="97" spans="1:69" ht="18.75" customHeight="1">
      <c r="B97" s="251"/>
      <c r="C97" s="251" t="s">
        <v>143</v>
      </c>
      <c r="D97" s="251"/>
      <c r="E97" s="251"/>
      <c r="F97" s="251"/>
      <c r="G97" s="251"/>
      <c r="H97" s="251"/>
      <c r="I97" s="251"/>
      <c r="J97" s="61" t="s">
        <v>144</v>
      </c>
      <c r="K97" s="251"/>
      <c r="L97" s="251"/>
      <c r="M97" s="251"/>
      <c r="N97" s="251"/>
      <c r="O97" s="251"/>
      <c r="P97" s="251"/>
      <c r="Q97" s="387">
        <f>Calcu!G54</f>
        <v>0</v>
      </c>
      <c r="R97" s="387"/>
      <c r="S97" s="387"/>
      <c r="T97" s="475" t="s">
        <v>120</v>
      </c>
      <c r="U97" s="475"/>
      <c r="V97" s="251"/>
      <c r="W97" s="251"/>
      <c r="X97" s="251"/>
      <c r="Y97" s="251"/>
      <c r="Z97" s="251"/>
      <c r="AA97" s="251"/>
      <c r="AB97" s="251"/>
      <c r="AC97" s="251"/>
      <c r="AD97" s="251"/>
      <c r="AE97" s="251"/>
      <c r="AF97" s="251"/>
      <c r="AG97" s="251"/>
      <c r="AH97" s="251"/>
      <c r="AI97" s="251"/>
      <c r="AJ97" s="251"/>
      <c r="AK97" s="251"/>
      <c r="AL97" s="251"/>
      <c r="AM97" s="251"/>
      <c r="AN97" s="251"/>
      <c r="AO97" s="251"/>
      <c r="AP97" s="251"/>
      <c r="AQ97" s="251"/>
      <c r="AR97" s="251"/>
      <c r="AS97" s="251"/>
      <c r="AT97" s="251"/>
      <c r="AU97" s="251"/>
    </row>
    <row r="98" spans="1:69" ht="18.75" customHeight="1">
      <c r="B98" s="251"/>
      <c r="C98" s="251"/>
      <c r="D98" s="251"/>
      <c r="E98" s="251"/>
      <c r="F98" s="251"/>
      <c r="G98" s="251"/>
      <c r="H98" s="251"/>
      <c r="I98" s="251"/>
      <c r="J98" s="476" t="s">
        <v>451</v>
      </c>
      <c r="K98" s="476"/>
      <c r="L98" s="476"/>
      <c r="M98" s="421" t="s">
        <v>146</v>
      </c>
      <c r="N98" s="423" t="s">
        <v>145</v>
      </c>
      <c r="O98" s="423"/>
      <c r="P98" s="421" t="s">
        <v>452</v>
      </c>
      <c r="Q98" s="477">
        <f>Q97</f>
        <v>0</v>
      </c>
      <c r="R98" s="477"/>
      <c r="S98" s="477"/>
      <c r="T98" s="478" t="str">
        <f>T97</f>
        <v>μm</v>
      </c>
      <c r="U98" s="478"/>
      <c r="V98" s="421" t="s">
        <v>146</v>
      </c>
      <c r="W98" s="386">
        <f>Q98/SQRT(5)</f>
        <v>0</v>
      </c>
      <c r="X98" s="386"/>
      <c r="Y98" s="386"/>
      <c r="Z98" s="402" t="str">
        <f>T97</f>
        <v>μm</v>
      </c>
      <c r="AA98" s="402"/>
      <c r="AB98" s="242"/>
      <c r="AC98" s="242"/>
      <c r="AD98" s="242"/>
      <c r="AE98" s="251"/>
      <c r="AF98" s="251"/>
      <c r="AG98" s="251"/>
      <c r="AH98" s="251"/>
      <c r="AI98" s="251"/>
      <c r="AJ98" s="251"/>
      <c r="AK98" s="251"/>
      <c r="AL98" s="251"/>
      <c r="AM98" s="251"/>
      <c r="AN98" s="251"/>
      <c r="AO98" s="251"/>
      <c r="AP98" s="251"/>
      <c r="AQ98" s="251"/>
      <c r="AR98" s="251"/>
      <c r="AS98" s="251"/>
      <c r="AT98" s="251"/>
      <c r="AU98" s="251"/>
      <c r="AV98" s="251"/>
    </row>
    <row r="99" spans="1:69" ht="18.75" customHeight="1">
      <c r="B99" s="251"/>
      <c r="C99" s="251"/>
      <c r="D99" s="251"/>
      <c r="E99" s="251"/>
      <c r="F99" s="251"/>
      <c r="G99" s="251"/>
      <c r="H99" s="251"/>
      <c r="I99" s="251"/>
      <c r="J99" s="476"/>
      <c r="K99" s="476"/>
      <c r="L99" s="476"/>
      <c r="M99" s="421"/>
      <c r="N99" s="479"/>
      <c r="O99" s="479"/>
      <c r="P99" s="421"/>
      <c r="Q99" s="427"/>
      <c r="R99" s="427"/>
      <c r="S99" s="427"/>
      <c r="T99" s="427"/>
      <c r="U99" s="427"/>
      <c r="V99" s="421"/>
      <c r="W99" s="386"/>
      <c r="X99" s="386"/>
      <c r="Y99" s="386"/>
      <c r="Z99" s="402"/>
      <c r="AA99" s="402"/>
      <c r="AB99" s="242"/>
      <c r="AC99" s="242"/>
      <c r="AD99" s="242"/>
      <c r="AE99" s="251"/>
      <c r="AF99" s="251"/>
      <c r="AG99" s="251"/>
      <c r="AH99" s="251"/>
      <c r="AI99" s="251"/>
      <c r="AJ99" s="251"/>
      <c r="AK99" s="251"/>
      <c r="AL99" s="251"/>
      <c r="AM99" s="251"/>
      <c r="AN99" s="251"/>
      <c r="AO99" s="251"/>
      <c r="AP99" s="251"/>
      <c r="AQ99" s="251"/>
      <c r="AR99" s="251"/>
      <c r="AS99" s="251"/>
      <c r="AT99" s="251"/>
      <c r="AU99" s="251"/>
      <c r="AV99" s="251"/>
    </row>
    <row r="100" spans="1:69" ht="18.75" customHeight="1">
      <c r="B100" s="251"/>
      <c r="C100" s="251"/>
      <c r="D100" s="251"/>
      <c r="E100" s="163" t="s">
        <v>179</v>
      </c>
      <c r="F100" s="251"/>
      <c r="G100" s="251"/>
      <c r="H100" s="251"/>
      <c r="I100" s="250"/>
      <c r="J100" s="250"/>
      <c r="K100" s="250"/>
      <c r="L100" s="250"/>
      <c r="M100" s="248"/>
      <c r="N100" s="248"/>
      <c r="O100" s="248"/>
      <c r="P100" s="239"/>
      <c r="Q100" s="239"/>
      <c r="R100" s="239"/>
      <c r="S100" s="239"/>
      <c r="T100" s="239"/>
      <c r="U100" s="248"/>
      <c r="V100" s="240"/>
      <c r="W100" s="240"/>
      <c r="X100" s="240"/>
      <c r="Y100" s="242"/>
      <c r="Z100" s="242"/>
      <c r="AA100" s="242"/>
      <c r="AB100" s="242"/>
      <c r="AC100" s="242"/>
      <c r="AD100" s="251"/>
      <c r="AE100" s="251"/>
      <c r="AF100" s="251"/>
      <c r="AG100" s="251"/>
      <c r="AH100" s="251"/>
      <c r="AI100" s="251"/>
      <c r="AJ100" s="251"/>
      <c r="AK100" s="251"/>
      <c r="AL100" s="251"/>
      <c r="AM100" s="251"/>
      <c r="AN100" s="251"/>
      <c r="AO100" s="251"/>
      <c r="AP100" s="251"/>
      <c r="AQ100" s="251"/>
      <c r="AR100" s="251"/>
      <c r="AS100" s="251"/>
      <c r="AT100" s="251"/>
      <c r="AU100" s="251"/>
    </row>
    <row r="101" spans="1:69" ht="18.75" customHeight="1">
      <c r="B101" s="251"/>
      <c r="C101" s="251"/>
      <c r="D101" s="251"/>
      <c r="E101" s="163"/>
      <c r="F101" s="251"/>
      <c r="G101" s="251"/>
      <c r="H101" s="251"/>
      <c r="I101" s="251"/>
      <c r="J101" s="476" t="s">
        <v>202</v>
      </c>
      <c r="K101" s="476"/>
      <c r="L101" s="476"/>
      <c r="M101" s="421" t="s">
        <v>453</v>
      </c>
      <c r="N101" s="423" t="s">
        <v>454</v>
      </c>
      <c r="O101" s="423"/>
      <c r="P101" s="421" t="s">
        <v>453</v>
      </c>
      <c r="Q101" s="477">
        <f>Calcu!G56</f>
        <v>0</v>
      </c>
      <c r="R101" s="477"/>
      <c r="S101" s="477"/>
      <c r="T101" s="478" t="str">
        <f>T97</f>
        <v>μm</v>
      </c>
      <c r="U101" s="478"/>
      <c r="V101" s="421" t="s">
        <v>453</v>
      </c>
      <c r="W101" s="386">
        <f>Q101/(2*SQRT(3))</f>
        <v>0</v>
      </c>
      <c r="X101" s="386"/>
      <c r="Y101" s="386"/>
      <c r="Z101" s="402" t="str">
        <f>T97</f>
        <v>μm</v>
      </c>
      <c r="AA101" s="402"/>
      <c r="AB101" s="242"/>
      <c r="AC101" s="242"/>
      <c r="AD101" s="242"/>
      <c r="AE101" s="251"/>
      <c r="AF101" s="251"/>
      <c r="AG101" s="251"/>
      <c r="AH101" s="251"/>
      <c r="AI101" s="251"/>
      <c r="AJ101" s="251"/>
      <c r="AK101" s="251"/>
      <c r="AL101" s="251"/>
      <c r="AM101" s="251"/>
      <c r="AN101" s="251"/>
      <c r="AO101" s="251"/>
      <c r="AP101" s="251"/>
      <c r="AQ101" s="251"/>
      <c r="AR101" s="251"/>
      <c r="AS101" s="251"/>
      <c r="AT101" s="251"/>
      <c r="AU101" s="251"/>
      <c r="AV101" s="251"/>
    </row>
    <row r="102" spans="1:69" ht="18.75" customHeight="1">
      <c r="B102" s="251"/>
      <c r="C102" s="251"/>
      <c r="D102" s="251"/>
      <c r="E102" s="163"/>
      <c r="F102" s="251"/>
      <c r="G102" s="251"/>
      <c r="H102" s="251"/>
      <c r="I102" s="251"/>
      <c r="J102" s="476"/>
      <c r="K102" s="476"/>
      <c r="L102" s="476"/>
      <c r="M102" s="421"/>
      <c r="N102" s="479"/>
      <c r="O102" s="479"/>
      <c r="P102" s="421"/>
      <c r="Q102" s="427"/>
      <c r="R102" s="427"/>
      <c r="S102" s="427"/>
      <c r="T102" s="427"/>
      <c r="U102" s="427"/>
      <c r="V102" s="421"/>
      <c r="W102" s="386"/>
      <c r="X102" s="386"/>
      <c r="Y102" s="386"/>
      <c r="Z102" s="402"/>
      <c r="AA102" s="402"/>
      <c r="AB102" s="242"/>
      <c r="AC102" s="242"/>
      <c r="AD102" s="242"/>
      <c r="AE102" s="251"/>
      <c r="AF102" s="251"/>
      <c r="AG102" s="251"/>
      <c r="AH102" s="251"/>
      <c r="AI102" s="251"/>
      <c r="AJ102" s="251"/>
      <c r="AK102" s="251"/>
      <c r="AL102" s="251"/>
      <c r="AM102" s="251"/>
      <c r="AN102" s="251"/>
      <c r="AO102" s="251"/>
      <c r="AP102" s="251"/>
      <c r="AQ102" s="251"/>
      <c r="AR102" s="251"/>
      <c r="AS102" s="251"/>
      <c r="AT102" s="251"/>
      <c r="AU102" s="251"/>
      <c r="AV102" s="251"/>
    </row>
    <row r="103" spans="1:69" ht="18.75" customHeight="1">
      <c r="B103" s="251"/>
      <c r="C103" s="251" t="s">
        <v>183</v>
      </c>
      <c r="D103" s="251"/>
      <c r="E103" s="251"/>
      <c r="F103" s="251"/>
      <c r="G103" s="251"/>
      <c r="H103" s="251"/>
      <c r="I103" s="388" t="str">
        <f>V78</f>
        <v>t</v>
      </c>
      <c r="J103" s="388"/>
      <c r="K103" s="388"/>
      <c r="L103" s="388"/>
      <c r="M103" s="388"/>
      <c r="N103" s="388"/>
      <c r="O103" s="388"/>
      <c r="P103" s="388"/>
      <c r="Q103" s="251"/>
      <c r="R103" s="251"/>
      <c r="S103" s="251"/>
      <c r="T103" s="251"/>
      <c r="U103" s="251"/>
      <c r="V103" s="251"/>
      <c r="W103" s="251"/>
      <c r="X103" s="251"/>
      <c r="Y103" s="251"/>
      <c r="Z103" s="251"/>
      <c r="AA103" s="251"/>
      <c r="AB103" s="251"/>
      <c r="AC103" s="251"/>
      <c r="AD103" s="251"/>
      <c r="AE103" s="251"/>
      <c r="AF103" s="251"/>
      <c r="AG103" s="251"/>
      <c r="AH103" s="251"/>
      <c r="AI103" s="251"/>
      <c r="AJ103" s="251"/>
      <c r="AK103" s="251"/>
      <c r="AL103" s="251"/>
      <c r="AM103" s="251"/>
      <c r="AN103" s="251"/>
      <c r="AO103" s="251"/>
      <c r="AP103" s="251"/>
      <c r="AQ103" s="251"/>
      <c r="AR103" s="251"/>
      <c r="AS103" s="251"/>
      <c r="AT103" s="251"/>
      <c r="AU103" s="251"/>
    </row>
    <row r="104" spans="1:69" ht="18.75" customHeight="1">
      <c r="B104" s="251"/>
      <c r="C104" s="396" t="s">
        <v>147</v>
      </c>
      <c r="D104" s="396"/>
      <c r="E104" s="396"/>
      <c r="F104" s="396"/>
      <c r="G104" s="396"/>
      <c r="H104" s="396"/>
      <c r="I104" s="244"/>
      <c r="J104" s="244"/>
      <c r="K104" s="251"/>
      <c r="L104" s="251"/>
      <c r="N104" s="388">
        <f>AA78</f>
        <v>1</v>
      </c>
      <c r="O104" s="388"/>
      <c r="R104" s="251"/>
      <c r="S104" s="251"/>
      <c r="T104" s="251"/>
      <c r="U104" s="251"/>
      <c r="V104" s="251"/>
      <c r="W104" s="251"/>
      <c r="X104" s="251"/>
      <c r="Y104" s="251"/>
      <c r="Z104" s="251"/>
      <c r="AA104" s="251"/>
      <c r="AB104" s="251"/>
      <c r="AC104" s="251"/>
      <c r="AD104" s="251"/>
      <c r="AE104" s="251"/>
      <c r="AF104" s="251"/>
      <c r="AG104" s="251"/>
      <c r="AH104" s="251"/>
      <c r="AI104" s="251"/>
      <c r="AJ104" s="251"/>
      <c r="AK104" s="251"/>
      <c r="AL104" s="251"/>
      <c r="AM104" s="251"/>
      <c r="AN104" s="251"/>
      <c r="AO104" s="251"/>
      <c r="AP104" s="251"/>
      <c r="AQ104" s="251"/>
      <c r="AR104" s="251"/>
      <c r="AS104" s="251"/>
      <c r="AT104" s="251"/>
      <c r="AU104" s="251"/>
    </row>
    <row r="105" spans="1:69" ht="18.75" customHeight="1">
      <c r="B105" s="251"/>
      <c r="C105" s="396"/>
      <c r="D105" s="396"/>
      <c r="E105" s="396"/>
      <c r="F105" s="396"/>
      <c r="G105" s="396"/>
      <c r="H105" s="396"/>
      <c r="I105" s="241"/>
      <c r="J105" s="241"/>
      <c r="K105" s="251"/>
      <c r="L105" s="251"/>
      <c r="N105" s="388"/>
      <c r="O105" s="388"/>
      <c r="R105" s="251"/>
      <c r="S105" s="251"/>
      <c r="T105" s="251"/>
      <c r="U105" s="251"/>
      <c r="V105" s="251"/>
      <c r="W105" s="251"/>
      <c r="X105" s="251"/>
      <c r="Y105" s="251"/>
      <c r="Z105" s="251"/>
      <c r="AA105" s="251"/>
      <c r="AB105" s="251"/>
      <c r="AC105" s="251"/>
      <c r="AD105" s="251"/>
      <c r="AE105" s="251"/>
      <c r="AF105" s="251"/>
      <c r="AG105" s="251"/>
      <c r="AH105" s="251"/>
      <c r="AI105" s="251"/>
      <c r="AJ105" s="251"/>
      <c r="AK105" s="251"/>
      <c r="AL105" s="251"/>
      <c r="AM105" s="251"/>
      <c r="AN105" s="251"/>
      <c r="AO105" s="251"/>
      <c r="AP105" s="251"/>
      <c r="AQ105" s="251"/>
      <c r="AR105" s="251"/>
      <c r="AS105" s="251"/>
      <c r="AT105" s="251"/>
      <c r="AU105" s="251"/>
    </row>
    <row r="106" spans="1:69" ht="18.75" customHeight="1">
      <c r="B106" s="251"/>
      <c r="C106" s="251" t="s">
        <v>83</v>
      </c>
      <c r="D106" s="251"/>
      <c r="E106" s="251"/>
      <c r="F106" s="251"/>
      <c r="G106" s="251"/>
      <c r="H106" s="251"/>
      <c r="I106" s="251"/>
      <c r="J106" s="251"/>
      <c r="K106" s="252" t="s">
        <v>84</v>
      </c>
      <c r="L106" s="401">
        <f>N104</f>
        <v>1</v>
      </c>
      <c r="M106" s="401"/>
      <c r="N106" s="239" t="s">
        <v>455</v>
      </c>
      <c r="O106" s="386">
        <f>O78</f>
        <v>0</v>
      </c>
      <c r="P106" s="386"/>
      <c r="Q106" s="386"/>
      <c r="R106" s="402" t="str">
        <f>S78</f>
        <v>mm</v>
      </c>
      <c r="S106" s="387"/>
      <c r="T106" s="252" t="s">
        <v>84</v>
      </c>
      <c r="U106" s="73" t="s">
        <v>452</v>
      </c>
      <c r="V106" s="386">
        <f>O106</f>
        <v>0</v>
      </c>
      <c r="W106" s="386"/>
      <c r="X106" s="386"/>
      <c r="Y106" s="402" t="str">
        <f>R106</f>
        <v>mm</v>
      </c>
      <c r="Z106" s="387"/>
      <c r="AA106" s="238"/>
      <c r="AB106" s="251"/>
      <c r="AC106" s="251"/>
      <c r="AD106" s="251"/>
      <c r="AE106" s="251"/>
      <c r="AF106" s="251"/>
      <c r="AP106" s="251"/>
      <c r="AQ106" s="251"/>
      <c r="AR106" s="251"/>
      <c r="AS106" s="251"/>
      <c r="AT106" s="251"/>
      <c r="AU106" s="251"/>
      <c r="AV106" s="251"/>
    </row>
    <row r="107" spans="1:69" ht="18.75" customHeight="1">
      <c r="B107" s="251"/>
      <c r="C107" s="251" t="s">
        <v>86</v>
      </c>
      <c r="D107" s="251"/>
      <c r="E107" s="251"/>
      <c r="F107" s="251"/>
      <c r="G107" s="251"/>
      <c r="H107" s="251"/>
      <c r="I107" s="109" t="s">
        <v>191</v>
      </c>
      <c r="J107" s="109"/>
      <c r="K107" s="109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251"/>
      <c r="AB107" s="251"/>
      <c r="AC107" s="251"/>
      <c r="AD107" s="251"/>
      <c r="AE107" s="251"/>
      <c r="AF107" s="251"/>
    </row>
    <row r="108" spans="1:69" ht="18.75" customHeight="1">
      <c r="B108" s="251"/>
      <c r="C108" s="251"/>
      <c r="D108" s="251"/>
      <c r="E108" s="251"/>
      <c r="F108" s="251"/>
      <c r="G108" s="251"/>
      <c r="H108" s="251"/>
      <c r="I108" s="109"/>
      <c r="J108" s="99"/>
      <c r="K108" s="109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251"/>
      <c r="AB108" s="251"/>
      <c r="AC108" s="251"/>
      <c r="AD108" s="251"/>
      <c r="AE108" s="251"/>
      <c r="AF108" s="251"/>
    </row>
    <row r="109" spans="1:69" ht="18.75" customHeight="1">
      <c r="A109" s="251"/>
      <c r="B109" s="60" t="str">
        <f>"2. "&amp;$T$5&amp;"의 표준불확도,"</f>
        <v>2. 줄자교정장치의 표준불확도,</v>
      </c>
      <c r="C109" s="251"/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O109" s="186" t="s">
        <v>456</v>
      </c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  <c r="AA109" s="251"/>
      <c r="AB109" s="251"/>
      <c r="AC109" s="251"/>
      <c r="AD109" s="251"/>
      <c r="AE109" s="251"/>
      <c r="AF109" s="251"/>
      <c r="AG109" s="251"/>
      <c r="AH109" s="251"/>
      <c r="AI109" s="251"/>
      <c r="AJ109" s="251"/>
      <c r="AK109" s="251"/>
      <c r="AL109" s="251"/>
      <c r="AM109" s="251"/>
      <c r="AN109" s="251"/>
      <c r="AO109" s="251"/>
      <c r="AP109" s="251"/>
      <c r="AQ109" s="251"/>
      <c r="AR109" s="251"/>
      <c r="AS109" s="251"/>
      <c r="AT109" s="251"/>
    </row>
    <row r="110" spans="1:69" ht="18.75" customHeight="1">
      <c r="A110" s="251"/>
      <c r="B110" s="60"/>
      <c r="C110" s="251" t="str">
        <f>"※ 교정성적서에 주어진 "&amp;$T$5&amp;"의 측정불확도를 포함인자로 나누어 구한다."</f>
        <v>※ 교정성적서에 주어진 줄자교정장치의 측정불확도를 포함인자로 나누어 구한다.</v>
      </c>
      <c r="D110" s="251"/>
      <c r="E110" s="251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  <c r="AA110" s="251"/>
      <c r="AB110" s="251"/>
      <c r="AC110" s="251"/>
      <c r="AD110" s="251"/>
      <c r="AE110" s="251"/>
      <c r="AF110" s="251"/>
      <c r="AG110" s="251"/>
      <c r="AH110" s="251"/>
      <c r="AI110" s="251"/>
      <c r="AJ110" s="251"/>
      <c r="AK110" s="251"/>
      <c r="AL110" s="251"/>
      <c r="AM110" s="251"/>
      <c r="AN110" s="251"/>
      <c r="AO110" s="251"/>
      <c r="AP110" s="251"/>
      <c r="AQ110" s="251"/>
      <c r="AR110" s="251"/>
      <c r="AS110" s="251"/>
      <c r="AT110" s="251"/>
    </row>
    <row r="111" spans="1:69" ht="18.75" customHeight="1">
      <c r="A111" s="251"/>
      <c r="B111" s="251"/>
      <c r="C111" s="251" t="s">
        <v>148</v>
      </c>
      <c r="D111" s="251"/>
      <c r="E111" s="251"/>
      <c r="F111" s="251"/>
      <c r="G111" s="251"/>
      <c r="H111" s="251"/>
      <c r="I111" s="387" t="e">
        <f ca="1">H79</f>
        <v>#N/A</v>
      </c>
      <c r="J111" s="387"/>
      <c r="K111" s="387"/>
      <c r="L111" s="387"/>
      <c r="M111" s="387"/>
      <c r="N111" s="387" t="str">
        <f>M79</f>
        <v>mm</v>
      </c>
      <c r="O111" s="387"/>
      <c r="P111" s="238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  <c r="AA111" s="251"/>
      <c r="AB111" s="251"/>
      <c r="AC111" s="251"/>
      <c r="AD111" s="251"/>
      <c r="AE111" s="251"/>
      <c r="AF111" s="251"/>
      <c r="AG111" s="251"/>
      <c r="AH111" s="251"/>
      <c r="AI111" s="251"/>
      <c r="AJ111" s="251"/>
      <c r="AK111" s="251"/>
      <c r="AL111" s="251"/>
      <c r="AM111" s="251"/>
      <c r="AN111" s="251"/>
      <c r="AO111" s="251"/>
      <c r="AP111" s="251"/>
      <c r="AQ111" s="251"/>
      <c r="AR111" s="251"/>
      <c r="AS111" s="251"/>
      <c r="AT111" s="251"/>
    </row>
    <row r="112" spans="1:69" s="140" customFormat="1" ht="18.75" customHeight="1">
      <c r="A112" s="239"/>
      <c r="B112" s="244"/>
      <c r="C112" s="244" t="s">
        <v>457</v>
      </c>
      <c r="D112" s="244"/>
      <c r="E112" s="244"/>
      <c r="F112" s="244"/>
      <c r="G112" s="244"/>
      <c r="H112" s="244"/>
      <c r="I112" s="244"/>
      <c r="J112" s="58" t="s">
        <v>458</v>
      </c>
      <c r="AJ112" s="244"/>
      <c r="AM112" s="239"/>
      <c r="AN112" s="480" t="e">
        <f ca="1">Calcu!G55</f>
        <v>#N/A</v>
      </c>
      <c r="AO112" s="480"/>
      <c r="AP112" s="480"/>
      <c r="AQ112" s="262"/>
      <c r="AR112" s="480" t="e">
        <f ca="1">Calcu!H55</f>
        <v>#N/A</v>
      </c>
      <c r="AS112" s="480"/>
      <c r="AT112" s="480"/>
      <c r="AU112" s="240"/>
      <c r="AV112" s="240"/>
      <c r="AW112" s="263"/>
      <c r="AX112" s="481"/>
      <c r="AY112" s="481"/>
      <c r="AZ112" s="263"/>
      <c r="BA112" s="263"/>
      <c r="BB112" s="263"/>
      <c r="BC112" s="263"/>
      <c r="BD112" s="263"/>
      <c r="BE112" s="263"/>
      <c r="BF112" s="263"/>
      <c r="BG112" s="263"/>
      <c r="BH112" s="263"/>
      <c r="BI112" s="263"/>
      <c r="BJ112" s="263"/>
      <c r="BK112" s="263"/>
      <c r="BL112" s="263"/>
      <c r="BM112" s="263"/>
      <c r="BN112" s="263"/>
      <c r="BO112" s="263"/>
      <c r="BP112" s="58"/>
      <c r="BQ112" s="58"/>
    </row>
    <row r="113" spans="1:69" s="140" customFormat="1" ht="18.75" customHeight="1">
      <c r="A113" s="239"/>
      <c r="B113" s="244"/>
      <c r="C113" s="244"/>
      <c r="D113" s="244"/>
      <c r="E113" s="244"/>
      <c r="F113" s="244"/>
      <c r="G113" s="244"/>
      <c r="H113" s="244"/>
      <c r="I113" s="244"/>
      <c r="K113" s="244" t="s">
        <v>460</v>
      </c>
      <c r="L113" s="244"/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  <c r="X113" s="244"/>
      <c r="Y113" s="244"/>
      <c r="Z113" s="244"/>
      <c r="AA113" s="244"/>
      <c r="AB113" s="239"/>
      <c r="AC113" s="239"/>
      <c r="AD113" s="239"/>
      <c r="AE113" s="239"/>
      <c r="AF113" s="239"/>
      <c r="AG113" s="239"/>
      <c r="AH113" s="239"/>
      <c r="AI113" s="239"/>
      <c r="AJ113" s="239"/>
      <c r="AK113" s="239"/>
      <c r="AL113" s="244"/>
      <c r="AM113" s="239"/>
      <c r="AN113" s="239"/>
      <c r="AO113" s="239"/>
      <c r="AP113" s="244"/>
      <c r="AQ113" s="239"/>
      <c r="AR113" s="239"/>
      <c r="AS113" s="264"/>
      <c r="AT113" s="264"/>
      <c r="AU113" s="264"/>
      <c r="AV113" s="253"/>
      <c r="AW113" s="265"/>
      <c r="AX113" s="265"/>
      <c r="AY113" s="265"/>
      <c r="AZ113" s="265"/>
      <c r="BA113" s="239"/>
      <c r="BB113" s="244"/>
      <c r="BC113" s="244"/>
      <c r="BD113" s="58"/>
      <c r="BE113" s="58"/>
      <c r="BF113" s="58"/>
      <c r="BG113" s="58"/>
      <c r="BH113" s="58"/>
      <c r="BI113" s="58"/>
      <c r="BJ113" s="58"/>
      <c r="BK113" s="263"/>
      <c r="BL113" s="58"/>
      <c r="BM113" s="58"/>
      <c r="BN113" s="58"/>
      <c r="BO113" s="58"/>
      <c r="BP113" s="58"/>
      <c r="BQ113" s="58"/>
    </row>
    <row r="114" spans="1:69" ht="18.75" customHeight="1">
      <c r="A114" s="251"/>
      <c r="B114" s="60"/>
      <c r="K114" s="421" t="s">
        <v>461</v>
      </c>
      <c r="L114" s="421"/>
      <c r="M114" s="421"/>
      <c r="N114" s="421" t="s">
        <v>462</v>
      </c>
      <c r="O114" s="423" t="s">
        <v>463</v>
      </c>
      <c r="P114" s="423"/>
      <c r="Q114" s="421" t="s">
        <v>462</v>
      </c>
      <c r="R114" s="482" t="e">
        <f ca="1">AN112</f>
        <v>#N/A</v>
      </c>
      <c r="S114" s="482"/>
      <c r="T114" s="482"/>
      <c r="U114" s="176"/>
      <c r="V114" s="482" t="e">
        <f ca="1">AR112</f>
        <v>#N/A</v>
      </c>
      <c r="W114" s="482"/>
      <c r="X114" s="482"/>
      <c r="Y114" s="176"/>
      <c r="Z114" s="176"/>
      <c r="AA114" s="176"/>
      <c r="AB114" s="176"/>
      <c r="AC114" s="176"/>
      <c r="AD114" s="394" t="s">
        <v>146</v>
      </c>
      <c r="AE114" s="483" t="e">
        <f ca="1">R114</f>
        <v>#N/A</v>
      </c>
      <c r="AF114" s="483"/>
      <c r="AG114" s="483"/>
      <c r="AH114" s="176"/>
      <c r="AI114" s="484" t="e">
        <f ca="1">V114</f>
        <v>#N/A</v>
      </c>
      <c r="AJ114" s="484"/>
      <c r="AK114" s="484"/>
      <c r="AL114" s="176"/>
      <c r="AM114" s="485">
        <f>Calcu!M3/1000</f>
        <v>0</v>
      </c>
      <c r="AN114" s="485"/>
      <c r="AO114" s="176" t="s">
        <v>464</v>
      </c>
      <c r="AQ114" s="176"/>
      <c r="AR114" s="176"/>
      <c r="AS114" s="251"/>
    </row>
    <row r="115" spans="1:69" ht="18.75" customHeight="1">
      <c r="A115" s="251"/>
      <c r="B115" s="60"/>
      <c r="K115" s="421"/>
      <c r="L115" s="421"/>
      <c r="M115" s="421"/>
      <c r="N115" s="421"/>
      <c r="O115" s="479" t="s">
        <v>465</v>
      </c>
      <c r="P115" s="479"/>
      <c r="Q115" s="421"/>
      <c r="R115" s="427">
        <v>2</v>
      </c>
      <c r="S115" s="427"/>
      <c r="T115" s="427"/>
      <c r="U115" s="427"/>
      <c r="V115" s="427"/>
      <c r="W115" s="427"/>
      <c r="X115" s="427"/>
      <c r="Y115" s="427"/>
      <c r="Z115" s="427"/>
      <c r="AA115" s="427"/>
      <c r="AB115" s="427"/>
      <c r="AC115" s="427"/>
      <c r="AD115" s="394"/>
      <c r="AE115" s="427">
        <v>2</v>
      </c>
      <c r="AF115" s="427"/>
      <c r="AG115" s="427"/>
      <c r="AH115" s="427"/>
      <c r="AI115" s="427"/>
      <c r="AJ115" s="427"/>
      <c r="AK115" s="427"/>
      <c r="AL115" s="427"/>
      <c r="AM115" s="427"/>
      <c r="AN115" s="427"/>
      <c r="AO115" s="427"/>
      <c r="AP115" s="427"/>
      <c r="AQ115" s="427"/>
      <c r="AR115" s="427"/>
      <c r="AS115" s="251"/>
    </row>
    <row r="116" spans="1:69" ht="18.75" customHeight="1">
      <c r="A116" s="251"/>
      <c r="B116" s="60"/>
      <c r="C116" s="175"/>
      <c r="D116" s="251"/>
      <c r="E116" s="251"/>
      <c r="F116" s="251"/>
      <c r="G116" s="251"/>
      <c r="H116" s="251"/>
      <c r="I116" s="251"/>
      <c r="J116" s="251"/>
      <c r="K116" s="250"/>
      <c r="L116" s="250"/>
      <c r="M116" s="250"/>
      <c r="N116" s="248" t="s">
        <v>466</v>
      </c>
      <c r="O116" s="399" t="e">
        <f ca="1">SQRT(SUMSQ(AE114,AI114*AM114))/2</f>
        <v>#N/A</v>
      </c>
      <c r="P116" s="399"/>
      <c r="Q116" s="399"/>
      <c r="R116" s="244" t="s">
        <v>467</v>
      </c>
      <c r="S116" s="239"/>
      <c r="T116" s="248" t="s">
        <v>466</v>
      </c>
      <c r="U116" s="400" t="e">
        <f ca="1">O116/1000</f>
        <v>#N/A</v>
      </c>
      <c r="V116" s="400"/>
      <c r="W116" s="400"/>
      <c r="X116" s="244" t="s">
        <v>468</v>
      </c>
      <c r="Y116" s="239"/>
      <c r="Z116" s="239"/>
      <c r="AA116" s="239"/>
      <c r="AB116" s="239"/>
      <c r="AC116" s="239"/>
      <c r="AD116" s="239"/>
      <c r="AE116" s="239"/>
      <c r="AF116" s="239"/>
      <c r="AG116" s="239"/>
      <c r="AH116" s="239"/>
      <c r="AI116" s="239"/>
      <c r="AJ116" s="239"/>
      <c r="AK116" s="239"/>
      <c r="AL116" s="239"/>
      <c r="AM116" s="239"/>
      <c r="AN116" s="239"/>
      <c r="AO116" s="239"/>
      <c r="AP116" s="239"/>
      <c r="AQ116" s="239"/>
      <c r="AR116" s="239"/>
      <c r="AS116" s="239"/>
      <c r="AT116" s="251"/>
      <c r="AU116" s="251"/>
    </row>
    <row r="117" spans="1:69" ht="18.75" customHeight="1">
      <c r="A117" s="251"/>
      <c r="B117" s="251"/>
      <c r="C117" s="251" t="s">
        <v>469</v>
      </c>
      <c r="D117" s="251"/>
      <c r="E117" s="251"/>
      <c r="F117" s="251"/>
      <c r="G117" s="251"/>
      <c r="H117" s="251"/>
      <c r="I117" s="388" t="str">
        <f>V79</f>
        <v>정규</v>
      </c>
      <c r="J117" s="388"/>
      <c r="K117" s="388"/>
      <c r="L117" s="388"/>
      <c r="M117" s="388"/>
      <c r="N117" s="388"/>
      <c r="O117" s="388"/>
      <c r="P117" s="388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  <c r="AA117" s="251"/>
      <c r="AB117" s="251"/>
      <c r="AC117" s="251"/>
      <c r="AD117" s="251"/>
      <c r="AE117" s="251"/>
      <c r="AF117" s="251"/>
      <c r="AG117" s="251"/>
      <c r="AH117" s="251"/>
      <c r="AI117" s="251"/>
      <c r="AJ117" s="251"/>
      <c r="AK117" s="251"/>
      <c r="AL117" s="251"/>
      <c r="AM117" s="251"/>
      <c r="AN117" s="251"/>
      <c r="AO117" s="251"/>
      <c r="AP117" s="251"/>
      <c r="AQ117" s="251"/>
      <c r="AR117" s="251"/>
      <c r="AS117" s="251"/>
      <c r="AT117" s="251"/>
    </row>
    <row r="118" spans="1:69" ht="18.75" customHeight="1">
      <c r="A118" s="251"/>
      <c r="B118" s="251"/>
      <c r="C118" s="396" t="s">
        <v>470</v>
      </c>
      <c r="D118" s="396"/>
      <c r="E118" s="396"/>
      <c r="F118" s="396"/>
      <c r="G118" s="396"/>
      <c r="H118" s="396"/>
      <c r="I118" s="244"/>
      <c r="J118" s="244"/>
      <c r="K118" s="251"/>
      <c r="L118" s="251"/>
      <c r="N118" s="388">
        <f>AA79</f>
        <v>1</v>
      </c>
      <c r="O118" s="388"/>
      <c r="P118" s="251"/>
      <c r="S118" s="251"/>
      <c r="T118" s="251"/>
      <c r="U118" s="251"/>
      <c r="V118" s="251"/>
      <c r="W118" s="251"/>
      <c r="X118" s="251"/>
      <c r="Y118" s="251"/>
      <c r="Z118" s="251"/>
      <c r="AA118" s="251"/>
      <c r="AB118" s="251"/>
      <c r="AC118" s="251"/>
      <c r="AD118" s="251"/>
      <c r="AE118" s="251"/>
      <c r="AF118" s="251"/>
      <c r="AG118" s="251"/>
      <c r="AH118" s="251"/>
      <c r="AI118" s="251"/>
      <c r="AJ118" s="251"/>
      <c r="AK118" s="251"/>
      <c r="AL118" s="251"/>
      <c r="AM118" s="251"/>
      <c r="AN118" s="251"/>
      <c r="AO118" s="251"/>
      <c r="AP118" s="251"/>
      <c r="AQ118" s="251"/>
      <c r="AR118" s="251"/>
      <c r="AS118" s="251"/>
      <c r="AT118" s="251"/>
    </row>
    <row r="119" spans="1:69" ht="18.75" customHeight="1">
      <c r="A119" s="251"/>
      <c r="B119" s="251"/>
      <c r="C119" s="396"/>
      <c r="D119" s="396"/>
      <c r="E119" s="396"/>
      <c r="F119" s="396"/>
      <c r="G119" s="396"/>
      <c r="H119" s="396"/>
      <c r="I119" s="241"/>
      <c r="J119" s="241"/>
      <c r="K119" s="251"/>
      <c r="L119" s="251"/>
      <c r="N119" s="388"/>
      <c r="O119" s="388"/>
      <c r="P119" s="251"/>
      <c r="S119" s="251"/>
      <c r="T119" s="251"/>
      <c r="U119" s="251"/>
      <c r="V119" s="251"/>
      <c r="W119" s="251"/>
      <c r="X119" s="251"/>
      <c r="Y119" s="251"/>
      <c r="Z119" s="251"/>
      <c r="AA119" s="251"/>
      <c r="AB119" s="251"/>
      <c r="AC119" s="251"/>
      <c r="AD119" s="251"/>
      <c r="AE119" s="251"/>
      <c r="AF119" s="251"/>
      <c r="AG119" s="251"/>
      <c r="AH119" s="251"/>
      <c r="AI119" s="251"/>
      <c r="AJ119" s="251"/>
      <c r="AK119" s="251"/>
      <c r="AL119" s="251"/>
      <c r="AM119" s="251"/>
      <c r="AN119" s="251"/>
      <c r="AO119" s="251"/>
      <c r="AP119" s="251"/>
      <c r="AQ119" s="251"/>
      <c r="AR119" s="251"/>
      <c r="AS119" s="251"/>
      <c r="AT119" s="251"/>
    </row>
    <row r="120" spans="1:69" s="251" customFormat="1" ht="18.75" customHeight="1">
      <c r="C120" s="251" t="s">
        <v>471</v>
      </c>
      <c r="K120" s="252" t="s">
        <v>84</v>
      </c>
      <c r="L120" s="401">
        <f>N118</f>
        <v>1</v>
      </c>
      <c r="M120" s="401"/>
      <c r="N120" s="239" t="s">
        <v>85</v>
      </c>
      <c r="O120" s="398" t="e">
        <f ca="1">U116</f>
        <v>#N/A</v>
      </c>
      <c r="P120" s="398"/>
      <c r="Q120" s="398"/>
      <c r="R120" s="402" t="str">
        <f>X116</f>
        <v>mm</v>
      </c>
      <c r="S120" s="387"/>
      <c r="T120" s="252" t="s">
        <v>84</v>
      </c>
      <c r="U120" s="73" t="s">
        <v>146</v>
      </c>
      <c r="V120" s="398" t="e">
        <f ca="1">O120</f>
        <v>#N/A</v>
      </c>
      <c r="W120" s="398"/>
      <c r="X120" s="398"/>
      <c r="Y120" s="402" t="str">
        <f>R120</f>
        <v>mm</v>
      </c>
      <c r="Z120" s="387"/>
      <c r="AA120" s="238"/>
      <c r="AB120" s="244"/>
      <c r="AC120" s="244"/>
    </row>
    <row r="121" spans="1:69" ht="18.75" customHeight="1">
      <c r="A121" s="251"/>
      <c r="B121" s="251"/>
      <c r="C121" s="244" t="s">
        <v>472</v>
      </c>
      <c r="D121" s="244"/>
      <c r="E121" s="244"/>
      <c r="F121" s="244"/>
      <c r="G121" s="244"/>
      <c r="I121" s="109" t="s">
        <v>473</v>
      </c>
      <c r="J121" s="251"/>
      <c r="K121" s="251"/>
      <c r="L121" s="251"/>
      <c r="M121" s="251"/>
      <c r="N121" s="251"/>
      <c r="O121" s="251"/>
      <c r="P121" s="251"/>
      <c r="Q121" s="251"/>
      <c r="R121" s="251"/>
      <c r="U121" s="177"/>
      <c r="V121" s="177"/>
      <c r="W121" s="251"/>
      <c r="Y121" s="251"/>
      <c r="Z121" s="251"/>
      <c r="AA121" s="251"/>
      <c r="AB121" s="251"/>
      <c r="AC121" s="251"/>
      <c r="AD121" s="251"/>
      <c r="AG121" s="251"/>
      <c r="AH121" s="251"/>
      <c r="AI121" s="251"/>
      <c r="AJ121" s="251"/>
      <c r="AK121" s="251"/>
      <c r="AL121" s="251"/>
      <c r="AM121" s="251"/>
      <c r="AN121" s="251"/>
      <c r="AO121" s="251"/>
      <c r="AP121" s="251"/>
      <c r="AQ121" s="251"/>
      <c r="AR121" s="251"/>
      <c r="AS121" s="251"/>
      <c r="AT121" s="251"/>
    </row>
    <row r="122" spans="1:69" ht="18.75" customHeight="1">
      <c r="A122" s="251"/>
      <c r="B122" s="251"/>
      <c r="C122" s="244"/>
      <c r="D122" s="244"/>
      <c r="E122" s="244"/>
      <c r="F122" s="244"/>
      <c r="G122" s="244"/>
      <c r="H122" s="6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U122" s="177"/>
      <c r="V122" s="177"/>
      <c r="W122" s="251"/>
      <c r="X122" s="251"/>
      <c r="Y122" s="251"/>
      <c r="Z122" s="251"/>
      <c r="AA122" s="251"/>
      <c r="AB122" s="251"/>
      <c r="AC122" s="251"/>
      <c r="AD122" s="251"/>
      <c r="AG122" s="251"/>
      <c r="AH122" s="251"/>
      <c r="AI122" s="251"/>
      <c r="AJ122" s="251"/>
      <c r="AK122" s="251"/>
      <c r="AL122" s="251"/>
      <c r="AM122" s="251"/>
      <c r="AN122" s="251"/>
      <c r="AO122" s="251"/>
      <c r="AP122" s="251"/>
      <c r="AQ122" s="251"/>
      <c r="AR122" s="251"/>
      <c r="AS122" s="251"/>
      <c r="AT122" s="251"/>
    </row>
    <row r="123" spans="1:69" s="140" customFormat="1" ht="18.75" customHeight="1">
      <c r="B123" s="57" t="str">
        <f>"3. "&amp;$N$5&amp;" 지시값의 표준불확도,"</f>
        <v>3. 줄자 지시값의 표준불확도,</v>
      </c>
      <c r="D123" s="244"/>
      <c r="E123" s="244"/>
      <c r="F123" s="244"/>
      <c r="G123" s="239"/>
      <c r="H123" s="244"/>
      <c r="I123" s="244"/>
      <c r="J123" s="244"/>
      <c r="K123" s="244"/>
      <c r="L123" s="244"/>
      <c r="M123" s="244"/>
      <c r="N123" s="188" t="s">
        <v>474</v>
      </c>
      <c r="O123" s="244"/>
      <c r="P123" s="244"/>
      <c r="R123" s="244"/>
      <c r="T123" s="244"/>
      <c r="U123" s="244"/>
      <c r="V123" s="244"/>
      <c r="W123" s="244"/>
      <c r="X123" s="244"/>
      <c r="Y123" s="244"/>
      <c r="Z123" s="244"/>
      <c r="AA123" s="244"/>
      <c r="AB123" s="244"/>
      <c r="AC123" s="244"/>
      <c r="AD123" s="244"/>
      <c r="AE123" s="239"/>
      <c r="AF123" s="244"/>
      <c r="AG123" s="239"/>
      <c r="AH123" s="239"/>
      <c r="AI123" s="239"/>
      <c r="AJ123" s="239"/>
      <c r="AK123" s="239"/>
      <c r="AL123" s="239"/>
      <c r="AM123" s="239"/>
      <c r="AN123" s="239"/>
      <c r="AO123" s="239"/>
      <c r="AP123" s="239"/>
      <c r="AQ123" s="239"/>
      <c r="AR123" s="239"/>
      <c r="AS123" s="239"/>
      <c r="AT123" s="239"/>
      <c r="AU123" s="239"/>
      <c r="AV123" s="239"/>
      <c r="AW123" s="239"/>
      <c r="AX123" s="239"/>
      <c r="AY123" s="239"/>
      <c r="AZ123" s="239"/>
      <c r="BA123" s="239"/>
      <c r="BB123" s="239"/>
      <c r="BC123" s="239"/>
      <c r="BD123" s="239"/>
      <c r="BE123" s="239"/>
      <c r="BF123" s="239"/>
      <c r="BG123" s="239"/>
    </row>
    <row r="124" spans="1:69" s="140" customFormat="1" ht="18.75" customHeight="1">
      <c r="B124" s="57"/>
      <c r="C124" s="244" t="str">
        <f>"※ "&amp;$N$5&amp;"의 눈금을 기준으로 하여 레이저 간섭계의 지시값을 읽는 방법으로 교정하며, "&amp;$N$5&amp;"의 분해능에 의한"</f>
        <v>※ 줄자의 눈금을 기준으로 하여 레이저 간섭계의 지시값을 읽는 방법으로 교정하며, 줄자의 분해능에 의한</v>
      </c>
      <c r="D124" s="244"/>
      <c r="E124" s="244"/>
      <c r="F124" s="244"/>
      <c r="G124" s="239"/>
      <c r="H124" s="244"/>
      <c r="I124" s="244"/>
      <c r="J124" s="244"/>
      <c r="K124" s="244"/>
      <c r="L124" s="244"/>
      <c r="M124" s="244"/>
      <c r="N124" s="244"/>
      <c r="O124" s="244"/>
      <c r="P124" s="244"/>
      <c r="Q124" s="187"/>
      <c r="R124" s="244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  <c r="AD124" s="244"/>
      <c r="AE124" s="239"/>
      <c r="AF124" s="244"/>
      <c r="AG124" s="239"/>
      <c r="AH124" s="239"/>
      <c r="AI124" s="239"/>
      <c r="AJ124" s="239"/>
      <c r="AK124" s="239"/>
      <c r="AL124" s="239"/>
      <c r="AM124" s="239"/>
      <c r="AN124" s="239"/>
      <c r="AO124" s="239"/>
      <c r="AP124" s="239"/>
      <c r="AQ124" s="239"/>
      <c r="AR124" s="239"/>
      <c r="AS124" s="239"/>
      <c r="AT124" s="239"/>
      <c r="AU124" s="239"/>
      <c r="AV124" s="239"/>
      <c r="AW124" s="239"/>
      <c r="AX124" s="239"/>
      <c r="AY124" s="239"/>
      <c r="AZ124" s="239"/>
      <c r="BA124" s="239"/>
      <c r="BB124" s="239"/>
      <c r="BC124" s="239"/>
      <c r="BD124" s="239"/>
      <c r="BE124" s="239"/>
      <c r="BF124" s="239"/>
      <c r="BG124" s="239"/>
    </row>
    <row r="125" spans="1:69" s="140" customFormat="1" ht="18.75" customHeight="1">
      <c r="B125" s="57"/>
      <c r="C125" s="244"/>
      <c r="D125" s="244" t="s">
        <v>475</v>
      </c>
      <c r="E125" s="244"/>
      <c r="F125" s="244"/>
      <c r="G125" s="239"/>
      <c r="H125" s="244"/>
      <c r="I125" s="244"/>
      <c r="J125" s="244"/>
      <c r="K125" s="244"/>
      <c r="L125" s="244"/>
      <c r="M125" s="244"/>
      <c r="N125" s="244"/>
      <c r="O125" s="244"/>
      <c r="P125" s="244"/>
      <c r="Q125" s="187"/>
      <c r="R125" s="244"/>
      <c r="T125" s="244"/>
      <c r="U125" s="244"/>
      <c r="V125" s="244"/>
      <c r="W125" s="244"/>
      <c r="X125" s="244"/>
      <c r="Y125" s="244"/>
      <c r="Z125" s="244"/>
      <c r="AA125" s="244"/>
      <c r="AB125" s="244"/>
      <c r="AC125" s="244"/>
      <c r="AD125" s="244"/>
      <c r="AE125" s="239"/>
      <c r="AF125" s="244"/>
      <c r="AG125" s="239"/>
      <c r="AH125" s="239"/>
      <c r="AI125" s="239"/>
      <c r="AJ125" s="239"/>
      <c r="AK125" s="239"/>
      <c r="AL125" s="239"/>
      <c r="AM125" s="239"/>
      <c r="AN125" s="239"/>
      <c r="AO125" s="239"/>
      <c r="AP125" s="239"/>
      <c r="AQ125" s="239"/>
      <c r="AR125" s="239"/>
      <c r="AS125" s="239"/>
      <c r="AT125" s="239"/>
      <c r="AU125" s="239"/>
      <c r="AV125" s="239"/>
      <c r="AW125" s="239"/>
      <c r="AX125" s="239"/>
      <c r="AY125" s="239"/>
      <c r="AZ125" s="239"/>
      <c r="BA125" s="239"/>
      <c r="BB125" s="239"/>
      <c r="BC125" s="239"/>
      <c r="BD125" s="239"/>
      <c r="BE125" s="239"/>
      <c r="BF125" s="239"/>
      <c r="BG125" s="239"/>
    </row>
    <row r="126" spans="1:69" s="140" customFormat="1" ht="18.75" customHeight="1">
      <c r="B126" s="239"/>
      <c r="C126" s="241" t="s">
        <v>149</v>
      </c>
      <c r="D126" s="239"/>
      <c r="E126" s="239"/>
      <c r="F126" s="239"/>
      <c r="G126" s="239"/>
      <c r="H126" s="251"/>
      <c r="I126" s="387" t="e">
        <f ca="1">H80</f>
        <v>#N/A</v>
      </c>
      <c r="J126" s="387"/>
      <c r="K126" s="387"/>
      <c r="L126" s="387"/>
      <c r="M126" s="387"/>
      <c r="N126" s="387" t="str">
        <f>M80</f>
        <v>mm</v>
      </c>
      <c r="O126" s="387"/>
      <c r="P126" s="238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  <c r="AC126" s="244"/>
      <c r="AD126" s="244"/>
      <c r="AE126" s="244"/>
      <c r="AF126" s="244"/>
      <c r="AG126" s="244"/>
      <c r="AH126" s="244"/>
      <c r="AI126" s="239"/>
      <c r="AJ126" s="239"/>
      <c r="AK126" s="239"/>
      <c r="AL126" s="239"/>
      <c r="AM126" s="239"/>
      <c r="AN126" s="239"/>
      <c r="AO126" s="239"/>
      <c r="AP126" s="239"/>
      <c r="AQ126" s="239"/>
      <c r="AR126" s="239"/>
      <c r="AS126" s="244"/>
      <c r="AT126" s="244"/>
      <c r="AU126" s="244"/>
      <c r="AV126" s="244"/>
      <c r="AW126" s="244"/>
      <c r="AX126" s="244"/>
      <c r="AY126" s="239"/>
      <c r="AZ126" s="239"/>
      <c r="BA126" s="239"/>
      <c r="BB126" s="239"/>
      <c r="BC126" s="239"/>
      <c r="BD126" s="239"/>
      <c r="BE126" s="239"/>
      <c r="BF126" s="239"/>
      <c r="BG126" s="239"/>
    </row>
    <row r="127" spans="1:69" s="140" customFormat="1" ht="18.75" customHeight="1">
      <c r="B127" s="239"/>
      <c r="C127" s="244" t="s">
        <v>150</v>
      </c>
      <c r="D127" s="244"/>
      <c r="E127" s="244"/>
      <c r="F127" s="244"/>
      <c r="G127" s="244"/>
      <c r="H127" s="244"/>
      <c r="I127" s="239"/>
      <c r="J127" s="244" t="s">
        <v>201</v>
      </c>
      <c r="K127" s="244"/>
      <c r="L127" s="244"/>
      <c r="M127" s="244"/>
      <c r="N127" s="244"/>
      <c r="O127" s="244"/>
      <c r="P127" s="387">
        <f>Calcu!G56</f>
        <v>0</v>
      </c>
      <c r="Q127" s="387"/>
      <c r="R127" s="387"/>
      <c r="S127" s="195" t="s">
        <v>129</v>
      </c>
      <c r="T127" s="195"/>
      <c r="AD127" s="244"/>
      <c r="AE127" s="244"/>
      <c r="AF127" s="239"/>
      <c r="AG127" s="239"/>
      <c r="AH127" s="239"/>
      <c r="AI127" s="239"/>
      <c r="AJ127" s="239"/>
      <c r="AK127" s="239"/>
      <c r="AL127" s="239"/>
      <c r="AM127" s="239"/>
      <c r="AN127" s="244"/>
      <c r="AO127" s="244"/>
      <c r="AP127" s="244"/>
      <c r="AQ127" s="244"/>
      <c r="AR127" s="244"/>
      <c r="AS127" s="244"/>
      <c r="AT127" s="244"/>
      <c r="AU127" s="244"/>
      <c r="AV127" s="244"/>
      <c r="AW127" s="244"/>
      <c r="AX127" s="244"/>
      <c r="AY127" s="239"/>
      <c r="AZ127" s="239"/>
      <c r="BA127" s="239"/>
      <c r="BB127" s="239"/>
      <c r="BC127" s="239"/>
      <c r="BD127" s="239"/>
      <c r="BE127" s="239"/>
      <c r="BF127" s="239"/>
      <c r="BG127" s="239"/>
    </row>
    <row r="128" spans="1:69" s="140" customFormat="1" ht="18.75" customHeight="1">
      <c r="B128" s="239"/>
      <c r="C128" s="244"/>
      <c r="D128" s="244"/>
      <c r="E128" s="244"/>
      <c r="F128" s="244"/>
      <c r="G128" s="244"/>
      <c r="H128" s="244"/>
      <c r="I128" s="244"/>
      <c r="K128" s="486" t="s">
        <v>476</v>
      </c>
      <c r="L128" s="486"/>
      <c r="M128" s="486"/>
      <c r="N128" s="394" t="s">
        <v>146</v>
      </c>
      <c r="O128" s="487" t="s">
        <v>180</v>
      </c>
      <c r="P128" s="488"/>
      <c r="Q128" s="488"/>
      <c r="R128" s="488"/>
      <c r="S128" s="394" t="s">
        <v>146</v>
      </c>
      <c r="T128" s="477" t="e">
        <f>Calcu!G62</f>
        <v>#VALUE!</v>
      </c>
      <c r="U128" s="477"/>
      <c r="V128" s="196" t="str">
        <f>S127</f>
        <v>mm</v>
      </c>
      <c r="W128" s="196"/>
      <c r="X128" s="489" t="s">
        <v>146</v>
      </c>
      <c r="Y128" s="386" t="e">
        <f>T128/2/SQRT(3)</f>
        <v>#VALUE!</v>
      </c>
      <c r="Z128" s="386"/>
      <c r="AA128" s="386"/>
      <c r="AB128" s="490" t="str">
        <f>V128</f>
        <v>mm</v>
      </c>
      <c r="AC128" s="490"/>
      <c r="AD128" s="244"/>
      <c r="AE128" s="239"/>
      <c r="AF128" s="239"/>
      <c r="AG128" s="239"/>
      <c r="AH128" s="239"/>
      <c r="AI128" s="239"/>
      <c r="AJ128" s="239"/>
      <c r="AK128" s="239"/>
      <c r="AL128" s="239"/>
      <c r="AM128" s="239"/>
      <c r="AN128" s="239"/>
      <c r="AO128" s="239"/>
      <c r="AP128" s="239"/>
      <c r="AQ128" s="239"/>
      <c r="AR128" s="244"/>
      <c r="AS128" s="244"/>
      <c r="AT128" s="244"/>
      <c r="AU128" s="244"/>
      <c r="AV128" s="244"/>
      <c r="AW128" s="244"/>
      <c r="AX128" s="244"/>
      <c r="AY128" s="244"/>
      <c r="AZ128" s="239"/>
      <c r="BA128" s="239"/>
      <c r="BB128" s="239"/>
      <c r="BC128" s="239"/>
      <c r="BD128" s="239"/>
      <c r="BE128" s="239"/>
      <c r="BF128" s="239"/>
      <c r="BG128" s="239"/>
      <c r="BH128" s="239"/>
    </row>
    <row r="129" spans="1:70" s="140" customFormat="1" ht="18.75" customHeight="1">
      <c r="B129" s="239"/>
      <c r="C129" s="244"/>
      <c r="D129" s="244"/>
      <c r="E129" s="244"/>
      <c r="F129" s="244"/>
      <c r="G129" s="244"/>
      <c r="H129" s="244"/>
      <c r="I129" s="244"/>
      <c r="J129" s="197"/>
      <c r="K129" s="486"/>
      <c r="L129" s="486"/>
      <c r="M129" s="486"/>
      <c r="N129" s="394"/>
      <c r="O129" s="491"/>
      <c r="P129" s="491"/>
      <c r="Q129" s="491"/>
      <c r="R129" s="491"/>
      <c r="S129" s="394"/>
      <c r="T129" s="491"/>
      <c r="U129" s="491"/>
      <c r="V129" s="491"/>
      <c r="W129" s="491"/>
      <c r="X129" s="489"/>
      <c r="Y129" s="386"/>
      <c r="Z129" s="386"/>
      <c r="AA129" s="386"/>
      <c r="AB129" s="490"/>
      <c r="AC129" s="490"/>
      <c r="AD129" s="244"/>
      <c r="AE129" s="239"/>
      <c r="AF129" s="239"/>
      <c r="AG129" s="239"/>
      <c r="AH129" s="239"/>
      <c r="AI129" s="239"/>
      <c r="AJ129" s="239"/>
      <c r="AK129" s="239"/>
      <c r="AL129" s="239"/>
      <c r="AM129" s="239"/>
      <c r="AN129" s="239"/>
      <c r="AO129" s="239"/>
      <c r="AP129" s="239"/>
      <c r="AQ129" s="239"/>
      <c r="AR129" s="244"/>
      <c r="AS129" s="244"/>
      <c r="AT129" s="244"/>
      <c r="AU129" s="244"/>
      <c r="AV129" s="244"/>
      <c r="AW129" s="244"/>
      <c r="AX129" s="244"/>
      <c r="AY129" s="244"/>
      <c r="AZ129" s="239"/>
      <c r="BA129" s="239"/>
      <c r="BB129" s="239"/>
      <c r="BC129" s="239"/>
      <c r="BD129" s="239"/>
      <c r="BE129" s="239"/>
      <c r="BF129" s="239"/>
      <c r="BG129" s="239"/>
      <c r="BH129" s="239"/>
    </row>
    <row r="130" spans="1:70" s="140" customFormat="1" ht="18.75" customHeight="1">
      <c r="B130" s="239"/>
      <c r="C130" s="244" t="s">
        <v>89</v>
      </c>
      <c r="D130" s="244"/>
      <c r="E130" s="244"/>
      <c r="F130" s="244"/>
      <c r="G130" s="244"/>
      <c r="H130" s="244"/>
      <c r="I130" s="388" t="str">
        <f>V80</f>
        <v>직사각형</v>
      </c>
      <c r="J130" s="388"/>
      <c r="K130" s="388"/>
      <c r="L130" s="388"/>
      <c r="M130" s="388"/>
      <c r="N130" s="388"/>
      <c r="O130" s="388"/>
      <c r="P130" s="388"/>
      <c r="Q130" s="244"/>
      <c r="R130" s="244"/>
      <c r="S130" s="244"/>
      <c r="T130" s="244"/>
      <c r="U130" s="244"/>
      <c r="V130" s="244"/>
      <c r="W130" s="244"/>
      <c r="X130" s="244"/>
      <c r="Y130" s="244"/>
      <c r="Z130" s="239"/>
      <c r="AA130" s="239"/>
      <c r="AB130" s="239"/>
      <c r="AC130" s="239"/>
      <c r="AD130" s="239"/>
      <c r="AE130" s="239"/>
      <c r="AF130" s="239"/>
      <c r="AG130" s="239"/>
      <c r="AH130" s="244"/>
      <c r="AI130" s="244"/>
      <c r="AJ130" s="244"/>
      <c r="AK130" s="244"/>
      <c r="AL130" s="244"/>
      <c r="AM130" s="244"/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4"/>
      <c r="AX130" s="244"/>
      <c r="AY130" s="239"/>
      <c r="AZ130" s="239"/>
      <c r="BA130" s="239"/>
      <c r="BB130" s="239"/>
      <c r="BC130" s="239"/>
      <c r="BD130" s="239"/>
      <c r="BE130" s="239"/>
      <c r="BF130" s="239"/>
      <c r="BG130" s="239"/>
    </row>
    <row r="131" spans="1:70" s="140" customFormat="1" ht="18.75" customHeight="1">
      <c r="B131" s="239"/>
      <c r="C131" s="396" t="s">
        <v>90</v>
      </c>
      <c r="D131" s="396"/>
      <c r="E131" s="396"/>
      <c r="F131" s="396"/>
      <c r="G131" s="396"/>
      <c r="H131" s="396"/>
      <c r="I131" s="244"/>
      <c r="J131" s="244"/>
      <c r="K131" s="244"/>
      <c r="L131" s="244"/>
      <c r="M131" s="244"/>
      <c r="N131" s="394">
        <f>AA80</f>
        <v>-1</v>
      </c>
      <c r="O131" s="394"/>
      <c r="P131" s="244"/>
      <c r="Q131" s="148"/>
      <c r="R131" s="148"/>
      <c r="S131" s="244"/>
      <c r="T131" s="244"/>
      <c r="U131" s="244"/>
      <c r="V131" s="244"/>
      <c r="W131" s="244"/>
      <c r="X131" s="244"/>
      <c r="Y131" s="244"/>
      <c r="Z131" s="149"/>
      <c r="AA131" s="149"/>
      <c r="AB131" s="244"/>
      <c r="AC131" s="244"/>
      <c r="AD131" s="244"/>
      <c r="AE131" s="244"/>
      <c r="AF131" s="244"/>
      <c r="AG131" s="244"/>
      <c r="AH131" s="244"/>
      <c r="AI131" s="244"/>
      <c r="AJ131" s="244"/>
      <c r="AK131" s="244"/>
      <c r="AL131" s="239"/>
      <c r="AM131" s="239"/>
      <c r="AN131" s="239"/>
      <c r="AO131" s="244"/>
      <c r="AP131" s="244"/>
      <c r="AQ131" s="244"/>
      <c r="AR131" s="244"/>
      <c r="AS131" s="244"/>
      <c r="AT131" s="244"/>
      <c r="AU131" s="244"/>
      <c r="AV131" s="244"/>
      <c r="AW131" s="244"/>
      <c r="AX131" s="244"/>
      <c r="AY131" s="239"/>
      <c r="AZ131" s="239"/>
      <c r="BA131" s="239"/>
      <c r="BB131" s="239"/>
      <c r="BC131" s="239"/>
      <c r="BD131" s="239"/>
      <c r="BE131" s="239"/>
      <c r="BF131" s="239"/>
      <c r="BG131" s="239"/>
    </row>
    <row r="132" spans="1:70" s="140" customFormat="1" ht="18.75" customHeight="1">
      <c r="B132" s="239"/>
      <c r="C132" s="396"/>
      <c r="D132" s="396"/>
      <c r="E132" s="396"/>
      <c r="F132" s="396"/>
      <c r="G132" s="396"/>
      <c r="H132" s="396"/>
      <c r="I132" s="244"/>
      <c r="J132" s="244"/>
      <c r="K132" s="244"/>
      <c r="L132" s="244"/>
      <c r="M132" s="244"/>
      <c r="N132" s="394"/>
      <c r="O132" s="394"/>
      <c r="P132" s="244"/>
      <c r="Q132" s="148"/>
      <c r="R132" s="148"/>
      <c r="S132" s="244"/>
      <c r="T132" s="244"/>
      <c r="U132" s="244"/>
      <c r="V132" s="244"/>
      <c r="W132" s="244"/>
      <c r="X132" s="244"/>
      <c r="Y132" s="244"/>
      <c r="Z132" s="149"/>
      <c r="AA132" s="149"/>
      <c r="AB132" s="244"/>
      <c r="AC132" s="244"/>
      <c r="AD132" s="244"/>
      <c r="AE132" s="244"/>
      <c r="AF132" s="244"/>
      <c r="AG132" s="244"/>
      <c r="AH132" s="244"/>
      <c r="AI132" s="244"/>
      <c r="AJ132" s="244"/>
      <c r="AK132" s="244"/>
      <c r="AL132" s="239"/>
      <c r="AM132" s="239"/>
      <c r="AN132" s="239"/>
      <c r="AO132" s="244"/>
      <c r="AP132" s="244"/>
      <c r="AQ132" s="244"/>
      <c r="AR132" s="244"/>
      <c r="AS132" s="244"/>
      <c r="AT132" s="244"/>
      <c r="AU132" s="244"/>
      <c r="AV132" s="244"/>
      <c r="AW132" s="244"/>
      <c r="AX132" s="244"/>
      <c r="AY132" s="239"/>
      <c r="AZ132" s="239"/>
      <c r="BA132" s="239"/>
      <c r="BB132" s="239"/>
      <c r="BC132" s="239"/>
      <c r="BD132" s="239"/>
      <c r="BE132" s="239"/>
      <c r="BF132" s="239"/>
      <c r="BG132" s="239"/>
    </row>
    <row r="133" spans="1:70" s="140" customFormat="1" ht="18.75" customHeight="1">
      <c r="B133" s="239"/>
      <c r="C133" s="244" t="s">
        <v>157</v>
      </c>
      <c r="D133" s="244"/>
      <c r="E133" s="244"/>
      <c r="F133" s="244"/>
      <c r="G133" s="244"/>
      <c r="H133" s="244"/>
      <c r="I133" s="244"/>
      <c r="J133" s="239"/>
      <c r="K133" s="239" t="s">
        <v>158</v>
      </c>
      <c r="L133" s="394">
        <f>N131</f>
        <v>-1</v>
      </c>
      <c r="M133" s="394"/>
      <c r="N133" s="239" t="s">
        <v>455</v>
      </c>
      <c r="O133" s="492" t="e">
        <f>Y128</f>
        <v>#VALUE!</v>
      </c>
      <c r="P133" s="492"/>
      <c r="Q133" s="492"/>
      <c r="R133" s="243" t="str">
        <f>AB128</f>
        <v>mm</v>
      </c>
      <c r="S133" s="237"/>
      <c r="T133" s="239" t="s">
        <v>158</v>
      </c>
      <c r="U133" s="239" t="s">
        <v>146</v>
      </c>
      <c r="V133" s="386" t="e">
        <f>ABS(L133*O133)</f>
        <v>#VALUE!</v>
      </c>
      <c r="W133" s="386"/>
      <c r="X133" s="386"/>
      <c r="Y133" s="243" t="str">
        <f>R133</f>
        <v>mm</v>
      </c>
      <c r="Z133" s="238"/>
      <c r="AA133" s="150"/>
      <c r="AB133" s="150"/>
      <c r="AC133" s="243"/>
      <c r="AD133" s="239"/>
      <c r="AE133" s="244"/>
      <c r="AF133" s="239"/>
      <c r="AG133" s="239"/>
      <c r="AH133" s="239"/>
      <c r="AI133" s="239"/>
      <c r="AJ133" s="239"/>
      <c r="AK133" s="244"/>
      <c r="AL133" s="239"/>
      <c r="AM133" s="239"/>
      <c r="AN133" s="239"/>
      <c r="AO133" s="244"/>
      <c r="AP133" s="244"/>
      <c r="AQ133" s="244"/>
      <c r="AR133" s="244"/>
      <c r="AS133" s="244"/>
      <c r="AT133" s="244"/>
      <c r="AU133" s="244"/>
      <c r="AV133" s="244"/>
      <c r="AW133" s="244"/>
      <c r="AX133" s="244"/>
      <c r="AY133" s="239"/>
      <c r="AZ133" s="239"/>
      <c r="BA133" s="239"/>
      <c r="BB133" s="239"/>
      <c r="BC133" s="239"/>
      <c r="BD133" s="239"/>
      <c r="BE133" s="239"/>
      <c r="BF133" s="239"/>
      <c r="BG133" s="239"/>
    </row>
    <row r="134" spans="1:70" s="140" customFormat="1" ht="18.75" customHeight="1">
      <c r="B134" s="239"/>
      <c r="C134" s="396" t="s">
        <v>91</v>
      </c>
      <c r="D134" s="396"/>
      <c r="E134" s="396"/>
      <c r="F134" s="396"/>
      <c r="G134" s="396"/>
      <c r="H134" s="244"/>
      <c r="J134" s="244"/>
      <c r="K134" s="244"/>
      <c r="L134" s="244"/>
      <c r="M134" s="244"/>
      <c r="N134" s="244"/>
      <c r="O134" s="244"/>
      <c r="P134" s="244"/>
      <c r="Q134" s="244"/>
      <c r="R134" s="243"/>
      <c r="S134" s="244"/>
      <c r="T134" s="244"/>
      <c r="U134" s="244"/>
      <c r="W134" s="244"/>
      <c r="X134" s="251" t="s">
        <v>88</v>
      </c>
      <c r="Y134" s="244"/>
      <c r="Z134" s="244"/>
      <c r="AA134" s="244"/>
      <c r="AB134" s="244"/>
      <c r="AC134" s="244"/>
      <c r="AD134" s="244"/>
      <c r="AE134" s="239"/>
      <c r="AF134" s="239"/>
      <c r="AG134" s="239"/>
      <c r="AH134" s="239"/>
      <c r="AI134" s="239"/>
      <c r="AJ134" s="239"/>
      <c r="AK134" s="239"/>
      <c r="AL134" s="239"/>
      <c r="AM134" s="239"/>
      <c r="AN134" s="239"/>
      <c r="AO134" s="239"/>
      <c r="AP134" s="239"/>
      <c r="AQ134" s="239"/>
      <c r="AR134" s="239"/>
      <c r="AS134" s="239"/>
      <c r="AT134" s="239"/>
      <c r="AU134" s="239"/>
      <c r="AV134" s="239"/>
      <c r="AW134" s="239"/>
      <c r="AX134" s="239"/>
      <c r="AY134" s="239"/>
      <c r="AZ134" s="239"/>
      <c r="BA134" s="239"/>
      <c r="BB134" s="239"/>
      <c r="BC134" s="239"/>
      <c r="BD134" s="239"/>
      <c r="BE134" s="239"/>
      <c r="BF134" s="239"/>
      <c r="BG134" s="239"/>
    </row>
    <row r="135" spans="1:70" s="140" customFormat="1" ht="18.75" customHeight="1">
      <c r="B135" s="239"/>
      <c r="C135" s="396"/>
      <c r="D135" s="396"/>
      <c r="E135" s="396"/>
      <c r="F135" s="396"/>
      <c r="G135" s="396"/>
      <c r="H135" s="244"/>
      <c r="I135" s="244"/>
      <c r="J135" s="244"/>
      <c r="K135" s="244"/>
      <c r="L135" s="244"/>
      <c r="M135" s="244"/>
      <c r="N135" s="244"/>
      <c r="O135" s="244"/>
      <c r="P135" s="244"/>
      <c r="Q135" s="244"/>
      <c r="R135" s="243"/>
      <c r="S135" s="244"/>
      <c r="T135" s="244"/>
      <c r="U135" s="244"/>
      <c r="V135" s="244"/>
      <c r="W135" s="244"/>
      <c r="X135" s="244"/>
      <c r="Y135" s="244"/>
      <c r="Z135" s="244"/>
      <c r="AA135" s="244"/>
      <c r="AB135" s="244"/>
      <c r="AC135" s="244"/>
      <c r="AD135" s="244"/>
      <c r="AE135" s="239"/>
      <c r="AF135" s="239"/>
      <c r="AG135" s="239"/>
      <c r="AH135" s="239"/>
      <c r="AI135" s="239"/>
      <c r="AJ135" s="239"/>
      <c r="AK135" s="239"/>
      <c r="AL135" s="239"/>
      <c r="AM135" s="239"/>
      <c r="AN135" s="239"/>
      <c r="AO135" s="239"/>
      <c r="AP135" s="239"/>
      <c r="AQ135" s="239"/>
      <c r="AR135" s="239"/>
      <c r="AS135" s="239"/>
      <c r="AT135" s="239"/>
      <c r="AU135" s="239"/>
      <c r="AV135" s="239"/>
      <c r="AW135" s="239"/>
      <c r="AX135" s="239"/>
      <c r="AY135" s="239"/>
      <c r="AZ135" s="239"/>
      <c r="BA135" s="239"/>
      <c r="BB135" s="239"/>
      <c r="BC135" s="239"/>
      <c r="BD135" s="239"/>
      <c r="BE135" s="239"/>
      <c r="BF135" s="239"/>
      <c r="BG135" s="239"/>
    </row>
    <row r="136" spans="1:70" s="140" customFormat="1" ht="18.75" customHeight="1">
      <c r="B136" s="239"/>
      <c r="C136" s="57"/>
      <c r="D136" s="244"/>
      <c r="E136" s="244"/>
      <c r="F136" s="244"/>
      <c r="G136" s="239"/>
      <c r="H136" s="244"/>
      <c r="I136" s="244"/>
      <c r="J136" s="244"/>
      <c r="K136" s="244"/>
      <c r="L136" s="244"/>
      <c r="M136" s="244"/>
      <c r="N136" s="244"/>
      <c r="O136" s="244"/>
      <c r="P136" s="244"/>
      <c r="Q136" s="244"/>
      <c r="R136" s="244"/>
      <c r="S136" s="244"/>
      <c r="T136" s="244"/>
      <c r="U136" s="244"/>
      <c r="V136" s="244"/>
      <c r="W136" s="244"/>
      <c r="X136" s="244"/>
      <c r="Y136" s="244"/>
      <c r="Z136" s="244"/>
      <c r="AA136" s="244"/>
      <c r="AB136" s="244"/>
      <c r="AC136" s="244"/>
      <c r="AD136" s="244"/>
      <c r="AE136" s="239"/>
      <c r="AF136" s="244"/>
      <c r="AG136" s="239"/>
      <c r="AH136" s="239"/>
      <c r="AI136" s="239"/>
      <c r="AJ136" s="239"/>
      <c r="AK136" s="239"/>
      <c r="AL136" s="239"/>
      <c r="AM136" s="239"/>
      <c r="AN136" s="239"/>
      <c r="AO136" s="239"/>
      <c r="AP136" s="239"/>
      <c r="AQ136" s="239"/>
      <c r="AR136" s="239"/>
      <c r="AS136" s="239"/>
      <c r="AT136" s="239"/>
      <c r="AU136" s="239"/>
      <c r="AV136" s="239"/>
      <c r="AW136" s="239"/>
      <c r="AX136" s="239"/>
      <c r="AY136" s="239"/>
      <c r="AZ136" s="239"/>
      <c r="BA136" s="239"/>
      <c r="BB136" s="239"/>
      <c r="BC136" s="239"/>
      <c r="BD136" s="239"/>
      <c r="BE136" s="239"/>
      <c r="BF136" s="239"/>
      <c r="BG136" s="239"/>
    </row>
    <row r="137" spans="1:70" s="140" customFormat="1" ht="18.75" customHeight="1">
      <c r="A137" s="239"/>
      <c r="B137" s="57" t="s">
        <v>477</v>
      </c>
      <c r="C137" s="244"/>
      <c r="D137" s="244"/>
      <c r="E137" s="244"/>
      <c r="F137" s="244"/>
      <c r="G137" s="244"/>
      <c r="H137" s="244"/>
      <c r="I137" s="244"/>
      <c r="J137" s="244"/>
      <c r="K137" s="244"/>
      <c r="L137" s="244"/>
      <c r="M137" s="244"/>
      <c r="N137" s="244"/>
      <c r="O137" s="244"/>
      <c r="P137" s="244"/>
      <c r="Q137" s="244"/>
      <c r="R137" s="188" t="s">
        <v>478</v>
      </c>
      <c r="S137" s="244"/>
      <c r="T137" s="244"/>
      <c r="U137" s="244"/>
      <c r="V137" s="244"/>
      <c r="W137" s="244"/>
      <c r="X137" s="244"/>
      <c r="Y137" s="244"/>
      <c r="Z137" s="244"/>
      <c r="AA137" s="244"/>
      <c r="AB137" s="244"/>
      <c r="AC137" s="244"/>
      <c r="AD137" s="244"/>
      <c r="AE137" s="244"/>
      <c r="AF137" s="244"/>
      <c r="AG137" s="244"/>
      <c r="AH137" s="244"/>
      <c r="AI137" s="244"/>
      <c r="AJ137" s="244"/>
      <c r="AK137" s="244"/>
      <c r="AL137" s="244"/>
      <c r="AM137" s="244"/>
      <c r="AN137" s="244"/>
      <c r="AO137" s="244"/>
      <c r="AP137" s="244"/>
      <c r="AQ137" s="244"/>
      <c r="AR137" s="244"/>
      <c r="AS137" s="244"/>
      <c r="AT137" s="244"/>
      <c r="AU137" s="244"/>
      <c r="AV137" s="244"/>
      <c r="AW137" s="244"/>
      <c r="AX137" s="244"/>
      <c r="AY137" s="244"/>
      <c r="AZ137" s="244"/>
      <c r="BA137" s="244"/>
      <c r="BB137" s="244"/>
      <c r="BC137" s="244"/>
      <c r="BD137" s="58"/>
      <c r="BE137" s="58"/>
      <c r="BF137" s="58"/>
      <c r="BG137" s="58"/>
      <c r="BH137" s="58"/>
      <c r="BI137" s="58"/>
      <c r="BJ137" s="58"/>
      <c r="BK137" s="58"/>
      <c r="BL137" s="58"/>
      <c r="BM137" s="58"/>
      <c r="BN137" s="58"/>
      <c r="BO137" s="58"/>
      <c r="BP137" s="58"/>
    </row>
    <row r="138" spans="1:70" s="140" customFormat="1" ht="18.75" customHeight="1">
      <c r="B138" s="239"/>
      <c r="C138" s="241" t="s">
        <v>92</v>
      </c>
      <c r="D138" s="239"/>
      <c r="E138" s="239"/>
      <c r="F138" s="239"/>
      <c r="G138" s="239"/>
      <c r="H138" s="251"/>
      <c r="I138" s="387" t="e">
        <f ca="1">H81</f>
        <v>#N/A</v>
      </c>
      <c r="J138" s="387"/>
      <c r="K138" s="387"/>
      <c r="L138" s="387"/>
      <c r="M138" s="387"/>
      <c r="N138" s="387" t="str">
        <f>M81</f>
        <v>mm</v>
      </c>
      <c r="O138" s="387"/>
      <c r="P138" s="238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  <c r="AA138" s="244"/>
      <c r="AB138" s="244"/>
      <c r="AC138" s="244"/>
      <c r="AD138" s="244"/>
      <c r="AE138" s="244"/>
      <c r="AF138" s="244"/>
      <c r="AG138" s="244"/>
      <c r="AH138" s="244"/>
      <c r="AI138" s="244"/>
      <c r="AJ138" s="239"/>
      <c r="AK138" s="239"/>
      <c r="AL138" s="239"/>
      <c r="AM138" s="239"/>
      <c r="AN138" s="244"/>
      <c r="AO138" s="244"/>
      <c r="AP138" s="244"/>
      <c r="AQ138" s="244"/>
      <c r="AR138" s="244"/>
      <c r="AS138" s="244"/>
      <c r="AT138" s="244"/>
      <c r="AU138" s="244"/>
      <c r="AV138" s="244"/>
      <c r="AW138" s="244"/>
      <c r="AX138" s="244"/>
      <c r="AY138" s="244"/>
      <c r="AZ138" s="244"/>
      <c r="BA138" s="244"/>
      <c r="BB138" s="244"/>
      <c r="BC138" s="244"/>
      <c r="BD138" s="244"/>
      <c r="BE138" s="58"/>
      <c r="BF138" s="58"/>
      <c r="BG138" s="58"/>
      <c r="BH138" s="58"/>
      <c r="BI138" s="58"/>
      <c r="BJ138" s="58"/>
      <c r="BK138" s="58"/>
      <c r="BL138" s="58"/>
      <c r="BM138" s="58"/>
      <c r="BN138" s="58"/>
      <c r="BO138" s="58"/>
      <c r="BP138" s="58"/>
      <c r="BQ138" s="58"/>
    </row>
    <row r="139" spans="1:70" s="140" customFormat="1" ht="18.75" customHeight="1">
      <c r="B139" s="239"/>
      <c r="C139" s="244" t="s">
        <v>159</v>
      </c>
      <c r="D139" s="239"/>
      <c r="E139" s="239"/>
      <c r="F139" s="239"/>
      <c r="G139" s="239"/>
      <c r="H139" s="266"/>
      <c r="I139" s="266"/>
      <c r="J139" s="266" t="s">
        <v>479</v>
      </c>
      <c r="K139" s="266"/>
      <c r="L139" s="266"/>
      <c r="M139" s="266"/>
      <c r="N139" s="266"/>
      <c r="O139" s="266"/>
      <c r="P139" s="266"/>
      <c r="Q139" s="266"/>
      <c r="R139" s="267"/>
      <c r="S139" s="267"/>
      <c r="T139" s="267"/>
      <c r="U139" s="267"/>
      <c r="V139" s="267"/>
      <c r="W139" s="267"/>
      <c r="X139" s="267"/>
      <c r="Y139" s="267"/>
      <c r="Z139" s="267"/>
      <c r="AA139" s="244"/>
      <c r="AB139" s="244"/>
      <c r="AC139" s="244"/>
      <c r="AD139" s="244"/>
      <c r="AE139" s="244"/>
      <c r="AF139" s="244"/>
      <c r="AG139" s="244"/>
      <c r="AH139" s="244"/>
      <c r="AI139" s="244"/>
      <c r="AJ139" s="244"/>
      <c r="AK139" s="239"/>
      <c r="AL139" s="239"/>
      <c r="AM139" s="239"/>
      <c r="AN139" s="239"/>
      <c r="AO139" s="244"/>
      <c r="AP139" s="244"/>
      <c r="AQ139" s="244"/>
      <c r="AR139" s="244"/>
      <c r="AS139" s="244"/>
      <c r="AT139" s="244"/>
      <c r="AU139" s="244"/>
      <c r="AV139" s="244"/>
      <c r="AW139" s="244"/>
      <c r="AX139" s="244"/>
      <c r="AY139" s="244"/>
      <c r="AZ139" s="244"/>
      <c r="BA139" s="244"/>
      <c r="BB139" s="244"/>
      <c r="BC139" s="244"/>
      <c r="BD139" s="244"/>
      <c r="BE139" s="244"/>
      <c r="BF139" s="58"/>
      <c r="BG139" s="58"/>
      <c r="BH139" s="58"/>
      <c r="BI139" s="58"/>
      <c r="BJ139" s="58"/>
      <c r="BK139" s="58"/>
      <c r="BL139" s="58"/>
      <c r="BM139" s="58"/>
      <c r="BN139" s="58"/>
      <c r="BO139" s="58"/>
      <c r="BP139" s="58"/>
      <c r="BQ139" s="58"/>
      <c r="BR139" s="58"/>
    </row>
    <row r="140" spans="1:70" s="140" customFormat="1" ht="18.75" customHeight="1">
      <c r="B140" s="239"/>
      <c r="C140" s="244"/>
      <c r="D140" s="239"/>
      <c r="E140" s="239"/>
      <c r="F140" s="239"/>
      <c r="G140" s="239"/>
      <c r="H140" s="266"/>
      <c r="I140" s="266"/>
      <c r="J140" s="266"/>
      <c r="K140" s="266"/>
      <c r="L140" s="266"/>
      <c r="M140" s="266"/>
      <c r="N140" s="266"/>
      <c r="O140" s="266"/>
      <c r="P140" s="266"/>
      <c r="Q140" s="266"/>
      <c r="R140" s="267"/>
      <c r="S140" s="267"/>
      <c r="X140" s="385"/>
      <c r="Y140" s="385"/>
      <c r="Z140" s="385"/>
      <c r="AA140" s="385"/>
      <c r="AC140" s="58"/>
      <c r="AD140" s="385"/>
      <c r="AE140" s="385"/>
      <c r="AF140" s="385"/>
      <c r="AG140" s="385"/>
      <c r="AJ140" s="386">
        <f>SQRT(SUMSQ(X140,AD140))</f>
        <v>0</v>
      </c>
      <c r="AK140" s="386"/>
      <c r="AL140" s="386"/>
      <c r="AM140" s="243" t="s">
        <v>480</v>
      </c>
      <c r="AN140" s="238"/>
      <c r="BB140" s="244"/>
      <c r="BC140" s="244"/>
      <c r="BD140" s="244"/>
      <c r="BE140" s="244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8"/>
      <c r="BQ140" s="58"/>
      <c r="BR140" s="58"/>
    </row>
    <row r="141" spans="1:70" s="140" customFormat="1" ht="18.75" customHeight="1">
      <c r="B141" s="239"/>
      <c r="C141" s="244" t="s">
        <v>481</v>
      </c>
      <c r="D141" s="244"/>
      <c r="E141" s="244"/>
      <c r="F141" s="244"/>
      <c r="G141" s="244"/>
      <c r="H141" s="244"/>
      <c r="I141" s="388" t="str">
        <f>V81</f>
        <v>정규</v>
      </c>
      <c r="J141" s="388"/>
      <c r="K141" s="388"/>
      <c r="L141" s="388"/>
      <c r="M141" s="388"/>
      <c r="N141" s="388"/>
      <c r="O141" s="388"/>
      <c r="P141" s="388"/>
      <c r="Q141" s="239"/>
      <c r="R141" s="239"/>
      <c r="S141" s="239"/>
      <c r="T141" s="244"/>
      <c r="U141" s="244"/>
      <c r="V141" s="244"/>
      <c r="W141" s="244"/>
      <c r="X141" s="244"/>
      <c r="Y141" s="244"/>
      <c r="Z141" s="244"/>
      <c r="AA141" s="244"/>
      <c r="AB141" s="244"/>
      <c r="AC141" s="244"/>
      <c r="AD141" s="244"/>
      <c r="AE141" s="239"/>
      <c r="AF141" s="239"/>
      <c r="AG141" s="239"/>
      <c r="AH141" s="239"/>
      <c r="AI141" s="239"/>
      <c r="AJ141" s="239"/>
      <c r="AK141" s="239"/>
      <c r="AL141" s="239"/>
      <c r="AM141" s="239"/>
      <c r="AN141" s="239"/>
      <c r="AO141" s="239"/>
      <c r="AP141" s="239"/>
      <c r="AQ141" s="239"/>
      <c r="AR141" s="239"/>
      <c r="AS141" s="239"/>
      <c r="AT141" s="239"/>
      <c r="AU141" s="239"/>
      <c r="AV141" s="239"/>
      <c r="AW141" s="239"/>
      <c r="AX141" s="239"/>
      <c r="AY141" s="239"/>
      <c r="AZ141" s="239"/>
      <c r="BA141" s="239"/>
      <c r="BB141" s="239"/>
      <c r="BC141" s="239"/>
      <c r="BD141" s="239"/>
      <c r="BE141" s="239"/>
    </row>
    <row r="142" spans="1:70" s="140" customFormat="1" ht="18.75" customHeight="1">
      <c r="B142" s="239"/>
      <c r="C142" s="396" t="s">
        <v>482</v>
      </c>
      <c r="D142" s="396"/>
      <c r="E142" s="396"/>
      <c r="F142" s="396"/>
      <c r="G142" s="396"/>
      <c r="H142" s="396"/>
      <c r="I142" s="244"/>
      <c r="J142" s="244"/>
      <c r="K142" s="244"/>
      <c r="L142" s="244"/>
      <c r="M142" s="244"/>
      <c r="N142" s="388">
        <f>AA81</f>
        <v>1</v>
      </c>
      <c r="O142" s="388"/>
      <c r="P142" s="244"/>
      <c r="Q142" s="244"/>
      <c r="R142" s="244"/>
      <c r="S142" s="244"/>
      <c r="T142" s="268"/>
      <c r="U142" s="268"/>
      <c r="V142" s="268"/>
      <c r="W142" s="268"/>
      <c r="X142" s="263"/>
      <c r="Y142" s="268"/>
      <c r="Z142" s="268"/>
      <c r="AA142" s="268"/>
      <c r="AB142" s="268"/>
      <c r="AC142" s="263"/>
      <c r="AD142" s="263"/>
      <c r="AE142" s="246"/>
      <c r="AF142" s="246"/>
      <c r="AG142" s="246"/>
      <c r="AH142" s="246"/>
      <c r="AI142" s="139"/>
      <c r="AJ142" s="244"/>
      <c r="AK142" s="239"/>
      <c r="AL142" s="239"/>
      <c r="AM142" s="239"/>
      <c r="AN142" s="268"/>
      <c r="AO142" s="268"/>
      <c r="AP142" s="268"/>
      <c r="AQ142" s="268"/>
      <c r="AR142" s="263"/>
      <c r="AS142" s="268"/>
      <c r="AT142" s="268"/>
      <c r="AU142" s="268"/>
      <c r="AV142" s="268"/>
      <c r="AW142" s="263"/>
      <c r="AX142" s="263"/>
      <c r="AZ142" s="263"/>
      <c r="BA142" s="244"/>
      <c r="BB142" s="239"/>
      <c r="BC142" s="239"/>
      <c r="BD142" s="239"/>
    </row>
    <row r="143" spans="1:70" s="140" customFormat="1" ht="18.75" customHeight="1">
      <c r="B143" s="239"/>
      <c r="C143" s="396"/>
      <c r="D143" s="396"/>
      <c r="E143" s="396"/>
      <c r="F143" s="396"/>
      <c r="G143" s="396"/>
      <c r="H143" s="396"/>
      <c r="I143" s="244"/>
      <c r="J143" s="244"/>
      <c r="K143" s="244"/>
      <c r="L143" s="244"/>
      <c r="M143" s="244"/>
      <c r="N143" s="388"/>
      <c r="O143" s="388"/>
      <c r="P143" s="269"/>
      <c r="Q143" s="269"/>
      <c r="R143" s="269"/>
      <c r="S143" s="270"/>
      <c r="U143" s="269"/>
      <c r="V143" s="269"/>
      <c r="W143" s="269"/>
      <c r="X143" s="271"/>
      <c r="AB143" s="244"/>
      <c r="AC143" s="244"/>
      <c r="AD143" s="244"/>
      <c r="AF143" s="269"/>
      <c r="AG143" s="269"/>
      <c r="AH143" s="269"/>
      <c r="AI143" s="270"/>
      <c r="AK143" s="269"/>
      <c r="AL143" s="269"/>
      <c r="AM143" s="269"/>
      <c r="AN143" s="271"/>
      <c r="AQ143" s="244"/>
      <c r="AR143" s="239"/>
      <c r="AS143" s="239"/>
      <c r="AT143" s="239"/>
      <c r="AU143" s="239"/>
      <c r="AV143" s="239"/>
      <c r="AW143" s="239"/>
      <c r="AX143" s="239"/>
      <c r="AY143" s="239"/>
      <c r="AZ143" s="239"/>
      <c r="BA143" s="239"/>
      <c r="BB143" s="239"/>
      <c r="BC143" s="239"/>
      <c r="BD143" s="239"/>
      <c r="BE143" s="239"/>
      <c r="BF143" s="239"/>
    </row>
    <row r="144" spans="1:70" s="140" customFormat="1" ht="18.75" customHeight="1">
      <c r="B144" s="239"/>
      <c r="C144" s="244" t="s">
        <v>483</v>
      </c>
      <c r="D144" s="244"/>
      <c r="E144" s="244"/>
      <c r="F144" s="244"/>
      <c r="G144" s="244"/>
      <c r="H144" s="244"/>
      <c r="I144" s="244"/>
      <c r="J144" s="239"/>
      <c r="K144" s="239" t="s">
        <v>158</v>
      </c>
      <c r="L144" s="394">
        <f>N142</f>
        <v>1</v>
      </c>
      <c r="M144" s="394"/>
      <c r="N144" s="239" t="s">
        <v>85</v>
      </c>
      <c r="O144" s="492">
        <f>AJ140</f>
        <v>0</v>
      </c>
      <c r="P144" s="492"/>
      <c r="Q144" s="492"/>
      <c r="R144" s="243" t="str">
        <f>AM140</f>
        <v>mm</v>
      </c>
      <c r="S144" s="237"/>
      <c r="T144" s="239" t="s">
        <v>158</v>
      </c>
      <c r="U144" s="239" t="s">
        <v>146</v>
      </c>
      <c r="V144" s="386">
        <f>ABS(L144*O144)</f>
        <v>0</v>
      </c>
      <c r="W144" s="386"/>
      <c r="X144" s="386"/>
      <c r="Y144" s="243" t="str">
        <f>R144</f>
        <v>mm</v>
      </c>
      <c r="Z144" s="238"/>
      <c r="AA144" s="150"/>
      <c r="AB144" s="150"/>
      <c r="AC144" s="243"/>
      <c r="AD144" s="239"/>
      <c r="AE144" s="244"/>
      <c r="AF144" s="239"/>
      <c r="AG144" s="239"/>
      <c r="AH144" s="239"/>
      <c r="AI144" s="239"/>
      <c r="AJ144" s="239"/>
      <c r="AK144" s="244"/>
      <c r="AL144" s="239"/>
      <c r="AM144" s="239"/>
      <c r="AN144" s="239"/>
      <c r="AO144" s="244"/>
      <c r="AQ144" s="244"/>
      <c r="AS144" s="244"/>
      <c r="AT144" s="239"/>
      <c r="AU144" s="239"/>
      <c r="AV144" s="239"/>
      <c r="AW144" s="239"/>
      <c r="AX144" s="239"/>
      <c r="AY144" s="239"/>
      <c r="AZ144" s="239"/>
      <c r="BA144" s="239"/>
      <c r="BB144" s="239"/>
    </row>
    <row r="145" spans="1:71" s="140" customFormat="1" ht="18.75" customHeight="1">
      <c r="B145" s="239"/>
      <c r="C145" s="244" t="s">
        <v>484</v>
      </c>
      <c r="D145" s="244"/>
      <c r="E145" s="244"/>
      <c r="F145" s="244"/>
      <c r="G145" s="244"/>
      <c r="I145" s="109" t="s">
        <v>485</v>
      </c>
      <c r="J145" s="244"/>
      <c r="K145" s="244"/>
      <c r="L145" s="244"/>
      <c r="M145" s="244"/>
      <c r="N145" s="152"/>
      <c r="O145" s="152"/>
      <c r="P145" s="152"/>
      <c r="Q145" s="152"/>
      <c r="R145" s="239"/>
      <c r="S145" s="239"/>
      <c r="T145" s="239"/>
      <c r="U145" s="239"/>
      <c r="V145" s="239"/>
      <c r="W145" s="239"/>
      <c r="X145" s="239"/>
      <c r="Y145" s="239"/>
      <c r="Z145" s="239"/>
      <c r="AA145" s="239"/>
      <c r="AB145" s="244"/>
      <c r="AC145" s="244"/>
      <c r="AD145" s="244"/>
      <c r="AE145" s="244"/>
      <c r="AF145" s="239"/>
      <c r="AG145" s="239"/>
      <c r="AH145" s="239"/>
      <c r="AI145" s="239"/>
      <c r="AJ145" s="239"/>
      <c r="AK145" s="239"/>
      <c r="AL145" s="239"/>
      <c r="AM145" s="239"/>
      <c r="AN145" s="239"/>
      <c r="AO145" s="239"/>
      <c r="AP145" s="239"/>
      <c r="AQ145" s="239"/>
      <c r="AR145" s="239"/>
      <c r="AS145" s="239"/>
      <c r="AT145" s="239"/>
      <c r="AU145" s="239"/>
      <c r="AV145" s="239"/>
      <c r="AW145" s="239"/>
      <c r="AX145" s="239"/>
      <c r="AY145" s="239"/>
      <c r="AZ145" s="239"/>
      <c r="BA145" s="239"/>
      <c r="BB145" s="239"/>
      <c r="BC145" s="239"/>
      <c r="BD145" s="239"/>
      <c r="BE145" s="239"/>
      <c r="BF145" s="239"/>
    </row>
    <row r="146" spans="1:71" s="140" customFormat="1" ht="18.75" customHeight="1">
      <c r="B146" s="239"/>
      <c r="C146" s="244"/>
      <c r="D146" s="244"/>
      <c r="E146" s="244"/>
      <c r="F146" s="239"/>
      <c r="G146" s="239"/>
      <c r="H146" s="239"/>
      <c r="I146" s="239"/>
      <c r="J146" s="239"/>
      <c r="K146" s="239"/>
      <c r="L146" s="239"/>
      <c r="M146" s="239"/>
      <c r="N146" s="239"/>
      <c r="O146" s="239"/>
      <c r="P146" s="239"/>
      <c r="Q146" s="239"/>
      <c r="R146" s="239"/>
      <c r="S146" s="239"/>
      <c r="T146" s="239"/>
      <c r="U146" s="239"/>
      <c r="V146" s="239"/>
      <c r="W146" s="239"/>
      <c r="X146" s="239"/>
      <c r="Y146" s="239"/>
      <c r="Z146" s="239"/>
      <c r="AA146" s="239"/>
      <c r="AB146" s="239"/>
      <c r="AC146" s="239"/>
      <c r="AD146" s="244"/>
      <c r="AE146" s="244"/>
      <c r="AF146" s="244"/>
      <c r="AG146" s="244"/>
      <c r="AH146" s="244"/>
      <c r="AI146" s="244"/>
      <c r="AJ146" s="244"/>
      <c r="AK146" s="244"/>
      <c r="AL146" s="244"/>
      <c r="AM146" s="244"/>
      <c r="AN146" s="244"/>
      <c r="AO146" s="244"/>
      <c r="AP146" s="244"/>
      <c r="AQ146" s="244"/>
      <c r="AR146" s="244"/>
      <c r="AS146" s="244"/>
      <c r="AT146" s="244"/>
      <c r="AU146" s="244"/>
      <c r="AV146" s="244"/>
      <c r="AW146" s="244"/>
      <c r="AX146" s="244"/>
      <c r="AY146" s="244"/>
      <c r="AZ146" s="244"/>
      <c r="BA146" s="244"/>
      <c r="BB146" s="244"/>
      <c r="BC146" s="244"/>
      <c r="BD146" s="244"/>
      <c r="BE146" s="58"/>
      <c r="BF146" s="58"/>
      <c r="BG146" s="58"/>
      <c r="BH146" s="58"/>
      <c r="BI146" s="58"/>
      <c r="BJ146" s="58"/>
      <c r="BK146" s="58"/>
      <c r="BL146" s="58"/>
      <c r="BM146" s="58"/>
      <c r="BN146" s="58"/>
      <c r="BO146" s="58"/>
      <c r="BP146" s="58"/>
      <c r="BQ146" s="58"/>
    </row>
    <row r="147" spans="1:71" s="140" customFormat="1" ht="18.75" customHeight="1">
      <c r="B147" s="239"/>
      <c r="C147" s="57" t="s">
        <v>486</v>
      </c>
      <c r="D147" s="244"/>
      <c r="E147" s="244"/>
      <c r="F147" s="244"/>
      <c r="G147" s="244"/>
      <c r="H147" s="244"/>
      <c r="I147" s="244"/>
      <c r="J147" s="244"/>
      <c r="K147" s="244"/>
      <c r="L147" s="244"/>
      <c r="M147" s="244"/>
      <c r="N147" s="244"/>
      <c r="O147" s="244"/>
      <c r="P147" s="244"/>
      <c r="Q147" s="244"/>
      <c r="R147" s="244"/>
      <c r="S147" s="244"/>
      <c r="T147" s="244"/>
      <c r="U147" s="244"/>
      <c r="V147" s="244"/>
      <c r="W147" s="244"/>
      <c r="X147" s="244"/>
      <c r="Y147" s="244"/>
      <c r="Z147" s="244"/>
      <c r="AA147" s="244"/>
      <c r="AB147" s="244"/>
      <c r="AC147" s="244"/>
      <c r="AD147" s="244"/>
      <c r="AE147" s="244"/>
      <c r="AF147" s="244"/>
      <c r="AG147" s="244"/>
      <c r="AH147" s="244"/>
      <c r="AI147" s="244"/>
      <c r="AJ147" s="244"/>
      <c r="AK147" s="244"/>
      <c r="AL147" s="244"/>
      <c r="AM147" s="244"/>
      <c r="AN147" s="244"/>
      <c r="AO147" s="244"/>
      <c r="AP147" s="244"/>
      <c r="AQ147" s="244"/>
      <c r="AR147" s="244"/>
      <c r="AS147" s="244"/>
      <c r="AT147" s="244"/>
      <c r="AU147" s="244"/>
      <c r="AV147" s="244"/>
      <c r="AW147" s="244"/>
      <c r="AX147" s="244"/>
      <c r="AY147" s="244"/>
      <c r="AZ147" s="244"/>
      <c r="BA147" s="244"/>
      <c r="BB147" s="244"/>
      <c r="BC147" s="244"/>
      <c r="BD147" s="244"/>
      <c r="BE147" s="58"/>
      <c r="BF147" s="58"/>
      <c r="BG147" s="58"/>
      <c r="BH147" s="58"/>
      <c r="BI147" s="58"/>
      <c r="BJ147" s="58"/>
      <c r="BK147" s="58"/>
      <c r="BL147" s="58"/>
      <c r="BM147" s="58"/>
      <c r="BN147" s="58"/>
      <c r="BO147" s="58"/>
      <c r="BP147" s="58"/>
      <c r="BQ147" s="58"/>
    </row>
    <row r="148" spans="1:71" s="140" customFormat="1" ht="18.75" customHeight="1">
      <c r="B148" s="239"/>
      <c r="C148" s="241" t="s">
        <v>160</v>
      </c>
      <c r="D148" s="239"/>
      <c r="E148" s="239"/>
      <c r="F148" s="239"/>
      <c r="G148" s="239"/>
      <c r="H148" s="251"/>
      <c r="I148" s="387">
        <f>H82</f>
        <v>0</v>
      </c>
      <c r="J148" s="387"/>
      <c r="K148" s="387"/>
      <c r="L148" s="387"/>
      <c r="M148" s="387"/>
      <c r="N148" s="387" t="str">
        <f>M82</f>
        <v>mm</v>
      </c>
      <c r="O148" s="387"/>
      <c r="P148" s="238"/>
      <c r="Q148" s="251"/>
      <c r="R148" s="251"/>
      <c r="S148" s="251"/>
      <c r="T148" s="251"/>
      <c r="U148" s="251"/>
      <c r="V148" s="251"/>
      <c r="W148" s="244"/>
      <c r="Y148" s="269"/>
      <c r="Z148" s="269"/>
      <c r="AA148" s="269"/>
      <c r="AB148" s="270"/>
      <c r="AD148" s="269"/>
      <c r="AE148" s="269"/>
      <c r="AF148" s="269"/>
      <c r="AG148" s="271"/>
      <c r="AI148" s="244"/>
      <c r="AJ148" s="244"/>
      <c r="AK148" s="244"/>
      <c r="AL148" s="239"/>
      <c r="AM148" s="239"/>
      <c r="AN148" s="239"/>
      <c r="AO148" s="239"/>
      <c r="AP148" s="244"/>
      <c r="AQ148" s="244"/>
      <c r="AR148" s="244"/>
      <c r="AS148" s="244"/>
      <c r="AT148" s="244"/>
      <c r="AU148" s="244"/>
      <c r="AV148" s="244"/>
      <c r="AW148" s="244"/>
      <c r="AX148" s="244"/>
      <c r="AY148" s="244"/>
      <c r="AZ148" s="244"/>
      <c r="BA148" s="244"/>
      <c r="BB148" s="244"/>
      <c r="BC148" s="244"/>
      <c r="BD148" s="244"/>
      <c r="BE148" s="244"/>
      <c r="BF148" s="244"/>
      <c r="BG148" s="58"/>
      <c r="BH148" s="58"/>
      <c r="BI148" s="58"/>
      <c r="BJ148" s="58"/>
      <c r="BK148" s="58"/>
      <c r="BL148" s="58"/>
      <c r="BM148" s="58"/>
      <c r="BN148" s="58"/>
      <c r="BO148" s="58"/>
      <c r="BP148" s="58"/>
      <c r="BQ148" s="58"/>
      <c r="BR148" s="58"/>
      <c r="BS148" s="58"/>
    </row>
    <row r="149" spans="1:71" s="140" customFormat="1" ht="18.75" customHeight="1">
      <c r="A149" s="239"/>
      <c r="B149" s="244"/>
      <c r="C149" s="244" t="s">
        <v>487</v>
      </c>
      <c r="D149" s="244"/>
      <c r="E149" s="244"/>
      <c r="F149" s="244"/>
      <c r="G149" s="244"/>
      <c r="H149" s="244"/>
      <c r="I149" s="244"/>
      <c r="J149" s="58" t="s">
        <v>458</v>
      </c>
      <c r="AJ149" s="244"/>
      <c r="AM149" s="239"/>
      <c r="AN149" s="480" t="e">
        <f ca="1">Calcu!G55</f>
        <v>#N/A</v>
      </c>
      <c r="AO149" s="480"/>
      <c r="AP149" s="480"/>
      <c r="AQ149" s="262"/>
      <c r="AR149" s="480" t="e">
        <f ca="1">Calcu!H55</f>
        <v>#N/A</v>
      </c>
      <c r="AS149" s="480"/>
      <c r="AT149" s="480"/>
      <c r="AU149" s="240"/>
      <c r="AV149" s="240"/>
      <c r="AW149" s="263"/>
      <c r="AX149" s="481"/>
      <c r="AY149" s="481"/>
      <c r="AZ149" s="263"/>
      <c r="BA149" s="263"/>
      <c r="BB149" s="263"/>
      <c r="BC149" s="263"/>
      <c r="BD149" s="263"/>
      <c r="BE149" s="263"/>
      <c r="BF149" s="263"/>
      <c r="BG149" s="263"/>
      <c r="BH149" s="263"/>
      <c r="BI149" s="263"/>
      <c r="BJ149" s="263"/>
      <c r="BK149" s="263"/>
      <c r="BL149" s="263"/>
      <c r="BM149" s="263"/>
      <c r="BN149" s="263"/>
      <c r="BO149" s="263"/>
      <c r="BP149" s="58"/>
      <c r="BQ149" s="58"/>
    </row>
    <row r="150" spans="1:71" s="140" customFormat="1" ht="18.75" customHeight="1">
      <c r="A150" s="239"/>
      <c r="B150" s="244"/>
      <c r="C150" s="244"/>
      <c r="D150" s="244"/>
      <c r="E150" s="244"/>
      <c r="F150" s="244"/>
      <c r="G150" s="244"/>
      <c r="H150" s="244"/>
      <c r="I150" s="244"/>
      <c r="K150" s="244" t="s">
        <v>459</v>
      </c>
      <c r="L150" s="244"/>
      <c r="M150" s="244"/>
      <c r="N150" s="244"/>
      <c r="O150" s="244"/>
      <c r="P150" s="244"/>
      <c r="Q150" s="244"/>
      <c r="R150" s="244"/>
      <c r="S150" s="244"/>
      <c r="T150" s="244"/>
      <c r="U150" s="244"/>
      <c r="V150" s="244"/>
      <c r="W150" s="244"/>
      <c r="X150" s="244"/>
      <c r="Y150" s="244"/>
      <c r="Z150" s="244"/>
      <c r="AA150" s="244"/>
      <c r="AB150" s="239"/>
      <c r="AC150" s="239"/>
      <c r="AD150" s="239"/>
      <c r="AE150" s="239"/>
      <c r="AF150" s="239"/>
      <c r="AG150" s="239"/>
      <c r="AH150" s="239"/>
      <c r="AI150" s="239"/>
      <c r="AJ150" s="239"/>
      <c r="AK150" s="239"/>
      <c r="AL150" s="244"/>
      <c r="AM150" s="239"/>
      <c r="AN150" s="239"/>
      <c r="AO150" s="239"/>
      <c r="AP150" s="244"/>
      <c r="AQ150" s="239"/>
      <c r="AR150" s="239"/>
      <c r="AS150" s="264"/>
      <c r="AT150" s="264"/>
      <c r="AU150" s="264"/>
      <c r="AV150" s="253"/>
      <c r="AW150" s="265"/>
      <c r="AX150" s="265"/>
      <c r="AY150" s="265"/>
      <c r="AZ150" s="265"/>
      <c r="BA150" s="239"/>
      <c r="BB150" s="244"/>
      <c r="BC150" s="244"/>
      <c r="BD150" s="58"/>
      <c r="BE150" s="58"/>
      <c r="BF150" s="58"/>
      <c r="BG150" s="58"/>
      <c r="BH150" s="58"/>
      <c r="BI150" s="58"/>
      <c r="BJ150" s="58"/>
      <c r="BK150" s="263"/>
      <c r="BL150" s="58"/>
      <c r="BM150" s="58"/>
      <c r="BN150" s="58"/>
      <c r="BO150" s="58"/>
      <c r="BP150" s="58"/>
      <c r="BQ150" s="58"/>
    </row>
    <row r="151" spans="1:71" s="140" customFormat="1" ht="18.75" customHeight="1">
      <c r="B151" s="239"/>
      <c r="C151" s="244"/>
      <c r="D151" s="239"/>
      <c r="E151" s="239"/>
      <c r="F151" s="239"/>
      <c r="G151" s="239"/>
      <c r="H151" s="266"/>
      <c r="I151" s="266"/>
      <c r="J151" s="266"/>
      <c r="K151" s="238" t="s">
        <v>488</v>
      </c>
      <c r="L151" s="238"/>
      <c r="M151" s="238"/>
      <c r="N151" s="238"/>
      <c r="O151" s="238"/>
      <c r="P151" s="238"/>
      <c r="Q151" s="238"/>
      <c r="R151" s="238"/>
      <c r="S151" s="238"/>
      <c r="T151" s="238"/>
      <c r="U151" s="238"/>
      <c r="V151" s="238"/>
      <c r="W151" s="238"/>
      <c r="X151" s="238"/>
      <c r="Y151" s="238"/>
      <c r="Z151" s="238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  <c r="AS151" s="238"/>
      <c r="AT151" s="238"/>
      <c r="AU151" s="238"/>
      <c r="AV151" s="238"/>
      <c r="AW151" s="238"/>
      <c r="AX151" s="238"/>
      <c r="AY151" s="238"/>
      <c r="AZ151" s="238"/>
      <c r="BA151" s="238"/>
      <c r="BB151" s="238"/>
      <c r="BC151" s="238"/>
      <c r="BD151" s="238"/>
      <c r="BE151" s="238"/>
      <c r="BF151" s="244"/>
      <c r="BG151" s="58"/>
      <c r="BH151" s="58"/>
      <c r="BI151" s="58"/>
      <c r="BJ151" s="58"/>
      <c r="BK151" s="58"/>
      <c r="BL151" s="58"/>
      <c r="BM151" s="58"/>
      <c r="BN151" s="58"/>
      <c r="BO151" s="58"/>
      <c r="BP151" s="58"/>
      <c r="BQ151" s="58"/>
      <c r="BR151" s="58"/>
      <c r="BS151" s="58"/>
    </row>
    <row r="152" spans="1:71" s="69" customFormat="1" ht="18.75" customHeight="1">
      <c r="B152" s="57"/>
      <c r="C152" s="263"/>
      <c r="D152" s="263"/>
      <c r="E152" s="263"/>
      <c r="F152" s="263"/>
      <c r="G152" s="263"/>
      <c r="H152" s="263"/>
      <c r="I152" s="263"/>
      <c r="J152" s="263"/>
      <c r="K152" s="493">
        <f ca="1">Calcu!AB55</f>
        <v>0</v>
      </c>
      <c r="L152" s="493"/>
      <c r="M152" s="493"/>
      <c r="N152" s="493"/>
      <c r="O152" s="493"/>
      <c r="P152" s="263" t="str">
        <f ca="1">IF(K152="","","")</f>
        <v/>
      </c>
      <c r="Q152" s="493">
        <f ca="1">Calcu!AB56</f>
        <v>0</v>
      </c>
      <c r="R152" s="493"/>
      <c r="S152" s="493"/>
      <c r="T152" s="493"/>
      <c r="U152" s="493"/>
      <c r="V152" s="263" t="str">
        <f ca="1">IF(Q152="","","")</f>
        <v/>
      </c>
      <c r="W152" s="493">
        <f ca="1">Calcu!AB57</f>
        <v>0</v>
      </c>
      <c r="X152" s="493"/>
      <c r="Y152" s="493"/>
      <c r="Z152" s="493"/>
      <c r="AA152" s="493"/>
      <c r="AB152" s="263" t="str">
        <f ca="1">IF(W152="","","")</f>
        <v/>
      </c>
      <c r="AC152" s="493">
        <f ca="1">Calcu!AB58</f>
        <v>0</v>
      </c>
      <c r="AD152" s="493"/>
      <c r="AE152" s="493"/>
      <c r="AF152" s="493"/>
      <c r="AG152" s="493"/>
      <c r="AH152" s="263" t="str">
        <f ca="1">IF(AC152="","","")</f>
        <v/>
      </c>
      <c r="AI152" s="493">
        <f ca="1">Calcu!AB59</f>
        <v>0</v>
      </c>
      <c r="AJ152" s="493"/>
      <c r="AK152" s="493"/>
      <c r="AL152" s="493"/>
      <c r="AM152" s="493"/>
      <c r="AN152" s="263"/>
      <c r="AO152" s="263"/>
      <c r="AR152" s="263"/>
      <c r="AS152" s="263"/>
      <c r="AT152" s="263"/>
    </row>
    <row r="153" spans="1:71" s="69" customFormat="1" ht="18.75" customHeight="1">
      <c r="B153" s="57"/>
      <c r="C153" s="263"/>
      <c r="D153" s="263"/>
      <c r="E153" s="263"/>
      <c r="F153" s="263"/>
      <c r="G153" s="263"/>
      <c r="H153" s="263"/>
      <c r="I153" s="263"/>
      <c r="J153" s="263"/>
      <c r="K153" s="263" t="s">
        <v>489</v>
      </c>
      <c r="L153" s="263"/>
      <c r="M153" s="263"/>
      <c r="N153" s="263"/>
      <c r="O153" s="33"/>
      <c r="P153" s="263"/>
      <c r="Q153" s="33"/>
      <c r="R153" s="33"/>
      <c r="S153" s="33"/>
      <c r="T153" s="33"/>
      <c r="U153" s="33"/>
      <c r="V153" s="33"/>
      <c r="W153" s="33"/>
      <c r="X153" s="33"/>
      <c r="Y153" s="33"/>
      <c r="Z153" s="272"/>
      <c r="AA153" s="273"/>
      <c r="AB153" s="274"/>
      <c r="AC153" s="275"/>
      <c r="AD153" s="275"/>
      <c r="AE153" s="33"/>
      <c r="AF153" s="33"/>
      <c r="AG153" s="33"/>
      <c r="AH153" s="33"/>
      <c r="AI153" s="276"/>
      <c r="AJ153" s="263"/>
      <c r="AK153" s="263"/>
      <c r="AL153" s="263"/>
      <c r="AM153" s="263"/>
      <c r="AN153" s="263"/>
      <c r="AO153" s="263"/>
      <c r="AP153" s="277"/>
      <c r="AQ153" s="278"/>
      <c r="AR153" s="279"/>
      <c r="AS153" s="279"/>
      <c r="AT153" s="279"/>
      <c r="AU153" s="279"/>
      <c r="AV153" s="263"/>
      <c r="AW153" s="263"/>
      <c r="AX153" s="263"/>
      <c r="AY153" s="263"/>
      <c r="AZ153" s="263"/>
      <c r="BA153" s="263"/>
      <c r="BB153" s="263"/>
      <c r="BC153" s="263"/>
      <c r="BD153" s="263"/>
      <c r="BE153" s="263"/>
      <c r="BF153" s="263"/>
      <c r="BG153" s="263"/>
    </row>
    <row r="154" spans="1:71" s="69" customFormat="1" ht="18.75" customHeight="1">
      <c r="B154" s="57"/>
      <c r="C154" s="263"/>
      <c r="D154" s="263"/>
      <c r="E154" s="263"/>
      <c r="F154" s="263"/>
      <c r="G154" s="263"/>
      <c r="H154" s="263"/>
      <c r="I154" s="263"/>
      <c r="J154" s="263"/>
      <c r="K154" s="263"/>
      <c r="L154" s="263"/>
      <c r="M154" s="263"/>
      <c r="N154" s="263"/>
      <c r="O154" s="33"/>
      <c r="P154" s="263"/>
      <c r="Q154" s="33"/>
      <c r="R154" s="33"/>
      <c r="S154" s="33"/>
      <c r="T154" s="33"/>
      <c r="U154" s="33"/>
      <c r="V154" s="33"/>
      <c r="W154" s="33"/>
      <c r="X154" s="33"/>
      <c r="Y154" s="33"/>
      <c r="Z154" s="272"/>
      <c r="AA154" s="273"/>
      <c r="AB154" s="274"/>
      <c r="AC154" s="275"/>
      <c r="AD154" s="275"/>
      <c r="AE154" s="33"/>
      <c r="AF154" s="263"/>
      <c r="AG154" s="494">
        <f ca="1">Calcu!AC54</f>
        <v>0</v>
      </c>
      <c r="AH154" s="494"/>
      <c r="AI154" s="494"/>
      <c r="AJ154" s="494"/>
      <c r="AK154" s="481" t="s">
        <v>490</v>
      </c>
      <c r="AL154" s="481"/>
      <c r="AM154" s="33"/>
      <c r="AS154" s="279"/>
      <c r="AT154" s="279"/>
      <c r="AU154" s="263"/>
      <c r="AV154" s="263"/>
      <c r="AW154" s="263"/>
      <c r="AX154" s="263"/>
      <c r="AY154" s="263"/>
      <c r="AZ154" s="263"/>
      <c r="BA154" s="263"/>
      <c r="BB154" s="263"/>
      <c r="BC154" s="263"/>
      <c r="BD154" s="263"/>
      <c r="BE154" s="263"/>
      <c r="BF154" s="263"/>
      <c r="BG154" s="263"/>
    </row>
    <row r="155" spans="1:71" s="69" customFormat="1" ht="18.75" customHeight="1">
      <c r="B155" s="57"/>
      <c r="C155" s="263"/>
      <c r="D155" s="263"/>
      <c r="E155" s="263"/>
      <c r="F155" s="263"/>
      <c r="G155" s="263"/>
      <c r="H155" s="263"/>
      <c r="I155" s="263"/>
      <c r="J155" s="263"/>
      <c r="K155" s="263"/>
      <c r="L155" s="263"/>
      <c r="M155" s="263"/>
      <c r="N155" s="263"/>
      <c r="O155" s="33"/>
      <c r="P155" s="263"/>
      <c r="Q155" s="33"/>
      <c r="R155" s="33"/>
      <c r="S155" s="33"/>
      <c r="T155" s="33"/>
      <c r="U155" s="33"/>
      <c r="V155" s="33"/>
      <c r="W155" s="33"/>
      <c r="X155" s="33"/>
      <c r="Y155" s="33"/>
      <c r="Z155" s="272"/>
      <c r="AA155" s="273"/>
      <c r="AB155" s="274"/>
      <c r="AC155" s="275"/>
      <c r="AD155" s="275"/>
      <c r="AE155" s="33"/>
      <c r="AF155" s="263"/>
      <c r="AG155" s="494"/>
      <c r="AH155" s="494"/>
      <c r="AI155" s="494"/>
      <c r="AJ155" s="494"/>
      <c r="AK155" s="481"/>
      <c r="AL155" s="481"/>
      <c r="AM155" s="33"/>
      <c r="AS155" s="279"/>
      <c r="AT155" s="279"/>
      <c r="AU155" s="279"/>
      <c r="AV155" s="263"/>
      <c r="AW155" s="263"/>
      <c r="AX155" s="263"/>
      <c r="AY155" s="263"/>
      <c r="AZ155" s="263"/>
      <c r="BA155" s="263"/>
      <c r="BB155" s="263"/>
      <c r="BC155" s="263"/>
      <c r="BD155" s="263"/>
      <c r="BE155" s="263"/>
      <c r="BF155" s="263"/>
      <c r="BG155" s="263"/>
    </row>
    <row r="156" spans="1:71" s="140" customFormat="1" ht="18.75" customHeight="1">
      <c r="B156" s="239"/>
      <c r="C156" s="244" t="s">
        <v>161</v>
      </c>
      <c r="D156" s="244"/>
      <c r="E156" s="244"/>
      <c r="F156" s="244"/>
      <c r="G156" s="244"/>
      <c r="H156" s="244"/>
      <c r="I156" s="388" t="str">
        <f>V82</f>
        <v>정규</v>
      </c>
      <c r="J156" s="388"/>
      <c r="K156" s="388"/>
      <c r="L156" s="388"/>
      <c r="M156" s="388"/>
      <c r="N156" s="388"/>
      <c r="O156" s="388"/>
      <c r="P156" s="388"/>
      <c r="Q156" s="239"/>
      <c r="R156" s="239"/>
      <c r="S156" s="239"/>
      <c r="T156" s="244"/>
      <c r="U156" s="244"/>
      <c r="V156" s="244"/>
      <c r="W156" s="244"/>
      <c r="X156" s="244"/>
      <c r="Y156" s="244"/>
      <c r="Z156" s="244"/>
      <c r="AA156" s="244"/>
      <c r="AB156" s="244"/>
      <c r="AC156" s="244"/>
      <c r="AD156" s="244"/>
      <c r="AE156" s="239"/>
      <c r="AF156" s="239"/>
      <c r="AG156" s="239"/>
      <c r="AH156" s="239"/>
      <c r="AI156" s="239"/>
      <c r="AJ156" s="239"/>
      <c r="AK156" s="239"/>
      <c r="AL156" s="239"/>
      <c r="AM156" s="239"/>
      <c r="AN156" s="239"/>
      <c r="AO156" s="239"/>
      <c r="AP156" s="239"/>
      <c r="AQ156" s="239"/>
      <c r="AR156" s="239"/>
      <c r="AS156" s="239"/>
      <c r="AT156" s="239"/>
      <c r="AU156" s="239"/>
      <c r="AV156" s="239"/>
      <c r="AW156" s="239"/>
      <c r="AX156" s="239"/>
      <c r="AY156" s="239"/>
      <c r="AZ156" s="239"/>
      <c r="BA156" s="239"/>
      <c r="BB156" s="239"/>
      <c r="BC156" s="239"/>
    </row>
    <row r="157" spans="1:71" s="140" customFormat="1" ht="18.75" customHeight="1">
      <c r="B157" s="239"/>
      <c r="C157" s="396" t="s">
        <v>162</v>
      </c>
      <c r="D157" s="396"/>
      <c r="E157" s="396"/>
      <c r="F157" s="396"/>
      <c r="G157" s="396"/>
      <c r="H157" s="396"/>
      <c r="I157" s="244"/>
      <c r="J157" s="244"/>
      <c r="K157" s="244"/>
      <c r="L157" s="244"/>
      <c r="M157" s="244"/>
      <c r="N157" s="244"/>
      <c r="O157" s="388">
        <f>AA82</f>
        <v>1</v>
      </c>
      <c r="P157" s="388"/>
      <c r="Q157" s="244"/>
      <c r="R157" s="244"/>
      <c r="S157" s="244"/>
      <c r="T157" s="244"/>
      <c r="U157" s="244"/>
      <c r="V157" s="244"/>
      <c r="W157" s="244"/>
      <c r="X157" s="244"/>
      <c r="Y157" s="244"/>
      <c r="Z157" s="244"/>
      <c r="AA157" s="244"/>
      <c r="AB157" s="244"/>
      <c r="AC157" s="244"/>
      <c r="AD157" s="244"/>
      <c r="AE157" s="239"/>
      <c r="AF157" s="239"/>
      <c r="AG157" s="239"/>
      <c r="AH157" s="239"/>
      <c r="AI157" s="239"/>
      <c r="AJ157" s="239"/>
      <c r="AK157" s="239"/>
      <c r="AL157" s="239"/>
      <c r="AM157" s="239"/>
      <c r="AN157" s="239"/>
      <c r="AO157" s="239"/>
      <c r="AP157" s="239"/>
      <c r="AQ157" s="239"/>
      <c r="AR157" s="239"/>
      <c r="AS157" s="239"/>
      <c r="AT157" s="239"/>
      <c r="AU157" s="239"/>
      <c r="AV157" s="239"/>
      <c r="AW157" s="239"/>
      <c r="AX157" s="239"/>
      <c r="AY157" s="239"/>
      <c r="AZ157" s="239"/>
      <c r="BA157" s="239"/>
      <c r="BB157" s="239"/>
      <c r="BC157" s="239"/>
      <c r="BD157" s="239"/>
    </row>
    <row r="158" spans="1:71" s="140" customFormat="1" ht="18.75" customHeight="1">
      <c r="B158" s="239"/>
      <c r="C158" s="396"/>
      <c r="D158" s="396"/>
      <c r="E158" s="396"/>
      <c r="F158" s="396"/>
      <c r="G158" s="396"/>
      <c r="H158" s="396"/>
      <c r="I158" s="244"/>
      <c r="J158" s="244"/>
      <c r="K158" s="244"/>
      <c r="L158" s="244"/>
      <c r="M158" s="244"/>
      <c r="N158" s="244"/>
      <c r="O158" s="388"/>
      <c r="P158" s="388"/>
      <c r="Q158" s="244"/>
      <c r="R158" s="244"/>
      <c r="S158" s="244"/>
      <c r="T158" s="244"/>
      <c r="U158" s="244"/>
      <c r="V158" s="244"/>
      <c r="W158" s="244"/>
      <c r="X158" s="244"/>
      <c r="Y158" s="244"/>
      <c r="Z158" s="244"/>
      <c r="AA158" s="244"/>
      <c r="AB158" s="244"/>
      <c r="AC158" s="244"/>
      <c r="AD158" s="244"/>
      <c r="AE158" s="244"/>
      <c r="AF158" s="244"/>
      <c r="AG158" s="244"/>
      <c r="AH158" s="244"/>
      <c r="AI158" s="244"/>
      <c r="AJ158" s="244"/>
      <c r="AK158" s="244"/>
      <c r="AL158" s="244"/>
      <c r="AM158" s="244"/>
      <c r="AN158" s="244"/>
      <c r="AO158" s="244"/>
      <c r="AP158" s="239"/>
      <c r="AQ158" s="239"/>
      <c r="AR158" s="239"/>
      <c r="AS158" s="239"/>
      <c r="AT158" s="239"/>
      <c r="AU158" s="239"/>
      <c r="AV158" s="239"/>
      <c r="AW158" s="239"/>
      <c r="AX158" s="239"/>
      <c r="AY158" s="239"/>
      <c r="AZ158" s="239"/>
      <c r="BA158" s="239"/>
      <c r="BB158" s="239"/>
      <c r="BC158" s="239"/>
      <c r="BD158" s="239"/>
    </row>
    <row r="159" spans="1:71" s="140" customFormat="1" ht="18.75" customHeight="1">
      <c r="B159" s="239"/>
      <c r="C159" s="244" t="s">
        <v>491</v>
      </c>
      <c r="D159" s="244"/>
      <c r="E159" s="244"/>
      <c r="F159" s="244"/>
      <c r="G159" s="244"/>
      <c r="H159" s="244"/>
      <c r="I159" s="244"/>
      <c r="J159" s="239"/>
      <c r="K159" s="239" t="s">
        <v>158</v>
      </c>
      <c r="L159" s="394">
        <f>O157</f>
        <v>1</v>
      </c>
      <c r="M159" s="394"/>
      <c r="N159" s="239" t="s">
        <v>85</v>
      </c>
      <c r="O159" s="397">
        <f ca="1">AG154</f>
        <v>0</v>
      </c>
      <c r="P159" s="397"/>
      <c r="Q159" s="397"/>
      <c r="R159" s="243" t="str">
        <f>AK154</f>
        <v>mm</v>
      </c>
      <c r="S159" s="237"/>
      <c r="T159" s="239" t="s">
        <v>492</v>
      </c>
      <c r="U159" s="239" t="s">
        <v>146</v>
      </c>
      <c r="V159" s="398">
        <f ca="1">ABS(L159*O159)</f>
        <v>0</v>
      </c>
      <c r="W159" s="398"/>
      <c r="X159" s="398"/>
      <c r="Y159" s="243" t="str">
        <f>R159</f>
        <v>mm</v>
      </c>
      <c r="Z159" s="238"/>
      <c r="AA159" s="150"/>
      <c r="AB159" s="150"/>
      <c r="AC159" s="243"/>
      <c r="AD159" s="239"/>
      <c r="AE159" s="244"/>
      <c r="AF159" s="239"/>
      <c r="AG159" s="239"/>
      <c r="AH159" s="239"/>
      <c r="AI159" s="239"/>
      <c r="AJ159" s="239"/>
      <c r="AK159" s="244"/>
      <c r="AL159" s="239"/>
      <c r="AM159" s="239"/>
      <c r="AN159" s="239"/>
      <c r="AO159" s="244"/>
      <c r="AQ159" s="244"/>
      <c r="AS159" s="244"/>
      <c r="AT159" s="239"/>
      <c r="AU159" s="239"/>
      <c r="AV159" s="239"/>
      <c r="AW159" s="239"/>
      <c r="AX159" s="239"/>
      <c r="AY159" s="239"/>
      <c r="AZ159" s="239"/>
      <c r="BA159" s="239"/>
      <c r="BB159" s="239"/>
    </row>
    <row r="160" spans="1:71" s="140" customFormat="1" ht="18.75" customHeight="1">
      <c r="B160" s="239"/>
      <c r="C160" s="244" t="s">
        <v>163</v>
      </c>
      <c r="D160" s="244"/>
      <c r="E160" s="244"/>
      <c r="F160" s="244"/>
      <c r="G160" s="244"/>
      <c r="H160" s="109" t="s">
        <v>493</v>
      </c>
      <c r="I160" s="244"/>
      <c r="J160" s="244"/>
      <c r="K160" s="244"/>
      <c r="L160" s="244"/>
      <c r="M160" s="244"/>
      <c r="N160" s="244"/>
      <c r="O160" s="152"/>
      <c r="P160" s="152"/>
      <c r="Q160" s="152"/>
      <c r="R160" s="152"/>
      <c r="S160" s="239"/>
      <c r="T160" s="239"/>
      <c r="U160" s="239"/>
      <c r="V160" s="239"/>
      <c r="W160" s="239"/>
      <c r="X160" s="239"/>
      <c r="Y160" s="239"/>
      <c r="Z160" s="239"/>
      <c r="AA160" s="239"/>
      <c r="AB160" s="244"/>
      <c r="AC160" s="239"/>
      <c r="AD160" s="244"/>
      <c r="AE160" s="244"/>
      <c r="AF160" s="239"/>
      <c r="AG160" s="239"/>
      <c r="AH160" s="239"/>
      <c r="AI160" s="239"/>
      <c r="AJ160" s="239"/>
      <c r="AK160" s="239"/>
      <c r="AL160" s="239"/>
      <c r="AM160" s="239"/>
      <c r="AN160" s="239"/>
      <c r="AO160" s="239"/>
      <c r="AP160" s="239"/>
      <c r="AQ160" s="239"/>
      <c r="AR160" s="239"/>
      <c r="AS160" s="239"/>
      <c r="AT160" s="239"/>
      <c r="AU160" s="239"/>
      <c r="AV160" s="239"/>
      <c r="AW160" s="239"/>
      <c r="AX160" s="239"/>
      <c r="AY160" s="239"/>
      <c r="AZ160" s="239"/>
      <c r="BA160" s="239"/>
      <c r="BB160" s="239"/>
      <c r="BC160" s="239"/>
      <c r="BD160" s="239"/>
    </row>
    <row r="161" spans="1:75" s="140" customFormat="1" ht="18.75" customHeight="1">
      <c r="B161" s="239"/>
      <c r="C161" s="244"/>
      <c r="D161" s="244"/>
      <c r="E161" s="244"/>
      <c r="F161" s="239"/>
      <c r="G161" s="239"/>
      <c r="H161" s="239"/>
      <c r="I161" s="239"/>
      <c r="J161" s="239"/>
      <c r="K161" s="239"/>
      <c r="L161" s="239"/>
      <c r="M161" s="239"/>
      <c r="N161" s="239"/>
      <c r="O161" s="239"/>
      <c r="P161" s="239"/>
      <c r="Q161" s="239"/>
      <c r="R161" s="239"/>
      <c r="S161" s="239"/>
      <c r="T161" s="239"/>
      <c r="U161" s="239"/>
      <c r="V161" s="239"/>
      <c r="W161" s="239"/>
      <c r="X161" s="239"/>
      <c r="Y161" s="239"/>
      <c r="Z161" s="239"/>
      <c r="AA161" s="239"/>
      <c r="AB161" s="239"/>
      <c r="AC161" s="239"/>
      <c r="AD161" s="244"/>
      <c r="AE161" s="244"/>
      <c r="AF161" s="244"/>
      <c r="AG161" s="244"/>
      <c r="AH161" s="244"/>
      <c r="AI161" s="244"/>
      <c r="AJ161" s="244"/>
      <c r="AK161" s="244"/>
      <c r="AL161" s="244"/>
      <c r="AM161" s="244"/>
      <c r="AN161" s="244"/>
      <c r="AO161" s="244"/>
      <c r="AP161" s="244"/>
      <c r="AQ161" s="244"/>
      <c r="AR161" s="244"/>
      <c r="AS161" s="244"/>
      <c r="AT161" s="244"/>
      <c r="AU161" s="244"/>
      <c r="AV161" s="244"/>
      <c r="AW161" s="244"/>
      <c r="AX161" s="244"/>
      <c r="AY161" s="244"/>
      <c r="AZ161" s="244"/>
      <c r="BA161" s="244"/>
      <c r="BB161" s="244"/>
      <c r="BC161" s="244"/>
      <c r="BD161" s="58"/>
      <c r="BE161" s="58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</row>
    <row r="162" spans="1:75" s="140" customFormat="1" ht="18.75" customHeight="1">
      <c r="B162" s="239"/>
      <c r="C162" s="57" t="s">
        <v>494</v>
      </c>
      <c r="D162" s="244"/>
      <c r="E162" s="244"/>
      <c r="F162" s="244"/>
      <c r="G162" s="244"/>
      <c r="H162" s="244"/>
      <c r="I162" s="244"/>
      <c r="J162" s="244"/>
      <c r="K162" s="244"/>
      <c r="L162" s="244"/>
      <c r="M162" s="244"/>
      <c r="N162" s="244"/>
      <c r="O162" s="244"/>
      <c r="P162" s="244"/>
      <c r="Q162" s="244"/>
      <c r="R162" s="244"/>
      <c r="S162" s="244"/>
      <c r="T162" s="244"/>
      <c r="U162" s="244"/>
      <c r="V162" s="244"/>
      <c r="W162" s="244"/>
      <c r="X162" s="244"/>
      <c r="Y162" s="244"/>
      <c r="Z162" s="244"/>
      <c r="AA162" s="244"/>
      <c r="AB162" s="244"/>
      <c r="AC162" s="244"/>
      <c r="AD162" s="244"/>
      <c r="AE162" s="244"/>
      <c r="AF162" s="244"/>
      <c r="AG162" s="244"/>
      <c r="AH162" s="244"/>
      <c r="AI162" s="244"/>
      <c r="AJ162" s="244"/>
      <c r="AK162" s="244"/>
      <c r="AL162" s="244"/>
      <c r="AM162" s="244"/>
      <c r="AN162" s="244"/>
      <c r="AO162" s="244"/>
      <c r="AP162" s="244"/>
      <c r="AQ162" s="244"/>
      <c r="AR162" s="244"/>
      <c r="AS162" s="244"/>
      <c r="AT162" s="244"/>
      <c r="AU162" s="244"/>
      <c r="AV162" s="244"/>
      <c r="AW162" s="244"/>
      <c r="AX162" s="244"/>
      <c r="AY162" s="244"/>
      <c r="AZ162" s="244"/>
      <c r="BA162" s="244"/>
      <c r="BB162" s="244"/>
      <c r="BC162" s="244"/>
      <c r="BD162" s="244"/>
      <c r="BE162" s="58"/>
      <c r="BF162" s="58"/>
      <c r="BG162" s="58"/>
      <c r="BH162" s="58"/>
      <c r="BI162" s="58"/>
      <c r="BJ162" s="58"/>
      <c r="BK162" s="58"/>
      <c r="BL162" s="58"/>
      <c r="BM162" s="58"/>
      <c r="BN162" s="58"/>
      <c r="BO162" s="58"/>
      <c r="BP162" s="58"/>
      <c r="BQ162" s="58"/>
    </row>
    <row r="163" spans="1:75" s="140" customFormat="1" ht="18.75" customHeight="1">
      <c r="B163" s="239"/>
      <c r="C163" s="241" t="s">
        <v>495</v>
      </c>
      <c r="D163" s="239"/>
      <c r="E163" s="239"/>
      <c r="F163" s="239"/>
      <c r="G163" s="239"/>
      <c r="H163" s="251"/>
      <c r="I163" s="387">
        <f>H83</f>
        <v>0</v>
      </c>
      <c r="J163" s="387"/>
      <c r="K163" s="387"/>
      <c r="L163" s="387"/>
      <c r="M163" s="387"/>
      <c r="N163" s="387" t="str">
        <f>M83</f>
        <v>mm</v>
      </c>
      <c r="O163" s="387"/>
      <c r="P163" s="238"/>
      <c r="Q163" s="251"/>
      <c r="R163" s="251"/>
      <c r="S163" s="251"/>
      <c r="T163" s="251"/>
      <c r="U163" s="251"/>
      <c r="V163" s="251"/>
      <c r="W163" s="244"/>
      <c r="Y163" s="269"/>
      <c r="Z163" s="269"/>
      <c r="AA163" s="269"/>
      <c r="AB163" s="270"/>
      <c r="AD163" s="269"/>
      <c r="AE163" s="269"/>
      <c r="AF163" s="269"/>
      <c r="AG163" s="271"/>
      <c r="AH163" s="244"/>
      <c r="AI163" s="244"/>
      <c r="AJ163" s="239"/>
      <c r="AK163" s="239"/>
      <c r="AL163" s="239"/>
      <c r="AM163" s="239"/>
      <c r="AN163" s="244"/>
      <c r="AO163" s="244"/>
      <c r="AP163" s="244"/>
      <c r="AQ163" s="244"/>
      <c r="AR163" s="244"/>
      <c r="AS163" s="244"/>
      <c r="AT163" s="244"/>
      <c r="AU163" s="244"/>
      <c r="AV163" s="244"/>
      <c r="AW163" s="244"/>
      <c r="AX163" s="244"/>
      <c r="AY163" s="244"/>
      <c r="AZ163" s="244"/>
      <c r="BA163" s="244"/>
      <c r="BB163" s="244"/>
      <c r="BC163" s="244"/>
      <c r="BD163" s="244"/>
      <c r="BE163" s="58"/>
      <c r="BF163" s="58"/>
      <c r="BG163" s="58"/>
      <c r="BH163" s="58"/>
      <c r="BI163" s="58"/>
      <c r="BJ163" s="58"/>
      <c r="BK163" s="58"/>
      <c r="BL163" s="58"/>
      <c r="BM163" s="58"/>
      <c r="BN163" s="58"/>
      <c r="BO163" s="58"/>
      <c r="BP163" s="58"/>
      <c r="BQ163" s="58"/>
    </row>
    <row r="164" spans="1:75" s="140" customFormat="1" ht="18.75" customHeight="1">
      <c r="B164" s="239"/>
      <c r="C164" s="244" t="s">
        <v>164</v>
      </c>
      <c r="D164" s="239"/>
      <c r="E164" s="239"/>
      <c r="F164" s="239"/>
      <c r="G164" s="239"/>
      <c r="H164" s="266"/>
      <c r="I164" s="266"/>
      <c r="J164" s="266" t="str">
        <f>"※ 재 설치시 눈금 확대 배율 및 줄자 눈금의 두께, 기준선의 두께 등을 고려하여 ± "&amp;O166&amp;" mm"</f>
        <v>※ 재 설치시 눈금 확대 배율 및 줄자 눈금의 두께, 기준선의 두께 등을 고려하여 ± 0.1 mm</v>
      </c>
      <c r="K164" s="266"/>
      <c r="L164" s="266"/>
      <c r="M164" s="266"/>
      <c r="N164" s="266"/>
      <c r="O164" s="266"/>
      <c r="P164" s="266"/>
      <c r="Q164" s="266"/>
      <c r="R164" s="267"/>
      <c r="S164" s="267"/>
      <c r="T164" s="267"/>
      <c r="U164" s="267"/>
      <c r="V164" s="267"/>
      <c r="W164" s="267"/>
      <c r="X164" s="267"/>
      <c r="Y164" s="267"/>
      <c r="Z164" s="267"/>
      <c r="AA164" s="244"/>
      <c r="AB164" s="244"/>
      <c r="AC164" s="244"/>
      <c r="AD164" s="244"/>
      <c r="AE164" s="244"/>
      <c r="AF164" s="244"/>
      <c r="AG164" s="244"/>
      <c r="AH164" s="244"/>
      <c r="AI164" s="244"/>
      <c r="AJ164" s="239"/>
      <c r="AK164" s="239"/>
      <c r="AL164" s="239"/>
      <c r="AM164" s="239"/>
      <c r="AN164" s="244"/>
      <c r="AO164" s="244"/>
      <c r="AP164" s="244"/>
      <c r="AQ164" s="244"/>
      <c r="AR164" s="244"/>
      <c r="AS164" s="244"/>
      <c r="AT164" s="244"/>
      <c r="AU164" s="244"/>
      <c r="AV164" s="244"/>
      <c r="AW164" s="244"/>
      <c r="AX164" s="244"/>
      <c r="AY164" s="244"/>
      <c r="AZ164" s="244"/>
      <c r="BA164" s="244"/>
      <c r="BB164" s="244"/>
      <c r="BC164" s="244"/>
      <c r="BD164" s="244"/>
      <c r="BE164" s="58"/>
      <c r="BF164" s="58"/>
      <c r="BG164" s="58"/>
      <c r="BH164" s="58"/>
      <c r="BI164" s="58"/>
      <c r="BJ164" s="58"/>
      <c r="BK164" s="58"/>
      <c r="BL164" s="58"/>
      <c r="BM164" s="58"/>
      <c r="BN164" s="58"/>
      <c r="BO164" s="58"/>
      <c r="BP164" s="58"/>
      <c r="BQ164" s="58"/>
    </row>
    <row r="165" spans="1:75" s="140" customFormat="1" ht="18.75" customHeight="1">
      <c r="B165" s="239"/>
      <c r="C165" s="244"/>
      <c r="D165" s="239"/>
      <c r="E165" s="239"/>
      <c r="F165" s="239"/>
      <c r="G165" s="239"/>
      <c r="H165" s="266"/>
      <c r="I165" s="266"/>
      <c r="J165" s="266"/>
      <c r="K165" s="266" t="s">
        <v>496</v>
      </c>
      <c r="L165" s="266"/>
      <c r="M165" s="266"/>
      <c r="N165" s="266"/>
      <c r="O165" s="266"/>
      <c r="P165" s="266"/>
      <c r="Q165" s="266"/>
      <c r="R165" s="267"/>
      <c r="S165" s="267"/>
      <c r="T165" s="267"/>
      <c r="U165" s="267"/>
      <c r="V165" s="267"/>
      <c r="W165" s="267"/>
      <c r="X165" s="267"/>
      <c r="Y165" s="267"/>
      <c r="Z165" s="267"/>
      <c r="AA165" s="244"/>
      <c r="AB165" s="244"/>
      <c r="AC165" s="244"/>
      <c r="AD165" s="244"/>
      <c r="AE165" s="244"/>
      <c r="AF165" s="244"/>
      <c r="AG165" s="244"/>
      <c r="AH165" s="244"/>
      <c r="AI165" s="244"/>
      <c r="AJ165" s="239"/>
      <c r="AK165" s="239"/>
      <c r="AL165" s="239"/>
      <c r="AM165" s="239"/>
      <c r="AN165" s="244"/>
      <c r="AO165" s="244"/>
      <c r="AP165" s="244"/>
      <c r="AQ165" s="244"/>
      <c r="AR165" s="244"/>
      <c r="AS165" s="244"/>
      <c r="AT165" s="244"/>
      <c r="AU165" s="244"/>
      <c r="AV165" s="244"/>
      <c r="AW165" s="244"/>
      <c r="AX165" s="244"/>
      <c r="AY165" s="244"/>
      <c r="AZ165" s="244"/>
      <c r="BA165" s="244"/>
      <c r="BB165" s="244"/>
      <c r="BC165" s="244"/>
      <c r="BD165" s="244"/>
      <c r="BE165" s="58"/>
      <c r="BF165" s="58"/>
      <c r="BG165" s="58"/>
      <c r="BH165" s="58"/>
      <c r="BI165" s="58"/>
      <c r="BJ165" s="58"/>
      <c r="BK165" s="58"/>
      <c r="BL165" s="58"/>
      <c r="BM165" s="58"/>
      <c r="BN165" s="58"/>
      <c r="BO165" s="58"/>
      <c r="BP165" s="58"/>
      <c r="BQ165" s="58"/>
    </row>
    <row r="166" spans="1:75" s="140" customFormat="1" ht="18.75" customHeight="1">
      <c r="B166" s="239"/>
      <c r="C166" s="244"/>
      <c r="D166" s="244"/>
      <c r="E166" s="244"/>
      <c r="F166" s="244"/>
      <c r="G166" s="244"/>
      <c r="H166" s="244"/>
      <c r="I166" s="244"/>
      <c r="J166" s="239"/>
      <c r="K166" s="392" t="s">
        <v>497</v>
      </c>
      <c r="L166" s="392"/>
      <c r="M166" s="392"/>
      <c r="N166" s="392" t="s">
        <v>498</v>
      </c>
      <c r="O166" s="393">
        <f>Calcu!G59</f>
        <v>0.1</v>
      </c>
      <c r="P166" s="393"/>
      <c r="Q166" s="393"/>
      <c r="R166" s="280" t="s">
        <v>129</v>
      </c>
      <c r="S166" s="281"/>
      <c r="T166" s="394" t="s">
        <v>455</v>
      </c>
      <c r="U166" s="395">
        <f>Calcu!H59</f>
        <v>0</v>
      </c>
      <c r="V166" s="395"/>
      <c r="W166" s="395"/>
      <c r="X166" s="385" t="s">
        <v>452</v>
      </c>
      <c r="Y166" s="386">
        <f>O166/SQRT(3)*U166</f>
        <v>0</v>
      </c>
      <c r="Z166" s="386"/>
      <c r="AA166" s="386"/>
      <c r="AB166" s="387" t="s">
        <v>480</v>
      </c>
      <c r="AC166" s="387"/>
      <c r="AD166" s="244"/>
      <c r="AE166" s="244"/>
      <c r="AK166" s="239"/>
      <c r="AL166" s="239"/>
      <c r="AM166" s="239"/>
      <c r="AN166" s="239"/>
      <c r="AO166" s="239"/>
      <c r="AP166" s="239"/>
      <c r="AQ166" s="239"/>
      <c r="AR166" s="239"/>
      <c r="AS166" s="239"/>
      <c r="AT166" s="239"/>
      <c r="AU166" s="239"/>
      <c r="AV166" s="239"/>
      <c r="AW166" s="239"/>
      <c r="AX166" s="239"/>
      <c r="AY166" s="239"/>
      <c r="AZ166" s="239"/>
      <c r="BA166" s="239"/>
      <c r="BB166" s="239"/>
      <c r="BC166" s="239"/>
      <c r="BD166" s="239"/>
      <c r="BE166" s="239"/>
    </row>
    <row r="167" spans="1:75" s="140" customFormat="1" ht="18.75" customHeight="1">
      <c r="B167" s="239"/>
      <c r="C167" s="244"/>
      <c r="D167" s="244"/>
      <c r="E167" s="244"/>
      <c r="F167" s="244"/>
      <c r="G167" s="244"/>
      <c r="H167" s="244"/>
      <c r="I167" s="244"/>
      <c r="J167" s="239"/>
      <c r="K167" s="392"/>
      <c r="L167" s="392"/>
      <c r="M167" s="392"/>
      <c r="N167" s="392"/>
      <c r="O167" s="239"/>
      <c r="P167" s="239"/>
      <c r="Q167" s="239"/>
      <c r="R167" s="239"/>
      <c r="S167" s="239"/>
      <c r="T167" s="394"/>
      <c r="U167" s="395"/>
      <c r="V167" s="395"/>
      <c r="W167" s="395"/>
      <c r="X167" s="385"/>
      <c r="Y167" s="386"/>
      <c r="Z167" s="386"/>
      <c r="AA167" s="386"/>
      <c r="AB167" s="387"/>
      <c r="AC167" s="387"/>
      <c r="AD167" s="244"/>
      <c r="AE167" s="244"/>
      <c r="AK167" s="239"/>
      <c r="AL167" s="239"/>
      <c r="AM167" s="239"/>
      <c r="AN167" s="239"/>
      <c r="AO167" s="239"/>
      <c r="AP167" s="239"/>
      <c r="AQ167" s="239"/>
      <c r="AR167" s="239"/>
      <c r="AS167" s="239"/>
      <c r="AT167" s="239"/>
      <c r="AU167" s="239"/>
      <c r="AV167" s="239"/>
      <c r="AW167" s="239"/>
      <c r="AX167" s="239"/>
      <c r="AY167" s="239"/>
      <c r="AZ167" s="239"/>
      <c r="BA167" s="239"/>
      <c r="BB167" s="239"/>
      <c r="BC167" s="239"/>
      <c r="BD167" s="239"/>
      <c r="BE167" s="239"/>
    </row>
    <row r="168" spans="1:75" s="140" customFormat="1" ht="18.75" customHeight="1">
      <c r="B168" s="239"/>
      <c r="C168" s="244" t="s">
        <v>499</v>
      </c>
      <c r="D168" s="244"/>
      <c r="E168" s="244"/>
      <c r="F168" s="244"/>
      <c r="G168" s="244"/>
      <c r="H168" s="244"/>
      <c r="I168" s="388" t="str">
        <f>V83</f>
        <v>직사각형</v>
      </c>
      <c r="J168" s="388"/>
      <c r="K168" s="388"/>
      <c r="L168" s="388"/>
      <c r="M168" s="388"/>
      <c r="N168" s="388"/>
      <c r="O168" s="388"/>
      <c r="P168" s="388"/>
      <c r="Q168" s="239"/>
      <c r="R168" s="239"/>
      <c r="S168" s="239"/>
      <c r="T168" s="244"/>
      <c r="U168" s="244"/>
      <c r="V168" s="244"/>
      <c r="W168" s="244"/>
      <c r="X168" s="244"/>
      <c r="Y168" s="244"/>
      <c r="Z168" s="244"/>
      <c r="AA168" s="244"/>
      <c r="AB168" s="244"/>
      <c r="AC168" s="244"/>
      <c r="AD168" s="244"/>
      <c r="AE168" s="239"/>
      <c r="AF168" s="239"/>
      <c r="AG168" s="239"/>
      <c r="AH168" s="239"/>
      <c r="AI168" s="239"/>
      <c r="AJ168" s="239"/>
      <c r="AK168" s="239"/>
      <c r="AL168" s="239"/>
      <c r="AM168" s="239"/>
      <c r="AN168" s="239"/>
      <c r="AO168" s="239"/>
      <c r="AP168" s="239"/>
      <c r="AQ168" s="239"/>
      <c r="AR168" s="239"/>
      <c r="AS168" s="239"/>
      <c r="AT168" s="239"/>
      <c r="AU168" s="239"/>
      <c r="AV168" s="239"/>
      <c r="AW168" s="239"/>
      <c r="AX168" s="239"/>
      <c r="AY168" s="239"/>
      <c r="AZ168" s="239"/>
      <c r="BA168" s="239"/>
      <c r="BB168" s="239"/>
      <c r="BC168" s="239"/>
      <c r="BD168" s="239"/>
    </row>
    <row r="169" spans="1:75" s="140" customFormat="1" ht="18.75" customHeight="1">
      <c r="B169" s="239"/>
      <c r="C169" s="396" t="s">
        <v>165</v>
      </c>
      <c r="D169" s="396"/>
      <c r="E169" s="396"/>
      <c r="F169" s="396"/>
      <c r="G169" s="396"/>
      <c r="H169" s="396"/>
      <c r="I169" s="244"/>
      <c r="J169" s="244"/>
      <c r="K169" s="244"/>
      <c r="L169" s="244"/>
      <c r="M169" s="244"/>
      <c r="N169" s="244"/>
      <c r="O169" s="388">
        <f>AA83</f>
        <v>1</v>
      </c>
      <c r="P169" s="388"/>
      <c r="Q169" s="244"/>
      <c r="R169" s="244"/>
      <c r="S169" s="244"/>
      <c r="T169" s="244"/>
      <c r="U169" s="244"/>
      <c r="V169" s="244"/>
      <c r="W169" s="244"/>
      <c r="X169" s="244"/>
      <c r="Y169" s="244"/>
      <c r="Z169" s="244"/>
      <c r="AA169" s="244"/>
      <c r="AB169" s="244"/>
      <c r="AC169" s="244"/>
      <c r="AD169" s="244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39"/>
      <c r="AO169" s="239"/>
      <c r="AP169" s="239"/>
      <c r="AQ169" s="239"/>
      <c r="AR169" s="239"/>
      <c r="AS169" s="239"/>
      <c r="AT169" s="239"/>
      <c r="AU169" s="239"/>
      <c r="AV169" s="239"/>
      <c r="AW169" s="239"/>
      <c r="AX169" s="239"/>
      <c r="AY169" s="239"/>
      <c r="AZ169" s="239"/>
      <c r="BA169" s="239"/>
      <c r="BB169" s="239"/>
      <c r="BC169" s="239"/>
      <c r="BD169" s="239"/>
    </row>
    <row r="170" spans="1:75" s="140" customFormat="1" ht="18.75" customHeight="1">
      <c r="B170" s="239"/>
      <c r="C170" s="396"/>
      <c r="D170" s="396"/>
      <c r="E170" s="396"/>
      <c r="F170" s="396"/>
      <c r="G170" s="396"/>
      <c r="H170" s="396"/>
      <c r="I170" s="244"/>
      <c r="J170" s="244"/>
      <c r="K170" s="244"/>
      <c r="L170" s="244"/>
      <c r="M170" s="244"/>
      <c r="N170" s="244"/>
      <c r="O170" s="388"/>
      <c r="P170" s="388"/>
      <c r="Q170" s="244"/>
      <c r="R170" s="244"/>
      <c r="S170" s="244"/>
      <c r="T170" s="244"/>
      <c r="U170" s="244"/>
      <c r="V170" s="244"/>
      <c r="W170" s="244"/>
      <c r="X170" s="244"/>
      <c r="Y170" s="244"/>
      <c r="Z170" s="244"/>
      <c r="AA170" s="244"/>
      <c r="AB170" s="244"/>
      <c r="AC170" s="244"/>
      <c r="AD170" s="239"/>
      <c r="AE170" s="239"/>
      <c r="AF170" s="239"/>
      <c r="AG170" s="239"/>
      <c r="AH170" s="239"/>
      <c r="AI170" s="239"/>
      <c r="AJ170" s="239"/>
      <c r="AK170" s="239"/>
      <c r="AL170" s="239"/>
      <c r="AM170" s="239"/>
      <c r="AN170" s="239"/>
      <c r="AO170" s="239"/>
      <c r="AP170" s="239"/>
      <c r="AQ170" s="239"/>
      <c r="AR170" s="239"/>
      <c r="AS170" s="239"/>
      <c r="AT170" s="239"/>
      <c r="AU170" s="239"/>
      <c r="AV170" s="239"/>
      <c r="AW170" s="239"/>
      <c r="AX170" s="239"/>
      <c r="AY170" s="239"/>
      <c r="AZ170" s="239"/>
      <c r="BA170" s="239"/>
      <c r="BB170" s="239"/>
      <c r="BC170" s="239"/>
    </row>
    <row r="171" spans="1:75" s="140" customFormat="1" ht="18.75" customHeight="1">
      <c r="B171" s="239"/>
      <c r="C171" s="244" t="s">
        <v>166</v>
      </c>
      <c r="D171" s="244"/>
      <c r="E171" s="244"/>
      <c r="F171" s="244"/>
      <c r="G171" s="244"/>
      <c r="H171" s="244"/>
      <c r="I171" s="244"/>
      <c r="J171" s="239"/>
      <c r="K171" s="239" t="s">
        <v>158</v>
      </c>
      <c r="L171" s="394">
        <f>O169</f>
        <v>1</v>
      </c>
      <c r="M171" s="394"/>
      <c r="N171" s="239" t="s">
        <v>455</v>
      </c>
      <c r="O171" s="492">
        <f>Y166</f>
        <v>0</v>
      </c>
      <c r="P171" s="492"/>
      <c r="Q171" s="492"/>
      <c r="R171" s="243" t="str">
        <f>AB166</f>
        <v>mm</v>
      </c>
      <c r="S171" s="237"/>
      <c r="T171" s="239" t="s">
        <v>492</v>
      </c>
      <c r="U171" s="239" t="s">
        <v>452</v>
      </c>
      <c r="V171" s="386">
        <f>ABS(L171*O171)</f>
        <v>0</v>
      </c>
      <c r="W171" s="386"/>
      <c r="X171" s="386"/>
      <c r="Y171" s="243" t="str">
        <f>R171</f>
        <v>mm</v>
      </c>
      <c r="Z171" s="238"/>
      <c r="AA171" s="150"/>
      <c r="AB171" s="150"/>
      <c r="AC171" s="243"/>
      <c r="AD171" s="239"/>
      <c r="AE171" s="244"/>
      <c r="AF171" s="239"/>
      <c r="AG171" s="239"/>
      <c r="AH171" s="239"/>
      <c r="AI171" s="239"/>
      <c r="AJ171" s="239"/>
      <c r="AK171" s="244"/>
      <c r="AL171" s="239"/>
      <c r="AM171" s="239"/>
      <c r="AN171" s="239"/>
      <c r="AO171" s="239"/>
      <c r="AP171" s="239"/>
      <c r="AQ171" s="239"/>
      <c r="AR171" s="239"/>
      <c r="AS171" s="239"/>
      <c r="AT171" s="239"/>
      <c r="AU171" s="239"/>
      <c r="AV171" s="239"/>
      <c r="AW171" s="239"/>
      <c r="AX171" s="239"/>
      <c r="AY171" s="239"/>
      <c r="AZ171" s="239"/>
    </row>
    <row r="172" spans="1:75" s="140" customFormat="1" ht="18.75" customHeight="1">
      <c r="B172" s="239"/>
      <c r="C172" s="244" t="s">
        <v>167</v>
      </c>
      <c r="D172" s="244"/>
      <c r="E172" s="244"/>
      <c r="F172" s="244"/>
      <c r="G172" s="244"/>
      <c r="H172" s="109" t="s">
        <v>500</v>
      </c>
      <c r="I172" s="244"/>
      <c r="J172" s="244"/>
      <c r="K172" s="244"/>
      <c r="L172" s="244"/>
      <c r="M172" s="244"/>
      <c r="N172" s="152"/>
      <c r="O172" s="152"/>
      <c r="P172" s="152"/>
      <c r="Q172" s="152"/>
      <c r="R172" s="239"/>
      <c r="S172" s="239"/>
      <c r="T172" s="239"/>
      <c r="U172" s="239"/>
      <c r="V172" s="239"/>
      <c r="W172" s="239"/>
      <c r="X172" s="239"/>
      <c r="Y172" s="239"/>
      <c r="Z172" s="244"/>
      <c r="AA172" s="244"/>
      <c r="AB172" s="244"/>
      <c r="AC172" s="244"/>
      <c r="AD172" s="239"/>
      <c r="AE172" s="239"/>
      <c r="AF172" s="239"/>
      <c r="AG172" s="239"/>
      <c r="AH172" s="239"/>
      <c r="AI172" s="239"/>
      <c r="AJ172" s="239"/>
      <c r="AK172" s="239"/>
      <c r="AL172" s="239"/>
      <c r="AM172" s="239"/>
      <c r="AN172" s="239"/>
      <c r="AO172" s="239"/>
      <c r="AP172" s="239"/>
      <c r="AQ172" s="239"/>
      <c r="AR172" s="239"/>
      <c r="AS172" s="239"/>
      <c r="AT172" s="239"/>
      <c r="AU172" s="239"/>
      <c r="AV172" s="239"/>
      <c r="AW172" s="239"/>
      <c r="AX172" s="239"/>
      <c r="AY172" s="239"/>
      <c r="AZ172" s="239"/>
      <c r="BA172" s="239"/>
      <c r="BB172" s="239"/>
      <c r="BC172" s="239"/>
    </row>
    <row r="173" spans="1:75" s="140" customFormat="1" ht="18.75" customHeight="1">
      <c r="A173" s="239"/>
      <c r="B173" s="244"/>
      <c r="C173" s="244"/>
      <c r="D173" s="244"/>
      <c r="E173" s="244"/>
      <c r="F173" s="239"/>
      <c r="G173" s="109"/>
      <c r="H173" s="244"/>
      <c r="I173" s="244"/>
      <c r="J173" s="244"/>
      <c r="K173" s="244"/>
      <c r="L173" s="244"/>
      <c r="M173" s="244"/>
      <c r="N173" s="244"/>
      <c r="O173" s="244"/>
      <c r="P173" s="244"/>
      <c r="Q173" s="244"/>
      <c r="R173" s="244"/>
      <c r="S173" s="244"/>
      <c r="T173" s="244"/>
      <c r="U173" s="244"/>
      <c r="V173" s="244"/>
      <c r="W173" s="244"/>
      <c r="X173" s="244"/>
      <c r="Y173" s="239"/>
      <c r="Z173" s="239"/>
      <c r="AA173" s="239"/>
      <c r="AB173" s="239"/>
      <c r="AC173" s="239"/>
      <c r="AD173" s="239"/>
      <c r="AE173" s="239"/>
      <c r="AF173" s="239"/>
      <c r="AG173" s="239"/>
      <c r="AH173" s="239"/>
      <c r="AI173" s="239"/>
      <c r="AJ173" s="239"/>
      <c r="AK173" s="239"/>
      <c r="AL173" s="239"/>
      <c r="AM173" s="239"/>
      <c r="AN173" s="239"/>
      <c r="AO173" s="239"/>
      <c r="AP173" s="239"/>
      <c r="AQ173" s="239"/>
      <c r="AR173" s="239"/>
      <c r="AS173" s="239"/>
      <c r="AT173" s="239"/>
      <c r="AU173" s="239"/>
      <c r="AV173" s="239"/>
      <c r="AW173" s="239"/>
      <c r="AX173" s="239"/>
      <c r="AY173" s="239"/>
      <c r="AZ173" s="239"/>
      <c r="BA173" s="239"/>
      <c r="BB173" s="239"/>
      <c r="BC173" s="239"/>
      <c r="BI173" s="58"/>
      <c r="BJ173" s="58"/>
      <c r="BK173" s="58"/>
      <c r="BL173" s="58"/>
      <c r="BM173" s="58"/>
      <c r="BR173" s="58"/>
      <c r="BU173" s="58"/>
      <c r="BV173" s="58"/>
      <c r="BW173" s="58"/>
    </row>
    <row r="174" spans="1:75" s="140" customFormat="1" ht="18.75" customHeight="1">
      <c r="B174" s="239"/>
      <c r="C174" s="57" t="s">
        <v>501</v>
      </c>
      <c r="D174" s="244"/>
      <c r="E174" s="244"/>
      <c r="F174" s="244"/>
      <c r="G174" s="244"/>
      <c r="H174" s="244"/>
      <c r="I174" s="244"/>
      <c r="J174" s="244"/>
      <c r="K174" s="244"/>
      <c r="L174" s="244"/>
      <c r="M174" s="244"/>
      <c r="N174" s="244"/>
      <c r="O174" s="244"/>
      <c r="P174" s="244"/>
      <c r="Q174" s="244"/>
      <c r="R174" s="244"/>
      <c r="S174" s="244"/>
      <c r="T174" s="244"/>
      <c r="U174" s="244"/>
      <c r="V174" s="244"/>
      <c r="W174" s="244"/>
      <c r="X174" s="244"/>
      <c r="Y174" s="244"/>
      <c r="Z174" s="244"/>
      <c r="AA174" s="244"/>
      <c r="AB174" s="244"/>
      <c r="AC174" s="244"/>
      <c r="AD174" s="244"/>
      <c r="AE174" s="244"/>
      <c r="AF174" s="244"/>
      <c r="AG174" s="244"/>
      <c r="AH174" s="244"/>
      <c r="AI174" s="244"/>
      <c r="AJ174" s="244"/>
      <c r="AK174" s="244"/>
      <c r="AL174" s="244"/>
      <c r="AM174" s="244"/>
      <c r="AN174" s="244"/>
      <c r="AO174" s="244"/>
      <c r="AP174" s="244"/>
      <c r="AQ174" s="244"/>
      <c r="AR174" s="244"/>
      <c r="AS174" s="244"/>
      <c r="AT174" s="244"/>
      <c r="AU174" s="244"/>
      <c r="AV174" s="244"/>
      <c r="AW174" s="244"/>
      <c r="AX174" s="244"/>
      <c r="AY174" s="244"/>
      <c r="AZ174" s="244"/>
      <c r="BA174" s="244"/>
      <c r="BB174" s="244"/>
      <c r="BC174" s="244"/>
      <c r="BD174" s="244"/>
      <c r="BE174" s="58"/>
      <c r="BF174" s="58"/>
      <c r="BG174" s="58"/>
      <c r="BH174" s="58"/>
      <c r="BI174" s="58"/>
      <c r="BJ174" s="58"/>
      <c r="BK174" s="58"/>
      <c r="BL174" s="58"/>
      <c r="BM174" s="58"/>
      <c r="BN174" s="58"/>
      <c r="BO174" s="58"/>
      <c r="BP174" s="58"/>
      <c r="BQ174" s="58"/>
    </row>
    <row r="175" spans="1:75" s="140" customFormat="1" ht="18.75" customHeight="1">
      <c r="B175" s="239"/>
      <c r="C175" s="241" t="s">
        <v>502</v>
      </c>
      <c r="D175" s="239"/>
      <c r="E175" s="239"/>
      <c r="F175" s="239"/>
      <c r="G175" s="239"/>
      <c r="H175" s="251"/>
      <c r="I175" s="387">
        <f>H84</f>
        <v>0</v>
      </c>
      <c r="J175" s="387"/>
      <c r="K175" s="387"/>
      <c r="L175" s="387"/>
      <c r="M175" s="387"/>
      <c r="N175" s="387" t="str">
        <f>M84</f>
        <v>mm</v>
      </c>
      <c r="O175" s="387"/>
      <c r="P175" s="238"/>
      <c r="Q175" s="251"/>
      <c r="R175" s="251"/>
      <c r="S175" s="251"/>
      <c r="T175" s="251"/>
      <c r="U175" s="251"/>
      <c r="V175" s="251"/>
      <c r="W175" s="244"/>
      <c r="Y175" s="269"/>
      <c r="Z175" s="269"/>
      <c r="AA175" s="269"/>
      <c r="AB175" s="270"/>
      <c r="AD175" s="269"/>
      <c r="AE175" s="269"/>
      <c r="AF175" s="269"/>
      <c r="AG175" s="271"/>
      <c r="AH175" s="244"/>
      <c r="AI175" s="244"/>
      <c r="AJ175" s="239"/>
      <c r="AK175" s="239"/>
      <c r="AL175" s="239"/>
      <c r="AM175" s="239"/>
      <c r="AN175" s="244"/>
      <c r="AO175" s="244"/>
      <c r="AP175" s="244"/>
      <c r="AQ175" s="244"/>
      <c r="AR175" s="244"/>
      <c r="AS175" s="244"/>
      <c r="AT175" s="244"/>
      <c r="AU175" s="244"/>
      <c r="AV175" s="244"/>
      <c r="AW175" s="244"/>
      <c r="AX175" s="244"/>
      <c r="AY175" s="244"/>
      <c r="AZ175" s="244"/>
      <c r="BA175" s="244"/>
      <c r="BB175" s="244"/>
      <c r="BC175" s="244"/>
      <c r="BD175" s="244"/>
      <c r="BE175" s="58"/>
      <c r="BF175" s="58"/>
      <c r="BG175" s="58"/>
      <c r="BH175" s="58"/>
      <c r="BI175" s="58"/>
      <c r="BJ175" s="58"/>
      <c r="BK175" s="58"/>
      <c r="BL175" s="58"/>
      <c r="BM175" s="58"/>
      <c r="BN175" s="58"/>
      <c r="BO175" s="58"/>
      <c r="BP175" s="58"/>
      <c r="BQ175" s="58"/>
    </row>
    <row r="176" spans="1:75" s="140" customFormat="1" ht="18.75" customHeight="1">
      <c r="B176" s="239"/>
      <c r="C176" s="244" t="s">
        <v>503</v>
      </c>
      <c r="D176" s="239"/>
      <c r="E176" s="239"/>
      <c r="F176" s="239"/>
      <c r="G176" s="239"/>
      <c r="H176" s="266"/>
      <c r="I176" s="266"/>
      <c r="J176" s="263" t="s">
        <v>504</v>
      </c>
      <c r="K176" s="266"/>
      <c r="L176" s="266"/>
      <c r="M176" s="266"/>
      <c r="N176" s="266"/>
      <c r="O176" s="266"/>
      <c r="P176" s="266"/>
      <c r="Q176" s="266"/>
      <c r="R176" s="267"/>
      <c r="S176" s="267"/>
      <c r="T176" s="267"/>
      <c r="U176" s="267"/>
      <c r="V176" s="267"/>
      <c r="W176" s="267"/>
      <c r="X176" s="267"/>
      <c r="Y176" s="267"/>
      <c r="Z176" s="267"/>
      <c r="AA176" s="244"/>
      <c r="AB176" s="244"/>
      <c r="AC176" s="244"/>
      <c r="AD176" s="244"/>
      <c r="AE176" s="244"/>
      <c r="AF176" s="244"/>
      <c r="AG176" s="244"/>
      <c r="AH176" s="244"/>
      <c r="AI176" s="244"/>
      <c r="AJ176" s="239"/>
      <c r="AK176" s="239"/>
      <c r="AL176" s="239"/>
      <c r="AM176" s="239"/>
      <c r="AN176" s="244"/>
      <c r="AO176" s="244"/>
      <c r="AP176" s="244"/>
      <c r="AQ176" s="244"/>
      <c r="AR176" s="244"/>
      <c r="AS176" s="244"/>
      <c r="AT176" s="244"/>
      <c r="AU176" s="244"/>
      <c r="AV176" s="244"/>
      <c r="AW176" s="244"/>
      <c r="AX176" s="244"/>
      <c r="AY176" s="244"/>
      <c r="AZ176" s="244"/>
      <c r="BA176" s="244"/>
      <c r="BB176" s="244"/>
      <c r="BC176" s="244"/>
      <c r="BD176" s="244"/>
      <c r="BE176" s="58"/>
      <c r="BF176" s="58"/>
      <c r="BG176" s="58"/>
      <c r="BH176" s="58"/>
      <c r="BI176" s="58"/>
      <c r="BJ176" s="58"/>
      <c r="BK176" s="58"/>
      <c r="BL176" s="58"/>
      <c r="BM176" s="58"/>
      <c r="BN176" s="58"/>
      <c r="BO176" s="58"/>
      <c r="BP176" s="58"/>
      <c r="BQ176" s="58"/>
    </row>
    <row r="177" spans="1:75" s="140" customFormat="1" ht="18.75" customHeight="1">
      <c r="B177" s="239"/>
      <c r="C177" s="244"/>
      <c r="D177" s="239"/>
      <c r="E177" s="239"/>
      <c r="F177" s="239"/>
      <c r="G177" s="239"/>
      <c r="H177" s="266"/>
      <c r="I177" s="266"/>
      <c r="J177" s="266"/>
      <c r="K177" s="263" t="s">
        <v>505</v>
      </c>
      <c r="L177" s="266"/>
      <c r="M177" s="266"/>
      <c r="N177" s="266"/>
      <c r="O177" s="266"/>
      <c r="P177" s="266"/>
      <c r="Q177" s="266"/>
      <c r="R177" s="267"/>
      <c r="S177" s="267"/>
      <c r="T177" s="267"/>
      <c r="U177" s="267"/>
      <c r="V177" s="267"/>
      <c r="W177" s="267"/>
      <c r="X177" s="267"/>
      <c r="Y177" s="267"/>
      <c r="Z177" s="267"/>
      <c r="AA177" s="244"/>
      <c r="AB177" s="244"/>
      <c r="AC177" s="244"/>
      <c r="AD177" s="244"/>
      <c r="AE177" s="244"/>
      <c r="AF177" s="244"/>
      <c r="AG177" s="244"/>
      <c r="AH177" s="244"/>
      <c r="AI177" s="244"/>
      <c r="AJ177" s="239"/>
      <c r="AK177" s="239"/>
      <c r="AL177" s="239"/>
      <c r="AM177" s="239"/>
      <c r="AN177" s="244"/>
      <c r="AO177" s="244"/>
      <c r="AP177" s="244"/>
      <c r="AQ177" s="244"/>
      <c r="AR177" s="244"/>
      <c r="AS177" s="244"/>
      <c r="AT177" s="244"/>
      <c r="AU177" s="244"/>
      <c r="AV177" s="244"/>
      <c r="AW177" s="244"/>
      <c r="AX177" s="244"/>
      <c r="AY177" s="244"/>
      <c r="AZ177" s="244"/>
      <c r="BA177" s="244"/>
      <c r="BB177" s="244"/>
      <c r="BC177" s="244"/>
      <c r="BD177" s="244"/>
      <c r="BE177" s="58"/>
      <c r="BF177" s="58"/>
      <c r="BG177" s="58"/>
      <c r="BH177" s="58"/>
      <c r="BI177" s="58"/>
      <c r="BJ177" s="58"/>
      <c r="BK177" s="58"/>
      <c r="BL177" s="58"/>
      <c r="BM177" s="58"/>
      <c r="BN177" s="58"/>
      <c r="BO177" s="58"/>
      <c r="BP177" s="58"/>
      <c r="BQ177" s="58"/>
    </row>
    <row r="178" spans="1:75" s="140" customFormat="1" ht="18.75" customHeight="1">
      <c r="B178" s="239"/>
      <c r="C178" s="244"/>
      <c r="D178" s="239"/>
      <c r="E178" s="239"/>
      <c r="F178" s="239"/>
      <c r="G178" s="239"/>
      <c r="H178" s="266"/>
      <c r="I178" s="266"/>
      <c r="J178" s="266" t="s">
        <v>506</v>
      </c>
      <c r="K178" s="263"/>
      <c r="L178" s="266"/>
      <c r="M178" s="266"/>
      <c r="N178" s="266"/>
      <c r="O178" s="266"/>
      <c r="P178" s="495" t="e">
        <f>Calcu!H60</f>
        <v>#N/A</v>
      </c>
      <c r="Q178" s="495"/>
      <c r="R178" s="495"/>
      <c r="S178" s="495"/>
      <c r="T178" s="495"/>
      <c r="U178" s="282" t="s">
        <v>507</v>
      </c>
      <c r="V178" s="495" t="e">
        <f>Calcu!G60</f>
        <v>#N/A</v>
      </c>
      <c r="W178" s="495"/>
      <c r="X178" s="495"/>
      <c r="Y178" s="495"/>
      <c r="Z178" s="495"/>
      <c r="AA178" s="244"/>
      <c r="AB178" s="244"/>
      <c r="AC178" s="244"/>
      <c r="AD178" s="244"/>
      <c r="AE178" s="244"/>
      <c r="AF178" s="244"/>
      <c r="AG178" s="244"/>
      <c r="AH178" s="244"/>
      <c r="AI178" s="244"/>
      <c r="AJ178" s="239"/>
      <c r="AK178" s="239"/>
      <c r="AL178" s="239"/>
      <c r="AM178" s="239"/>
      <c r="AN178" s="244"/>
      <c r="AO178" s="244"/>
      <c r="AP178" s="244"/>
      <c r="AQ178" s="244"/>
      <c r="AR178" s="244"/>
      <c r="AS178" s="244"/>
      <c r="AT178" s="244"/>
      <c r="AU178" s="244"/>
      <c r="AV178" s="244"/>
      <c r="AW178" s="244"/>
      <c r="AX178" s="244"/>
      <c r="AY178" s="244"/>
      <c r="AZ178" s="244"/>
      <c r="BA178" s="244"/>
      <c r="BB178" s="244"/>
      <c r="BC178" s="244"/>
      <c r="BD178" s="244"/>
      <c r="BE178" s="58"/>
      <c r="BF178" s="58"/>
      <c r="BG178" s="58"/>
      <c r="BH178" s="58"/>
      <c r="BI178" s="58"/>
      <c r="BJ178" s="58"/>
      <c r="BK178" s="58"/>
      <c r="BL178" s="58"/>
      <c r="BM178" s="58"/>
      <c r="BN178" s="58"/>
      <c r="BO178" s="58"/>
      <c r="BP178" s="58"/>
      <c r="BQ178" s="58"/>
    </row>
    <row r="179" spans="1:75" s="140" customFormat="1" ht="18.75" customHeight="1">
      <c r="B179" s="239"/>
      <c r="C179" s="244"/>
      <c r="D179" s="244"/>
      <c r="E179" s="244"/>
      <c r="F179" s="244"/>
      <c r="G179" s="244"/>
      <c r="H179" s="244"/>
      <c r="I179" s="244"/>
      <c r="J179" s="239"/>
      <c r="K179" s="392" t="s">
        <v>508</v>
      </c>
      <c r="L179" s="392"/>
      <c r="M179" s="392"/>
      <c r="N179" s="392" t="s">
        <v>498</v>
      </c>
      <c r="O179" s="496" t="s">
        <v>509</v>
      </c>
      <c r="P179" s="393" t="e">
        <f>V178</f>
        <v>#N/A</v>
      </c>
      <c r="Q179" s="393"/>
      <c r="R179" s="393"/>
      <c r="S179" s="280" t="s">
        <v>129</v>
      </c>
      <c r="T179" s="281"/>
      <c r="U179" s="394" t="s">
        <v>510</v>
      </c>
      <c r="V179" s="386" t="e">
        <f>P178</f>
        <v>#N/A</v>
      </c>
      <c r="W179" s="386"/>
      <c r="X179" s="386"/>
      <c r="Y179" s="497" t="s">
        <v>490</v>
      </c>
      <c r="Z179" s="497"/>
      <c r="AA179" s="498" t="s">
        <v>511</v>
      </c>
      <c r="AB179" s="394" t="s">
        <v>85</v>
      </c>
      <c r="AC179" s="395">
        <f>Calcu!I60</f>
        <v>1</v>
      </c>
      <c r="AD179" s="395"/>
      <c r="AE179" s="395"/>
      <c r="AF179" s="385" t="s">
        <v>146</v>
      </c>
      <c r="AG179" s="386" t="e">
        <f>(P179/P180+V179)*AC179</f>
        <v>#N/A</v>
      </c>
      <c r="AH179" s="386"/>
      <c r="AI179" s="386"/>
      <c r="AJ179" s="387" t="s">
        <v>480</v>
      </c>
      <c r="AK179" s="387"/>
      <c r="AL179" s="239"/>
      <c r="AM179" s="239"/>
      <c r="AN179" s="239"/>
      <c r="AO179" s="239"/>
      <c r="AP179" s="239"/>
      <c r="AQ179" s="239"/>
      <c r="AR179" s="239"/>
      <c r="AS179" s="239"/>
      <c r="AT179" s="239"/>
      <c r="AU179" s="239"/>
      <c r="AV179" s="239"/>
      <c r="AW179" s="239"/>
      <c r="AX179" s="239"/>
      <c r="AY179" s="239"/>
      <c r="AZ179" s="239"/>
      <c r="BA179" s="239"/>
      <c r="BB179" s="239"/>
      <c r="BC179" s="239"/>
      <c r="BD179" s="239"/>
      <c r="BE179" s="239"/>
      <c r="BF179" s="239"/>
    </row>
    <row r="180" spans="1:75" s="140" customFormat="1" ht="18.75" customHeight="1">
      <c r="B180" s="239"/>
      <c r="C180" s="244"/>
      <c r="D180" s="244"/>
      <c r="E180" s="244"/>
      <c r="F180" s="244"/>
      <c r="G180" s="244"/>
      <c r="H180" s="244"/>
      <c r="I180" s="244"/>
      <c r="J180" s="239"/>
      <c r="K180" s="392"/>
      <c r="L180" s="392"/>
      <c r="M180" s="392"/>
      <c r="N180" s="392"/>
      <c r="O180" s="496"/>
      <c r="P180" s="427">
        <v>2</v>
      </c>
      <c r="Q180" s="427"/>
      <c r="R180" s="427"/>
      <c r="S180" s="427"/>
      <c r="T180" s="427"/>
      <c r="U180" s="394"/>
      <c r="V180" s="386"/>
      <c r="W180" s="386"/>
      <c r="X180" s="386"/>
      <c r="Y180" s="497"/>
      <c r="Z180" s="497"/>
      <c r="AA180" s="498"/>
      <c r="AB180" s="394"/>
      <c r="AC180" s="395"/>
      <c r="AD180" s="395"/>
      <c r="AE180" s="395"/>
      <c r="AF180" s="385"/>
      <c r="AG180" s="386"/>
      <c r="AH180" s="386"/>
      <c r="AI180" s="386"/>
      <c r="AJ180" s="387"/>
      <c r="AK180" s="387"/>
      <c r="AL180" s="239"/>
      <c r="AM180" s="239"/>
      <c r="AN180" s="239"/>
      <c r="AO180" s="239"/>
      <c r="AP180" s="239"/>
      <c r="AQ180" s="239"/>
      <c r="AR180" s="239"/>
      <c r="AS180" s="239"/>
      <c r="AT180" s="239"/>
      <c r="AU180" s="239"/>
      <c r="AV180" s="239"/>
      <c r="AW180" s="239"/>
      <c r="AX180" s="239"/>
      <c r="AY180" s="239"/>
      <c r="AZ180" s="239"/>
      <c r="BA180" s="239"/>
      <c r="BB180" s="239"/>
      <c r="BC180" s="239"/>
      <c r="BD180" s="239"/>
      <c r="BE180" s="239"/>
      <c r="BF180" s="239"/>
    </row>
    <row r="181" spans="1:75" s="140" customFormat="1" ht="18.75" customHeight="1">
      <c r="B181" s="239"/>
      <c r="C181" s="244" t="s">
        <v>512</v>
      </c>
      <c r="D181" s="244"/>
      <c r="E181" s="244"/>
      <c r="F181" s="244"/>
      <c r="G181" s="244"/>
      <c r="H181" s="244"/>
      <c r="I181" s="388" t="str">
        <f>V84</f>
        <v>정규</v>
      </c>
      <c r="J181" s="388"/>
      <c r="K181" s="388"/>
      <c r="L181" s="388"/>
      <c r="M181" s="388"/>
      <c r="N181" s="388"/>
      <c r="O181" s="388"/>
      <c r="P181" s="388"/>
      <c r="Q181" s="239"/>
      <c r="R181" s="239"/>
      <c r="S181" s="239"/>
      <c r="T181" s="244"/>
      <c r="AE181" s="239"/>
      <c r="AF181" s="239"/>
      <c r="AG181" s="239"/>
      <c r="AH181" s="239"/>
      <c r="AI181" s="239"/>
      <c r="AJ181" s="239"/>
      <c r="AK181" s="239"/>
      <c r="AL181" s="239"/>
      <c r="AM181" s="239"/>
      <c r="AN181" s="239"/>
      <c r="AO181" s="239"/>
      <c r="AP181" s="239"/>
      <c r="AQ181" s="239"/>
      <c r="AR181" s="239"/>
      <c r="AS181" s="239"/>
      <c r="AT181" s="239"/>
      <c r="AU181" s="239"/>
      <c r="AV181" s="239"/>
      <c r="AW181" s="239"/>
      <c r="AX181" s="239"/>
      <c r="AY181" s="239"/>
      <c r="AZ181" s="239"/>
      <c r="BA181" s="239"/>
      <c r="BB181" s="239"/>
      <c r="BC181" s="239"/>
      <c r="BD181" s="239"/>
    </row>
    <row r="182" spans="1:75" s="140" customFormat="1" ht="18.75" customHeight="1">
      <c r="B182" s="239"/>
      <c r="C182" s="396" t="s">
        <v>168</v>
      </c>
      <c r="D182" s="396"/>
      <c r="E182" s="396"/>
      <c r="F182" s="396"/>
      <c r="G182" s="396"/>
      <c r="H182" s="396"/>
      <c r="I182" s="244"/>
      <c r="J182" s="244"/>
      <c r="K182" s="244"/>
      <c r="L182" s="244"/>
      <c r="M182" s="244"/>
      <c r="N182" s="244"/>
      <c r="O182" s="499">
        <f>AA84</f>
        <v>1</v>
      </c>
      <c r="P182" s="499"/>
      <c r="Q182" s="244"/>
      <c r="R182" s="244"/>
      <c r="S182" s="244"/>
      <c r="T182" s="244"/>
      <c r="AE182" s="239"/>
      <c r="AF182" s="239"/>
      <c r="AG182" s="239"/>
      <c r="AH182" s="239"/>
      <c r="AI182" s="239"/>
      <c r="AJ182" s="239"/>
      <c r="AK182" s="239"/>
      <c r="AL182" s="239"/>
      <c r="AM182" s="239"/>
      <c r="AN182" s="239"/>
      <c r="AO182" s="239"/>
      <c r="AP182" s="239"/>
      <c r="AQ182" s="239"/>
      <c r="AR182" s="239"/>
      <c r="AS182" s="239"/>
      <c r="AT182" s="239"/>
      <c r="AU182" s="239"/>
      <c r="AV182" s="239"/>
      <c r="AW182" s="239"/>
      <c r="AX182" s="239"/>
      <c r="AY182" s="239"/>
      <c r="AZ182" s="239"/>
      <c r="BA182" s="239"/>
      <c r="BB182" s="239"/>
      <c r="BC182" s="239"/>
      <c r="BD182" s="239"/>
    </row>
    <row r="183" spans="1:75" s="140" customFormat="1" ht="18.75" customHeight="1">
      <c r="B183" s="239"/>
      <c r="C183" s="396"/>
      <c r="D183" s="396"/>
      <c r="E183" s="396"/>
      <c r="F183" s="396"/>
      <c r="G183" s="396"/>
      <c r="H183" s="396"/>
      <c r="I183" s="244"/>
      <c r="J183" s="244"/>
      <c r="K183" s="244"/>
      <c r="L183" s="244"/>
      <c r="M183" s="244"/>
      <c r="N183" s="244"/>
      <c r="O183" s="499"/>
      <c r="P183" s="499"/>
      <c r="Q183" s="244"/>
      <c r="R183" s="244"/>
      <c r="S183" s="244"/>
      <c r="T183" s="244"/>
      <c r="U183" s="244"/>
      <c r="V183" s="244"/>
      <c r="W183" s="244"/>
      <c r="X183" s="244"/>
      <c r="Y183" s="244"/>
      <c r="Z183" s="244"/>
      <c r="AA183" s="244"/>
      <c r="AB183" s="244"/>
      <c r="AC183" s="244"/>
      <c r="AD183" s="239"/>
      <c r="AE183" s="239"/>
      <c r="AF183" s="239"/>
      <c r="AG183" s="239"/>
      <c r="AH183" s="239"/>
      <c r="AI183" s="239"/>
      <c r="AJ183" s="239"/>
      <c r="AK183" s="239"/>
      <c r="AL183" s="239"/>
      <c r="AM183" s="239"/>
      <c r="AN183" s="239"/>
      <c r="AO183" s="239"/>
      <c r="AP183" s="239"/>
      <c r="AQ183" s="239"/>
      <c r="AR183" s="239"/>
      <c r="AS183" s="239"/>
      <c r="AT183" s="239"/>
      <c r="AU183" s="239"/>
      <c r="AV183" s="239"/>
      <c r="AW183" s="239"/>
      <c r="AX183" s="239"/>
      <c r="AY183" s="239"/>
      <c r="AZ183" s="239"/>
      <c r="BA183" s="239"/>
      <c r="BB183" s="239"/>
      <c r="BC183" s="239"/>
    </row>
    <row r="184" spans="1:75" s="140" customFormat="1" ht="18.75" customHeight="1">
      <c r="B184" s="239"/>
      <c r="C184" s="244" t="s">
        <v>513</v>
      </c>
      <c r="D184" s="244"/>
      <c r="E184" s="244"/>
      <c r="F184" s="244"/>
      <c r="G184" s="244"/>
      <c r="H184" s="244"/>
      <c r="I184" s="244"/>
      <c r="J184" s="239"/>
      <c r="K184" s="239" t="s">
        <v>492</v>
      </c>
      <c r="L184" s="394">
        <f>O182</f>
        <v>1</v>
      </c>
      <c r="M184" s="394"/>
      <c r="N184" s="239" t="s">
        <v>455</v>
      </c>
      <c r="O184" s="492" t="e">
        <f>AG179</f>
        <v>#N/A</v>
      </c>
      <c r="P184" s="492"/>
      <c r="Q184" s="492"/>
      <c r="R184" s="243" t="str">
        <f>AJ179</f>
        <v>mm</v>
      </c>
      <c r="S184" s="237"/>
      <c r="T184" s="239" t="s">
        <v>158</v>
      </c>
      <c r="U184" s="239" t="s">
        <v>452</v>
      </c>
      <c r="V184" s="386" t="e">
        <f>ABS(L184*O184)</f>
        <v>#N/A</v>
      </c>
      <c r="W184" s="386"/>
      <c r="X184" s="386"/>
      <c r="Y184" s="243" t="str">
        <f>R184</f>
        <v>mm</v>
      </c>
      <c r="Z184" s="238"/>
      <c r="AA184" s="150"/>
      <c r="AB184" s="150"/>
      <c r="AC184" s="243"/>
      <c r="AD184" s="239"/>
      <c r="AE184" s="244"/>
      <c r="AF184" s="239"/>
      <c r="AG184" s="239"/>
      <c r="AH184" s="239"/>
      <c r="AI184" s="239"/>
      <c r="AJ184" s="239"/>
      <c r="AK184" s="244"/>
      <c r="AL184" s="239"/>
      <c r="AM184" s="239"/>
      <c r="AN184" s="239"/>
      <c r="AO184" s="239"/>
      <c r="AP184" s="239"/>
      <c r="AQ184" s="239"/>
      <c r="AR184" s="239"/>
      <c r="AS184" s="239"/>
      <c r="AT184" s="239"/>
      <c r="AU184" s="239"/>
      <c r="AV184" s="239"/>
      <c r="AW184" s="239"/>
      <c r="AX184" s="239"/>
      <c r="AY184" s="239"/>
      <c r="AZ184" s="239"/>
    </row>
    <row r="185" spans="1:75" s="140" customFormat="1" ht="18.75" customHeight="1">
      <c r="B185" s="239"/>
      <c r="C185" s="244" t="s">
        <v>169</v>
      </c>
      <c r="D185" s="244"/>
      <c r="E185" s="244"/>
      <c r="F185" s="244"/>
      <c r="G185" s="244"/>
      <c r="H185" s="109" t="s">
        <v>514</v>
      </c>
      <c r="I185" s="244"/>
      <c r="J185" s="244"/>
      <c r="K185" s="244"/>
      <c r="L185" s="244"/>
      <c r="M185" s="244"/>
      <c r="N185" s="152"/>
      <c r="O185" s="152"/>
      <c r="P185" s="152"/>
      <c r="Q185" s="152"/>
      <c r="R185" s="239"/>
      <c r="S185" s="239"/>
      <c r="T185" s="239"/>
      <c r="U185" s="239"/>
      <c r="V185" s="239"/>
      <c r="W185" s="239"/>
      <c r="X185" s="239"/>
      <c r="Y185" s="239"/>
      <c r="Z185" s="244"/>
      <c r="AA185" s="244"/>
      <c r="AB185" s="244"/>
      <c r="AC185" s="244"/>
      <c r="AD185" s="239"/>
      <c r="AE185" s="239"/>
      <c r="AF185" s="239"/>
      <c r="AG185" s="239"/>
      <c r="AH185" s="239"/>
      <c r="AI185" s="239"/>
      <c r="AJ185" s="239"/>
      <c r="AK185" s="239"/>
      <c r="AL185" s="239"/>
      <c r="AM185" s="239"/>
      <c r="AN185" s="239"/>
      <c r="AO185" s="239"/>
      <c r="AP185" s="239"/>
      <c r="AQ185" s="239"/>
      <c r="AR185" s="239"/>
      <c r="AS185" s="239"/>
      <c r="AT185" s="239"/>
      <c r="AU185" s="239"/>
      <c r="AV185" s="239"/>
      <c r="AW185" s="239"/>
      <c r="AX185" s="239"/>
      <c r="AY185" s="239"/>
      <c r="AZ185" s="239"/>
      <c r="BA185" s="239"/>
      <c r="BB185" s="239"/>
      <c r="BC185" s="239"/>
    </row>
    <row r="186" spans="1:75" s="140" customFormat="1" ht="18.75" customHeight="1">
      <c r="A186" s="239"/>
      <c r="B186" s="244"/>
      <c r="C186" s="244"/>
      <c r="D186" s="244"/>
      <c r="E186" s="244"/>
      <c r="F186" s="239"/>
      <c r="G186" s="109"/>
      <c r="H186" s="244"/>
      <c r="I186" s="244"/>
      <c r="J186" s="244"/>
      <c r="K186" s="244"/>
      <c r="L186" s="244"/>
      <c r="M186" s="244"/>
      <c r="N186" s="244"/>
      <c r="O186" s="244"/>
      <c r="P186" s="244"/>
      <c r="Q186" s="244"/>
      <c r="R186" s="244"/>
      <c r="S186" s="244"/>
      <c r="T186" s="244"/>
      <c r="U186" s="244"/>
      <c r="V186" s="244"/>
      <c r="W186" s="244"/>
      <c r="X186" s="244"/>
      <c r="Y186" s="239"/>
      <c r="Z186" s="239"/>
      <c r="AA186" s="239"/>
      <c r="AB186" s="239"/>
      <c r="AC186" s="239"/>
      <c r="AD186" s="239"/>
      <c r="AE186" s="239"/>
      <c r="AF186" s="239"/>
      <c r="AG186" s="239"/>
      <c r="AH186" s="239"/>
      <c r="AI186" s="239"/>
      <c r="AJ186" s="239"/>
      <c r="AK186" s="239"/>
      <c r="AL186" s="239"/>
      <c r="AM186" s="239"/>
      <c r="AN186" s="239"/>
      <c r="AO186" s="239"/>
      <c r="AP186" s="239"/>
      <c r="AQ186" s="239"/>
      <c r="AR186" s="239"/>
      <c r="AS186" s="239"/>
      <c r="AT186" s="239"/>
      <c r="AU186" s="239"/>
      <c r="AV186" s="239"/>
      <c r="AW186" s="239"/>
      <c r="AX186" s="239"/>
      <c r="AY186" s="239"/>
      <c r="AZ186" s="239"/>
      <c r="BA186" s="239"/>
      <c r="BB186" s="239"/>
      <c r="BC186" s="239"/>
      <c r="BI186" s="58"/>
      <c r="BJ186" s="58"/>
      <c r="BK186" s="58"/>
      <c r="BL186" s="58"/>
      <c r="BM186" s="58"/>
      <c r="BR186" s="58"/>
      <c r="BU186" s="58"/>
      <c r="BV186" s="58"/>
      <c r="BW186" s="58"/>
    </row>
    <row r="187" spans="1:75" s="140" customFormat="1" ht="18.75" customHeight="1">
      <c r="A187" s="239"/>
      <c r="B187" s="57" t="str">
        <f>"5. "&amp;$N$5&amp;"와 "&amp;T5&amp;"의 평균 열팽창계수에 의한 표준불확도,"</f>
        <v>5. 줄자와 줄자교정장치의 평균 열팽창계수에 의한 표준불확도,</v>
      </c>
      <c r="C187" s="244"/>
      <c r="D187" s="244"/>
      <c r="E187" s="244"/>
      <c r="F187" s="244"/>
      <c r="G187" s="244"/>
      <c r="H187" s="244"/>
      <c r="I187" s="244"/>
      <c r="J187" s="244"/>
      <c r="K187" s="244"/>
      <c r="L187" s="244"/>
      <c r="M187" s="244"/>
      <c r="N187" s="244"/>
      <c r="O187" s="244"/>
      <c r="P187" s="244"/>
      <c r="Q187" s="244"/>
      <c r="R187" s="244"/>
      <c r="S187" s="244"/>
      <c r="T187" s="244"/>
      <c r="U187" s="244"/>
      <c r="V187" s="244"/>
      <c r="W187" s="244"/>
      <c r="X187" s="244"/>
      <c r="Y187" s="244"/>
      <c r="Z187" s="244"/>
      <c r="AA187" s="244"/>
      <c r="AB187" s="244"/>
      <c r="AC187" s="244"/>
      <c r="AD187" s="244"/>
      <c r="AE187" s="244"/>
      <c r="AF187" s="244"/>
      <c r="AG187" s="244"/>
      <c r="AH187" s="244"/>
      <c r="AI187" s="244"/>
      <c r="AJ187" s="244"/>
      <c r="AK187" s="244"/>
      <c r="AL187" s="239"/>
      <c r="AM187" s="239"/>
      <c r="AN187" s="239"/>
      <c r="AO187" s="239"/>
      <c r="AP187" s="239"/>
      <c r="AQ187" s="239"/>
      <c r="AR187" s="239"/>
      <c r="AS187" s="239"/>
      <c r="AT187" s="239"/>
      <c r="AU187" s="239"/>
      <c r="AV187" s="239"/>
      <c r="AW187" s="239"/>
      <c r="AX187" s="239"/>
      <c r="AY187" s="244"/>
      <c r="AZ187" s="244"/>
      <c r="BA187" s="244"/>
      <c r="BB187" s="244"/>
      <c r="BC187" s="244"/>
      <c r="BD187" s="244"/>
      <c r="BE187" s="244"/>
      <c r="BF187" s="244"/>
      <c r="BG187" s="58"/>
      <c r="BH187" s="58"/>
      <c r="BI187" s="58"/>
      <c r="BJ187" s="58"/>
      <c r="BK187" s="58"/>
      <c r="BL187" s="58"/>
      <c r="BM187" s="58"/>
    </row>
    <row r="188" spans="1:75" s="140" customFormat="1" ht="18.75" customHeight="1">
      <c r="A188" s="239"/>
      <c r="B188" s="57"/>
      <c r="C188" s="244" t="str">
        <f>"※ "&amp;$N$5&amp;"와 "&amp;T5&amp;"의 평균 열팽창계수 :"</f>
        <v>※ 줄자와 줄자교정장치의 평균 열팽창계수 :</v>
      </c>
      <c r="D188" s="244"/>
      <c r="E188" s="244"/>
      <c r="F188" s="244"/>
      <c r="G188" s="244"/>
      <c r="H188" s="244"/>
      <c r="I188" s="244"/>
      <c r="J188" s="244"/>
      <c r="K188" s="244"/>
      <c r="L188" s="244"/>
      <c r="M188" s="244"/>
      <c r="N188" s="244"/>
      <c r="O188" s="244"/>
      <c r="P188" s="244"/>
      <c r="Q188" s="244"/>
      <c r="R188" s="244"/>
      <c r="S188" s="244"/>
      <c r="T188" s="244"/>
      <c r="U188" s="244"/>
      <c r="V188" s="141"/>
      <c r="W188" s="59"/>
      <c r="X188" s="244"/>
      <c r="Y188" s="59"/>
      <c r="Z188" s="239"/>
      <c r="AA188" s="244"/>
      <c r="AB188" s="239"/>
      <c r="AC188" s="239"/>
      <c r="AD188" s="142"/>
      <c r="AE188" s="239"/>
      <c r="AF188" s="239"/>
      <c r="AG188" s="244"/>
      <c r="AH188" s="244"/>
      <c r="AI188" s="244"/>
      <c r="AJ188" s="244"/>
      <c r="AK188" s="244"/>
      <c r="AL188" s="244"/>
      <c r="AM188" s="244"/>
      <c r="AN188" s="244"/>
      <c r="AO188" s="239"/>
      <c r="AP188" s="239"/>
      <c r="AQ188" s="239"/>
      <c r="AR188" s="239"/>
      <c r="AS188" s="239"/>
      <c r="AT188" s="239"/>
      <c r="AU188" s="239"/>
      <c r="AV188" s="239"/>
      <c r="AW188" s="239"/>
      <c r="AX188" s="239"/>
      <c r="AY188" s="244"/>
      <c r="AZ188" s="244"/>
      <c r="BA188" s="244"/>
      <c r="BB188" s="244"/>
      <c r="BC188" s="244"/>
      <c r="BD188" s="244"/>
      <c r="BE188" s="244"/>
      <c r="BF188" s="244"/>
      <c r="BG188" s="58"/>
      <c r="BH188" s="58"/>
      <c r="BI188" s="58"/>
      <c r="BJ188" s="58"/>
      <c r="BK188" s="58"/>
      <c r="BL188" s="58"/>
      <c r="BM188" s="58"/>
    </row>
    <row r="189" spans="1:75" s="140" customFormat="1" ht="18.75" customHeight="1">
      <c r="B189" s="239"/>
      <c r="C189" s="241" t="s">
        <v>170</v>
      </c>
      <c r="D189" s="239"/>
      <c r="E189" s="239"/>
      <c r="F189" s="239"/>
      <c r="G189" s="239"/>
      <c r="H189" s="500" t="e">
        <f>H85*10^6</f>
        <v>#VALUE!</v>
      </c>
      <c r="I189" s="500"/>
      <c r="J189" s="500"/>
      <c r="K189" s="238" t="s">
        <v>515</v>
      </c>
      <c r="L189" s="239"/>
      <c r="M189" s="239"/>
      <c r="N189" s="238"/>
      <c r="O189" s="238"/>
      <c r="P189" s="238"/>
      <c r="Q189" s="244"/>
      <c r="R189" s="244"/>
      <c r="S189" s="244"/>
      <c r="T189" s="244"/>
      <c r="U189" s="244"/>
      <c r="V189" s="244"/>
      <c r="W189" s="244"/>
      <c r="X189" s="244"/>
      <c r="Y189" s="244"/>
      <c r="Z189" s="244"/>
      <c r="AA189" s="244"/>
      <c r="AB189" s="244"/>
      <c r="AC189" s="244"/>
      <c r="AD189" s="244"/>
      <c r="AE189" s="244"/>
      <c r="AF189" s="59"/>
      <c r="AG189" s="244"/>
      <c r="AH189" s="244"/>
      <c r="AI189" s="244"/>
      <c r="AJ189" s="244"/>
      <c r="AK189" s="244"/>
      <c r="AL189" s="244"/>
      <c r="AM189" s="239"/>
      <c r="AN189" s="239"/>
      <c r="AO189" s="239"/>
      <c r="AP189" s="239"/>
      <c r="AQ189" s="239"/>
      <c r="AR189" s="239"/>
      <c r="AS189" s="239"/>
      <c r="AT189" s="239"/>
      <c r="AU189" s="239"/>
      <c r="AV189" s="239"/>
      <c r="AW189" s="239"/>
      <c r="AX189" s="239"/>
      <c r="AY189" s="239"/>
      <c r="AZ189" s="244"/>
      <c r="BA189" s="244"/>
      <c r="BB189" s="244"/>
      <c r="BC189" s="244"/>
      <c r="BD189" s="244"/>
      <c r="BE189" s="244"/>
      <c r="BF189" s="244"/>
      <c r="BG189" s="244"/>
      <c r="BH189" s="58"/>
      <c r="BI189" s="58"/>
      <c r="BJ189" s="58"/>
      <c r="BK189" s="58"/>
      <c r="BL189" s="58"/>
      <c r="BM189" s="58"/>
    </row>
    <row r="190" spans="1:75" s="140" customFormat="1" ht="18.75" customHeight="1">
      <c r="B190" s="239"/>
      <c r="C190" s="396" t="s">
        <v>516</v>
      </c>
      <c r="D190" s="396"/>
      <c r="E190" s="396"/>
      <c r="F190" s="396"/>
      <c r="G190" s="396"/>
      <c r="H190" s="396"/>
      <c r="I190" s="396"/>
      <c r="J190" s="388" t="s">
        <v>151</v>
      </c>
      <c r="K190" s="388"/>
      <c r="L190" s="388"/>
      <c r="M190" s="388"/>
      <c r="N190" s="388"/>
      <c r="O190" s="388"/>
      <c r="P190" s="388"/>
      <c r="Q190" s="388"/>
      <c r="R190" s="388"/>
      <c r="S190" s="388"/>
      <c r="T190" s="388"/>
      <c r="U190" s="388"/>
      <c r="V190" s="388"/>
      <c r="W190" s="388"/>
      <c r="X190" s="244"/>
      <c r="Y190" s="244"/>
      <c r="Z190" s="244"/>
      <c r="AA190" s="244"/>
      <c r="AB190" s="244"/>
      <c r="AC190" s="244"/>
      <c r="AD190" s="244"/>
      <c r="AE190" s="244"/>
      <c r="AF190" s="244"/>
      <c r="AG190" s="244"/>
      <c r="AH190" s="244"/>
      <c r="AI190" s="244"/>
      <c r="AJ190" s="244"/>
      <c r="AK190" s="239"/>
      <c r="AL190" s="239"/>
      <c r="AM190" s="239"/>
      <c r="AN190" s="244"/>
      <c r="AO190" s="244"/>
      <c r="AP190" s="244"/>
      <c r="AQ190" s="244"/>
      <c r="AR190" s="244"/>
      <c r="AS190" s="244"/>
      <c r="AT190" s="244"/>
      <c r="AU190" s="244"/>
      <c r="AV190" s="244"/>
      <c r="AW190" s="244"/>
      <c r="AX190" s="244"/>
      <c r="AY190" s="244"/>
      <c r="AZ190" s="244"/>
      <c r="BA190" s="244"/>
      <c r="BB190" s="244"/>
      <c r="BC190" s="244"/>
      <c r="BD190" s="244"/>
      <c r="BE190" s="244"/>
      <c r="BF190" s="244"/>
      <c r="BG190" s="244"/>
      <c r="BH190" s="58"/>
      <c r="BI190" s="58"/>
      <c r="BJ190" s="58"/>
      <c r="BK190" s="58"/>
      <c r="BL190" s="58"/>
      <c r="BM190" s="58"/>
      <c r="BN190" s="58"/>
    </row>
    <row r="191" spans="1:75" s="140" customFormat="1" ht="18.75" customHeight="1">
      <c r="B191" s="239"/>
      <c r="C191" s="396"/>
      <c r="D191" s="396"/>
      <c r="E191" s="396"/>
      <c r="F191" s="396"/>
      <c r="G191" s="396"/>
      <c r="H191" s="396"/>
      <c r="I191" s="396"/>
      <c r="J191" s="388"/>
      <c r="K191" s="388"/>
      <c r="L191" s="388"/>
      <c r="M191" s="388"/>
      <c r="N191" s="388"/>
      <c r="O191" s="388"/>
      <c r="P191" s="388"/>
      <c r="Q191" s="388"/>
      <c r="R191" s="388"/>
      <c r="S191" s="388"/>
      <c r="T191" s="388"/>
      <c r="U191" s="388"/>
      <c r="V191" s="388"/>
      <c r="W191" s="388"/>
      <c r="X191" s="244"/>
      <c r="Y191" s="244"/>
      <c r="Z191" s="244"/>
      <c r="AA191" s="244"/>
      <c r="AB191" s="244"/>
      <c r="AC191" s="244"/>
      <c r="AD191" s="244"/>
      <c r="AE191" s="244"/>
      <c r="AF191" s="239"/>
      <c r="AG191" s="244"/>
      <c r="AH191" s="244"/>
      <c r="AI191" s="244"/>
      <c r="AJ191" s="244"/>
      <c r="AK191" s="239"/>
      <c r="AL191" s="239"/>
      <c r="AM191" s="239"/>
      <c r="AN191" s="244"/>
      <c r="AO191" s="244"/>
      <c r="AP191" s="244"/>
      <c r="AQ191" s="244"/>
      <c r="AR191" s="244"/>
      <c r="AS191" s="239"/>
      <c r="AT191" s="244"/>
      <c r="AU191" s="244"/>
      <c r="AV191" s="244"/>
      <c r="AW191" s="244"/>
      <c r="AX191" s="244"/>
      <c r="AY191" s="244"/>
      <c r="AZ191" s="244"/>
      <c r="BA191" s="244"/>
      <c r="BB191" s="244"/>
      <c r="BC191" s="244"/>
      <c r="BD191" s="244"/>
      <c r="BE191" s="244"/>
      <c r="BF191" s="244"/>
      <c r="BG191" s="244"/>
      <c r="BH191" s="58"/>
      <c r="BI191" s="58"/>
      <c r="BJ191" s="58"/>
      <c r="BK191" s="58"/>
      <c r="BL191" s="58"/>
      <c r="BM191" s="58"/>
      <c r="BN191" s="58"/>
    </row>
    <row r="192" spans="1:75" s="140" customFormat="1" ht="18.75" customHeight="1">
      <c r="B192" s="239"/>
      <c r="C192" s="244"/>
      <c r="D192" s="244"/>
      <c r="E192" s="244"/>
      <c r="F192" s="244"/>
      <c r="G192" s="244"/>
      <c r="H192" s="244"/>
      <c r="I192" s="239"/>
      <c r="J192" s="388" t="s">
        <v>152</v>
      </c>
      <c r="K192" s="388"/>
      <c r="L192" s="388"/>
      <c r="M192" s="388"/>
      <c r="N192" s="388"/>
      <c r="O192" s="388"/>
      <c r="P192" s="388"/>
      <c r="Q192" s="388"/>
      <c r="R192" s="388"/>
      <c r="S192" s="388"/>
      <c r="T192" s="388"/>
      <c r="U192" s="388"/>
      <c r="V192" s="388"/>
      <c r="W192" s="388"/>
      <c r="X192" s="388"/>
      <c r="Y192" s="388"/>
      <c r="Z192" s="388"/>
      <c r="AA192" s="501" t="s">
        <v>153</v>
      </c>
      <c r="AB192" s="501"/>
      <c r="AC192" s="501"/>
      <c r="AD192" s="501"/>
      <c r="AE192" s="501"/>
      <c r="AF192" s="394" t="s">
        <v>146</v>
      </c>
      <c r="AG192" s="388" t="s">
        <v>154</v>
      </c>
      <c r="AH192" s="388"/>
      <c r="AI192" s="388"/>
      <c r="AJ192" s="388"/>
      <c r="AK192" s="388"/>
      <c r="AL192" s="388"/>
      <c r="AM192" s="239"/>
      <c r="AN192" s="244"/>
      <c r="AO192" s="244"/>
      <c r="AP192" s="244"/>
      <c r="AQ192" s="244"/>
      <c r="AR192" s="244"/>
      <c r="AS192" s="239"/>
      <c r="AT192" s="244"/>
      <c r="AU192" s="244"/>
      <c r="AV192" s="244"/>
      <c r="AW192" s="244"/>
      <c r="AX192" s="244"/>
      <c r="AY192" s="244"/>
      <c r="AZ192" s="244"/>
      <c r="BA192" s="244"/>
      <c r="BB192" s="244"/>
      <c r="BC192" s="244"/>
      <c r="BD192" s="244"/>
      <c r="BE192" s="244"/>
      <c r="BF192" s="244"/>
      <c r="BG192" s="244"/>
      <c r="BH192" s="58"/>
      <c r="BI192" s="58"/>
      <c r="BJ192" s="58"/>
      <c r="BK192" s="58"/>
      <c r="BL192" s="58"/>
      <c r="BM192" s="58"/>
      <c r="BN192" s="58"/>
    </row>
    <row r="193" spans="2:83" s="140" customFormat="1" ht="18.75" customHeight="1">
      <c r="B193" s="239"/>
      <c r="C193" s="244"/>
      <c r="D193" s="244"/>
      <c r="E193" s="244"/>
      <c r="F193" s="244"/>
      <c r="G193" s="244"/>
      <c r="H193" s="244"/>
      <c r="I193" s="239"/>
      <c r="J193" s="388"/>
      <c r="K193" s="388"/>
      <c r="L193" s="388"/>
      <c r="M193" s="388"/>
      <c r="N193" s="388"/>
      <c r="O193" s="388"/>
      <c r="P193" s="388"/>
      <c r="Q193" s="388"/>
      <c r="R193" s="388"/>
      <c r="S193" s="388"/>
      <c r="T193" s="388"/>
      <c r="U193" s="388"/>
      <c r="V193" s="388"/>
      <c r="W193" s="388"/>
      <c r="X193" s="388"/>
      <c r="Y193" s="388"/>
      <c r="Z193" s="388"/>
      <c r="AA193" s="244"/>
      <c r="AB193" s="239"/>
      <c r="AC193" s="239"/>
      <c r="AD193" s="239"/>
      <c r="AE193" s="239"/>
      <c r="AF193" s="394"/>
      <c r="AG193" s="388"/>
      <c r="AH193" s="388"/>
      <c r="AI193" s="388"/>
      <c r="AJ193" s="388"/>
      <c r="AK193" s="388"/>
      <c r="AL193" s="388"/>
      <c r="AM193" s="239"/>
      <c r="AN193" s="244"/>
      <c r="AO193" s="244"/>
      <c r="AP193" s="244"/>
      <c r="AQ193" s="244"/>
      <c r="AR193" s="244"/>
      <c r="AS193" s="244"/>
      <c r="AT193" s="244"/>
      <c r="AU193" s="244"/>
      <c r="AV193" s="244"/>
      <c r="AW193" s="244"/>
      <c r="AX193" s="244"/>
      <c r="AY193" s="244"/>
      <c r="AZ193" s="244"/>
      <c r="BA193" s="244"/>
      <c r="BB193" s="244"/>
      <c r="BC193" s="244"/>
      <c r="BD193" s="244"/>
      <c r="BE193" s="244"/>
      <c r="BF193" s="244"/>
      <c r="BG193" s="244"/>
      <c r="BH193" s="58"/>
      <c r="BI193" s="58"/>
      <c r="BJ193" s="58"/>
      <c r="BK193" s="58"/>
      <c r="BL193" s="58"/>
      <c r="BM193" s="58"/>
      <c r="BN193" s="58"/>
    </row>
    <row r="194" spans="2:83" s="140" customFormat="1" ht="18.75" customHeight="1">
      <c r="B194" s="239"/>
      <c r="C194" s="244"/>
      <c r="D194" s="244"/>
      <c r="E194" s="244"/>
      <c r="F194" s="244"/>
      <c r="G194" s="244"/>
      <c r="H194" s="244"/>
      <c r="I194" s="244"/>
      <c r="J194" s="239"/>
      <c r="K194" s="241" t="s">
        <v>155</v>
      </c>
      <c r="L194" s="241"/>
      <c r="M194" s="241"/>
      <c r="N194" s="241"/>
      <c r="O194" s="241"/>
      <c r="P194" s="241"/>
      <c r="Q194" s="241"/>
      <c r="R194" s="241"/>
      <c r="S194" s="244"/>
      <c r="T194" s="244"/>
      <c r="U194" s="244"/>
      <c r="V194" s="244"/>
      <c r="W194" s="244"/>
      <c r="X194" s="244"/>
      <c r="Y194" s="244"/>
      <c r="Z194" s="244"/>
      <c r="AA194" s="244"/>
      <c r="AB194" s="244"/>
      <c r="AC194" s="244"/>
      <c r="AD194" s="244"/>
      <c r="AE194" s="244"/>
      <c r="AF194" s="244"/>
      <c r="AG194" s="239"/>
      <c r="AH194" s="244"/>
      <c r="AI194" s="244"/>
      <c r="AJ194" s="244"/>
      <c r="AK194" s="239"/>
      <c r="AL194" s="239"/>
      <c r="AM194" s="239"/>
      <c r="AN194" s="239"/>
      <c r="AO194" s="244"/>
      <c r="AP194" s="244"/>
      <c r="AQ194" s="244"/>
      <c r="AR194" s="244"/>
      <c r="AS194" s="244"/>
      <c r="AT194" s="244"/>
      <c r="AU194" s="244"/>
      <c r="AV194" s="244"/>
      <c r="AW194" s="244"/>
      <c r="AX194" s="244"/>
      <c r="AY194" s="244"/>
      <c r="AZ194" s="244"/>
      <c r="BA194" s="244"/>
      <c r="BB194" s="244"/>
      <c r="BC194" s="244"/>
      <c r="BD194" s="244"/>
      <c r="BE194" s="244"/>
      <c r="BF194" s="244"/>
      <c r="BG194" s="244"/>
      <c r="BH194" s="239"/>
      <c r="BN194" s="58"/>
      <c r="BO194" s="58"/>
      <c r="BP194" s="58"/>
      <c r="BQ194" s="58"/>
      <c r="BR194" s="58"/>
      <c r="BS194" s="58"/>
      <c r="BX194" s="58"/>
      <c r="CE194" s="58"/>
    </row>
    <row r="195" spans="2:83" s="140" customFormat="1" ht="18.75" customHeight="1">
      <c r="B195" s="239"/>
      <c r="C195" s="244"/>
      <c r="D195" s="244"/>
      <c r="E195" s="244"/>
      <c r="F195" s="244"/>
      <c r="G195" s="244"/>
      <c r="H195" s="244"/>
      <c r="I195" s="244"/>
      <c r="J195" s="109"/>
      <c r="K195" s="109"/>
      <c r="L195" s="109"/>
      <c r="M195" s="239"/>
      <c r="N195" s="109"/>
      <c r="O195" s="109"/>
      <c r="P195" s="109"/>
      <c r="Q195" s="109"/>
      <c r="R195" s="109"/>
      <c r="S195" s="109"/>
      <c r="T195" s="109"/>
      <c r="U195" s="109"/>
      <c r="V195" s="239"/>
      <c r="W195" s="143"/>
      <c r="X195" s="143"/>
      <c r="Y195" s="143"/>
      <c r="Z195" s="239"/>
      <c r="AF195" s="239"/>
      <c r="AG195" s="388" t="s">
        <v>517</v>
      </c>
      <c r="AH195" s="388"/>
      <c r="AI195" s="388"/>
      <c r="AJ195" s="388"/>
      <c r="AK195" s="388"/>
      <c r="AL195" s="243"/>
      <c r="AM195" s="243"/>
      <c r="AN195" s="239"/>
      <c r="AO195" s="239"/>
      <c r="AP195" s="239"/>
      <c r="AQ195" s="239"/>
      <c r="AR195" s="239"/>
      <c r="AS195" s="244"/>
      <c r="AT195" s="244"/>
      <c r="AU195" s="239"/>
      <c r="AV195" s="239"/>
      <c r="AW195" s="239"/>
      <c r="AX195" s="239"/>
      <c r="AY195" s="239"/>
      <c r="AZ195" s="244"/>
      <c r="BA195" s="244"/>
      <c r="BB195" s="244"/>
      <c r="BC195" s="244"/>
      <c r="BD195" s="244"/>
      <c r="BE195" s="244"/>
      <c r="BF195" s="244"/>
      <c r="BG195" s="244"/>
      <c r="BH195" s="239"/>
      <c r="BN195" s="58"/>
      <c r="BO195" s="58"/>
      <c r="BP195" s="58"/>
      <c r="BQ195" s="58"/>
      <c r="BR195" s="58"/>
      <c r="BS195" s="58"/>
      <c r="BT195" s="58"/>
      <c r="BU195" s="58"/>
      <c r="BV195" s="58"/>
      <c r="BW195" s="58"/>
      <c r="BX195" s="58"/>
      <c r="CE195" s="58"/>
    </row>
    <row r="196" spans="2:83" s="140" customFormat="1" ht="18.75" customHeight="1">
      <c r="B196" s="239"/>
      <c r="C196" s="244"/>
      <c r="D196" s="244"/>
      <c r="E196" s="244"/>
      <c r="F196" s="244"/>
      <c r="G196" s="244"/>
      <c r="H196" s="244"/>
      <c r="I196" s="244"/>
      <c r="J196" s="109"/>
      <c r="K196" s="109"/>
      <c r="L196" s="109"/>
      <c r="M196" s="239"/>
      <c r="N196" s="109"/>
      <c r="O196" s="109"/>
      <c r="P196" s="109"/>
      <c r="Q196" s="109"/>
      <c r="R196" s="109"/>
      <c r="S196" s="109"/>
      <c r="T196" s="109"/>
      <c r="U196" s="109"/>
      <c r="V196" s="239"/>
      <c r="W196" s="143"/>
      <c r="X196" s="143"/>
      <c r="Y196" s="143"/>
      <c r="Z196" s="239"/>
      <c r="AF196" s="239"/>
      <c r="AG196" s="388"/>
      <c r="AH196" s="388"/>
      <c r="AI196" s="388"/>
      <c r="AJ196" s="388"/>
      <c r="AK196" s="388"/>
      <c r="AL196" s="243"/>
      <c r="AM196" s="243"/>
      <c r="AN196" s="239"/>
      <c r="AO196" s="239"/>
      <c r="AP196" s="239"/>
      <c r="AQ196" s="239"/>
      <c r="AR196" s="239"/>
      <c r="AS196" s="244"/>
      <c r="AT196" s="244"/>
      <c r="AU196" s="239"/>
      <c r="AV196" s="239"/>
      <c r="AW196" s="239"/>
      <c r="AX196" s="239"/>
      <c r="AY196" s="239"/>
      <c r="AZ196" s="244"/>
      <c r="BA196" s="244"/>
      <c r="BB196" s="244"/>
      <c r="BC196" s="244"/>
      <c r="BD196" s="244"/>
      <c r="BE196" s="244"/>
      <c r="BF196" s="244"/>
      <c r="BG196" s="244"/>
      <c r="BH196" s="244"/>
      <c r="BI196" s="58"/>
      <c r="BJ196" s="58"/>
      <c r="BK196" s="58"/>
      <c r="BL196" s="58"/>
      <c r="BM196" s="58"/>
    </row>
    <row r="197" spans="2:83" s="140" customFormat="1" ht="18.75" customHeight="1">
      <c r="B197" s="239"/>
      <c r="C197" s="244" t="s">
        <v>518</v>
      </c>
      <c r="D197" s="244"/>
      <c r="E197" s="244"/>
      <c r="F197" s="244"/>
      <c r="G197" s="244"/>
      <c r="H197" s="244"/>
      <c r="I197" s="388" t="str">
        <f>V85</f>
        <v>삼각형</v>
      </c>
      <c r="J197" s="388"/>
      <c r="K197" s="388"/>
      <c r="L197" s="388"/>
      <c r="M197" s="388"/>
      <c r="N197" s="388"/>
      <c r="O197" s="388"/>
      <c r="P197" s="388"/>
      <c r="Q197" s="244"/>
      <c r="R197" s="244"/>
      <c r="S197" s="244"/>
      <c r="T197" s="244"/>
      <c r="U197" s="244"/>
      <c r="V197" s="244"/>
      <c r="W197" s="244"/>
      <c r="X197" s="244"/>
      <c r="Y197" s="244"/>
      <c r="Z197" s="239"/>
      <c r="AA197" s="239"/>
      <c r="AB197" s="239"/>
      <c r="AC197" s="239"/>
      <c r="AD197" s="239"/>
      <c r="AE197" s="239"/>
      <c r="AF197" s="239"/>
      <c r="AG197" s="239"/>
      <c r="AH197" s="244"/>
      <c r="AI197" s="244"/>
      <c r="AJ197" s="244"/>
      <c r="AK197" s="244"/>
      <c r="AL197" s="244"/>
      <c r="AM197" s="244"/>
      <c r="AN197" s="244"/>
      <c r="AO197" s="244"/>
      <c r="AP197" s="244"/>
      <c r="AQ197" s="244"/>
      <c r="AR197" s="244"/>
      <c r="AS197" s="244"/>
      <c r="AT197" s="244"/>
      <c r="AU197" s="244"/>
      <c r="AV197" s="244"/>
      <c r="AW197" s="244"/>
      <c r="AX197" s="244"/>
      <c r="AY197" s="244"/>
      <c r="AZ197" s="244"/>
      <c r="BA197" s="244"/>
      <c r="BB197" s="244"/>
      <c r="BC197" s="244"/>
      <c r="BD197" s="244"/>
      <c r="BE197" s="244"/>
      <c r="BF197" s="244"/>
      <c r="BG197" s="244"/>
      <c r="BH197" s="58"/>
      <c r="BI197" s="58"/>
      <c r="BJ197" s="58"/>
      <c r="BK197" s="58"/>
      <c r="BL197" s="58"/>
      <c r="BM197" s="58"/>
      <c r="BN197" s="58"/>
    </row>
    <row r="198" spans="2:83" s="140" customFormat="1" ht="18.75" customHeight="1">
      <c r="B198" s="239"/>
      <c r="C198" s="396" t="s">
        <v>171</v>
      </c>
      <c r="D198" s="396"/>
      <c r="E198" s="396"/>
      <c r="F198" s="396"/>
      <c r="G198" s="396"/>
      <c r="H198" s="396"/>
      <c r="I198" s="244"/>
      <c r="J198" s="244"/>
      <c r="K198" s="244"/>
      <c r="L198" s="244"/>
      <c r="M198" s="244"/>
      <c r="N198" s="244"/>
      <c r="O198" s="244"/>
      <c r="R198" s="502" t="e">
        <f>Calcu!M61</f>
        <v>#VALUE!</v>
      </c>
      <c r="S198" s="502"/>
      <c r="T198" s="396" t="s">
        <v>156</v>
      </c>
      <c r="U198" s="396"/>
      <c r="V198" s="503">
        <f>Calcu!N61</f>
        <v>0</v>
      </c>
      <c r="W198" s="503"/>
      <c r="X198" s="503"/>
      <c r="Y198" s="396" t="s">
        <v>129</v>
      </c>
      <c r="Z198" s="396"/>
      <c r="AA198" s="394" t="s">
        <v>146</v>
      </c>
      <c r="AB198" s="387" t="e">
        <f>R198*V198</f>
        <v>#VALUE!</v>
      </c>
      <c r="AC198" s="387"/>
      <c r="AD198" s="387"/>
      <c r="AE198" s="387"/>
      <c r="AF198" s="396" t="s">
        <v>260</v>
      </c>
      <c r="AG198" s="396"/>
      <c r="AH198" s="396"/>
      <c r="AI198" s="396"/>
      <c r="AJ198" s="396"/>
      <c r="AK198" s="396"/>
      <c r="AL198" s="396"/>
      <c r="AM198" s="244"/>
      <c r="AN198" s="244"/>
      <c r="AO198" s="244"/>
      <c r="AP198" s="244"/>
      <c r="AQ198" s="244"/>
      <c r="AR198" s="239"/>
      <c r="AS198" s="239"/>
      <c r="AT198" s="239"/>
      <c r="AU198" s="239"/>
      <c r="AV198" s="239"/>
      <c r="AW198" s="239"/>
      <c r="AX198" s="239"/>
      <c r="AY198" s="239"/>
      <c r="AZ198" s="239"/>
      <c r="BA198" s="239"/>
    </row>
    <row r="199" spans="2:83" s="140" customFormat="1" ht="18.75" customHeight="1">
      <c r="B199" s="239"/>
      <c r="C199" s="396"/>
      <c r="D199" s="396"/>
      <c r="E199" s="396"/>
      <c r="F199" s="396"/>
      <c r="G199" s="396"/>
      <c r="H199" s="396"/>
      <c r="I199" s="244"/>
      <c r="J199" s="244"/>
      <c r="K199" s="244"/>
      <c r="L199" s="244"/>
      <c r="M199" s="244"/>
      <c r="N199" s="244"/>
      <c r="O199" s="244"/>
      <c r="R199" s="502"/>
      <c r="S199" s="502"/>
      <c r="T199" s="396"/>
      <c r="U199" s="396"/>
      <c r="V199" s="503"/>
      <c r="W199" s="503"/>
      <c r="X199" s="503"/>
      <c r="Y199" s="396"/>
      <c r="Z199" s="396"/>
      <c r="AA199" s="394"/>
      <c r="AB199" s="387"/>
      <c r="AC199" s="387"/>
      <c r="AD199" s="387"/>
      <c r="AE199" s="387"/>
      <c r="AF199" s="396"/>
      <c r="AG199" s="396"/>
      <c r="AH199" s="396"/>
      <c r="AI199" s="396"/>
      <c r="AJ199" s="396"/>
      <c r="AK199" s="396"/>
      <c r="AL199" s="396"/>
      <c r="AM199" s="244"/>
      <c r="AN199" s="244"/>
      <c r="AO199" s="244"/>
      <c r="AP199" s="244"/>
      <c r="AQ199" s="244"/>
      <c r="AR199" s="239"/>
      <c r="AS199" s="239"/>
      <c r="AT199" s="239"/>
      <c r="AU199" s="239"/>
      <c r="AV199" s="239"/>
      <c r="AW199" s="239"/>
      <c r="AX199" s="239"/>
      <c r="AY199" s="239"/>
      <c r="AZ199" s="239"/>
      <c r="BA199" s="239"/>
    </row>
    <row r="200" spans="2:83" s="140" customFormat="1" ht="18.75" customHeight="1">
      <c r="B200" s="239"/>
      <c r="C200" s="244" t="s">
        <v>172</v>
      </c>
      <c r="D200" s="244"/>
      <c r="E200" s="244"/>
      <c r="F200" s="244"/>
      <c r="G200" s="244"/>
      <c r="H200" s="244"/>
      <c r="I200" s="244"/>
      <c r="J200" s="239"/>
      <c r="K200" s="251" t="s">
        <v>158</v>
      </c>
      <c r="L200" s="502" t="e">
        <f>AB198</f>
        <v>#VALUE!</v>
      </c>
      <c r="M200" s="502"/>
      <c r="N200" s="502"/>
      <c r="O200" s="502"/>
      <c r="P200" s="243" t="s">
        <v>519</v>
      </c>
      <c r="Q200" s="239"/>
      <c r="R200" s="239"/>
      <c r="S200" s="239"/>
      <c r="T200" s="239"/>
      <c r="U200" s="239"/>
      <c r="V200" s="239"/>
      <c r="W200" s="239"/>
      <c r="X200" s="239"/>
      <c r="Y200" s="251" t="s">
        <v>158</v>
      </c>
      <c r="Z200" s="239" t="s">
        <v>146</v>
      </c>
      <c r="AA200" s="386" t="e">
        <f>ABS(L200*O85)</f>
        <v>#VALUE!</v>
      </c>
      <c r="AB200" s="386"/>
      <c r="AC200" s="386"/>
      <c r="AD200" s="241" t="s">
        <v>129</v>
      </c>
      <c r="AE200" s="241"/>
      <c r="AF200" s="239"/>
      <c r="AG200" s="239"/>
      <c r="AH200" s="239"/>
      <c r="AI200" s="239"/>
      <c r="AJ200" s="239"/>
      <c r="AK200" s="239"/>
      <c r="AL200" s="239"/>
      <c r="AM200" s="239"/>
      <c r="AN200" s="239"/>
      <c r="AO200" s="239"/>
      <c r="AP200" s="239"/>
      <c r="AQ200" s="239"/>
      <c r="AR200" s="239"/>
      <c r="AS200" s="239"/>
      <c r="AT200" s="239"/>
      <c r="AU200" s="144"/>
      <c r="AV200" s="243"/>
      <c r="AW200" s="244"/>
      <c r="AX200" s="239"/>
      <c r="AY200" s="239"/>
      <c r="AZ200" s="239"/>
      <c r="BA200" s="239"/>
      <c r="BB200" s="239"/>
      <c r="BC200" s="239"/>
      <c r="BD200" s="239"/>
      <c r="BE200" s="239"/>
      <c r="BF200" s="239"/>
      <c r="BG200" s="239"/>
      <c r="BH200" s="58"/>
      <c r="BI200" s="58"/>
      <c r="BP200" s="241"/>
      <c r="BQ200" s="254"/>
    </row>
    <row r="201" spans="2:83" s="140" customFormat="1" ht="18.75" customHeight="1">
      <c r="B201" s="239"/>
      <c r="C201" s="396" t="s">
        <v>520</v>
      </c>
      <c r="D201" s="396"/>
      <c r="E201" s="396"/>
      <c r="F201" s="396"/>
      <c r="G201" s="396"/>
      <c r="H201" s="244"/>
      <c r="J201" s="244"/>
      <c r="K201" s="244"/>
      <c r="L201" s="244"/>
      <c r="M201" s="244"/>
      <c r="N201" s="244"/>
      <c r="O201" s="244"/>
      <c r="P201" s="244"/>
      <c r="Q201" s="244"/>
      <c r="R201" s="243"/>
      <c r="S201" s="244"/>
      <c r="T201" s="244"/>
      <c r="U201" s="244"/>
      <c r="W201" s="244"/>
      <c r="X201" s="244"/>
      <c r="Y201" s="244"/>
      <c r="Z201" s="244"/>
      <c r="AA201" s="251" t="s">
        <v>187</v>
      </c>
      <c r="AB201" s="244"/>
      <c r="AC201" s="244"/>
      <c r="AD201" s="244"/>
      <c r="AE201" s="239"/>
      <c r="AF201" s="239"/>
      <c r="AH201" s="239"/>
      <c r="AI201" s="239"/>
      <c r="AJ201" s="239"/>
      <c r="AK201" s="239"/>
      <c r="AL201" s="239"/>
      <c r="AM201" s="239"/>
      <c r="AN201" s="239"/>
      <c r="AO201" s="239"/>
      <c r="AP201" s="239"/>
      <c r="AQ201" s="239"/>
      <c r="AR201" s="239"/>
      <c r="AS201" s="239"/>
      <c r="AT201" s="239"/>
      <c r="AU201" s="239"/>
      <c r="AV201" s="239"/>
      <c r="AW201" s="239"/>
      <c r="AX201" s="239"/>
      <c r="AY201" s="239"/>
      <c r="AZ201" s="239"/>
      <c r="BA201" s="239"/>
      <c r="BB201" s="239"/>
      <c r="BC201" s="239"/>
      <c r="BD201" s="239"/>
      <c r="BE201" s="239"/>
      <c r="BF201" s="239"/>
      <c r="BG201" s="239"/>
      <c r="BH201" s="58"/>
      <c r="BI201" s="58"/>
      <c r="BJ201" s="58"/>
      <c r="BK201" s="58"/>
      <c r="BL201" s="58"/>
    </row>
    <row r="202" spans="2:83" s="140" customFormat="1" ht="18.75" customHeight="1">
      <c r="B202" s="239"/>
      <c r="C202" s="396"/>
      <c r="D202" s="396"/>
      <c r="E202" s="396"/>
      <c r="F202" s="396"/>
      <c r="G202" s="396"/>
      <c r="H202" s="244"/>
      <c r="I202" s="244"/>
      <c r="J202" s="244"/>
      <c r="K202" s="244"/>
      <c r="L202" s="244"/>
      <c r="M202" s="244"/>
      <c r="N202" s="244"/>
      <c r="O202" s="244"/>
      <c r="P202" s="244"/>
      <c r="Q202" s="244"/>
      <c r="R202" s="243"/>
      <c r="S202" s="244"/>
      <c r="T202" s="244"/>
      <c r="U202" s="244"/>
      <c r="V202" s="244"/>
      <c r="W202" s="244"/>
      <c r="X202" s="244"/>
      <c r="Y202" s="244"/>
      <c r="Z202" s="244"/>
      <c r="AA202" s="244"/>
      <c r="AB202" s="244"/>
      <c r="AC202" s="244"/>
      <c r="AD202" s="244"/>
      <c r="AE202" s="239"/>
      <c r="AF202" s="239"/>
      <c r="AG202" s="239"/>
      <c r="AH202" s="239"/>
      <c r="AI202" s="239"/>
      <c r="AJ202" s="239"/>
      <c r="AK202" s="239"/>
      <c r="AL202" s="239"/>
      <c r="AM202" s="239"/>
      <c r="AN202" s="239"/>
      <c r="AO202" s="239"/>
      <c r="AP202" s="239"/>
      <c r="AQ202" s="239"/>
      <c r="AR202" s="239"/>
      <c r="AS202" s="239"/>
      <c r="AT202" s="239"/>
      <c r="AU202" s="239"/>
      <c r="AV202" s="239"/>
      <c r="AW202" s="239"/>
      <c r="AX202" s="239"/>
      <c r="AY202" s="239"/>
      <c r="AZ202" s="239"/>
      <c r="BA202" s="239"/>
      <c r="BB202" s="239"/>
      <c r="BC202" s="239"/>
      <c r="BD202" s="239"/>
      <c r="BE202" s="239"/>
      <c r="BF202" s="239"/>
      <c r="BG202" s="239"/>
      <c r="BH202" s="58"/>
      <c r="BI202" s="58"/>
      <c r="BJ202" s="58"/>
      <c r="BK202" s="58"/>
      <c r="BL202" s="58"/>
    </row>
    <row r="203" spans="2:83" s="140" customFormat="1" ht="18.75" customHeight="1">
      <c r="B203" s="239"/>
      <c r="C203" s="244"/>
      <c r="D203" s="244"/>
      <c r="E203" s="244"/>
      <c r="F203" s="244"/>
      <c r="G203" s="244"/>
      <c r="H203" s="244"/>
      <c r="I203" s="244"/>
      <c r="J203" s="244"/>
      <c r="K203" s="244"/>
      <c r="L203" s="244"/>
      <c r="M203" s="244"/>
      <c r="N203" s="244"/>
      <c r="O203" s="244"/>
      <c r="P203" s="244"/>
      <c r="Q203" s="244"/>
      <c r="R203" s="243"/>
      <c r="S203" s="244"/>
      <c r="T203" s="244"/>
      <c r="U203" s="244"/>
      <c r="V203" s="244"/>
      <c r="W203" s="244"/>
      <c r="X203" s="244"/>
      <c r="Y203" s="244"/>
      <c r="Z203" s="244"/>
      <c r="AA203" s="244"/>
      <c r="AB203" s="388">
        <v>100</v>
      </c>
      <c r="AC203" s="388"/>
      <c r="AD203" s="244"/>
      <c r="AE203" s="239"/>
      <c r="AF203" s="239"/>
      <c r="AG203" s="239"/>
      <c r="AH203" s="239"/>
      <c r="AI203" s="239"/>
      <c r="AJ203" s="239"/>
      <c r="AK203" s="239"/>
      <c r="AL203" s="239"/>
      <c r="AM203" s="239"/>
      <c r="AN203" s="239"/>
      <c r="AO203" s="239"/>
      <c r="AP203" s="239"/>
      <c r="AQ203" s="239"/>
      <c r="AR203" s="239"/>
      <c r="AS203" s="239"/>
      <c r="AT203" s="239"/>
      <c r="AU203" s="239"/>
      <c r="AV203" s="239"/>
      <c r="AW203" s="239"/>
      <c r="AX203" s="239"/>
      <c r="AY203" s="239"/>
      <c r="AZ203" s="239"/>
      <c r="BA203" s="239"/>
      <c r="BB203" s="239"/>
      <c r="BC203" s="239"/>
      <c r="BD203" s="239"/>
      <c r="BE203" s="239"/>
      <c r="BF203" s="239"/>
      <c r="BG203" s="239"/>
      <c r="BH203" s="58"/>
      <c r="BI203" s="58"/>
      <c r="BJ203" s="58"/>
      <c r="BK203" s="58"/>
      <c r="BL203" s="58"/>
    </row>
    <row r="204" spans="2:83" s="140" customFormat="1" ht="18.75" customHeight="1">
      <c r="B204" s="239"/>
      <c r="C204" s="244"/>
      <c r="D204" s="244"/>
      <c r="E204" s="244"/>
      <c r="F204" s="244"/>
      <c r="G204" s="244"/>
      <c r="H204" s="244"/>
      <c r="I204" s="244"/>
      <c r="J204" s="244"/>
      <c r="K204" s="244"/>
      <c r="L204" s="244"/>
      <c r="M204" s="244"/>
      <c r="N204" s="244"/>
      <c r="O204" s="244"/>
      <c r="P204" s="244"/>
      <c r="Q204" s="244"/>
      <c r="R204" s="243"/>
      <c r="S204" s="244"/>
      <c r="T204" s="244"/>
      <c r="U204" s="244"/>
      <c r="V204" s="244"/>
      <c r="W204" s="244"/>
      <c r="X204" s="244"/>
      <c r="Y204" s="244"/>
      <c r="Z204" s="244"/>
      <c r="AA204" s="244"/>
      <c r="AB204" s="388"/>
      <c r="AC204" s="388"/>
      <c r="AD204" s="244"/>
      <c r="AE204" s="239"/>
      <c r="AF204" s="239"/>
      <c r="AG204" s="239"/>
      <c r="AH204" s="239"/>
      <c r="AI204" s="239"/>
      <c r="AJ204" s="239"/>
      <c r="AK204" s="239"/>
      <c r="AL204" s="239"/>
      <c r="AM204" s="239"/>
      <c r="AN204" s="239"/>
      <c r="AO204" s="239"/>
      <c r="AP204" s="239"/>
      <c r="AQ204" s="239"/>
      <c r="AR204" s="239"/>
      <c r="AS204" s="239"/>
      <c r="AT204" s="239"/>
      <c r="AU204" s="239"/>
      <c r="AV204" s="239"/>
      <c r="AW204" s="239"/>
      <c r="AX204" s="239"/>
      <c r="AY204" s="239"/>
      <c r="AZ204" s="239"/>
      <c r="BA204" s="239"/>
      <c r="BB204" s="239"/>
      <c r="BC204" s="239"/>
      <c r="BD204" s="239"/>
      <c r="BE204" s="239"/>
      <c r="BF204" s="239"/>
      <c r="BG204" s="239"/>
      <c r="BH204" s="58"/>
      <c r="BI204" s="58"/>
      <c r="BJ204" s="58"/>
      <c r="BK204" s="58"/>
      <c r="BL204" s="58"/>
    </row>
    <row r="205" spans="2:83" s="140" customFormat="1" ht="18.75" customHeight="1">
      <c r="B205" s="239"/>
      <c r="C205" s="244"/>
      <c r="D205" s="244"/>
      <c r="E205" s="244"/>
      <c r="F205" s="244"/>
      <c r="G205" s="244"/>
      <c r="H205" s="244"/>
      <c r="I205" s="244"/>
      <c r="J205" s="244"/>
      <c r="K205" s="244"/>
      <c r="L205" s="244"/>
      <c r="M205" s="244"/>
      <c r="N205" s="244"/>
      <c r="O205" s="244"/>
      <c r="P205" s="244"/>
      <c r="Q205" s="244"/>
      <c r="R205" s="243"/>
      <c r="S205" s="244"/>
      <c r="T205" s="244"/>
      <c r="U205" s="244"/>
      <c r="V205" s="244"/>
      <c r="W205" s="244"/>
      <c r="X205" s="244"/>
      <c r="Y205" s="244"/>
      <c r="Z205" s="244"/>
      <c r="AA205" s="244"/>
      <c r="AB205" s="244"/>
      <c r="AC205" s="244"/>
      <c r="AD205" s="244"/>
      <c r="AE205" s="239"/>
      <c r="AF205" s="239"/>
      <c r="AG205" s="239"/>
      <c r="AH205" s="239"/>
      <c r="AI205" s="239"/>
      <c r="AJ205" s="239"/>
      <c r="AK205" s="239"/>
      <c r="AL205" s="239"/>
      <c r="AM205" s="239"/>
      <c r="AN205" s="239"/>
      <c r="AO205" s="239"/>
      <c r="AP205" s="239"/>
      <c r="AQ205" s="239"/>
      <c r="AR205" s="239"/>
      <c r="AS205" s="239"/>
      <c r="AT205" s="239"/>
      <c r="AU205" s="239"/>
      <c r="AV205" s="239"/>
      <c r="AW205" s="239"/>
      <c r="AX205" s="239"/>
      <c r="AY205" s="239"/>
      <c r="AZ205" s="239"/>
      <c r="BA205" s="239"/>
      <c r="BB205" s="239"/>
      <c r="BC205" s="239"/>
      <c r="BD205" s="239"/>
      <c r="BE205" s="239"/>
      <c r="BF205" s="239"/>
      <c r="BG205" s="239"/>
      <c r="BH205" s="58"/>
      <c r="BI205" s="58"/>
      <c r="BJ205" s="58"/>
      <c r="BK205" s="58"/>
      <c r="BL205" s="58"/>
    </row>
    <row r="206" spans="2:83" s="140" customFormat="1" ht="18.75" customHeight="1">
      <c r="B206" s="239"/>
      <c r="C206" s="244"/>
      <c r="D206" s="244"/>
      <c r="E206" s="244"/>
      <c r="F206" s="244"/>
      <c r="G206" s="244"/>
      <c r="H206" s="244"/>
      <c r="I206" s="244"/>
      <c r="J206" s="244"/>
      <c r="K206" s="244"/>
      <c r="L206" s="244"/>
      <c r="M206" s="244"/>
      <c r="N206" s="244"/>
      <c r="O206" s="244"/>
      <c r="P206" s="244"/>
      <c r="Q206" s="244"/>
      <c r="R206" s="243"/>
      <c r="S206" s="244"/>
      <c r="T206" s="244"/>
      <c r="U206" s="244"/>
      <c r="V206" s="244"/>
      <c r="W206" s="244"/>
      <c r="X206" s="244"/>
      <c r="Y206" s="244"/>
      <c r="Z206" s="244"/>
      <c r="AA206" s="244"/>
      <c r="AB206" s="244"/>
      <c r="AC206" s="244"/>
      <c r="AD206" s="244"/>
      <c r="AE206" s="239"/>
      <c r="AF206" s="239"/>
      <c r="AG206" s="239"/>
      <c r="AH206" s="239"/>
      <c r="AI206" s="239"/>
      <c r="AJ206" s="239"/>
      <c r="AK206" s="239"/>
      <c r="AL206" s="239"/>
      <c r="AM206" s="239"/>
      <c r="AN206" s="239"/>
      <c r="AO206" s="239"/>
      <c r="AP206" s="239"/>
      <c r="AQ206" s="239"/>
      <c r="AR206" s="239"/>
      <c r="AS206" s="239"/>
      <c r="AT206" s="239"/>
      <c r="AU206" s="239"/>
      <c r="AV206" s="239"/>
      <c r="AW206" s="239"/>
      <c r="AX206" s="239"/>
      <c r="AY206" s="239"/>
      <c r="AZ206" s="239"/>
      <c r="BA206" s="239"/>
      <c r="BB206" s="239"/>
      <c r="BC206" s="239"/>
      <c r="BD206" s="239"/>
      <c r="BE206" s="239"/>
      <c r="BF206" s="239"/>
      <c r="BG206" s="239"/>
      <c r="BH206" s="244"/>
      <c r="BI206" s="244"/>
      <c r="BJ206" s="244"/>
      <c r="BK206" s="244"/>
    </row>
    <row r="207" spans="2:83" s="140" customFormat="1" ht="18.75" customHeight="1">
      <c r="B207" s="57" t="str">
        <f>"6. "&amp;$N$5&amp;"와 "&amp;T5&amp;"의 온도 차에 의한 표준불확도,"</f>
        <v>6. 줄자와 줄자교정장치의 온도 차에 의한 표준불확도,</v>
      </c>
      <c r="D207" s="244"/>
      <c r="E207" s="244"/>
      <c r="F207" s="244"/>
      <c r="G207" s="244"/>
      <c r="H207" s="244"/>
      <c r="I207" s="244"/>
      <c r="J207" s="244"/>
      <c r="K207" s="244"/>
      <c r="L207" s="244"/>
      <c r="M207" s="244"/>
      <c r="N207" s="244"/>
      <c r="O207" s="244"/>
      <c r="P207" s="244"/>
      <c r="Q207" s="244"/>
      <c r="R207" s="244"/>
      <c r="S207" s="244"/>
      <c r="T207" s="244"/>
      <c r="U207" s="244"/>
      <c r="V207" s="244"/>
      <c r="W207" s="244"/>
      <c r="X207" s="57" t="s">
        <v>198</v>
      </c>
      <c r="Y207" s="244"/>
      <c r="Z207" s="244"/>
      <c r="AA207" s="244"/>
      <c r="AB207" s="244"/>
      <c r="AC207" s="244"/>
      <c r="AD207" s="244"/>
      <c r="AE207" s="244"/>
      <c r="AF207" s="244"/>
      <c r="AG207" s="244"/>
      <c r="AH207" s="239"/>
      <c r="AI207" s="239"/>
      <c r="AJ207" s="239"/>
      <c r="AK207" s="239"/>
      <c r="AL207" s="239"/>
      <c r="AM207" s="239"/>
      <c r="AN207" s="239"/>
      <c r="AO207" s="244"/>
      <c r="AP207" s="244"/>
      <c r="AQ207" s="244"/>
      <c r="AR207" s="244"/>
      <c r="AS207" s="244"/>
      <c r="AT207" s="244"/>
      <c r="AU207" s="244"/>
      <c r="AV207" s="244"/>
      <c r="AW207" s="244"/>
      <c r="AX207" s="244"/>
      <c r="AY207" s="244"/>
      <c r="AZ207" s="244"/>
      <c r="BA207" s="244"/>
      <c r="BB207" s="244"/>
      <c r="BC207" s="244"/>
      <c r="BD207" s="244"/>
      <c r="BE207" s="244"/>
      <c r="BF207" s="244"/>
      <c r="BG207" s="244"/>
      <c r="BH207" s="58"/>
      <c r="BI207" s="58"/>
      <c r="BJ207" s="58"/>
      <c r="BK207" s="58"/>
      <c r="BL207" s="58"/>
      <c r="BM207" s="58"/>
      <c r="BN207" s="58"/>
    </row>
    <row r="208" spans="2:83" s="140" customFormat="1" ht="18.75" customHeight="1">
      <c r="B208" s="57"/>
      <c r="C208" s="244" t="e">
        <f>"※ 열평형 상태에서 "&amp;$N$5&amp;"와 "&amp;T5&amp;"의 온도차가 ±"&amp;N211&amp;" ℃ 이내에서 일치한다고"</f>
        <v>#VALUE!</v>
      </c>
      <c r="D208" s="244"/>
      <c r="E208" s="244"/>
      <c r="F208" s="244"/>
      <c r="G208" s="244"/>
      <c r="H208" s="244"/>
      <c r="I208" s="244"/>
      <c r="J208" s="244"/>
      <c r="K208" s="244"/>
      <c r="L208" s="244"/>
      <c r="M208" s="244"/>
      <c r="N208" s="244"/>
      <c r="O208" s="244"/>
      <c r="P208" s="244"/>
      <c r="Q208" s="244"/>
      <c r="R208" s="244"/>
      <c r="S208" s="244"/>
      <c r="T208" s="244"/>
      <c r="U208" s="244"/>
      <c r="V208" s="244"/>
      <c r="W208" s="244"/>
      <c r="X208" s="244"/>
      <c r="Y208" s="244"/>
      <c r="Z208" s="244"/>
      <c r="AA208" s="244"/>
      <c r="AB208" s="244"/>
      <c r="AC208" s="244"/>
      <c r="AD208" s="244"/>
      <c r="AE208" s="244"/>
      <c r="AF208" s="244"/>
      <c r="AG208" s="244"/>
      <c r="AH208" s="244"/>
      <c r="AI208" s="244"/>
      <c r="AJ208" s="244"/>
      <c r="AK208" s="244"/>
      <c r="AL208" s="244"/>
      <c r="AM208" s="239"/>
      <c r="AN208" s="239"/>
      <c r="AO208" s="244"/>
      <c r="AP208" s="244"/>
      <c r="AQ208" s="244"/>
      <c r="AR208" s="244"/>
      <c r="AS208" s="244"/>
      <c r="AT208" s="244"/>
      <c r="AU208" s="244"/>
      <c r="AV208" s="244"/>
      <c r="AW208" s="244"/>
      <c r="AX208" s="244"/>
      <c r="AY208" s="244"/>
      <c r="AZ208" s="244"/>
      <c r="BA208" s="244"/>
      <c r="BB208" s="244"/>
      <c r="BC208" s="244"/>
      <c r="BD208" s="244"/>
      <c r="BE208" s="244"/>
      <c r="BF208" s="244"/>
      <c r="BG208" s="244"/>
      <c r="BH208" s="58"/>
      <c r="BI208" s="58"/>
      <c r="BJ208" s="58"/>
      <c r="BK208" s="58"/>
      <c r="BL208" s="58"/>
      <c r="BM208" s="58"/>
      <c r="BN208" s="58"/>
    </row>
    <row r="209" spans="2:68" s="140" customFormat="1" ht="18.75" customHeight="1">
      <c r="B209" s="57"/>
      <c r="C209" s="244"/>
      <c r="D209" s="244" t="s">
        <v>521</v>
      </c>
      <c r="E209" s="244"/>
      <c r="F209" s="244"/>
      <c r="G209" s="244"/>
      <c r="H209" s="244"/>
      <c r="I209" s="244"/>
      <c r="J209" s="244"/>
      <c r="K209" s="244"/>
      <c r="L209" s="244"/>
      <c r="M209" s="244"/>
      <c r="N209" s="244"/>
      <c r="O209" s="244"/>
      <c r="P209" s="244"/>
      <c r="Q209" s="244"/>
      <c r="R209" s="244"/>
      <c r="S209" s="244"/>
      <c r="T209" s="244"/>
      <c r="U209" s="244"/>
      <c r="V209" s="244"/>
      <c r="W209" s="244"/>
      <c r="X209" s="244"/>
      <c r="Y209" s="244"/>
      <c r="Z209" s="244"/>
      <c r="AA209" s="244"/>
      <c r="AB209" s="244"/>
      <c r="AC209" s="244"/>
      <c r="AD209" s="244"/>
      <c r="AE209" s="244"/>
      <c r="AF209" s="244"/>
      <c r="AG209" s="244"/>
      <c r="AH209" s="244"/>
      <c r="AI209" s="244"/>
      <c r="AJ209" s="244"/>
      <c r="AK209" s="244"/>
      <c r="AL209" s="244"/>
      <c r="AM209" s="239"/>
      <c r="AN209" s="239"/>
      <c r="AO209" s="244"/>
      <c r="AP209" s="244"/>
      <c r="AQ209" s="244"/>
      <c r="AR209" s="244"/>
      <c r="AS209" s="244"/>
      <c r="AT209" s="244"/>
      <c r="AU209" s="244"/>
      <c r="AV209" s="244"/>
      <c r="AW209" s="244"/>
      <c r="AX209" s="244"/>
      <c r="AY209" s="244"/>
      <c r="AZ209" s="244"/>
      <c r="BA209" s="244"/>
      <c r="BB209" s="244"/>
      <c r="BC209" s="244"/>
      <c r="BD209" s="244"/>
      <c r="BE209" s="244"/>
      <c r="BF209" s="244"/>
      <c r="BG209" s="244"/>
      <c r="BH209" s="58"/>
      <c r="BI209" s="58"/>
      <c r="BJ209" s="58"/>
      <c r="BK209" s="58"/>
      <c r="BL209" s="58"/>
      <c r="BM209" s="58"/>
      <c r="BN209" s="58"/>
    </row>
    <row r="210" spans="2:68" s="140" customFormat="1" ht="18.75" customHeight="1">
      <c r="B210" s="239"/>
      <c r="C210" s="241" t="s">
        <v>522</v>
      </c>
      <c r="D210" s="239"/>
      <c r="E210" s="239"/>
      <c r="F210" s="239"/>
      <c r="G210" s="239"/>
      <c r="H210" s="251"/>
      <c r="I210" s="387" t="str">
        <f>H86</f>
        <v/>
      </c>
      <c r="J210" s="387"/>
      <c r="K210" s="387"/>
      <c r="L210" s="387"/>
      <c r="M210" s="387"/>
      <c r="N210" s="387" t="str">
        <f>M86</f>
        <v>℃</v>
      </c>
      <c r="O210" s="387"/>
      <c r="P210" s="238"/>
      <c r="Q210" s="251"/>
      <c r="R210" s="251"/>
      <c r="S210" s="251"/>
      <c r="T210" s="251"/>
      <c r="U210" s="251"/>
      <c r="V210" s="251"/>
      <c r="W210" s="244"/>
      <c r="Y210" s="269"/>
      <c r="Z210" s="269"/>
      <c r="AA210" s="269"/>
      <c r="AB210" s="270"/>
      <c r="AD210" s="269"/>
      <c r="AE210" s="269"/>
      <c r="AF210" s="269"/>
      <c r="AG210" s="271"/>
      <c r="AH210" s="244"/>
      <c r="AI210" s="239"/>
      <c r="AJ210" s="239"/>
      <c r="AK210" s="239"/>
      <c r="AL210" s="239"/>
      <c r="AM210" s="239"/>
      <c r="AN210" s="239"/>
      <c r="AO210" s="244"/>
      <c r="AP210" s="244"/>
      <c r="AQ210" s="244"/>
      <c r="AR210" s="244"/>
      <c r="AS210" s="244"/>
      <c r="AT210" s="244"/>
      <c r="AU210" s="244"/>
      <c r="AV210" s="244"/>
      <c r="AW210" s="244"/>
      <c r="AX210" s="244"/>
      <c r="AY210" s="244"/>
      <c r="AZ210" s="244"/>
      <c r="BA210" s="244"/>
      <c r="BB210" s="244"/>
      <c r="BC210" s="244"/>
      <c r="BD210" s="244"/>
      <c r="BE210" s="244"/>
      <c r="BF210" s="244"/>
      <c r="BG210" s="244"/>
      <c r="BH210" s="58"/>
      <c r="BI210" s="58"/>
      <c r="BJ210" s="58"/>
      <c r="BK210" s="58"/>
      <c r="BL210" s="58"/>
      <c r="BM210" s="58"/>
    </row>
    <row r="211" spans="2:68" s="140" customFormat="1" ht="18.75" customHeight="1">
      <c r="B211" s="239"/>
      <c r="C211" s="396" t="s">
        <v>523</v>
      </c>
      <c r="D211" s="396"/>
      <c r="E211" s="396"/>
      <c r="F211" s="396"/>
      <c r="G211" s="396"/>
      <c r="H211" s="396"/>
      <c r="I211" s="396"/>
      <c r="J211" s="392" t="s">
        <v>203</v>
      </c>
      <c r="K211" s="392"/>
      <c r="L211" s="392"/>
      <c r="M211" s="394" t="s">
        <v>146</v>
      </c>
      <c r="N211" s="477" t="e">
        <f>Calcu!G62</f>
        <v>#VALUE!</v>
      </c>
      <c r="O211" s="477"/>
      <c r="P211" s="245" t="s">
        <v>200</v>
      </c>
      <c r="Q211" s="193"/>
      <c r="R211" s="394" t="s">
        <v>452</v>
      </c>
      <c r="S211" s="386" t="e">
        <f>N211/SQRT(3)</f>
        <v>#VALUE!</v>
      </c>
      <c r="T211" s="386"/>
      <c r="U211" s="386"/>
      <c r="V211" s="504" t="s">
        <v>297</v>
      </c>
      <c r="W211" s="504"/>
      <c r="X211" s="247"/>
      <c r="Y211" s="244"/>
      <c r="AX211" s="244"/>
      <c r="AY211" s="244"/>
      <c r="AZ211" s="244"/>
      <c r="BA211" s="244"/>
      <c r="BB211" s="244"/>
      <c r="BC211" s="244"/>
      <c r="BD211" s="244"/>
      <c r="BE211" s="244"/>
      <c r="BF211" s="244"/>
      <c r="BG211" s="244"/>
      <c r="BH211" s="244"/>
      <c r="BI211" s="244"/>
      <c r="BJ211" s="58"/>
      <c r="BK211" s="58"/>
      <c r="BL211" s="58"/>
      <c r="BM211" s="58"/>
      <c r="BN211" s="58"/>
      <c r="BO211" s="58"/>
      <c r="BP211" s="58"/>
    </row>
    <row r="212" spans="2:68" s="140" customFormat="1" ht="18.75" customHeight="1">
      <c r="B212" s="239"/>
      <c r="C212" s="396"/>
      <c r="D212" s="396"/>
      <c r="E212" s="396"/>
      <c r="F212" s="396"/>
      <c r="G212" s="396"/>
      <c r="H212" s="396"/>
      <c r="I212" s="396"/>
      <c r="J212" s="392"/>
      <c r="K212" s="392"/>
      <c r="L212" s="392"/>
      <c r="M212" s="394"/>
      <c r="N212" s="249"/>
      <c r="O212" s="249"/>
      <c r="P212" s="249"/>
      <c r="Q212" s="239"/>
      <c r="R212" s="394"/>
      <c r="S212" s="386"/>
      <c r="T212" s="386"/>
      <c r="U212" s="386"/>
      <c r="V212" s="504"/>
      <c r="W212" s="504"/>
      <c r="X212" s="247"/>
      <c r="Y212" s="244"/>
      <c r="AX212" s="244"/>
      <c r="AY212" s="244"/>
      <c r="AZ212" s="244"/>
      <c r="BA212" s="244"/>
      <c r="BB212" s="244"/>
      <c r="BC212" s="244"/>
      <c r="BD212" s="244"/>
      <c r="BE212" s="244"/>
      <c r="BF212" s="244"/>
      <c r="BG212" s="244"/>
      <c r="BH212" s="244"/>
      <c r="BI212" s="244"/>
      <c r="BJ212" s="58"/>
      <c r="BK212" s="58"/>
      <c r="BL212" s="58"/>
      <c r="BM212" s="58"/>
      <c r="BN212" s="58"/>
      <c r="BO212" s="58"/>
      <c r="BP212" s="58"/>
    </row>
    <row r="213" spans="2:68" s="140" customFormat="1" ht="18.75" customHeight="1">
      <c r="B213" s="239"/>
      <c r="C213" s="244" t="s">
        <v>524</v>
      </c>
      <c r="D213" s="244"/>
      <c r="E213" s="244"/>
      <c r="F213" s="244"/>
      <c r="G213" s="244"/>
      <c r="H213" s="244"/>
      <c r="I213" s="388" t="str">
        <f>V86</f>
        <v>직사각형</v>
      </c>
      <c r="J213" s="388"/>
      <c r="K213" s="388"/>
      <c r="L213" s="388"/>
      <c r="M213" s="388"/>
      <c r="N213" s="388"/>
      <c r="O213" s="388"/>
      <c r="P213" s="388"/>
      <c r="Q213" s="244"/>
      <c r="R213" s="244"/>
      <c r="S213" s="244"/>
      <c r="T213" s="244"/>
      <c r="U213" s="244"/>
      <c r="V213" s="244"/>
      <c r="W213" s="244"/>
      <c r="X213" s="244"/>
      <c r="Y213" s="244"/>
      <c r="Z213" s="239"/>
      <c r="AA213" s="239"/>
      <c r="AB213" s="239"/>
      <c r="AC213" s="239"/>
      <c r="AD213" s="239"/>
      <c r="AE213" s="239"/>
      <c r="AF213" s="239"/>
      <c r="AG213" s="239"/>
      <c r="AH213" s="239"/>
      <c r="AI213" s="239"/>
      <c r="AJ213" s="239"/>
      <c r="AK213" s="239"/>
      <c r="AL213" s="239"/>
      <c r="AM213" s="239"/>
      <c r="AN213" s="239"/>
      <c r="AO213" s="239"/>
      <c r="AP213" s="244"/>
      <c r="AQ213" s="244"/>
      <c r="AR213" s="244"/>
      <c r="AS213" s="244"/>
      <c r="AT213" s="244"/>
      <c r="AU213" s="244"/>
      <c r="AV213" s="244"/>
      <c r="AW213" s="244"/>
      <c r="AX213" s="244"/>
      <c r="AY213" s="244"/>
      <c r="AZ213" s="244"/>
      <c r="BA213" s="244"/>
      <c r="BB213" s="244"/>
      <c r="BC213" s="244"/>
      <c r="BD213" s="244"/>
      <c r="BE213" s="244"/>
      <c r="BF213" s="244"/>
      <c r="BG213" s="244"/>
      <c r="BH213" s="58"/>
      <c r="BI213" s="58"/>
      <c r="BJ213" s="58"/>
      <c r="BK213" s="58"/>
      <c r="BL213" s="58"/>
    </row>
    <row r="214" spans="2:68" s="140" customFormat="1" ht="18.75" customHeight="1">
      <c r="B214" s="239"/>
      <c r="C214" s="396" t="s">
        <v>525</v>
      </c>
      <c r="D214" s="396"/>
      <c r="E214" s="396"/>
      <c r="F214" s="396"/>
      <c r="G214" s="396"/>
      <c r="H214" s="396"/>
      <c r="I214" s="244"/>
      <c r="J214" s="244"/>
      <c r="K214" s="244"/>
      <c r="L214" s="244"/>
      <c r="M214" s="244"/>
      <c r="N214" s="244"/>
      <c r="O214" s="239"/>
      <c r="R214" s="396" t="e">
        <f>-H85*10^6</f>
        <v>#VALUE!</v>
      </c>
      <c r="S214" s="396"/>
      <c r="T214" s="396"/>
      <c r="U214" s="396" t="s">
        <v>526</v>
      </c>
      <c r="V214" s="396"/>
      <c r="W214" s="396"/>
      <c r="X214" s="396"/>
      <c r="Y214" s="394" t="s">
        <v>85</v>
      </c>
      <c r="Z214" s="503">
        <f>Calcu!N62</f>
        <v>0</v>
      </c>
      <c r="AA214" s="503"/>
      <c r="AB214" s="503"/>
      <c r="AC214" s="396" t="s">
        <v>129</v>
      </c>
      <c r="AD214" s="396"/>
      <c r="AE214" s="394" t="s">
        <v>146</v>
      </c>
      <c r="AF214" s="502" t="e">
        <f>R214*10^-6*Z214</f>
        <v>#VALUE!</v>
      </c>
      <c r="AG214" s="502"/>
      <c r="AH214" s="502"/>
      <c r="AI214" s="396" t="s">
        <v>298</v>
      </c>
      <c r="AJ214" s="396"/>
      <c r="AK214" s="396"/>
      <c r="AL214" s="396"/>
      <c r="AM214" s="396"/>
      <c r="AN214" s="396"/>
      <c r="AO214" s="396"/>
      <c r="AP214" s="244"/>
      <c r="AQ214" s="244"/>
      <c r="AR214" s="244"/>
      <c r="AS214" s="244"/>
      <c r="AT214" s="244"/>
      <c r="AU214" s="244"/>
      <c r="AV214" s="244"/>
      <c r="AW214" s="244"/>
      <c r="AX214" s="244"/>
      <c r="AY214" s="244"/>
      <c r="AZ214" s="244"/>
      <c r="BA214" s="244"/>
      <c r="BB214" s="244"/>
      <c r="BC214" s="239"/>
      <c r="BD214" s="239"/>
      <c r="BE214" s="239"/>
      <c r="BF214" s="239"/>
      <c r="BG214" s="239"/>
      <c r="BH214" s="239"/>
    </row>
    <row r="215" spans="2:68" s="140" customFormat="1" ht="18.75" customHeight="1">
      <c r="B215" s="239"/>
      <c r="C215" s="396"/>
      <c r="D215" s="396"/>
      <c r="E215" s="396"/>
      <c r="F215" s="396"/>
      <c r="G215" s="396"/>
      <c r="H215" s="396"/>
      <c r="I215" s="244"/>
      <c r="J215" s="244"/>
      <c r="K215" s="244"/>
      <c r="L215" s="244"/>
      <c r="M215" s="244"/>
      <c r="N215" s="244"/>
      <c r="O215" s="239"/>
      <c r="R215" s="396"/>
      <c r="S215" s="396"/>
      <c r="T215" s="396"/>
      <c r="U215" s="396"/>
      <c r="V215" s="396"/>
      <c r="W215" s="396"/>
      <c r="X215" s="396"/>
      <c r="Y215" s="394"/>
      <c r="Z215" s="503"/>
      <c r="AA215" s="503"/>
      <c r="AB215" s="503"/>
      <c r="AC215" s="396"/>
      <c r="AD215" s="396"/>
      <c r="AE215" s="394"/>
      <c r="AF215" s="502"/>
      <c r="AG215" s="502"/>
      <c r="AH215" s="502"/>
      <c r="AI215" s="396"/>
      <c r="AJ215" s="396"/>
      <c r="AK215" s="396"/>
      <c r="AL215" s="396"/>
      <c r="AM215" s="396"/>
      <c r="AN215" s="396"/>
      <c r="AO215" s="396"/>
      <c r="AP215" s="244"/>
      <c r="AQ215" s="244"/>
      <c r="AR215" s="244"/>
      <c r="AS215" s="244"/>
      <c r="AT215" s="244"/>
      <c r="AU215" s="244"/>
      <c r="AV215" s="244"/>
      <c r="AW215" s="244"/>
      <c r="AX215" s="244"/>
      <c r="AY215" s="244"/>
      <c r="AZ215" s="244"/>
      <c r="BA215" s="244"/>
      <c r="BB215" s="244"/>
      <c r="BC215" s="239"/>
      <c r="BD215" s="239"/>
      <c r="BE215" s="239"/>
      <c r="BF215" s="239"/>
      <c r="BG215" s="239"/>
      <c r="BH215" s="239"/>
    </row>
    <row r="216" spans="2:68" s="140" customFormat="1" ht="18.75" customHeight="1">
      <c r="B216" s="239"/>
      <c r="C216" s="244" t="s">
        <v>527</v>
      </c>
      <c r="D216" s="244"/>
      <c r="E216" s="244"/>
      <c r="F216" s="244"/>
      <c r="G216" s="244"/>
      <c r="H216" s="244"/>
      <c r="I216" s="244"/>
      <c r="J216" s="239"/>
      <c r="K216" s="251" t="s">
        <v>158</v>
      </c>
      <c r="L216" s="502" t="e">
        <f>AF214</f>
        <v>#VALUE!</v>
      </c>
      <c r="M216" s="502"/>
      <c r="N216" s="502"/>
      <c r="O216" s="243" t="s">
        <v>257</v>
      </c>
      <c r="P216" s="239"/>
      <c r="Q216" s="239"/>
      <c r="R216" s="239" t="s">
        <v>455</v>
      </c>
      <c r="S216" s="505" t="e">
        <f>S211</f>
        <v>#VALUE!</v>
      </c>
      <c r="T216" s="505"/>
      <c r="U216" s="505"/>
      <c r="V216" s="505"/>
      <c r="W216" s="251" t="s">
        <v>492</v>
      </c>
      <c r="X216" s="239" t="s">
        <v>452</v>
      </c>
      <c r="Y216" s="386" t="e">
        <f>ABS(L216*S216)</f>
        <v>#VALUE!</v>
      </c>
      <c r="Z216" s="386"/>
      <c r="AA216" s="386"/>
      <c r="AB216" s="241" t="s">
        <v>129</v>
      </c>
      <c r="AC216" s="241"/>
      <c r="AD216" s="239"/>
      <c r="AE216" s="239"/>
      <c r="AF216" s="237"/>
      <c r="AG216" s="239"/>
      <c r="AH216" s="239"/>
      <c r="AI216" s="239"/>
      <c r="AJ216" s="239"/>
      <c r="AK216" s="239"/>
      <c r="AL216" s="239"/>
      <c r="AM216" s="239"/>
      <c r="AN216" s="239"/>
      <c r="AO216" s="239"/>
      <c r="AP216" s="145"/>
      <c r="AQ216" s="145"/>
      <c r="AR216" s="145"/>
      <c r="AS216" s="244"/>
      <c r="AT216" s="244"/>
      <c r="AU216" s="244"/>
      <c r="AV216" s="146"/>
      <c r="AW216" s="146"/>
      <c r="AX216" s="146"/>
      <c r="AY216" s="146"/>
      <c r="AZ216" s="146"/>
      <c r="BA216" s="146"/>
      <c r="BB216" s="239"/>
      <c r="BC216" s="239"/>
      <c r="BD216" s="239"/>
      <c r="BE216" s="239"/>
      <c r="BF216" s="239"/>
      <c r="BG216" s="239"/>
    </row>
    <row r="217" spans="2:68" s="140" customFormat="1" ht="18.75" customHeight="1">
      <c r="B217" s="239"/>
      <c r="C217" s="396" t="s">
        <v>528</v>
      </c>
      <c r="D217" s="396"/>
      <c r="E217" s="396"/>
      <c r="F217" s="396"/>
      <c r="G217" s="396"/>
      <c r="H217" s="244"/>
      <c r="J217" s="244"/>
      <c r="K217" s="244"/>
      <c r="L217" s="244"/>
      <c r="M217" s="244"/>
      <c r="N217" s="244"/>
      <c r="O217" s="244"/>
      <c r="P217" s="244"/>
      <c r="Q217" s="244"/>
      <c r="R217" s="243"/>
      <c r="S217" s="244"/>
      <c r="T217" s="244"/>
      <c r="U217" s="244"/>
      <c r="W217" s="251" t="s">
        <v>529</v>
      </c>
      <c r="X217" s="244"/>
      <c r="Y217" s="244"/>
      <c r="Z217" s="244"/>
      <c r="AA217" s="244"/>
      <c r="AB217" s="244"/>
      <c r="AC217" s="244"/>
      <c r="AD217" s="244"/>
      <c r="AE217" s="239"/>
      <c r="AF217" s="239"/>
      <c r="AG217" s="239"/>
      <c r="AH217" s="239"/>
      <c r="AI217" s="239"/>
      <c r="AJ217" s="239"/>
      <c r="AK217" s="239"/>
      <c r="AL217" s="239"/>
      <c r="AM217" s="239"/>
      <c r="AN217" s="239"/>
      <c r="AO217" s="239"/>
      <c r="AP217" s="239"/>
      <c r="AQ217" s="239"/>
      <c r="AR217" s="239"/>
      <c r="AS217" s="239"/>
      <c r="AT217" s="239"/>
      <c r="AU217" s="244"/>
      <c r="AV217" s="239"/>
      <c r="AW217" s="239"/>
      <c r="AX217" s="239"/>
      <c r="AY217" s="239"/>
      <c r="AZ217" s="239"/>
      <c r="BA217" s="239"/>
      <c r="BB217" s="239"/>
      <c r="BC217" s="239"/>
      <c r="BD217" s="239"/>
      <c r="BE217" s="239"/>
      <c r="BF217" s="239"/>
      <c r="BG217" s="239"/>
    </row>
    <row r="218" spans="2:68" s="140" customFormat="1" ht="18.75" customHeight="1">
      <c r="B218" s="239"/>
      <c r="C218" s="396"/>
      <c r="D218" s="396"/>
      <c r="E218" s="396"/>
      <c r="F218" s="396"/>
      <c r="G218" s="396"/>
      <c r="H218" s="244"/>
      <c r="I218" s="244"/>
      <c r="J218" s="244"/>
      <c r="K218" s="244"/>
      <c r="L218" s="244"/>
      <c r="M218" s="244"/>
      <c r="N218" s="244"/>
      <c r="O218" s="244"/>
      <c r="P218" s="244"/>
      <c r="Q218" s="244"/>
      <c r="R218" s="243"/>
      <c r="S218" s="244"/>
      <c r="T218" s="244"/>
      <c r="U218" s="244"/>
      <c r="V218" s="244"/>
      <c r="W218" s="244"/>
      <c r="X218" s="244"/>
      <c r="Y218" s="244"/>
      <c r="Z218" s="244"/>
      <c r="AA218" s="244"/>
      <c r="AB218" s="244"/>
      <c r="AC218" s="239"/>
      <c r="AD218" s="239"/>
      <c r="AE218" s="239"/>
      <c r="AF218" s="239"/>
      <c r="AG218" s="239"/>
      <c r="AH218" s="239"/>
      <c r="AI218" s="239"/>
      <c r="AJ218" s="239"/>
      <c r="AK218" s="239"/>
      <c r="AL218" s="239"/>
      <c r="AM218" s="239"/>
      <c r="AN218" s="239"/>
      <c r="AO218" s="239"/>
      <c r="AP218" s="239"/>
      <c r="AQ218" s="239"/>
      <c r="AR218" s="239"/>
      <c r="AS218" s="239"/>
      <c r="AT218" s="239"/>
      <c r="AU218" s="239"/>
      <c r="AV218" s="239"/>
      <c r="AW218" s="239"/>
      <c r="AX218" s="239"/>
      <c r="AY218" s="239"/>
      <c r="AZ218" s="239"/>
      <c r="BA218" s="239"/>
      <c r="BB218" s="239"/>
      <c r="BC218" s="239"/>
      <c r="BD218" s="239"/>
      <c r="BE218" s="239"/>
      <c r="BF218" s="239"/>
      <c r="BG218" s="239"/>
    </row>
    <row r="219" spans="2:68" s="140" customFormat="1" ht="18.75" customHeight="1">
      <c r="B219" s="239"/>
      <c r="C219" s="244"/>
      <c r="D219" s="244"/>
      <c r="E219" s="244"/>
      <c r="F219" s="244"/>
      <c r="G219" s="239"/>
      <c r="H219" s="244"/>
      <c r="I219" s="244"/>
      <c r="J219" s="244"/>
      <c r="K219" s="244"/>
      <c r="L219" s="244"/>
      <c r="M219" s="244"/>
      <c r="N219" s="244"/>
      <c r="O219" s="244"/>
      <c r="P219" s="244"/>
      <c r="Q219" s="244"/>
      <c r="R219" s="244"/>
      <c r="S219" s="244"/>
      <c r="T219" s="244"/>
      <c r="U219" s="244"/>
      <c r="V219" s="244"/>
      <c r="W219" s="244"/>
      <c r="X219" s="244"/>
      <c r="Y219" s="244"/>
      <c r="Z219" s="244"/>
      <c r="AA219" s="239"/>
      <c r="AB219" s="239"/>
      <c r="AC219" s="239"/>
      <c r="AD219" s="239"/>
      <c r="AE219" s="239"/>
      <c r="AF219" s="239"/>
      <c r="AG219" s="239"/>
      <c r="AH219" s="239"/>
      <c r="AI219" s="239"/>
      <c r="AJ219" s="239"/>
      <c r="AK219" s="239"/>
      <c r="AL219" s="239"/>
      <c r="AM219" s="239"/>
      <c r="AN219" s="239"/>
      <c r="AO219" s="239"/>
      <c r="AP219" s="239"/>
      <c r="AQ219" s="239"/>
      <c r="AR219" s="239"/>
      <c r="AS219" s="239"/>
      <c r="AT219" s="239"/>
      <c r="AU219" s="239"/>
      <c r="AV219" s="239"/>
      <c r="AW219" s="239"/>
      <c r="AX219" s="239"/>
      <c r="AY219" s="239"/>
      <c r="AZ219" s="239"/>
      <c r="BA219" s="239"/>
      <c r="BB219" s="239"/>
      <c r="BC219" s="239"/>
      <c r="BD219" s="239"/>
      <c r="BE219" s="239"/>
      <c r="BF219" s="239"/>
      <c r="BG219" s="239"/>
    </row>
    <row r="220" spans="2:68" s="140" customFormat="1" ht="18.75" customHeight="1">
      <c r="B220" s="57" t="str">
        <f>"7. "&amp;$N$5&amp;"와 "&amp;T5&amp;"의 열팽창계수 차에 의한 표준불확도,"</f>
        <v>7. 줄자와 줄자교정장치의 열팽창계수 차에 의한 표준불확도,</v>
      </c>
      <c r="D220" s="244"/>
      <c r="E220" s="244"/>
      <c r="F220" s="244"/>
      <c r="G220" s="244"/>
      <c r="H220" s="244"/>
      <c r="I220" s="244"/>
      <c r="J220" s="244"/>
      <c r="K220" s="244"/>
      <c r="L220" s="244"/>
      <c r="M220" s="244"/>
      <c r="N220" s="244"/>
      <c r="O220" s="244"/>
      <c r="P220" s="244"/>
      <c r="Q220" s="244"/>
      <c r="R220" s="244"/>
      <c r="S220" s="244"/>
      <c r="T220" s="244"/>
      <c r="U220" s="244"/>
      <c r="V220" s="244"/>
      <c r="W220" s="244"/>
      <c r="X220" s="244"/>
      <c r="Y220" s="244"/>
      <c r="Z220" s="187" t="s">
        <v>530</v>
      </c>
      <c r="AB220" s="244"/>
      <c r="AC220" s="244"/>
      <c r="AD220" s="244"/>
      <c r="AE220" s="244"/>
      <c r="AF220" s="244"/>
      <c r="AG220" s="244"/>
      <c r="AH220" s="244"/>
      <c r="AI220" s="244"/>
      <c r="AJ220" s="244"/>
      <c r="AK220" s="244"/>
      <c r="AL220" s="244"/>
      <c r="AM220" s="244"/>
      <c r="AN220" s="244"/>
      <c r="AO220" s="244"/>
      <c r="AP220" s="244"/>
      <c r="AQ220" s="244"/>
      <c r="AR220" s="244"/>
      <c r="AS220" s="244"/>
      <c r="AT220" s="244"/>
      <c r="AU220" s="244"/>
      <c r="AV220" s="244"/>
      <c r="AW220" s="244"/>
      <c r="AX220" s="244"/>
      <c r="AY220" s="244"/>
      <c r="AZ220" s="244"/>
      <c r="BA220" s="244"/>
      <c r="BB220" s="239"/>
      <c r="BC220" s="239"/>
      <c r="BD220" s="239"/>
      <c r="BE220" s="239"/>
      <c r="BF220" s="239"/>
      <c r="BG220" s="239"/>
    </row>
    <row r="221" spans="2:68" s="140" customFormat="1" ht="18.75" customHeight="1">
      <c r="B221" s="57"/>
      <c r="C221" s="244" t="str">
        <f>"※ "&amp;$N$5&amp;"와 "&amp;T5&amp;"의 열팽창계수 차이 :"</f>
        <v>※ 줄자와 줄자교정장치의 열팽창계수 차이 :</v>
      </c>
      <c r="D221" s="244"/>
      <c r="E221" s="244"/>
      <c r="F221" s="244"/>
      <c r="G221" s="244"/>
      <c r="H221" s="244"/>
      <c r="I221" s="244"/>
      <c r="J221" s="244"/>
      <c r="K221" s="244"/>
      <c r="L221" s="244"/>
      <c r="M221" s="244"/>
      <c r="N221" s="244"/>
      <c r="O221" s="244"/>
      <c r="P221" s="244"/>
      <c r="Q221" s="244"/>
      <c r="R221" s="244"/>
      <c r="S221" s="244"/>
      <c r="T221" s="244"/>
      <c r="U221" s="244" t="s">
        <v>199</v>
      </c>
      <c r="V221" s="244"/>
      <c r="X221" s="244"/>
      <c r="Y221" s="244"/>
      <c r="Z221" s="187"/>
      <c r="AB221" s="244"/>
      <c r="AC221" s="244"/>
      <c r="AD221" s="244"/>
      <c r="AE221" s="244"/>
      <c r="AF221" s="244"/>
      <c r="AG221" s="244"/>
      <c r="AH221" s="244"/>
      <c r="AI221" s="244"/>
      <c r="AJ221" s="244"/>
      <c r="AK221" s="244"/>
      <c r="AL221" s="244"/>
      <c r="AM221" s="244"/>
      <c r="AN221" s="244"/>
      <c r="AO221" s="244"/>
      <c r="AP221" s="244"/>
      <c r="AQ221" s="244"/>
      <c r="AR221" s="244"/>
      <c r="AS221" s="244"/>
      <c r="AT221" s="244"/>
      <c r="AU221" s="244"/>
      <c r="AV221" s="244"/>
      <c r="AW221" s="244"/>
      <c r="AX221" s="244"/>
      <c r="AY221" s="244"/>
      <c r="AZ221" s="244"/>
      <c r="BA221" s="244"/>
      <c r="BB221" s="239"/>
      <c r="BC221" s="239"/>
      <c r="BD221" s="239"/>
      <c r="BE221" s="239"/>
      <c r="BF221" s="239"/>
      <c r="BG221" s="239"/>
    </row>
    <row r="222" spans="2:68" s="140" customFormat="1" ht="18.75" customHeight="1">
      <c r="B222" s="239"/>
      <c r="C222" s="241" t="s">
        <v>531</v>
      </c>
      <c r="D222" s="239"/>
      <c r="E222" s="239"/>
      <c r="F222" s="239"/>
      <c r="G222" s="239"/>
      <c r="H222" s="500" t="e">
        <f>H87*10^6</f>
        <v>#VALUE!</v>
      </c>
      <c r="I222" s="500"/>
      <c r="J222" s="500"/>
      <c r="K222" s="238" t="s">
        <v>515</v>
      </c>
      <c r="L222" s="238"/>
      <c r="M222" s="238"/>
      <c r="N222" s="238"/>
      <c r="O222" s="238"/>
      <c r="P222" s="238"/>
      <c r="Q222" s="244"/>
      <c r="R222" s="244"/>
      <c r="S222" s="244"/>
      <c r="T222" s="244"/>
      <c r="U222" s="244"/>
      <c r="V222" s="244"/>
      <c r="W222" s="244"/>
      <c r="X222" s="244"/>
      <c r="Y222" s="244"/>
      <c r="Z222" s="244"/>
      <c r="AA222" s="244"/>
      <c r="AB222" s="244"/>
      <c r="AC222" s="244"/>
      <c r="AD222" s="244"/>
      <c r="AE222" s="244"/>
      <c r="AF222" s="244"/>
      <c r="AG222" s="244"/>
      <c r="AH222" s="244"/>
      <c r="AI222" s="244"/>
      <c r="AJ222" s="244"/>
      <c r="AK222" s="244"/>
      <c r="AL222" s="244"/>
      <c r="AM222" s="244"/>
      <c r="AN222" s="244"/>
      <c r="AO222" s="244"/>
      <c r="AP222" s="244"/>
      <c r="AQ222" s="244"/>
      <c r="AR222" s="244"/>
      <c r="AS222" s="244"/>
      <c r="AT222" s="239"/>
      <c r="AU222" s="239"/>
      <c r="AV222" s="239"/>
      <c r="AW222" s="239"/>
      <c r="AX222" s="239"/>
      <c r="AY222" s="239"/>
      <c r="AZ222" s="239"/>
      <c r="BA222" s="239"/>
      <c r="BB222" s="239"/>
      <c r="BC222" s="239"/>
      <c r="BD222" s="239"/>
      <c r="BE222" s="239"/>
      <c r="BF222" s="239"/>
      <c r="BG222" s="239"/>
    </row>
    <row r="223" spans="2:68" s="140" customFormat="1" ht="18.75" customHeight="1">
      <c r="B223" s="239"/>
      <c r="C223" s="244" t="s">
        <v>532</v>
      </c>
      <c r="D223" s="244"/>
      <c r="E223" s="244"/>
      <c r="F223" s="244"/>
      <c r="G223" s="244"/>
      <c r="H223" s="244"/>
      <c r="I223" s="239"/>
      <c r="J223" s="244" t="s">
        <v>533</v>
      </c>
      <c r="K223" s="244"/>
      <c r="L223" s="244"/>
      <c r="M223" s="244"/>
      <c r="N223" s="244"/>
      <c r="O223" s="244"/>
      <c r="P223" s="244"/>
      <c r="Q223" s="244"/>
      <c r="R223" s="244"/>
      <c r="S223" s="244"/>
      <c r="T223" s="244"/>
      <c r="U223" s="239"/>
      <c r="V223" s="239"/>
      <c r="W223" s="59"/>
      <c r="X223" s="244"/>
      <c r="Y223" s="244"/>
      <c r="Z223" s="244"/>
      <c r="AA223" s="244"/>
      <c r="AB223" s="244"/>
      <c r="AC223" s="244"/>
      <c r="AD223" s="244"/>
      <c r="AE223" s="244"/>
      <c r="AF223" s="244"/>
      <c r="AG223" s="244"/>
      <c r="AH223" s="244"/>
      <c r="AI223" s="244"/>
      <c r="AJ223" s="244"/>
      <c r="AK223" s="244"/>
      <c r="AL223" s="239"/>
      <c r="AM223" s="239"/>
      <c r="AN223" s="239"/>
      <c r="AO223" s="244"/>
      <c r="AP223" s="244"/>
      <c r="AQ223" s="244"/>
      <c r="AR223" s="244"/>
      <c r="AS223" s="244"/>
      <c r="AT223" s="244"/>
      <c r="AU223" s="244"/>
      <c r="AV223" s="244"/>
      <c r="AW223" s="244"/>
      <c r="AX223" s="244"/>
      <c r="AY223" s="244"/>
      <c r="AZ223" s="244"/>
      <c r="BA223" s="244"/>
      <c r="BB223" s="244"/>
      <c r="BC223" s="244"/>
      <c r="BD223" s="244"/>
      <c r="BE223" s="244"/>
      <c r="BF223" s="244"/>
      <c r="BG223" s="244"/>
      <c r="BH223" s="58"/>
      <c r="BI223" s="58"/>
      <c r="BJ223" s="58"/>
      <c r="BK223" s="58"/>
      <c r="BL223" s="58"/>
      <c r="BM223" s="58"/>
    </row>
    <row r="224" spans="2:68" s="140" customFormat="1" ht="18.75" customHeight="1">
      <c r="B224" s="239"/>
      <c r="C224" s="244"/>
      <c r="D224" s="244"/>
      <c r="E224" s="244"/>
      <c r="F224" s="244"/>
      <c r="G224" s="244"/>
      <c r="H224" s="244"/>
      <c r="I224" s="239"/>
      <c r="J224" s="244" t="s">
        <v>534</v>
      </c>
      <c r="K224" s="244"/>
      <c r="L224" s="244"/>
      <c r="M224" s="244"/>
      <c r="N224" s="244"/>
      <c r="O224" s="244"/>
      <c r="P224" s="244"/>
      <c r="Q224" s="244"/>
      <c r="R224" s="244"/>
      <c r="S224" s="244"/>
      <c r="T224" s="239"/>
      <c r="U224" s="244"/>
      <c r="V224" s="59"/>
      <c r="W224" s="244"/>
      <c r="X224" s="244"/>
      <c r="Y224" s="244"/>
      <c r="Z224" s="244"/>
      <c r="AA224" s="244"/>
      <c r="AB224" s="244"/>
      <c r="AC224" s="244"/>
      <c r="AD224" s="239"/>
      <c r="AE224" s="244"/>
      <c r="AF224" s="244"/>
      <c r="AG224" s="244"/>
      <c r="AH224" s="244"/>
      <c r="AI224" s="244"/>
      <c r="AJ224" s="244"/>
      <c r="AK224" s="239"/>
      <c r="AL224" s="239"/>
      <c r="AM224" s="239"/>
      <c r="AN224" s="239"/>
      <c r="AO224" s="244"/>
      <c r="AP224" s="244"/>
      <c r="AQ224" s="244"/>
      <c r="AR224" s="244"/>
      <c r="AS224" s="244"/>
      <c r="AT224" s="244"/>
      <c r="AU224" s="244"/>
      <c r="AV224" s="244"/>
      <c r="AW224" s="244"/>
      <c r="AX224" s="244"/>
      <c r="AY224" s="244"/>
      <c r="AZ224" s="244"/>
      <c r="BA224" s="244"/>
      <c r="BB224" s="244"/>
      <c r="BC224" s="244"/>
      <c r="BD224" s="244"/>
      <c r="BE224" s="244"/>
      <c r="BF224" s="244"/>
      <c r="BG224" s="244"/>
      <c r="BH224" s="58"/>
      <c r="BI224" s="58"/>
      <c r="BJ224" s="58"/>
      <c r="BK224" s="58"/>
      <c r="BL224" s="58"/>
      <c r="BM224" s="58"/>
      <c r="BN224" s="58"/>
    </row>
    <row r="225" spans="2:66" s="140" customFormat="1" ht="18.75" customHeight="1">
      <c r="B225" s="239"/>
      <c r="C225" s="244"/>
      <c r="D225" s="244"/>
      <c r="E225" s="244"/>
      <c r="F225" s="244"/>
      <c r="G225" s="244"/>
      <c r="H225" s="244"/>
      <c r="I225" s="239"/>
      <c r="K225" s="241" t="s">
        <v>155</v>
      </c>
      <c r="L225" s="241"/>
      <c r="M225" s="241"/>
      <c r="N225" s="241"/>
      <c r="O225" s="241"/>
      <c r="P225" s="241"/>
      <c r="Q225" s="241"/>
      <c r="R225" s="241"/>
      <c r="S225" s="244"/>
      <c r="T225" s="244"/>
      <c r="U225" s="244"/>
      <c r="V225" s="244"/>
      <c r="W225" s="244"/>
      <c r="X225" s="244"/>
      <c r="Y225" s="244"/>
      <c r="Z225" s="244"/>
      <c r="AA225" s="244"/>
      <c r="AB225" s="244"/>
      <c r="AC225" s="244"/>
      <c r="AD225" s="244"/>
      <c r="AE225" s="244"/>
      <c r="AF225" s="143"/>
      <c r="AG225" s="244"/>
      <c r="AH225" s="244"/>
      <c r="AI225" s="244"/>
      <c r="AJ225" s="244"/>
      <c r="AK225" s="239"/>
      <c r="AL225" s="239"/>
      <c r="AM225" s="239"/>
      <c r="AN225" s="239"/>
      <c r="AO225" s="244"/>
      <c r="AP225" s="244"/>
      <c r="AQ225" s="244"/>
      <c r="AR225" s="244"/>
      <c r="AS225" s="244"/>
      <c r="AT225" s="244"/>
      <c r="AU225" s="244"/>
      <c r="AV225" s="244"/>
      <c r="AW225" s="244"/>
      <c r="AX225" s="244"/>
      <c r="AY225" s="244"/>
      <c r="AZ225" s="244"/>
      <c r="BA225" s="244"/>
      <c r="BB225" s="244"/>
      <c r="BC225" s="244"/>
      <c r="BD225" s="244"/>
      <c r="BE225" s="244"/>
      <c r="BF225" s="244"/>
      <c r="BG225" s="244"/>
      <c r="BH225" s="58"/>
      <c r="BI225" s="58"/>
      <c r="BJ225" s="58"/>
      <c r="BK225" s="58"/>
      <c r="BL225" s="58"/>
      <c r="BM225" s="58"/>
      <c r="BN225" s="58"/>
    </row>
    <row r="226" spans="2:66" s="140" customFormat="1" ht="18.75" customHeight="1">
      <c r="B226" s="239"/>
      <c r="C226" s="244"/>
      <c r="D226" s="244"/>
      <c r="E226" s="244"/>
      <c r="F226" s="244"/>
      <c r="G226" s="244"/>
      <c r="H226" s="244"/>
      <c r="I226" s="239"/>
      <c r="J226" s="239"/>
      <c r="K226" s="109"/>
      <c r="L226" s="109"/>
      <c r="M226" s="239"/>
      <c r="N226" s="239"/>
      <c r="O226" s="239"/>
      <c r="P226" s="239"/>
      <c r="Q226" s="239"/>
      <c r="R226" s="239"/>
      <c r="S226" s="244"/>
      <c r="T226" s="244"/>
      <c r="U226" s="244"/>
      <c r="V226" s="244"/>
      <c r="W226" s="244"/>
      <c r="X226" s="244"/>
      <c r="Y226" s="239"/>
      <c r="Z226" s="244"/>
      <c r="AA226" s="143"/>
      <c r="AB226" s="143"/>
      <c r="AC226" s="143"/>
      <c r="AD226" s="143"/>
      <c r="AE226" s="143"/>
      <c r="AF226" s="239"/>
      <c r="AG226" s="143"/>
      <c r="AH226" s="143"/>
      <c r="AI226" s="143"/>
      <c r="AJ226" s="143"/>
      <c r="AK226" s="239"/>
      <c r="AL226" s="243"/>
      <c r="AM226" s="243"/>
      <c r="AN226" s="243"/>
      <c r="AO226" s="243"/>
      <c r="AP226" s="244"/>
      <c r="AQ226" s="244"/>
      <c r="AR226" s="244"/>
      <c r="AS226" s="244"/>
      <c r="AT226" s="244"/>
      <c r="AU226" s="244"/>
      <c r="AV226" s="244"/>
      <c r="AW226" s="244"/>
      <c r="AX226" s="244"/>
      <c r="AY226" s="244"/>
      <c r="AZ226" s="244"/>
      <c r="BA226" s="244"/>
      <c r="BB226" s="244"/>
      <c r="BC226" s="244"/>
      <c r="BD226" s="244"/>
      <c r="BE226" s="244"/>
      <c r="BF226" s="244"/>
      <c r="BG226" s="244"/>
      <c r="BH226" s="58"/>
      <c r="BI226" s="58"/>
      <c r="BJ226" s="58"/>
      <c r="BK226" s="58"/>
      <c r="BL226" s="58"/>
    </row>
    <row r="227" spans="2:66" s="140" customFormat="1" ht="18.75" customHeight="1">
      <c r="B227" s="239"/>
      <c r="C227" s="244" t="s">
        <v>535</v>
      </c>
      <c r="D227" s="244"/>
      <c r="E227" s="244"/>
      <c r="F227" s="244"/>
      <c r="G227" s="244"/>
      <c r="H227" s="244"/>
      <c r="I227" s="388" t="str">
        <f>V87</f>
        <v>삼각형</v>
      </c>
      <c r="J227" s="388"/>
      <c r="K227" s="388"/>
      <c r="L227" s="388"/>
      <c r="M227" s="388"/>
      <c r="N227" s="388"/>
      <c r="O227" s="388"/>
      <c r="P227" s="388"/>
      <c r="Q227" s="244"/>
      <c r="R227" s="244"/>
      <c r="S227" s="244"/>
      <c r="T227" s="244"/>
      <c r="U227" s="244"/>
      <c r="V227" s="244"/>
      <c r="W227" s="244"/>
      <c r="X227" s="244"/>
      <c r="Y227" s="244"/>
      <c r="Z227" s="244"/>
      <c r="AA227" s="239"/>
      <c r="AB227" s="239"/>
      <c r="AC227" s="239"/>
      <c r="AD227" s="239"/>
      <c r="AE227" s="239"/>
      <c r="AF227" s="110"/>
      <c r="AG227" s="239"/>
      <c r="AH227" s="239"/>
      <c r="AI227" s="244"/>
      <c r="AJ227" s="244"/>
      <c r="AK227" s="244"/>
      <c r="AL227" s="244"/>
      <c r="AM227" s="244"/>
      <c r="AN227" s="244"/>
      <c r="AO227" s="244"/>
      <c r="AP227" s="244"/>
      <c r="AQ227" s="244"/>
      <c r="AR227" s="244"/>
      <c r="AS227" s="244"/>
      <c r="AT227" s="244"/>
      <c r="AU227" s="244"/>
      <c r="AV227" s="244"/>
      <c r="AW227" s="244"/>
      <c r="AX227" s="244"/>
      <c r="AY227" s="244"/>
      <c r="AZ227" s="244"/>
      <c r="BA227" s="244"/>
      <c r="BB227" s="244"/>
      <c r="BC227" s="244"/>
      <c r="BD227" s="244"/>
      <c r="BE227" s="244"/>
      <c r="BF227" s="244"/>
      <c r="BG227" s="244"/>
      <c r="BH227" s="58"/>
      <c r="BI227" s="58"/>
      <c r="BJ227" s="58"/>
      <c r="BK227" s="58"/>
      <c r="BL227" s="58"/>
      <c r="BM227" s="58"/>
      <c r="BN227" s="58"/>
    </row>
    <row r="228" spans="2:66" s="140" customFormat="1" ht="18.75" customHeight="1">
      <c r="B228" s="239"/>
      <c r="C228" s="396" t="s">
        <v>536</v>
      </c>
      <c r="D228" s="396"/>
      <c r="E228" s="396"/>
      <c r="F228" s="396"/>
      <c r="G228" s="396"/>
      <c r="H228" s="396"/>
      <c r="I228" s="244"/>
      <c r="J228" s="239"/>
      <c r="K228" s="244"/>
      <c r="L228" s="244"/>
      <c r="M228" s="244"/>
      <c r="N228" s="244"/>
      <c r="O228" s="244"/>
      <c r="P228" s="244"/>
      <c r="S228" s="387" t="e">
        <f>-H88</f>
        <v>#VALUE!</v>
      </c>
      <c r="T228" s="387"/>
      <c r="U228" s="396" t="s">
        <v>156</v>
      </c>
      <c r="V228" s="396"/>
      <c r="W228" s="503">
        <f>Calcu!N63</f>
        <v>0</v>
      </c>
      <c r="X228" s="503"/>
      <c r="Y228" s="503"/>
      <c r="Z228" s="396" t="s">
        <v>294</v>
      </c>
      <c r="AA228" s="396"/>
      <c r="AB228" s="394" t="s">
        <v>146</v>
      </c>
      <c r="AC228" s="502" t="e">
        <f>S228*W228</f>
        <v>#VALUE!</v>
      </c>
      <c r="AD228" s="502"/>
      <c r="AE228" s="502"/>
      <c r="AF228" s="502"/>
      <c r="AG228" s="396" t="s">
        <v>260</v>
      </c>
      <c r="AH228" s="396"/>
      <c r="AI228" s="396"/>
      <c r="AJ228" s="396"/>
      <c r="AK228" s="396"/>
      <c r="AL228" s="396"/>
      <c r="AM228" s="396"/>
      <c r="AN228" s="239"/>
      <c r="AO228" s="239"/>
      <c r="AP228" s="239"/>
      <c r="AQ228" s="239"/>
      <c r="AR228" s="239"/>
      <c r="AS228" s="239"/>
      <c r="AT228" s="239"/>
      <c r="AU228" s="239"/>
      <c r="AV228" s="239"/>
      <c r="AW228" s="239"/>
      <c r="AX228" s="239"/>
      <c r="AY228" s="239"/>
      <c r="AZ228" s="239"/>
      <c r="BA228" s="244"/>
      <c r="BB228" s="244"/>
      <c r="BC228" s="244"/>
    </row>
    <row r="229" spans="2:66" s="140" customFormat="1" ht="18.75" customHeight="1">
      <c r="B229" s="239"/>
      <c r="C229" s="396"/>
      <c r="D229" s="396"/>
      <c r="E229" s="396"/>
      <c r="F229" s="396"/>
      <c r="G229" s="396"/>
      <c r="H229" s="396"/>
      <c r="I229" s="244"/>
      <c r="J229" s="244"/>
      <c r="K229" s="244"/>
      <c r="L229" s="244"/>
      <c r="M229" s="244"/>
      <c r="N229" s="244"/>
      <c r="O229" s="244"/>
      <c r="P229" s="239"/>
      <c r="S229" s="387"/>
      <c r="T229" s="387"/>
      <c r="U229" s="396"/>
      <c r="V229" s="396"/>
      <c r="W229" s="503"/>
      <c r="X229" s="503"/>
      <c r="Y229" s="503"/>
      <c r="Z229" s="396"/>
      <c r="AA229" s="396"/>
      <c r="AB229" s="394"/>
      <c r="AC229" s="502"/>
      <c r="AD229" s="502"/>
      <c r="AE229" s="502"/>
      <c r="AF229" s="502"/>
      <c r="AG229" s="396"/>
      <c r="AH229" s="396"/>
      <c r="AI229" s="396"/>
      <c r="AJ229" s="396"/>
      <c r="AK229" s="396"/>
      <c r="AL229" s="396"/>
      <c r="AM229" s="396"/>
      <c r="AN229" s="239"/>
      <c r="AO229" s="239"/>
      <c r="AP229" s="239"/>
      <c r="AQ229" s="239"/>
      <c r="AR229" s="239"/>
      <c r="AS229" s="239"/>
      <c r="AT229" s="239"/>
      <c r="AU229" s="239"/>
      <c r="AV229" s="239"/>
      <c r="AW229" s="239"/>
      <c r="AX229" s="239"/>
      <c r="AY229" s="239"/>
      <c r="AZ229" s="239"/>
      <c r="BA229" s="244"/>
      <c r="BB229" s="244"/>
      <c r="BC229" s="244"/>
    </row>
    <row r="230" spans="2:66" s="140" customFormat="1" ht="18.75" customHeight="1">
      <c r="B230" s="239"/>
      <c r="C230" s="244" t="s">
        <v>537</v>
      </c>
      <c r="D230" s="244"/>
      <c r="E230" s="244"/>
      <c r="F230" s="244"/>
      <c r="G230" s="244"/>
      <c r="H230" s="244"/>
      <c r="I230" s="244"/>
      <c r="J230" s="239"/>
      <c r="K230" s="251" t="s">
        <v>158</v>
      </c>
      <c r="L230" s="502" t="e">
        <f>AC228</f>
        <v>#VALUE!</v>
      </c>
      <c r="M230" s="502"/>
      <c r="N230" s="502"/>
      <c r="O230" s="502"/>
      <c r="P230" s="243" t="s">
        <v>538</v>
      </c>
      <c r="Q230" s="239"/>
      <c r="R230" s="239"/>
      <c r="S230" s="239"/>
      <c r="T230" s="239"/>
      <c r="U230" s="239"/>
      <c r="V230" s="239"/>
      <c r="W230" s="239"/>
      <c r="X230" s="239"/>
      <c r="Y230" s="251" t="s">
        <v>492</v>
      </c>
      <c r="Z230" s="239" t="s">
        <v>452</v>
      </c>
      <c r="AA230" s="386" t="e">
        <f>ABS(L230*O87)</f>
        <v>#VALUE!</v>
      </c>
      <c r="AB230" s="386"/>
      <c r="AC230" s="386"/>
      <c r="AD230" s="241" t="s">
        <v>480</v>
      </c>
      <c r="AE230" s="241"/>
      <c r="AF230" s="239"/>
      <c r="AG230" s="239"/>
      <c r="AH230" s="239"/>
      <c r="AI230" s="239"/>
      <c r="AJ230" s="239"/>
      <c r="AK230" s="239"/>
      <c r="AL230" s="239"/>
      <c r="AM230" s="239"/>
      <c r="AN230" s="239"/>
      <c r="AO230" s="239"/>
      <c r="AP230" s="239"/>
      <c r="AQ230" s="239"/>
      <c r="AR230" s="239"/>
      <c r="AS230" s="243"/>
      <c r="AT230" s="244"/>
      <c r="AU230" s="244"/>
      <c r="AV230" s="244"/>
      <c r="AW230" s="144"/>
      <c r="AX230" s="243"/>
      <c r="AY230" s="244"/>
      <c r="AZ230" s="244"/>
      <c r="BA230" s="244"/>
      <c r="BB230" s="244"/>
      <c r="BC230" s="244"/>
      <c r="BD230" s="244"/>
      <c r="BE230" s="239"/>
      <c r="BF230" s="244"/>
      <c r="BG230" s="244"/>
      <c r="BH230" s="58"/>
      <c r="BI230" s="58"/>
      <c r="BJ230" s="58"/>
    </row>
    <row r="231" spans="2:66" s="140" customFormat="1" ht="18.75" customHeight="1">
      <c r="B231" s="239"/>
      <c r="C231" s="396" t="s">
        <v>539</v>
      </c>
      <c r="D231" s="396"/>
      <c r="E231" s="396"/>
      <c r="F231" s="396"/>
      <c r="G231" s="396"/>
      <c r="H231" s="244"/>
      <c r="J231" s="244"/>
      <c r="K231" s="244"/>
      <c r="L231" s="244"/>
      <c r="M231" s="244"/>
      <c r="N231" s="244"/>
      <c r="O231" s="244"/>
      <c r="P231" s="244"/>
      <c r="Q231" s="244"/>
      <c r="R231" s="243"/>
      <c r="S231" s="244"/>
      <c r="T231" s="244"/>
      <c r="U231" s="244"/>
      <c r="W231" s="244"/>
      <c r="X231" s="244"/>
      <c r="Y231" s="244"/>
      <c r="Z231" s="244"/>
      <c r="AA231" s="251" t="s">
        <v>540</v>
      </c>
      <c r="AB231" s="244"/>
      <c r="AC231" s="244"/>
      <c r="AD231" s="244"/>
      <c r="AE231" s="239"/>
      <c r="AF231" s="239"/>
      <c r="AH231" s="239"/>
      <c r="AI231" s="239"/>
      <c r="AJ231" s="239"/>
      <c r="AK231" s="239"/>
      <c r="AL231" s="239"/>
      <c r="AM231" s="239"/>
      <c r="AN231" s="239"/>
      <c r="AO231" s="239"/>
      <c r="AP231" s="239"/>
      <c r="AQ231" s="239"/>
      <c r="AR231" s="239"/>
      <c r="AS231" s="239"/>
      <c r="AT231" s="239"/>
      <c r="AU231" s="239"/>
      <c r="AV231" s="239"/>
      <c r="AW231" s="239"/>
      <c r="AX231" s="239"/>
      <c r="AY231" s="239"/>
      <c r="AZ231" s="239"/>
      <c r="BA231" s="239"/>
      <c r="BB231" s="239"/>
      <c r="BC231" s="239"/>
      <c r="BD231" s="239"/>
      <c r="BE231" s="239"/>
      <c r="BF231" s="239"/>
      <c r="BG231" s="239"/>
      <c r="BH231" s="58"/>
      <c r="BI231" s="58"/>
      <c r="BJ231" s="58"/>
      <c r="BK231" s="58"/>
      <c r="BL231" s="58"/>
    </row>
    <row r="232" spans="2:66" s="140" customFormat="1" ht="18.75" customHeight="1">
      <c r="B232" s="239"/>
      <c r="C232" s="396"/>
      <c r="D232" s="396"/>
      <c r="E232" s="396"/>
      <c r="F232" s="396"/>
      <c r="G232" s="396"/>
      <c r="H232" s="244"/>
      <c r="I232" s="244"/>
      <c r="J232" s="244"/>
      <c r="K232" s="244"/>
      <c r="L232" s="244"/>
      <c r="M232" s="244"/>
      <c r="N232" s="244"/>
      <c r="O232" s="244"/>
      <c r="P232" s="244"/>
      <c r="Q232" s="244"/>
      <c r="R232" s="243"/>
      <c r="S232" s="244"/>
      <c r="T232" s="244"/>
      <c r="U232" s="244"/>
      <c r="V232" s="244"/>
      <c r="W232" s="244"/>
      <c r="X232" s="244"/>
      <c r="Y232" s="244"/>
      <c r="Z232" s="244"/>
      <c r="AA232" s="244"/>
      <c r="AB232" s="244"/>
      <c r="AC232" s="244"/>
      <c r="AD232" s="244"/>
      <c r="AE232" s="239"/>
      <c r="AF232" s="239"/>
      <c r="AG232" s="239"/>
      <c r="AH232" s="239"/>
      <c r="AI232" s="239"/>
      <c r="AJ232" s="239"/>
      <c r="AK232" s="239"/>
      <c r="AL232" s="239"/>
      <c r="AM232" s="239"/>
      <c r="AN232" s="239"/>
      <c r="AO232" s="239"/>
      <c r="AP232" s="239"/>
      <c r="AQ232" s="239"/>
      <c r="AR232" s="239"/>
      <c r="AS232" s="239"/>
      <c r="AT232" s="239"/>
      <c r="AU232" s="239"/>
      <c r="AV232" s="239"/>
      <c r="AW232" s="239"/>
      <c r="AX232" s="239"/>
      <c r="AY232" s="239"/>
      <c r="AZ232" s="239"/>
      <c r="BA232" s="239"/>
      <c r="BB232" s="239"/>
      <c r="BC232" s="239"/>
      <c r="BD232" s="239"/>
      <c r="BE232" s="239"/>
      <c r="BF232" s="239"/>
      <c r="BG232" s="239"/>
      <c r="BH232" s="58"/>
      <c r="BI232" s="58"/>
      <c r="BJ232" s="58"/>
      <c r="BK232" s="58"/>
      <c r="BL232" s="58"/>
    </row>
    <row r="233" spans="2:66" s="140" customFormat="1" ht="18.75" customHeight="1">
      <c r="B233" s="239"/>
      <c r="C233" s="244"/>
      <c r="D233" s="244"/>
      <c r="E233" s="244"/>
      <c r="F233" s="244"/>
      <c r="G233" s="244"/>
      <c r="H233" s="244"/>
      <c r="I233" s="244"/>
      <c r="J233" s="244"/>
      <c r="K233" s="244"/>
      <c r="L233" s="244"/>
      <c r="M233" s="244"/>
      <c r="N233" s="244"/>
      <c r="O233" s="244"/>
      <c r="P233" s="244"/>
      <c r="Q233" s="244"/>
      <c r="R233" s="243"/>
      <c r="S233" s="244"/>
      <c r="T233" s="244"/>
      <c r="U233" s="244"/>
      <c r="V233" s="244"/>
      <c r="W233" s="244"/>
      <c r="X233" s="244"/>
      <c r="Y233" s="244"/>
      <c r="Z233" s="388">
        <v>100</v>
      </c>
      <c r="AA233" s="388"/>
      <c r="AD233" s="244"/>
      <c r="AE233" s="239"/>
      <c r="AF233" s="239"/>
      <c r="AG233" s="239"/>
      <c r="AH233" s="239"/>
      <c r="AI233" s="239"/>
      <c r="AJ233" s="239"/>
      <c r="AK233" s="239"/>
      <c r="AL233" s="239"/>
      <c r="AM233" s="239"/>
      <c r="AN233" s="239"/>
      <c r="AO233" s="239"/>
      <c r="AP233" s="239"/>
      <c r="AQ233" s="239"/>
      <c r="AR233" s="239"/>
      <c r="AS233" s="239"/>
      <c r="AT233" s="239"/>
      <c r="AU233" s="239"/>
      <c r="AV233" s="239"/>
      <c r="AW233" s="239"/>
      <c r="AX233" s="239"/>
      <c r="AY233" s="239"/>
      <c r="AZ233" s="239"/>
      <c r="BA233" s="239"/>
      <c r="BB233" s="239"/>
      <c r="BC233" s="239"/>
      <c r="BD233" s="239"/>
      <c r="BE233" s="239"/>
      <c r="BF233" s="239"/>
      <c r="BG233" s="239"/>
      <c r="BH233" s="58"/>
      <c r="BI233" s="58"/>
      <c r="BJ233" s="58"/>
      <c r="BK233" s="58"/>
      <c r="BL233" s="58"/>
    </row>
    <row r="234" spans="2:66" s="140" customFormat="1" ht="18.75" customHeight="1">
      <c r="B234" s="239"/>
      <c r="C234" s="244"/>
      <c r="D234" s="244"/>
      <c r="E234" s="244"/>
      <c r="F234" s="244"/>
      <c r="G234" s="244"/>
      <c r="H234" s="244"/>
      <c r="I234" s="244"/>
      <c r="J234" s="244"/>
      <c r="K234" s="244"/>
      <c r="L234" s="244"/>
      <c r="M234" s="244"/>
      <c r="N234" s="244"/>
      <c r="O234" s="244"/>
      <c r="P234" s="244"/>
      <c r="Q234" s="244"/>
      <c r="R234" s="243"/>
      <c r="S234" s="244"/>
      <c r="T234" s="244"/>
      <c r="U234" s="244"/>
      <c r="V234" s="244"/>
      <c r="W234" s="244"/>
      <c r="X234" s="244"/>
      <c r="Y234" s="244"/>
      <c r="Z234" s="388"/>
      <c r="AA234" s="388"/>
      <c r="AD234" s="244"/>
      <c r="AE234" s="239"/>
      <c r="AF234" s="239"/>
      <c r="AG234" s="239"/>
      <c r="AH234" s="239"/>
      <c r="AI234" s="239"/>
      <c r="AJ234" s="239"/>
      <c r="AK234" s="239"/>
      <c r="AL234" s="239"/>
      <c r="AM234" s="239"/>
      <c r="AN234" s="239"/>
      <c r="AO234" s="239"/>
      <c r="AP234" s="239"/>
      <c r="AQ234" s="239"/>
      <c r="AR234" s="239"/>
      <c r="AS234" s="239"/>
      <c r="AT234" s="239"/>
      <c r="AU234" s="239"/>
      <c r="AV234" s="239"/>
      <c r="AW234" s="239"/>
      <c r="AX234" s="239"/>
      <c r="AY234" s="239"/>
      <c r="AZ234" s="239"/>
      <c r="BA234" s="239"/>
      <c r="BB234" s="239"/>
      <c r="BC234" s="239"/>
      <c r="BD234" s="239"/>
      <c r="BE234" s="239"/>
      <c r="BF234" s="239"/>
      <c r="BG234" s="239"/>
      <c r="BH234" s="58"/>
      <c r="BI234" s="58"/>
      <c r="BJ234" s="58"/>
      <c r="BK234" s="58"/>
      <c r="BL234" s="58"/>
    </row>
    <row r="235" spans="2:66" s="140" customFormat="1" ht="18.75" customHeight="1">
      <c r="B235" s="239"/>
      <c r="C235" s="244"/>
      <c r="D235" s="244"/>
      <c r="E235" s="244"/>
      <c r="F235" s="244"/>
      <c r="G235" s="244"/>
      <c r="H235" s="244"/>
      <c r="I235" s="244"/>
      <c r="J235" s="244"/>
      <c r="K235" s="244"/>
      <c r="L235" s="244"/>
      <c r="M235" s="244"/>
      <c r="N235" s="244"/>
      <c r="O235" s="244"/>
      <c r="P235" s="244"/>
      <c r="Q235" s="244"/>
      <c r="R235" s="243"/>
      <c r="S235" s="244"/>
      <c r="T235" s="244"/>
      <c r="U235" s="244"/>
      <c r="V235" s="244"/>
      <c r="W235" s="244"/>
      <c r="X235" s="244"/>
      <c r="Y235" s="244"/>
      <c r="Z235" s="244"/>
      <c r="AA235" s="244"/>
      <c r="AB235" s="244"/>
      <c r="AC235" s="244"/>
      <c r="AD235" s="244"/>
      <c r="AE235" s="239"/>
      <c r="AF235" s="239"/>
      <c r="AG235" s="239"/>
      <c r="AH235" s="239"/>
      <c r="AI235" s="239"/>
      <c r="AJ235" s="239"/>
      <c r="AK235" s="239"/>
      <c r="AL235" s="239"/>
      <c r="AM235" s="239"/>
      <c r="AN235" s="239"/>
      <c r="AO235" s="239"/>
      <c r="AP235" s="239"/>
      <c r="AQ235" s="239"/>
      <c r="AR235" s="239"/>
      <c r="AS235" s="239"/>
      <c r="AT235" s="239"/>
      <c r="AU235" s="239"/>
      <c r="AV235" s="239"/>
      <c r="AW235" s="239"/>
      <c r="AX235" s="239"/>
      <c r="AY235" s="239"/>
      <c r="AZ235" s="239"/>
      <c r="BA235" s="239"/>
      <c r="BB235" s="239"/>
      <c r="BC235" s="239"/>
      <c r="BD235" s="239"/>
      <c r="BE235" s="239"/>
      <c r="BF235" s="239"/>
      <c r="BG235" s="239"/>
      <c r="BH235" s="58"/>
      <c r="BI235" s="58"/>
      <c r="BJ235" s="58"/>
      <c r="BK235" s="58"/>
      <c r="BL235" s="58"/>
    </row>
    <row r="236" spans="2:66" s="140" customFormat="1" ht="18.75" customHeight="1">
      <c r="B236" s="239"/>
      <c r="C236" s="244"/>
      <c r="D236" s="244"/>
      <c r="E236" s="244"/>
      <c r="F236" s="244"/>
      <c r="G236" s="244"/>
      <c r="H236" s="244"/>
      <c r="I236" s="244"/>
      <c r="J236" s="244"/>
      <c r="K236" s="244"/>
      <c r="L236" s="244"/>
      <c r="M236" s="244"/>
      <c r="N236" s="244"/>
      <c r="O236" s="244"/>
      <c r="P236" s="244"/>
      <c r="Q236" s="244"/>
      <c r="R236" s="243"/>
      <c r="S236" s="244"/>
      <c r="T236" s="244"/>
      <c r="U236" s="244"/>
      <c r="V236" s="244"/>
      <c r="W236" s="244"/>
      <c r="X236" s="244"/>
      <c r="Y236" s="244"/>
      <c r="Z236" s="244"/>
      <c r="AA236" s="244"/>
      <c r="AB236" s="244"/>
      <c r="AC236" s="244"/>
      <c r="AD236" s="244"/>
      <c r="AE236" s="239"/>
      <c r="AF236" s="239"/>
      <c r="AG236" s="239"/>
      <c r="AH236" s="239"/>
      <c r="AI236" s="239"/>
      <c r="AJ236" s="239"/>
      <c r="AK236" s="239"/>
      <c r="AL236" s="239"/>
      <c r="AM236" s="239"/>
      <c r="AN236" s="239"/>
      <c r="AO236" s="239"/>
      <c r="AP236" s="239"/>
      <c r="AQ236" s="239"/>
      <c r="AR236" s="239"/>
      <c r="AS236" s="239"/>
      <c r="AT236" s="239"/>
      <c r="AU236" s="239"/>
      <c r="AV236" s="239"/>
      <c r="AW236" s="239"/>
      <c r="AX236" s="239"/>
      <c r="AY236" s="239"/>
      <c r="AZ236" s="239"/>
      <c r="BA236" s="239"/>
      <c r="BB236" s="239"/>
      <c r="BC236" s="239"/>
      <c r="BD236" s="239"/>
      <c r="BE236" s="239"/>
      <c r="BF236" s="239"/>
      <c r="BG236" s="239"/>
      <c r="BH236" s="244"/>
      <c r="BI236" s="244"/>
      <c r="BJ236" s="244"/>
      <c r="BK236" s="244"/>
    </row>
    <row r="237" spans="2:66" s="140" customFormat="1" ht="18.75" customHeight="1">
      <c r="B237" s="57" t="str">
        <f>"8. "&amp;$N$5&amp;"와 "&amp;T5&amp;"의 평균온도와 기준 온도와의 차이에 의한 표준불확도,"</f>
        <v>8. 줄자와 줄자교정장치의 평균온도와 기준 온도와의 차이에 의한 표준불확도,</v>
      </c>
      <c r="D237" s="244"/>
      <c r="E237" s="244"/>
      <c r="F237" s="244"/>
      <c r="G237" s="244"/>
      <c r="H237" s="244"/>
      <c r="I237" s="244"/>
      <c r="J237" s="244"/>
      <c r="K237" s="244"/>
      <c r="L237" s="244"/>
      <c r="M237" s="244"/>
      <c r="N237" s="244"/>
      <c r="O237" s="244"/>
      <c r="P237" s="244"/>
      <c r="Q237" s="244"/>
      <c r="R237" s="244"/>
      <c r="S237" s="244"/>
      <c r="T237" s="244"/>
      <c r="U237" s="244"/>
      <c r="V237" s="244"/>
      <c r="W237" s="244"/>
      <c r="X237" s="244"/>
      <c r="Y237" s="244"/>
      <c r="Z237" s="244"/>
      <c r="AA237" s="244"/>
      <c r="AB237" s="244"/>
      <c r="AC237" s="244"/>
      <c r="AD237" s="244"/>
      <c r="AE237" s="244"/>
      <c r="AG237" s="187" t="s">
        <v>541</v>
      </c>
      <c r="AH237" s="244"/>
      <c r="AI237" s="244"/>
      <c r="AJ237" s="244"/>
      <c r="AK237" s="244"/>
      <c r="AL237" s="244"/>
      <c r="AM237" s="244"/>
      <c r="AN237" s="244"/>
      <c r="AO237" s="244"/>
      <c r="AP237" s="244"/>
      <c r="AQ237" s="244"/>
      <c r="AR237" s="244"/>
      <c r="AS237" s="244"/>
      <c r="AT237" s="244"/>
      <c r="AU237" s="244"/>
      <c r="AV237" s="244"/>
      <c r="AW237" s="244"/>
      <c r="AX237" s="244"/>
      <c r="AY237" s="244"/>
      <c r="AZ237" s="244"/>
      <c r="BA237" s="244"/>
      <c r="BB237" s="244"/>
      <c r="BC237" s="244"/>
      <c r="BD237" s="244"/>
      <c r="BE237" s="244"/>
      <c r="BF237" s="244"/>
      <c r="BG237" s="244"/>
      <c r="BH237" s="58"/>
      <c r="BI237" s="58"/>
      <c r="BJ237" s="58"/>
      <c r="BK237" s="58"/>
      <c r="BL237" s="58"/>
      <c r="BM237" s="58"/>
      <c r="BN237" s="58"/>
    </row>
    <row r="238" spans="2:66" s="140" customFormat="1" ht="18.75" customHeight="1">
      <c r="B238" s="57"/>
      <c r="C238" s="244" t="str">
        <f>"※ 측정실 공기중의 온도를 측정하였고, 측정에 사용된 온도계의 불확도가 "&amp;N241&amp;" ℃를 넘지 않으므로,"</f>
        <v>※ 측정실 공기중의 온도를 측정하였고, 측정에 사용된 온도계의 불확도가 1 ℃를 넘지 않으므로,</v>
      </c>
      <c r="D238" s="244"/>
      <c r="E238" s="244"/>
      <c r="F238" s="244"/>
      <c r="G238" s="244"/>
      <c r="H238" s="244"/>
      <c r="I238" s="244"/>
      <c r="J238" s="244"/>
      <c r="K238" s="244"/>
      <c r="L238" s="244"/>
      <c r="M238" s="244"/>
      <c r="N238" s="244"/>
      <c r="O238" s="244"/>
      <c r="P238" s="244"/>
      <c r="Q238" s="244"/>
      <c r="R238" s="244"/>
      <c r="S238" s="244"/>
      <c r="T238" s="244"/>
      <c r="U238" s="244"/>
      <c r="V238" s="244"/>
      <c r="W238" s="244"/>
      <c r="X238" s="244"/>
      <c r="Y238" s="244"/>
      <c r="Z238" s="244"/>
      <c r="AA238" s="244"/>
      <c r="AB238" s="244"/>
      <c r="AC238" s="244"/>
      <c r="AD238" s="244"/>
      <c r="AE238" s="244"/>
      <c r="AF238" s="244"/>
      <c r="AG238" s="244"/>
      <c r="AH238" s="244"/>
      <c r="AI238" s="244"/>
      <c r="AJ238" s="244"/>
      <c r="AK238" s="244"/>
      <c r="AL238" s="244"/>
      <c r="AM238" s="244"/>
      <c r="AN238" s="244"/>
      <c r="AO238" s="244"/>
      <c r="AP238" s="244"/>
      <c r="AQ238" s="244"/>
      <c r="AR238" s="244"/>
      <c r="AS238" s="244"/>
      <c r="AT238" s="244"/>
      <c r="AU238" s="244"/>
      <c r="AV238" s="244"/>
      <c r="AW238" s="244"/>
      <c r="AX238" s="244"/>
      <c r="AY238" s="244"/>
      <c r="AZ238" s="244"/>
      <c r="BA238" s="244"/>
      <c r="BB238" s="244"/>
      <c r="BC238" s="244"/>
      <c r="BD238" s="244"/>
      <c r="BE238" s="244"/>
      <c r="BF238" s="244"/>
      <c r="BG238" s="244"/>
      <c r="BH238" s="58"/>
      <c r="BI238" s="58"/>
      <c r="BJ238" s="58"/>
      <c r="BK238" s="58"/>
      <c r="BL238" s="58"/>
      <c r="BM238" s="58"/>
      <c r="BN238" s="58"/>
    </row>
    <row r="239" spans="2:66" s="140" customFormat="1" ht="18.75" customHeight="1">
      <c r="B239" s="57"/>
      <c r="C239" s="244"/>
      <c r="D239" s="244" t="s">
        <v>542</v>
      </c>
      <c r="E239" s="244"/>
      <c r="F239" s="244"/>
      <c r="G239" s="244"/>
      <c r="H239" s="244"/>
      <c r="I239" s="244"/>
      <c r="J239" s="244"/>
      <c r="K239" s="244"/>
      <c r="L239" s="244"/>
      <c r="M239" s="244"/>
      <c r="N239" s="244"/>
      <c r="O239" s="244"/>
      <c r="P239" s="244"/>
      <c r="Q239" s="244"/>
      <c r="R239" s="244"/>
      <c r="S239" s="244"/>
      <c r="T239" s="244"/>
      <c r="U239" s="244"/>
      <c r="V239" s="244"/>
      <c r="W239" s="244"/>
      <c r="X239" s="244"/>
      <c r="Y239" s="244"/>
      <c r="Z239" s="244"/>
      <c r="AA239" s="244"/>
      <c r="AB239" s="244"/>
      <c r="AC239" s="244"/>
      <c r="AD239" s="244"/>
      <c r="AE239" s="244"/>
      <c r="AF239" s="244"/>
      <c r="AG239" s="244"/>
      <c r="AH239" s="244"/>
      <c r="AI239" s="244"/>
      <c r="AJ239" s="244"/>
      <c r="AK239" s="244"/>
      <c r="AL239" s="244"/>
      <c r="AM239" s="244"/>
      <c r="AN239" s="244"/>
      <c r="AO239" s="244"/>
      <c r="AP239" s="244"/>
      <c r="AQ239" s="244"/>
      <c r="AR239" s="244"/>
      <c r="AS239" s="244"/>
      <c r="AT239" s="244"/>
      <c r="AU239" s="244"/>
      <c r="AV239" s="244"/>
      <c r="AW239" s="244"/>
      <c r="AX239" s="244"/>
      <c r="AY239" s="244"/>
      <c r="AZ239" s="244"/>
      <c r="BA239" s="244"/>
      <c r="BB239" s="244"/>
      <c r="BC239" s="244"/>
      <c r="BD239" s="244"/>
      <c r="BE239" s="244"/>
      <c r="BF239" s="244"/>
      <c r="BG239" s="244"/>
      <c r="BH239" s="58"/>
      <c r="BI239" s="58"/>
      <c r="BJ239" s="58"/>
      <c r="BK239" s="58"/>
      <c r="BL239" s="58"/>
      <c r="BM239" s="58"/>
      <c r="BN239" s="58"/>
    </row>
    <row r="240" spans="2:66" s="140" customFormat="1" ht="18.75" customHeight="1">
      <c r="B240" s="239"/>
      <c r="C240" s="241" t="s">
        <v>543</v>
      </c>
      <c r="D240" s="239"/>
      <c r="E240" s="239"/>
      <c r="F240" s="239"/>
      <c r="G240" s="239"/>
      <c r="H240" s="251"/>
      <c r="I240" s="387" t="str">
        <f>H88</f>
        <v/>
      </c>
      <c r="J240" s="387"/>
      <c r="K240" s="387"/>
      <c r="L240" s="387"/>
      <c r="M240" s="387"/>
      <c r="N240" s="387" t="str">
        <f>M88</f>
        <v>℃</v>
      </c>
      <c r="O240" s="387"/>
      <c r="P240" s="238"/>
      <c r="Q240" s="251"/>
      <c r="R240" s="251"/>
      <c r="S240" s="251"/>
      <c r="T240" s="251"/>
      <c r="U240" s="251"/>
      <c r="V240" s="244"/>
      <c r="W240" s="244"/>
      <c r="X240" s="244"/>
      <c r="Y240" s="244"/>
      <c r="Z240" s="244"/>
      <c r="AA240" s="244"/>
      <c r="AB240" s="244"/>
      <c r="AC240" s="244"/>
      <c r="AD240" s="244"/>
      <c r="AE240" s="244"/>
      <c r="AF240" s="244"/>
      <c r="AG240" s="244"/>
      <c r="AH240" s="244"/>
      <c r="AI240" s="244"/>
      <c r="AJ240" s="244"/>
      <c r="AK240" s="244"/>
      <c r="AL240" s="244"/>
      <c r="AM240" s="244"/>
      <c r="AN240" s="244"/>
      <c r="AO240" s="244"/>
      <c r="AP240" s="244"/>
      <c r="AQ240" s="244"/>
      <c r="AR240" s="244"/>
      <c r="AS240" s="244"/>
      <c r="AT240" s="244"/>
      <c r="AU240" s="244"/>
      <c r="AV240" s="244"/>
      <c r="AW240" s="244"/>
      <c r="AX240" s="244"/>
      <c r="AY240" s="244"/>
      <c r="AZ240" s="244"/>
      <c r="BA240" s="244"/>
      <c r="BB240" s="244"/>
      <c r="BC240" s="244"/>
      <c r="BD240" s="244"/>
      <c r="BE240" s="244"/>
      <c r="BF240" s="244"/>
      <c r="BG240" s="244"/>
      <c r="BH240" s="58"/>
      <c r="BI240" s="58"/>
      <c r="BJ240" s="58"/>
      <c r="BK240" s="58"/>
      <c r="BL240" s="58"/>
      <c r="BM240" s="58"/>
    </row>
    <row r="241" spans="2:74" s="140" customFormat="1" ht="18.75" customHeight="1">
      <c r="B241" s="239"/>
      <c r="C241" s="396" t="s">
        <v>544</v>
      </c>
      <c r="D241" s="396"/>
      <c r="E241" s="396"/>
      <c r="F241" s="396"/>
      <c r="G241" s="396"/>
      <c r="H241" s="396"/>
      <c r="I241" s="396"/>
      <c r="J241" s="392" t="s">
        <v>204</v>
      </c>
      <c r="K241" s="392"/>
      <c r="L241" s="392"/>
      <c r="M241" s="394" t="s">
        <v>146</v>
      </c>
      <c r="N241" s="477">
        <f>Calcu!G64</f>
        <v>1</v>
      </c>
      <c r="O241" s="477"/>
      <c r="P241" s="245" t="s">
        <v>297</v>
      </c>
      <c r="Q241" s="194"/>
      <c r="R241" s="394" t="s">
        <v>452</v>
      </c>
      <c r="S241" s="386">
        <f>N241/SQRT(3)</f>
        <v>0.57735026918962584</v>
      </c>
      <c r="T241" s="386"/>
      <c r="U241" s="386"/>
      <c r="V241" s="387" t="s">
        <v>200</v>
      </c>
      <c r="W241" s="387"/>
      <c r="X241" s="238"/>
      <c r="Y241" s="147"/>
      <c r="Z241" s="247"/>
      <c r="AA241" s="247"/>
      <c r="AZ241" s="244"/>
      <c r="BA241" s="244"/>
      <c r="BB241" s="244"/>
      <c r="BC241" s="244"/>
      <c r="BD241" s="244"/>
      <c r="BE241" s="244"/>
      <c r="BF241" s="244"/>
      <c r="BG241" s="244"/>
      <c r="BH241" s="244"/>
      <c r="BI241" s="244"/>
      <c r="BJ241" s="58"/>
      <c r="BK241" s="58"/>
      <c r="BL241" s="58"/>
      <c r="BM241" s="58"/>
      <c r="BN241" s="58"/>
      <c r="BO241" s="58"/>
      <c r="BP241" s="58"/>
      <c r="BQ241" s="58"/>
      <c r="BR241" s="58"/>
      <c r="BS241" s="58"/>
    </row>
    <row r="242" spans="2:74" s="140" customFormat="1" ht="18.75" customHeight="1">
      <c r="B242" s="239"/>
      <c r="C242" s="396"/>
      <c r="D242" s="396"/>
      <c r="E242" s="396"/>
      <c r="F242" s="396"/>
      <c r="G242" s="396"/>
      <c r="H242" s="396"/>
      <c r="I242" s="396"/>
      <c r="J242" s="392"/>
      <c r="K242" s="392"/>
      <c r="L242" s="392"/>
      <c r="M242" s="394"/>
      <c r="N242" s="249"/>
      <c r="O242" s="249"/>
      <c r="P242" s="249"/>
      <c r="Q242" s="239"/>
      <c r="R242" s="394"/>
      <c r="S242" s="386"/>
      <c r="T242" s="386"/>
      <c r="U242" s="386"/>
      <c r="V242" s="387"/>
      <c r="W242" s="387"/>
      <c r="X242" s="238"/>
      <c r="Y242" s="147"/>
      <c r="Z242" s="247"/>
      <c r="AA242" s="247"/>
      <c r="AZ242" s="244"/>
      <c r="BA242" s="244"/>
      <c r="BB242" s="244"/>
      <c r="BC242" s="244"/>
      <c r="BD242" s="244"/>
      <c r="BE242" s="244"/>
      <c r="BF242" s="244"/>
      <c r="BG242" s="244"/>
      <c r="BH242" s="244"/>
      <c r="BI242" s="244"/>
      <c r="BJ242" s="58"/>
      <c r="BK242" s="58"/>
      <c r="BL242" s="58"/>
      <c r="BM242" s="58"/>
      <c r="BN242" s="58"/>
      <c r="BO242" s="58"/>
      <c r="BP242" s="58"/>
      <c r="BQ242" s="58"/>
      <c r="BR242" s="58"/>
      <c r="BS242" s="58"/>
    </row>
    <row r="243" spans="2:74" s="140" customFormat="1" ht="18.75" customHeight="1">
      <c r="B243" s="239"/>
      <c r="C243" s="244" t="s">
        <v>545</v>
      </c>
      <c r="D243" s="244"/>
      <c r="E243" s="244"/>
      <c r="F243" s="244"/>
      <c r="G243" s="244"/>
      <c r="H243" s="244"/>
      <c r="I243" s="388" t="str">
        <f>V88</f>
        <v>직사각형</v>
      </c>
      <c r="J243" s="388"/>
      <c r="K243" s="388"/>
      <c r="L243" s="388"/>
      <c r="M243" s="388"/>
      <c r="N243" s="388"/>
      <c r="O243" s="388"/>
      <c r="P243" s="388"/>
      <c r="Q243" s="244"/>
      <c r="R243" s="244"/>
      <c r="S243" s="244"/>
      <c r="T243" s="244"/>
      <c r="U243" s="244"/>
      <c r="V243" s="244"/>
      <c r="W243" s="244"/>
      <c r="X243" s="244"/>
      <c r="Y243" s="244"/>
      <c r="Z243" s="239"/>
      <c r="AA243" s="239"/>
      <c r="AB243" s="239"/>
      <c r="AC243" s="239"/>
      <c r="AD243" s="239"/>
      <c r="AE243" s="239"/>
      <c r="AF243" s="239"/>
      <c r="AG243" s="239"/>
      <c r="AH243" s="244"/>
      <c r="AI243" s="244"/>
      <c r="AJ243" s="244"/>
      <c r="AK243" s="244"/>
      <c r="AL243" s="244"/>
      <c r="AM243" s="244"/>
      <c r="AN243" s="244"/>
      <c r="AO243" s="244"/>
      <c r="AP243" s="244"/>
      <c r="AQ243" s="244"/>
      <c r="AR243" s="244"/>
      <c r="AS243" s="244"/>
      <c r="AT243" s="244"/>
      <c r="AU243" s="244"/>
      <c r="AV243" s="244"/>
      <c r="AW243" s="244"/>
      <c r="AX243" s="244"/>
      <c r="AY243" s="244"/>
      <c r="AZ243" s="244"/>
      <c r="BA243" s="244"/>
      <c r="BB243" s="244"/>
      <c r="BC243" s="244"/>
      <c r="BD243" s="244"/>
      <c r="BE243" s="244"/>
      <c r="BF243" s="239"/>
      <c r="BG243" s="244"/>
      <c r="BH243" s="58"/>
      <c r="BI243" s="58"/>
      <c r="BJ243" s="58"/>
      <c r="BK243" s="58"/>
      <c r="BL243" s="58"/>
      <c r="BM243" s="58"/>
      <c r="BN243" s="58"/>
      <c r="BO243" s="58"/>
      <c r="BP243" s="58"/>
      <c r="BQ243" s="58"/>
      <c r="BR243" s="58"/>
      <c r="BS243" s="58"/>
      <c r="BT243" s="58"/>
      <c r="BU243" s="58"/>
      <c r="BV243" s="58"/>
    </row>
    <row r="244" spans="2:74" s="140" customFormat="1" ht="18.75" customHeight="1">
      <c r="B244" s="239"/>
      <c r="C244" s="396" t="s">
        <v>546</v>
      </c>
      <c r="D244" s="396"/>
      <c r="E244" s="396"/>
      <c r="F244" s="396"/>
      <c r="G244" s="396"/>
      <c r="H244" s="396"/>
      <c r="I244" s="244"/>
      <c r="J244" s="244"/>
      <c r="K244" s="244"/>
      <c r="L244" s="244"/>
      <c r="M244" s="244"/>
      <c r="N244" s="244"/>
      <c r="O244" s="239"/>
      <c r="S244" s="500">
        <f>Calcu!M64*10^6</f>
        <v>-1</v>
      </c>
      <c r="T244" s="500"/>
      <c r="U244" s="500"/>
      <c r="V244" s="396" t="s">
        <v>515</v>
      </c>
      <c r="W244" s="396"/>
      <c r="X244" s="396"/>
      <c r="Y244" s="396"/>
      <c r="Z244" s="394" t="s">
        <v>85</v>
      </c>
      <c r="AA244" s="503">
        <f>Calcu!N64</f>
        <v>0</v>
      </c>
      <c r="AB244" s="503"/>
      <c r="AC244" s="503"/>
      <c r="AD244" s="396" t="s">
        <v>129</v>
      </c>
      <c r="AE244" s="396"/>
      <c r="AF244" s="394" t="s">
        <v>146</v>
      </c>
      <c r="AG244" s="502">
        <f>S244*10^-6*AA244</f>
        <v>0</v>
      </c>
      <c r="AH244" s="502"/>
      <c r="AI244" s="502"/>
      <c r="AJ244" s="396" t="s">
        <v>298</v>
      </c>
      <c r="AK244" s="396"/>
      <c r="AL244" s="396"/>
      <c r="AM244" s="396"/>
      <c r="AN244" s="396"/>
      <c r="AO244" s="396"/>
      <c r="AP244" s="396"/>
      <c r="AQ244" s="244"/>
      <c r="AR244" s="244"/>
      <c r="AS244" s="244"/>
      <c r="AT244" s="244"/>
      <c r="AU244" s="244"/>
      <c r="AV244" s="244"/>
      <c r="AW244" s="244"/>
      <c r="AX244" s="244"/>
      <c r="AY244" s="244"/>
      <c r="AZ244" s="244"/>
      <c r="BA244" s="244"/>
      <c r="BB244" s="244"/>
      <c r="BC244" s="244"/>
      <c r="BD244" s="244"/>
      <c r="BE244" s="244"/>
      <c r="BF244" s="244"/>
      <c r="BG244" s="244"/>
      <c r="BH244" s="58"/>
      <c r="BI244" s="58"/>
      <c r="BJ244" s="58"/>
      <c r="BK244" s="58"/>
      <c r="BL244" s="58"/>
      <c r="BM244" s="58"/>
    </row>
    <row r="245" spans="2:74" s="140" customFormat="1" ht="18.75" customHeight="1">
      <c r="B245" s="239"/>
      <c r="C245" s="396"/>
      <c r="D245" s="396"/>
      <c r="E245" s="396"/>
      <c r="F245" s="396"/>
      <c r="G245" s="396"/>
      <c r="H245" s="396"/>
      <c r="I245" s="244"/>
      <c r="J245" s="244"/>
      <c r="K245" s="244"/>
      <c r="L245" s="244"/>
      <c r="M245" s="244"/>
      <c r="N245" s="244"/>
      <c r="O245" s="244"/>
      <c r="S245" s="500"/>
      <c r="T245" s="500"/>
      <c r="U245" s="500"/>
      <c r="V245" s="396"/>
      <c r="W245" s="396"/>
      <c r="X245" s="396"/>
      <c r="Y245" s="396"/>
      <c r="Z245" s="394"/>
      <c r="AA245" s="503"/>
      <c r="AB245" s="503"/>
      <c r="AC245" s="503"/>
      <c r="AD245" s="396"/>
      <c r="AE245" s="396"/>
      <c r="AF245" s="394"/>
      <c r="AG245" s="502"/>
      <c r="AH245" s="502"/>
      <c r="AI245" s="502"/>
      <c r="AJ245" s="396"/>
      <c r="AK245" s="396"/>
      <c r="AL245" s="396"/>
      <c r="AM245" s="396"/>
      <c r="AN245" s="396"/>
      <c r="AO245" s="396"/>
      <c r="AP245" s="396"/>
      <c r="AQ245" s="244"/>
      <c r="AR245" s="244"/>
      <c r="AS245" s="244"/>
      <c r="AT245" s="244"/>
      <c r="AU245" s="244"/>
      <c r="AV245" s="244"/>
      <c r="AW245" s="244"/>
      <c r="AX245" s="244"/>
      <c r="AY245" s="244"/>
      <c r="AZ245" s="244"/>
      <c r="BA245" s="244"/>
      <c r="BB245" s="244"/>
      <c r="BC245" s="244"/>
      <c r="BD245" s="244"/>
      <c r="BE245" s="244"/>
      <c r="BF245" s="244"/>
      <c r="BG245" s="244"/>
      <c r="BH245" s="58"/>
      <c r="BI245" s="58"/>
      <c r="BJ245" s="58"/>
      <c r="BK245" s="58"/>
      <c r="BL245" s="58"/>
      <c r="BM245" s="58"/>
    </row>
    <row r="246" spans="2:74" s="140" customFormat="1" ht="18.75" customHeight="1">
      <c r="B246" s="239"/>
      <c r="C246" s="244" t="s">
        <v>547</v>
      </c>
      <c r="D246" s="244"/>
      <c r="E246" s="244"/>
      <c r="F246" s="244"/>
      <c r="G246" s="244"/>
      <c r="H246" s="244"/>
      <c r="I246" s="244"/>
      <c r="J246" s="239"/>
      <c r="K246" s="251" t="s">
        <v>158</v>
      </c>
      <c r="L246" s="502">
        <f>AG244</f>
        <v>0</v>
      </c>
      <c r="M246" s="502"/>
      <c r="N246" s="502"/>
      <c r="O246" s="243" t="s">
        <v>257</v>
      </c>
      <c r="P246" s="239"/>
      <c r="Q246" s="239"/>
      <c r="R246" s="239" t="s">
        <v>85</v>
      </c>
      <c r="S246" s="505">
        <f>S241</f>
        <v>0.57735026918962584</v>
      </c>
      <c r="T246" s="505"/>
      <c r="U246" s="505"/>
      <c r="V246" s="505"/>
      <c r="W246" s="251" t="s">
        <v>158</v>
      </c>
      <c r="X246" s="239" t="s">
        <v>146</v>
      </c>
      <c r="Y246" s="386">
        <f>ABS(L246*S246)</f>
        <v>0</v>
      </c>
      <c r="Z246" s="386"/>
      <c r="AA246" s="386"/>
      <c r="AB246" s="241" t="s">
        <v>129</v>
      </c>
      <c r="AC246" s="241"/>
      <c r="AD246" s="239"/>
      <c r="AE246" s="239"/>
      <c r="AF246" s="237"/>
      <c r="AG246" s="239"/>
      <c r="AH246" s="239"/>
      <c r="AI246" s="244"/>
      <c r="AJ246" s="239"/>
      <c r="AK246" s="244"/>
      <c r="AL246" s="239"/>
      <c r="AM246" s="239"/>
      <c r="AN246" s="239"/>
      <c r="AO246" s="244"/>
      <c r="AP246" s="244"/>
      <c r="AQ246" s="244"/>
      <c r="AR246" s="244"/>
      <c r="AS246" s="244"/>
      <c r="AT246" s="244"/>
      <c r="AU246" s="244"/>
      <c r="AV246" s="244"/>
      <c r="AW246" s="244"/>
      <c r="AX246" s="244"/>
      <c r="AY246" s="244"/>
      <c r="AZ246" s="244"/>
      <c r="BA246" s="244"/>
      <c r="BB246" s="244"/>
      <c r="BC246" s="244"/>
      <c r="BD246" s="244"/>
      <c r="BE246" s="244"/>
      <c r="BF246" s="244"/>
      <c r="BG246" s="244"/>
      <c r="BH246" s="58"/>
      <c r="BI246" s="58"/>
      <c r="BJ246" s="58"/>
      <c r="BK246" s="58"/>
    </row>
    <row r="247" spans="2:74" s="140" customFormat="1" ht="18.75" customHeight="1">
      <c r="B247" s="239"/>
      <c r="C247" s="396" t="s">
        <v>548</v>
      </c>
      <c r="D247" s="396"/>
      <c r="E247" s="396"/>
      <c r="F247" s="396"/>
      <c r="G247" s="396"/>
      <c r="H247" s="244"/>
      <c r="J247" s="244"/>
      <c r="K247" s="244"/>
      <c r="L247" s="244"/>
      <c r="M247" s="244"/>
      <c r="N247" s="244"/>
      <c r="O247" s="244"/>
      <c r="P247" s="244"/>
      <c r="Q247" s="244"/>
      <c r="R247" s="243"/>
      <c r="S247" s="244"/>
      <c r="T247" s="244"/>
      <c r="U247" s="244"/>
      <c r="W247" s="251" t="s">
        <v>192</v>
      </c>
      <c r="X247" s="244"/>
      <c r="Y247" s="244"/>
      <c r="Z247" s="244"/>
      <c r="AA247" s="244"/>
      <c r="AB247" s="244"/>
      <c r="AC247" s="244"/>
      <c r="AD247" s="244"/>
      <c r="AE247" s="239"/>
      <c r="AF247" s="239"/>
      <c r="AG247" s="239"/>
      <c r="AH247" s="239"/>
      <c r="AI247" s="239"/>
      <c r="AJ247" s="239"/>
      <c r="AK247" s="239"/>
      <c r="AL247" s="239"/>
      <c r="AM247" s="239"/>
      <c r="AN247" s="239"/>
      <c r="AO247" s="239"/>
      <c r="AP247" s="239"/>
      <c r="AQ247" s="239"/>
      <c r="AR247" s="239"/>
      <c r="AS247" s="239"/>
      <c r="AT247" s="239"/>
      <c r="AU247" s="239"/>
      <c r="AV247" s="239"/>
      <c r="AW247" s="239"/>
      <c r="AX247" s="239"/>
      <c r="AY247" s="239"/>
      <c r="AZ247" s="239"/>
      <c r="BA247" s="239"/>
      <c r="BB247" s="239"/>
      <c r="BC247" s="239"/>
      <c r="BD247" s="239"/>
      <c r="BE247" s="239"/>
      <c r="BF247" s="239"/>
      <c r="BG247" s="239"/>
      <c r="BH247" s="58"/>
      <c r="BI247" s="58"/>
      <c r="BJ247" s="58"/>
      <c r="BK247" s="58"/>
      <c r="BP247" s="58"/>
      <c r="BS247" s="58"/>
      <c r="BT247" s="58"/>
      <c r="BU247" s="58"/>
    </row>
    <row r="248" spans="2:74" s="140" customFormat="1" ht="18.75" customHeight="1">
      <c r="B248" s="239"/>
      <c r="C248" s="396"/>
      <c r="D248" s="396"/>
      <c r="E248" s="396"/>
      <c r="F248" s="396"/>
      <c r="G248" s="396"/>
      <c r="H248" s="244"/>
      <c r="I248" s="244"/>
      <c r="J248" s="244"/>
      <c r="K248" s="244"/>
      <c r="L248" s="244"/>
      <c r="M248" s="244"/>
      <c r="N248" s="244"/>
      <c r="O248" s="244"/>
      <c r="P248" s="244"/>
      <c r="Q248" s="244"/>
      <c r="R248" s="243"/>
      <c r="S248" s="244"/>
      <c r="T248" s="244"/>
      <c r="U248" s="244"/>
      <c r="V248" s="244"/>
      <c r="W248" s="244"/>
      <c r="X248" s="244"/>
      <c r="Y248" s="244"/>
      <c r="Z248" s="244"/>
      <c r="AA248" s="244"/>
      <c r="AB248" s="244"/>
      <c r="AC248" s="239"/>
      <c r="AD248" s="239"/>
      <c r="AE248" s="239"/>
      <c r="AF248" s="239"/>
      <c r="AG248" s="239"/>
      <c r="AH248" s="239"/>
      <c r="AI248" s="239"/>
      <c r="AJ248" s="239"/>
      <c r="AK248" s="239"/>
      <c r="AL248" s="239"/>
      <c r="AM248" s="239"/>
      <c r="AN248" s="239"/>
      <c r="AO248" s="239"/>
      <c r="AP248" s="239"/>
      <c r="AQ248" s="239"/>
      <c r="AR248" s="239"/>
      <c r="AS248" s="239"/>
      <c r="AT248" s="239"/>
      <c r="AU248" s="239"/>
      <c r="AV248" s="239"/>
      <c r="AW248" s="239"/>
      <c r="AX248" s="239"/>
      <c r="AY248" s="239"/>
      <c r="AZ248" s="239"/>
      <c r="BA248" s="239"/>
      <c r="BB248" s="239"/>
      <c r="BC248" s="239"/>
      <c r="BD248" s="239"/>
      <c r="BE248" s="239"/>
      <c r="BF248" s="239"/>
      <c r="BG248" s="239"/>
      <c r="BH248" s="58"/>
      <c r="BI248" s="58"/>
      <c r="BJ248" s="58"/>
      <c r="BK248" s="58"/>
      <c r="BP248" s="58"/>
      <c r="BS248" s="58"/>
      <c r="BT248" s="58"/>
      <c r="BU248" s="58"/>
    </row>
    <row r="249" spans="2:74" s="140" customFormat="1" ht="18.75" customHeight="1">
      <c r="B249" s="239"/>
      <c r="C249" s="244"/>
      <c r="D249" s="244"/>
      <c r="E249" s="244"/>
      <c r="F249" s="244"/>
      <c r="G249" s="239"/>
      <c r="H249" s="244"/>
      <c r="I249" s="244"/>
      <c r="J249" s="244"/>
      <c r="K249" s="244"/>
      <c r="L249" s="244"/>
      <c r="M249" s="244"/>
      <c r="N249" s="244"/>
      <c r="O249" s="244"/>
      <c r="P249" s="244"/>
      <c r="Q249" s="244"/>
      <c r="R249" s="244"/>
      <c r="S249" s="244"/>
      <c r="T249" s="244"/>
      <c r="U249" s="244"/>
      <c r="V249" s="244"/>
      <c r="W249" s="244"/>
      <c r="X249" s="239"/>
      <c r="Y249" s="239"/>
      <c r="Z249" s="239"/>
      <c r="AA249" s="239"/>
      <c r="AB249" s="239"/>
      <c r="AC249" s="239"/>
      <c r="AD249" s="239"/>
      <c r="AE249" s="239"/>
      <c r="AF249" s="239"/>
      <c r="AG249" s="239"/>
      <c r="AH249" s="239"/>
      <c r="AI249" s="239"/>
      <c r="AJ249" s="239"/>
      <c r="AK249" s="239"/>
      <c r="AL249" s="239"/>
      <c r="AM249" s="239"/>
      <c r="AN249" s="239"/>
      <c r="AO249" s="239"/>
      <c r="AP249" s="239"/>
      <c r="AQ249" s="239"/>
      <c r="AR249" s="239"/>
      <c r="AS249" s="239"/>
      <c r="AT249" s="239"/>
      <c r="AU249" s="239"/>
      <c r="AV249" s="239"/>
      <c r="AW249" s="239"/>
      <c r="AX249" s="239"/>
      <c r="AY249" s="239"/>
      <c r="AZ249" s="239"/>
      <c r="BA249" s="239"/>
      <c r="BB249" s="239"/>
      <c r="BC249" s="239"/>
      <c r="BD249" s="239"/>
      <c r="BE249" s="239"/>
      <c r="BF249" s="239"/>
      <c r="BG249" s="239"/>
    </row>
    <row r="250" spans="2:74" s="140" customFormat="1" ht="18.75" customHeight="1">
      <c r="B250" s="57" t="s">
        <v>549</v>
      </c>
      <c r="C250" s="244"/>
      <c r="E250" s="244"/>
      <c r="F250" s="244"/>
      <c r="G250" s="239"/>
      <c r="H250" s="244"/>
      <c r="I250" s="244"/>
      <c r="J250" s="244"/>
      <c r="K250" s="244"/>
      <c r="L250" s="244"/>
      <c r="M250" s="244"/>
      <c r="N250" s="244"/>
      <c r="O250" s="244"/>
      <c r="P250" s="188" t="s">
        <v>550</v>
      </c>
      <c r="Q250" s="244"/>
      <c r="R250" s="244"/>
      <c r="S250" s="244"/>
      <c r="T250" s="244"/>
      <c r="V250" s="244"/>
      <c r="X250" s="244"/>
      <c r="Y250" s="244"/>
      <c r="AA250" s="244"/>
      <c r="AB250" s="244"/>
      <c r="AC250" s="244"/>
      <c r="AD250" s="244"/>
      <c r="AE250" s="239"/>
      <c r="AF250" s="244"/>
      <c r="AG250" s="239"/>
      <c r="AH250" s="239"/>
      <c r="AI250" s="239"/>
      <c r="AJ250" s="239"/>
      <c r="AK250" s="239"/>
      <c r="AL250" s="239"/>
      <c r="AM250" s="239"/>
      <c r="AN250" s="239"/>
      <c r="AO250" s="239"/>
      <c r="AP250" s="239"/>
      <c r="AQ250" s="239"/>
      <c r="AR250" s="239"/>
      <c r="AS250" s="239"/>
      <c r="AT250" s="239"/>
      <c r="AU250" s="239"/>
      <c r="AV250" s="239"/>
      <c r="AW250" s="239"/>
      <c r="AX250" s="239"/>
      <c r="AY250" s="239"/>
      <c r="AZ250" s="239"/>
      <c r="BA250" s="239"/>
      <c r="BB250" s="239"/>
      <c r="BC250" s="239"/>
      <c r="BD250" s="239"/>
      <c r="BE250" s="239"/>
      <c r="BF250" s="239"/>
      <c r="BG250" s="239"/>
    </row>
    <row r="251" spans="2:74" s="140" customFormat="1" ht="18.75" customHeight="1">
      <c r="B251" s="57"/>
      <c r="C251" s="263" t="s">
        <v>551</v>
      </c>
      <c r="D251" s="266"/>
      <c r="E251" s="244"/>
      <c r="F251" s="244"/>
      <c r="G251" s="244"/>
      <c r="H251" s="244"/>
      <c r="I251" s="244"/>
      <c r="J251" s="244"/>
      <c r="K251" s="244"/>
      <c r="L251" s="244"/>
      <c r="M251" s="244"/>
      <c r="N251" s="244"/>
      <c r="O251" s="244"/>
      <c r="P251" s="244"/>
      <c r="Q251" s="244"/>
      <c r="R251" s="244"/>
      <c r="S251" s="244"/>
      <c r="T251" s="244"/>
      <c r="U251" s="244"/>
      <c r="V251" s="244"/>
      <c r="W251" s="244"/>
      <c r="X251" s="244"/>
      <c r="Y251" s="244"/>
      <c r="Z251" s="244"/>
      <c r="AA251" s="244"/>
      <c r="AB251" s="244"/>
      <c r="AC251" s="244"/>
      <c r="AD251" s="244"/>
      <c r="AE251" s="244"/>
      <c r="AF251" s="244"/>
      <c r="AG251" s="244"/>
      <c r="AH251" s="244"/>
      <c r="AI251" s="244"/>
      <c r="AJ251" s="244"/>
      <c r="AK251" s="244"/>
      <c r="AL251" s="244"/>
      <c r="AM251" s="244"/>
      <c r="AN251" s="244"/>
      <c r="AO251" s="244"/>
      <c r="AP251" s="244"/>
      <c r="AQ251" s="244"/>
      <c r="AR251" s="244"/>
      <c r="AS251" s="244"/>
      <c r="AT251" s="244"/>
      <c r="AU251" s="239"/>
      <c r="AV251" s="239"/>
      <c r="AW251" s="239"/>
      <c r="AX251" s="239"/>
      <c r="AY251" s="239"/>
      <c r="AZ251" s="239"/>
      <c r="BA251" s="239"/>
      <c r="BB251" s="239"/>
      <c r="BC251" s="239"/>
      <c r="BD251" s="239"/>
      <c r="BE251" s="239"/>
      <c r="BF251" s="239"/>
      <c r="BG251" s="239"/>
    </row>
    <row r="252" spans="2:74" s="140" customFormat="1" ht="18.75" customHeight="1">
      <c r="B252" s="57"/>
      <c r="C252" s="266"/>
      <c r="D252" s="263" t="str">
        <f>"목측 오차를 최소화 하였으나, 축적된 과거의 경험으로 미루어 측정 결과가 측정장치의 한 눈금 "&amp;O256&amp;" mm"</f>
        <v>목측 오차를 최소화 하였으나, 축적된 과거의 경험으로 미루어 측정 결과가 측정장치의 한 눈금 0.1 mm</v>
      </c>
      <c r="E252" s="244"/>
      <c r="F252" s="244"/>
      <c r="G252" s="244"/>
      <c r="H252" s="244"/>
      <c r="I252" s="244"/>
      <c r="J252" s="244"/>
      <c r="K252" s="244"/>
      <c r="L252" s="244"/>
      <c r="M252" s="244"/>
      <c r="N252" s="244"/>
      <c r="O252" s="244"/>
      <c r="P252" s="244"/>
      <c r="Q252" s="244"/>
      <c r="R252" s="244"/>
      <c r="S252" s="244"/>
      <c r="T252" s="244"/>
      <c r="U252" s="244"/>
      <c r="V252" s="244"/>
      <c r="W252" s="244"/>
      <c r="X252" s="244"/>
      <c r="Y252" s="244"/>
      <c r="Z252" s="244"/>
      <c r="AA252" s="244"/>
      <c r="AB252" s="244"/>
      <c r="AC252" s="244"/>
      <c r="AD252" s="244"/>
      <c r="AE252" s="244"/>
      <c r="AF252" s="244"/>
      <c r="AG252" s="244"/>
      <c r="AH252" s="244"/>
      <c r="AI252" s="244"/>
      <c r="AJ252" s="244"/>
      <c r="AK252" s="244"/>
      <c r="AL252" s="244"/>
      <c r="AM252" s="244"/>
      <c r="AN252" s="244"/>
      <c r="AO252" s="244"/>
      <c r="AP252" s="244"/>
      <c r="AQ252" s="244"/>
      <c r="AR252" s="244"/>
      <c r="AS252" s="244"/>
      <c r="AT252" s="244"/>
      <c r="AU252" s="239"/>
      <c r="AV252" s="239"/>
      <c r="AW252" s="239"/>
      <c r="AX252" s="239"/>
      <c r="AY252" s="239"/>
      <c r="AZ252" s="239"/>
      <c r="BA252" s="239"/>
      <c r="BB252" s="239"/>
      <c r="BC252" s="239"/>
      <c r="BD252" s="239"/>
      <c r="BE252" s="239"/>
      <c r="BF252" s="239"/>
      <c r="BG252" s="239"/>
    </row>
    <row r="253" spans="2:74" s="140" customFormat="1" ht="18.75" customHeight="1">
      <c r="B253" s="57"/>
      <c r="C253" s="266"/>
      <c r="D253" s="263" t="s">
        <v>552</v>
      </c>
      <c r="E253" s="244"/>
      <c r="F253" s="244"/>
      <c r="G253" s="244"/>
      <c r="H253" s="244"/>
      <c r="I253" s="244"/>
      <c r="J253" s="244"/>
      <c r="K253" s="244"/>
      <c r="L253" s="244"/>
      <c r="M253" s="244"/>
      <c r="N253" s="244"/>
      <c r="O253" s="244"/>
      <c r="P253" s="244"/>
      <c r="Q253" s="244"/>
      <c r="R253" s="244"/>
      <c r="S253" s="244"/>
      <c r="T253" s="244"/>
      <c r="U253" s="244"/>
      <c r="V253" s="244"/>
      <c r="W253" s="244"/>
      <c r="X253" s="244"/>
      <c r="Y253" s="244"/>
      <c r="Z253" s="244"/>
      <c r="AA253" s="244"/>
      <c r="AB253" s="244"/>
      <c r="AC253" s="244"/>
      <c r="AD253" s="244"/>
      <c r="AE253" s="244"/>
      <c r="AF253" s="244"/>
      <c r="AG253" s="244"/>
      <c r="AH253" s="244"/>
      <c r="AI253" s="244"/>
      <c r="AJ253" s="244"/>
      <c r="AK253" s="244"/>
      <c r="AL253" s="244"/>
      <c r="AM253" s="244"/>
      <c r="AN253" s="244"/>
      <c r="AO253" s="244"/>
      <c r="AP253" s="244"/>
      <c r="AQ253" s="244"/>
      <c r="AR253" s="244"/>
      <c r="AS253" s="244"/>
      <c r="AT253" s="244"/>
      <c r="AU253" s="239"/>
      <c r="AV253" s="239"/>
      <c r="AW253" s="239"/>
      <c r="AX253" s="239"/>
      <c r="AY253" s="239"/>
      <c r="AZ253" s="239"/>
      <c r="BA253" s="239"/>
      <c r="BB253" s="239"/>
      <c r="BC253" s="239"/>
      <c r="BD253" s="239"/>
      <c r="BE253" s="239"/>
      <c r="BF253" s="239"/>
      <c r="BG253" s="239"/>
    </row>
    <row r="254" spans="2:74" s="140" customFormat="1" ht="18.75" customHeight="1">
      <c r="B254" s="239"/>
      <c r="C254" s="241" t="s">
        <v>553</v>
      </c>
      <c r="D254" s="239"/>
      <c r="E254" s="239"/>
      <c r="F254" s="239"/>
      <c r="G254" s="239"/>
      <c r="H254" s="251"/>
      <c r="I254" s="387">
        <f>H89</f>
        <v>0</v>
      </c>
      <c r="J254" s="387"/>
      <c r="K254" s="387"/>
      <c r="L254" s="387"/>
      <c r="M254" s="387"/>
      <c r="N254" s="387" t="str">
        <f>M89</f>
        <v>mm</v>
      </c>
      <c r="O254" s="387"/>
      <c r="P254" s="238"/>
      <c r="Q254" s="251"/>
      <c r="R254" s="251"/>
      <c r="S254" s="251"/>
      <c r="T254" s="251"/>
      <c r="U254" s="251"/>
      <c r="V254" s="244"/>
      <c r="W254" s="244"/>
      <c r="X254" s="244"/>
      <c r="Y254" s="244"/>
      <c r="Z254" s="244"/>
      <c r="AA254" s="244"/>
      <c r="AB254" s="244"/>
      <c r="AC254" s="244"/>
      <c r="AD254" s="244"/>
      <c r="AE254" s="244"/>
      <c r="AF254" s="244"/>
      <c r="AG254" s="244"/>
      <c r="AH254" s="244"/>
      <c r="AI254" s="244"/>
      <c r="AJ254" s="244"/>
      <c r="AK254" s="244"/>
      <c r="AL254" s="244"/>
      <c r="AM254" s="244"/>
      <c r="AN254" s="244"/>
      <c r="AO254" s="244"/>
      <c r="AP254" s="244"/>
      <c r="AQ254" s="244"/>
      <c r="AR254" s="244"/>
      <c r="AS254" s="244"/>
      <c r="AT254" s="244"/>
      <c r="AU254" s="244"/>
      <c r="AV254" s="244"/>
      <c r="AW254" s="244"/>
      <c r="AX254" s="244"/>
      <c r="AY254" s="239"/>
      <c r="AZ254" s="239"/>
      <c r="BA254" s="239"/>
      <c r="BB254" s="239"/>
      <c r="BC254" s="239"/>
      <c r="BD254" s="239"/>
      <c r="BE254" s="239"/>
      <c r="BF254" s="239"/>
      <c r="BG254" s="239"/>
    </row>
    <row r="255" spans="2:74" s="140" customFormat="1" ht="18.75" customHeight="1">
      <c r="B255" s="239"/>
      <c r="C255" s="244" t="s">
        <v>554</v>
      </c>
      <c r="D255" s="244"/>
      <c r="E255" s="244"/>
      <c r="F255" s="244"/>
      <c r="G255" s="244"/>
      <c r="H255" s="244"/>
      <c r="I255" s="239"/>
      <c r="J255" s="241" t="s">
        <v>555</v>
      </c>
      <c r="K255" s="151"/>
      <c r="L255" s="151"/>
      <c r="M255" s="151"/>
      <c r="N255" s="151"/>
      <c r="O255" s="502">
        <f>Calcu!G65</f>
        <v>0.1</v>
      </c>
      <c r="P255" s="502"/>
      <c r="Q255" s="502"/>
      <c r="R255" s="238" t="s">
        <v>129</v>
      </c>
      <c r="S255" s="237"/>
      <c r="T255" s="237"/>
      <c r="BB255" s="239"/>
      <c r="BC255" s="239"/>
      <c r="BD255" s="239"/>
      <c r="BE255" s="239"/>
      <c r="BF255" s="239"/>
      <c r="BG255" s="239"/>
    </row>
    <row r="256" spans="2:74" s="140" customFormat="1" ht="18.75" customHeight="1">
      <c r="B256" s="239"/>
      <c r="C256" s="244"/>
      <c r="D256" s="244"/>
      <c r="E256" s="244"/>
      <c r="F256" s="244"/>
      <c r="G256" s="244"/>
      <c r="H256" s="244"/>
      <c r="I256" s="244"/>
      <c r="K256" s="506" t="s">
        <v>556</v>
      </c>
      <c r="L256" s="506"/>
      <c r="M256" s="506"/>
      <c r="N256" s="394" t="s">
        <v>146</v>
      </c>
      <c r="O256" s="477">
        <f>O255</f>
        <v>0.1</v>
      </c>
      <c r="P256" s="477"/>
      <c r="Q256" s="245" t="s">
        <v>129</v>
      </c>
      <c r="R256" s="245"/>
      <c r="S256" s="489" t="s">
        <v>146</v>
      </c>
      <c r="T256" s="386">
        <f>O256/2/SQRT(3)</f>
        <v>2.8867513459481291E-2</v>
      </c>
      <c r="U256" s="386"/>
      <c r="V256" s="386"/>
      <c r="W256" s="387" t="str">
        <f>Q256</f>
        <v>mm</v>
      </c>
      <c r="X256" s="387"/>
      <c r="Y256" s="247"/>
      <c r="Z256" s="247"/>
      <c r="AA256" s="247"/>
      <c r="AB256" s="244"/>
      <c r="AC256" s="244"/>
      <c r="AD256" s="244"/>
      <c r="AE256" s="244"/>
      <c r="AF256" s="244"/>
      <c r="AG256" s="244"/>
      <c r="AH256" s="244"/>
      <c r="AI256" s="244"/>
      <c r="AJ256" s="244"/>
      <c r="AK256" s="244"/>
      <c r="AL256" s="244"/>
      <c r="AM256" s="244"/>
      <c r="AN256" s="239"/>
      <c r="AO256" s="239"/>
      <c r="AP256" s="239"/>
      <c r="AQ256" s="239"/>
      <c r="AR256" s="244"/>
      <c r="AS256" s="244"/>
      <c r="AT256" s="244"/>
      <c r="AU256" s="244"/>
      <c r="AV256" s="244"/>
      <c r="AW256" s="244"/>
      <c r="AX256" s="244"/>
      <c r="AY256" s="244"/>
      <c r="AZ256" s="239"/>
      <c r="BA256" s="239"/>
      <c r="BB256" s="239"/>
      <c r="BC256" s="239"/>
      <c r="BD256" s="239"/>
      <c r="BE256" s="239"/>
      <c r="BF256" s="239"/>
      <c r="BG256" s="239"/>
      <c r="BH256" s="239"/>
    </row>
    <row r="257" spans="1:60" s="140" customFormat="1" ht="18.75" customHeight="1">
      <c r="B257" s="239"/>
      <c r="C257" s="244"/>
      <c r="D257" s="244"/>
      <c r="E257" s="244"/>
      <c r="F257" s="244"/>
      <c r="G257" s="244"/>
      <c r="H257" s="244"/>
      <c r="I257" s="244"/>
      <c r="J257" s="197"/>
      <c r="K257" s="506"/>
      <c r="L257" s="506"/>
      <c r="M257" s="506"/>
      <c r="N257" s="394"/>
      <c r="O257" s="491"/>
      <c r="P257" s="491"/>
      <c r="Q257" s="491"/>
      <c r="R257" s="491"/>
      <c r="S257" s="489"/>
      <c r="T257" s="386"/>
      <c r="U257" s="386"/>
      <c r="V257" s="386"/>
      <c r="W257" s="387"/>
      <c r="X257" s="387"/>
      <c r="Y257" s="247"/>
      <c r="Z257" s="247"/>
      <c r="AA257" s="247"/>
      <c r="AB257" s="244"/>
      <c r="AC257" s="244"/>
      <c r="AD257" s="244"/>
      <c r="AE257" s="244"/>
      <c r="AF257" s="244"/>
      <c r="AG257" s="244"/>
      <c r="AH257" s="244"/>
      <c r="AI257" s="244"/>
      <c r="AJ257" s="244"/>
      <c r="AK257" s="244"/>
      <c r="AL257" s="244"/>
      <c r="AM257" s="244"/>
      <c r="AN257" s="239"/>
      <c r="AO257" s="239"/>
      <c r="AP257" s="239"/>
      <c r="AQ257" s="239"/>
      <c r="AR257" s="244"/>
      <c r="AS257" s="244"/>
      <c r="AT257" s="244"/>
      <c r="AU257" s="244"/>
      <c r="AV257" s="244"/>
      <c r="AW257" s="244"/>
      <c r="AX257" s="244"/>
      <c r="AY257" s="244"/>
      <c r="AZ257" s="239"/>
      <c r="BA257" s="239"/>
      <c r="BB257" s="239"/>
      <c r="BC257" s="239"/>
      <c r="BD257" s="239"/>
      <c r="BE257" s="239"/>
      <c r="BF257" s="239"/>
      <c r="BG257" s="239"/>
      <c r="BH257" s="239"/>
    </row>
    <row r="258" spans="1:60" s="140" customFormat="1" ht="18.75" customHeight="1">
      <c r="B258" s="239"/>
      <c r="C258" s="244" t="s">
        <v>557</v>
      </c>
      <c r="D258" s="244"/>
      <c r="E258" s="244"/>
      <c r="F258" s="244"/>
      <c r="G258" s="244"/>
      <c r="H258" s="244"/>
      <c r="I258" s="388" t="str">
        <f>V89</f>
        <v>직사각형</v>
      </c>
      <c r="J258" s="388"/>
      <c r="K258" s="388"/>
      <c r="L258" s="388"/>
      <c r="M258" s="388"/>
      <c r="N258" s="388"/>
      <c r="O258" s="388"/>
      <c r="P258" s="388"/>
      <c r="Q258" s="244"/>
      <c r="R258" s="244"/>
      <c r="S258" s="244"/>
      <c r="T258" s="244"/>
      <c r="U258" s="244"/>
      <c r="V258" s="244"/>
      <c r="W258" s="244"/>
      <c r="X258" s="244"/>
      <c r="Y258" s="244"/>
      <c r="Z258" s="239"/>
      <c r="AA258" s="239"/>
      <c r="AB258" s="239"/>
      <c r="AC258" s="239"/>
      <c r="AD258" s="239"/>
      <c r="AE258" s="239"/>
      <c r="AF258" s="239"/>
      <c r="AG258" s="239"/>
      <c r="AH258" s="244"/>
      <c r="AI258" s="244"/>
      <c r="AJ258" s="244"/>
      <c r="AK258" s="244"/>
      <c r="AL258" s="239"/>
      <c r="AM258" s="239"/>
      <c r="AN258" s="239"/>
      <c r="AO258" s="239"/>
      <c r="AP258" s="239"/>
      <c r="AQ258" s="239"/>
      <c r="AR258" s="239"/>
      <c r="AS258" s="244"/>
      <c r="AT258" s="244"/>
      <c r="AU258" s="244"/>
      <c r="AV258" s="244"/>
      <c r="AW258" s="244"/>
      <c r="AX258" s="244"/>
      <c r="AY258" s="239"/>
      <c r="AZ258" s="239"/>
      <c r="BA258" s="239"/>
      <c r="BB258" s="239"/>
      <c r="BC258" s="239"/>
      <c r="BD258" s="239"/>
      <c r="BE258" s="239"/>
      <c r="BF258" s="239"/>
      <c r="BG258" s="239"/>
    </row>
    <row r="259" spans="1:60" s="140" customFormat="1" ht="18.75" customHeight="1">
      <c r="B259" s="239"/>
      <c r="C259" s="396" t="s">
        <v>558</v>
      </c>
      <c r="D259" s="396"/>
      <c r="E259" s="396"/>
      <c r="F259" s="396"/>
      <c r="G259" s="396"/>
      <c r="H259" s="396"/>
      <c r="I259" s="244"/>
      <c r="J259" s="244"/>
      <c r="K259" s="244"/>
      <c r="L259" s="244"/>
      <c r="M259" s="244"/>
      <c r="N259" s="394">
        <f>AA89</f>
        <v>1</v>
      </c>
      <c r="O259" s="394"/>
      <c r="P259" s="148"/>
      <c r="Q259" s="148"/>
      <c r="R259" s="148"/>
      <c r="S259" s="244"/>
      <c r="T259" s="244"/>
      <c r="U259" s="244"/>
      <c r="V259" s="244"/>
      <c r="W259" s="244"/>
      <c r="X259" s="244"/>
      <c r="Y259" s="244"/>
      <c r="Z259" s="149"/>
      <c r="AA259" s="149"/>
      <c r="AB259" s="244"/>
      <c r="AC259" s="244"/>
      <c r="AD259" s="244"/>
      <c r="AE259" s="244"/>
      <c r="AF259" s="244"/>
      <c r="AG259" s="244"/>
      <c r="AH259" s="244"/>
      <c r="AI259" s="244"/>
      <c r="AJ259" s="244"/>
      <c r="AK259" s="244"/>
      <c r="AL259" s="239"/>
      <c r="AM259" s="239"/>
      <c r="AN259" s="239"/>
      <c r="AO259" s="244"/>
      <c r="AP259" s="244"/>
      <c r="AQ259" s="244"/>
      <c r="AR259" s="244"/>
      <c r="AS259" s="244"/>
      <c r="AT259" s="244"/>
      <c r="AU259" s="244"/>
      <c r="AV259" s="244"/>
      <c r="AW259" s="244"/>
      <c r="AX259" s="244"/>
      <c r="AY259" s="239"/>
      <c r="AZ259" s="239"/>
      <c r="BA259" s="239"/>
      <c r="BB259" s="239"/>
      <c r="BC259" s="239"/>
      <c r="BD259" s="239"/>
      <c r="BE259" s="239"/>
      <c r="BF259" s="239"/>
      <c r="BG259" s="239"/>
    </row>
    <row r="260" spans="1:60" s="140" customFormat="1" ht="18.75" customHeight="1">
      <c r="B260" s="239"/>
      <c r="C260" s="396"/>
      <c r="D260" s="396"/>
      <c r="E260" s="396"/>
      <c r="F260" s="396"/>
      <c r="G260" s="396"/>
      <c r="H260" s="396"/>
      <c r="I260" s="244"/>
      <c r="J260" s="244"/>
      <c r="K260" s="244"/>
      <c r="L260" s="244"/>
      <c r="M260" s="244"/>
      <c r="N260" s="394"/>
      <c r="O260" s="394"/>
      <c r="P260" s="148"/>
      <c r="Q260" s="148"/>
      <c r="R260" s="148"/>
      <c r="S260" s="244"/>
      <c r="T260" s="244"/>
      <c r="U260" s="244"/>
      <c r="V260" s="244"/>
      <c r="W260" s="244"/>
      <c r="X260" s="244"/>
      <c r="Y260" s="244"/>
      <c r="Z260" s="149"/>
      <c r="AA260" s="149"/>
      <c r="AB260" s="244"/>
      <c r="AC260" s="244"/>
      <c r="AD260" s="244"/>
      <c r="AE260" s="244"/>
      <c r="AF260" s="244"/>
      <c r="AG260" s="244"/>
      <c r="AH260" s="244"/>
      <c r="AI260" s="244"/>
      <c r="AJ260" s="244"/>
      <c r="AK260" s="244"/>
      <c r="AL260" s="239"/>
      <c r="AM260" s="239"/>
      <c r="AN260" s="239"/>
      <c r="AO260" s="244"/>
      <c r="AP260" s="244"/>
      <c r="AQ260" s="244"/>
      <c r="AR260" s="244"/>
      <c r="AS260" s="244"/>
      <c r="AT260" s="244"/>
      <c r="AU260" s="244"/>
      <c r="AV260" s="244"/>
      <c r="AW260" s="244"/>
      <c r="AX260" s="244"/>
      <c r="AY260" s="239"/>
      <c r="AZ260" s="239"/>
      <c r="BA260" s="239"/>
      <c r="BB260" s="239"/>
      <c r="BC260" s="239"/>
      <c r="BD260" s="239"/>
      <c r="BE260" s="239"/>
      <c r="BF260" s="239"/>
      <c r="BG260" s="239"/>
    </row>
    <row r="261" spans="1:60" s="140" customFormat="1" ht="18.75" customHeight="1">
      <c r="B261" s="239"/>
      <c r="C261" s="244" t="s">
        <v>559</v>
      </c>
      <c r="D261" s="244"/>
      <c r="E261" s="244"/>
      <c r="F261" s="244"/>
      <c r="G261" s="244"/>
      <c r="H261" s="244"/>
      <c r="I261" s="244"/>
      <c r="J261" s="239"/>
      <c r="K261" s="239" t="s">
        <v>158</v>
      </c>
      <c r="L261" s="394">
        <f>N259</f>
        <v>1</v>
      </c>
      <c r="M261" s="394"/>
      <c r="N261" s="239" t="s">
        <v>85</v>
      </c>
      <c r="O261" s="386">
        <f>T256</f>
        <v>2.8867513459481291E-2</v>
      </c>
      <c r="P261" s="386"/>
      <c r="Q261" s="386"/>
      <c r="R261" s="238" t="str">
        <f>W256</f>
        <v>mm</v>
      </c>
      <c r="S261" s="237"/>
      <c r="T261" s="239" t="s">
        <v>158</v>
      </c>
      <c r="U261" s="239" t="s">
        <v>146</v>
      </c>
      <c r="V261" s="386">
        <f>L261*O261</f>
        <v>2.8867513459481291E-2</v>
      </c>
      <c r="W261" s="386"/>
      <c r="X261" s="386"/>
      <c r="Y261" s="238" t="str">
        <f>W256</f>
        <v>mm</v>
      </c>
      <c r="Z261" s="238"/>
      <c r="AA261" s="150"/>
      <c r="AB261" s="150"/>
      <c r="AC261" s="243"/>
      <c r="AD261" s="239"/>
      <c r="AE261" s="244"/>
      <c r="AF261" s="239"/>
      <c r="AG261" s="239"/>
      <c r="AH261" s="239"/>
      <c r="AI261" s="239"/>
      <c r="AJ261" s="239"/>
      <c r="AK261" s="244"/>
      <c r="AL261" s="239"/>
      <c r="AM261" s="239"/>
      <c r="AN261" s="239"/>
      <c r="AO261" s="244"/>
      <c r="AP261" s="244"/>
      <c r="AQ261" s="244"/>
      <c r="AR261" s="244"/>
      <c r="AS261" s="244"/>
      <c r="AT261" s="244"/>
      <c r="AU261" s="244"/>
      <c r="AV261" s="244"/>
      <c r="AW261" s="244"/>
      <c r="AX261" s="244"/>
      <c r="AY261" s="239"/>
      <c r="AZ261" s="239"/>
      <c r="BA261" s="239"/>
      <c r="BB261" s="239"/>
      <c r="BC261" s="239"/>
      <c r="BD261" s="239"/>
      <c r="BE261" s="239"/>
      <c r="BF261" s="239"/>
      <c r="BG261" s="239"/>
    </row>
    <row r="262" spans="1:60" s="140" customFormat="1" ht="18.75" customHeight="1">
      <c r="B262" s="239"/>
      <c r="C262" s="396" t="s">
        <v>560</v>
      </c>
      <c r="D262" s="396"/>
      <c r="E262" s="396"/>
      <c r="F262" s="396"/>
      <c r="G262" s="396"/>
      <c r="H262" s="244"/>
      <c r="J262" s="244"/>
      <c r="K262" s="244"/>
      <c r="L262" s="244"/>
      <c r="M262" s="244"/>
      <c r="N262" s="244"/>
      <c r="O262" s="244"/>
      <c r="P262" s="244"/>
      <c r="Q262" s="244"/>
      <c r="R262" s="243"/>
      <c r="S262" s="244"/>
      <c r="T262" s="244"/>
      <c r="U262" s="244"/>
      <c r="W262" s="244"/>
      <c r="X262" s="251" t="s">
        <v>192</v>
      </c>
      <c r="Y262" s="244"/>
      <c r="Z262" s="244"/>
      <c r="AA262" s="244"/>
      <c r="AB262" s="244"/>
      <c r="AC262" s="244"/>
      <c r="AD262" s="244"/>
      <c r="AE262" s="239"/>
      <c r="AF262" s="239"/>
      <c r="AG262" s="239"/>
      <c r="AH262" s="239"/>
      <c r="AI262" s="239"/>
      <c r="AJ262" s="239"/>
      <c r="AK262" s="239"/>
      <c r="AL262" s="239"/>
      <c r="AM262" s="239"/>
      <c r="AN262" s="239"/>
      <c r="AO262" s="239"/>
      <c r="AP262" s="239"/>
      <c r="AQ262" s="239"/>
      <c r="AR262" s="239"/>
      <c r="AS262" s="239"/>
      <c r="AT262" s="239"/>
      <c r="AU262" s="239"/>
      <c r="AV262" s="239"/>
      <c r="AW262" s="239"/>
      <c r="AX262" s="239"/>
      <c r="AY262" s="239"/>
      <c r="AZ262" s="239"/>
      <c r="BA262" s="239"/>
      <c r="BB262" s="239"/>
      <c r="BC262" s="239"/>
      <c r="BD262" s="239"/>
      <c r="BE262" s="239"/>
      <c r="BF262" s="239"/>
      <c r="BG262" s="239"/>
    </row>
    <row r="263" spans="1:60" s="140" customFormat="1" ht="18.75" customHeight="1">
      <c r="B263" s="239"/>
      <c r="C263" s="396"/>
      <c r="D263" s="396"/>
      <c r="E263" s="396"/>
      <c r="F263" s="396"/>
      <c r="G263" s="396"/>
      <c r="H263" s="244"/>
      <c r="I263" s="244"/>
      <c r="J263" s="244"/>
      <c r="K263" s="244"/>
      <c r="L263" s="244"/>
      <c r="M263" s="244"/>
      <c r="N263" s="244"/>
      <c r="O263" s="244"/>
      <c r="P263" s="244"/>
      <c r="Q263" s="244"/>
      <c r="R263" s="243"/>
      <c r="S263" s="244"/>
      <c r="T263" s="244"/>
      <c r="U263" s="244"/>
      <c r="V263" s="244"/>
      <c r="W263" s="244"/>
      <c r="X263" s="244"/>
      <c r="Y263" s="244"/>
      <c r="Z263" s="244"/>
      <c r="AA263" s="244"/>
      <c r="AB263" s="244"/>
      <c r="AC263" s="244"/>
      <c r="AD263" s="244"/>
      <c r="AE263" s="239"/>
      <c r="AF263" s="244"/>
      <c r="AG263" s="239"/>
      <c r="AH263" s="239"/>
      <c r="AI263" s="239"/>
      <c r="AJ263" s="239"/>
      <c r="AK263" s="239"/>
      <c r="AL263" s="239"/>
      <c r="AM263" s="239"/>
      <c r="AN263" s="239"/>
      <c r="AO263" s="239"/>
      <c r="AP263" s="239"/>
      <c r="AQ263" s="239"/>
      <c r="AR263" s="239"/>
      <c r="AS263" s="239"/>
      <c r="AT263" s="239"/>
      <c r="AU263" s="239"/>
      <c r="AV263" s="239"/>
      <c r="AW263" s="239"/>
      <c r="AX263" s="239"/>
      <c r="AY263" s="239"/>
      <c r="AZ263" s="239"/>
      <c r="BA263" s="239"/>
      <c r="BB263" s="239"/>
      <c r="BC263" s="239"/>
      <c r="BD263" s="239"/>
      <c r="BE263" s="239"/>
      <c r="BF263" s="239"/>
      <c r="BG263" s="239"/>
    </row>
    <row r="264" spans="1:60" s="140" customFormat="1" ht="18.75" customHeight="1">
      <c r="B264" s="239"/>
      <c r="C264" s="244"/>
      <c r="D264" s="244"/>
      <c r="E264" s="244"/>
      <c r="F264" s="244"/>
      <c r="G264" s="239"/>
      <c r="H264" s="244"/>
      <c r="I264" s="244"/>
      <c r="J264" s="244"/>
      <c r="K264" s="244"/>
      <c r="L264" s="244"/>
      <c r="M264" s="244"/>
      <c r="N264" s="244"/>
      <c r="O264" s="244"/>
      <c r="P264" s="244"/>
      <c r="Q264" s="244"/>
      <c r="R264" s="244"/>
      <c r="S264" s="244"/>
      <c r="T264" s="244"/>
      <c r="U264" s="244"/>
      <c r="V264" s="244"/>
      <c r="W264" s="244"/>
      <c r="X264" s="244"/>
      <c r="Y264" s="244"/>
      <c r="Z264" s="244"/>
      <c r="AA264" s="244"/>
      <c r="AB264" s="244"/>
      <c r="AC264" s="244"/>
      <c r="AD264" s="244"/>
      <c r="AE264" s="239"/>
      <c r="AF264" s="244"/>
      <c r="AG264" s="239"/>
      <c r="AH264" s="239"/>
      <c r="AI264" s="239"/>
      <c r="AJ264" s="239"/>
      <c r="AK264" s="239"/>
      <c r="AL264" s="239"/>
      <c r="AM264" s="239"/>
      <c r="AN264" s="239"/>
      <c r="AO264" s="239"/>
      <c r="AP264" s="239"/>
      <c r="AQ264" s="239"/>
      <c r="AR264" s="239"/>
      <c r="AS264" s="239"/>
      <c r="AT264" s="239"/>
      <c r="AU264" s="239"/>
      <c r="AV264" s="239"/>
      <c r="AW264" s="239"/>
      <c r="AX264" s="239"/>
      <c r="AY264" s="239"/>
      <c r="AZ264" s="239"/>
      <c r="BA264" s="239"/>
      <c r="BB264" s="239"/>
      <c r="BC264" s="239"/>
      <c r="BD264" s="239"/>
      <c r="BE264" s="239"/>
      <c r="BF264" s="239"/>
      <c r="BG264" s="239"/>
    </row>
    <row r="265" spans="1:60" s="140" customFormat="1" ht="18.75" customHeight="1">
      <c r="A265" s="57" t="s">
        <v>173</v>
      </c>
      <c r="B265" s="239"/>
      <c r="C265" s="239"/>
      <c r="D265" s="239"/>
      <c r="E265" s="239"/>
      <c r="F265" s="239"/>
      <c r="G265" s="239"/>
      <c r="H265" s="239"/>
      <c r="I265" s="239"/>
      <c r="J265" s="239"/>
      <c r="K265" s="239"/>
      <c r="L265" s="239"/>
      <c r="M265" s="239"/>
      <c r="N265" s="239"/>
      <c r="O265" s="239"/>
      <c r="P265" s="239"/>
      <c r="Q265" s="239"/>
      <c r="R265" s="239"/>
      <c r="S265" s="239"/>
      <c r="T265" s="239"/>
      <c r="U265" s="239"/>
      <c r="V265" s="239"/>
      <c r="W265" s="239"/>
      <c r="X265" s="239"/>
      <c r="Y265" s="239"/>
      <c r="Z265" s="239"/>
      <c r="AA265" s="239"/>
      <c r="AB265" s="239"/>
      <c r="AC265" s="239"/>
      <c r="AD265" s="239"/>
      <c r="AE265" s="239"/>
      <c r="AF265" s="239"/>
      <c r="AG265" s="239"/>
      <c r="AH265" s="239"/>
      <c r="AI265" s="239"/>
      <c r="AJ265" s="239"/>
      <c r="AK265" s="239"/>
      <c r="AL265" s="239"/>
      <c r="AM265" s="239"/>
      <c r="AN265" s="239"/>
      <c r="AO265" s="239"/>
      <c r="AP265" s="239"/>
      <c r="AQ265" s="239"/>
      <c r="AR265" s="239"/>
      <c r="AS265" s="239"/>
      <c r="AT265" s="239"/>
      <c r="AU265" s="239"/>
      <c r="AV265" s="239"/>
      <c r="AW265" s="239"/>
      <c r="AX265" s="239"/>
      <c r="AY265" s="239"/>
      <c r="AZ265" s="239"/>
      <c r="BA265" s="239"/>
      <c r="BB265" s="239"/>
      <c r="BC265" s="239"/>
      <c r="BD265" s="239"/>
      <c r="BE265" s="239"/>
      <c r="BF265" s="239"/>
    </row>
    <row r="266" spans="1:60" s="140" customFormat="1" ht="18.75" customHeight="1">
      <c r="A266" s="239"/>
      <c r="B266" s="239"/>
      <c r="C266" s="239"/>
      <c r="D266" s="239"/>
      <c r="E266" s="239"/>
      <c r="F266" s="239"/>
      <c r="G266" s="239"/>
      <c r="H266" s="239"/>
      <c r="I266" s="239"/>
      <c r="J266" s="239"/>
      <c r="K266" s="239"/>
      <c r="L266" s="239"/>
      <c r="M266" s="239"/>
      <c r="N266" s="239"/>
      <c r="O266" s="239"/>
      <c r="P266" s="239"/>
      <c r="Q266" s="239"/>
      <c r="R266" s="239"/>
      <c r="S266" s="239"/>
      <c r="T266" s="239"/>
      <c r="U266" s="239"/>
      <c r="V266" s="239"/>
      <c r="W266" s="239"/>
      <c r="X266" s="239"/>
      <c r="Y266" s="239"/>
      <c r="Z266" s="239"/>
      <c r="AA266" s="239"/>
      <c r="AB266" s="239"/>
      <c r="AC266" s="239"/>
      <c r="AD266" s="239"/>
      <c r="AE266" s="244"/>
      <c r="AF266" s="239"/>
      <c r="AG266" s="239"/>
      <c r="AH266" s="239"/>
      <c r="AI266" s="239"/>
      <c r="AJ266" s="239"/>
      <c r="AK266" s="239"/>
      <c r="AL266" s="239"/>
      <c r="AM266" s="239"/>
      <c r="AN266" s="239"/>
      <c r="AO266" s="239"/>
      <c r="AP266" s="239"/>
      <c r="AQ266" s="239"/>
      <c r="AR266" s="239"/>
      <c r="AS266" s="239"/>
      <c r="AT266" s="239"/>
      <c r="AU266" s="239"/>
      <c r="AV266" s="239"/>
      <c r="AW266" s="239"/>
      <c r="AX266" s="239"/>
      <c r="AY266" s="239"/>
      <c r="AZ266" s="239"/>
      <c r="BA266" s="239"/>
      <c r="BB266" s="239"/>
      <c r="BC266" s="239"/>
      <c r="BD266" s="239"/>
      <c r="BE266" s="239"/>
      <c r="BF266" s="239"/>
    </row>
    <row r="267" spans="1:60" s="58" customFormat="1" ht="18.75" customHeight="1">
      <c r="A267" s="244"/>
      <c r="B267" s="244"/>
      <c r="C267" s="244"/>
      <c r="D267" s="244"/>
      <c r="E267" s="239" t="s">
        <v>146</v>
      </c>
      <c r="F267" s="507">
        <f>AH78</f>
        <v>0</v>
      </c>
      <c r="G267" s="507"/>
      <c r="H267" s="507"/>
      <c r="I267" s="244" t="s">
        <v>120</v>
      </c>
      <c r="J267" s="244"/>
      <c r="K267" s="394" t="s">
        <v>510</v>
      </c>
      <c r="L267" s="394"/>
      <c r="M267" s="508" t="e">
        <f ca="1">AH79</f>
        <v>#N/A</v>
      </c>
      <c r="N267" s="508"/>
      <c r="O267" s="508"/>
      <c r="P267" s="244" t="s">
        <v>120</v>
      </c>
      <c r="Q267" s="244"/>
      <c r="R267" s="394" t="s">
        <v>93</v>
      </c>
      <c r="S267" s="394"/>
      <c r="T267" s="507">
        <f>AH80</f>
        <v>0</v>
      </c>
      <c r="U267" s="507"/>
      <c r="V267" s="507"/>
      <c r="W267" s="244" t="s">
        <v>120</v>
      </c>
      <c r="X267" s="244"/>
      <c r="Y267" s="394" t="s">
        <v>93</v>
      </c>
      <c r="Z267" s="394"/>
      <c r="AA267" s="507" t="e">
        <f ca="1">AH81</f>
        <v>#N/A</v>
      </c>
      <c r="AB267" s="507"/>
      <c r="AC267" s="507"/>
      <c r="AD267" s="244" t="s">
        <v>120</v>
      </c>
      <c r="AE267" s="244"/>
      <c r="AF267" s="394" t="s">
        <v>510</v>
      </c>
      <c r="AG267" s="394"/>
      <c r="AH267" s="507" t="e">
        <f>AH85</f>
        <v>#VALUE!</v>
      </c>
      <c r="AI267" s="507"/>
      <c r="AJ267" s="507"/>
      <c r="AK267" s="244" t="s">
        <v>120</v>
      </c>
      <c r="AL267" s="244"/>
      <c r="AM267" s="394" t="s">
        <v>93</v>
      </c>
      <c r="AN267" s="394"/>
      <c r="AO267" s="507" t="e">
        <f>AH86</f>
        <v>#VALUE!</v>
      </c>
      <c r="AP267" s="507"/>
      <c r="AQ267" s="507"/>
      <c r="AR267" s="244" t="s">
        <v>467</v>
      </c>
      <c r="AS267" s="244"/>
      <c r="BA267" s="244"/>
      <c r="BB267" s="244"/>
      <c r="BC267" s="244"/>
      <c r="BD267" s="244"/>
      <c r="BE267" s="244"/>
      <c r="BF267" s="244"/>
      <c r="BG267" s="244"/>
      <c r="BH267" s="244"/>
    </row>
    <row r="268" spans="1:60" s="58" customFormat="1" ht="18.75" customHeight="1">
      <c r="A268" s="244"/>
      <c r="B268" s="244"/>
      <c r="C268" s="244"/>
      <c r="D268" s="244"/>
      <c r="E268" s="244"/>
      <c r="F268" s="394" t="s">
        <v>510</v>
      </c>
      <c r="G268" s="394"/>
      <c r="H268" s="507" t="e">
        <f>AH87</f>
        <v>#VALUE!</v>
      </c>
      <c r="I268" s="507"/>
      <c r="J268" s="507"/>
      <c r="K268" s="244" t="s">
        <v>120</v>
      </c>
      <c r="L268" s="244"/>
      <c r="M268" s="394" t="s">
        <v>93</v>
      </c>
      <c r="N268" s="394"/>
      <c r="O268" s="507">
        <f>AH88</f>
        <v>0</v>
      </c>
      <c r="P268" s="507"/>
      <c r="Q268" s="507"/>
      <c r="R268" s="244" t="s">
        <v>467</v>
      </c>
      <c r="S268" s="244"/>
      <c r="T268" s="394" t="s">
        <v>510</v>
      </c>
      <c r="U268" s="394"/>
      <c r="V268" s="507">
        <f>AH89</f>
        <v>2.8867513459481291E-2</v>
      </c>
      <c r="W268" s="507"/>
      <c r="X268" s="507"/>
      <c r="Y268" s="244" t="s">
        <v>467</v>
      </c>
      <c r="Z268" s="244"/>
      <c r="AB268" s="244"/>
      <c r="AC268" s="244"/>
      <c r="AD268" s="62"/>
      <c r="AE268" s="62"/>
      <c r="AF268" s="62"/>
      <c r="AG268" s="244"/>
      <c r="AH268" s="244"/>
      <c r="AI268" s="244"/>
      <c r="AJ268" s="244"/>
      <c r="AK268" s="244"/>
      <c r="AL268" s="244"/>
      <c r="AM268" s="244"/>
      <c r="AN268" s="244"/>
      <c r="AO268" s="244"/>
      <c r="AP268" s="244"/>
      <c r="AQ268" s="244"/>
      <c r="AR268" s="244"/>
      <c r="AS268" s="244"/>
      <c r="AT268" s="244"/>
      <c r="AU268" s="244"/>
      <c r="AV268" s="244"/>
      <c r="AW268" s="244"/>
      <c r="AX268" s="244"/>
      <c r="AY268" s="244"/>
      <c r="AZ268" s="244"/>
      <c r="BA268" s="244"/>
      <c r="BB268" s="244"/>
      <c r="BC268" s="244"/>
      <c r="BD268" s="244"/>
      <c r="BE268" s="244"/>
      <c r="BF268" s="244"/>
      <c r="BG268" s="244"/>
      <c r="BH268" s="244"/>
    </row>
    <row r="269" spans="1:60" s="58" customFormat="1" ht="18.75" customHeight="1">
      <c r="A269" s="244"/>
      <c r="B269" s="244"/>
      <c r="C269" s="244"/>
      <c r="D269" s="244"/>
      <c r="E269" s="239" t="s">
        <v>146</v>
      </c>
      <c r="F269" s="507" t="e">
        <f ca="1">AH90</f>
        <v>#N/A</v>
      </c>
      <c r="G269" s="507"/>
      <c r="H269" s="507"/>
      <c r="I269" s="244" t="s">
        <v>120</v>
      </c>
      <c r="J269" s="244"/>
      <c r="K269" s="244"/>
      <c r="L269" s="244"/>
      <c r="M269" s="152"/>
      <c r="N269" s="152"/>
      <c r="O269" s="152"/>
      <c r="P269" s="152"/>
      <c r="Q269" s="244"/>
      <c r="R269" s="244"/>
      <c r="S269" s="244"/>
      <c r="T269" s="244"/>
      <c r="U269" s="244"/>
      <c r="V269" s="244"/>
      <c r="W269" s="244"/>
      <c r="X269" s="244"/>
      <c r="Y269" s="244"/>
      <c r="Z269" s="244"/>
      <c r="AA269" s="244"/>
      <c r="AB269" s="244"/>
      <c r="AC269" s="244"/>
      <c r="AD269" s="244"/>
      <c r="AE269" s="244"/>
      <c r="AF269" s="244"/>
      <c r="AG269" s="239"/>
      <c r="AH269" s="244"/>
      <c r="AI269" s="244"/>
      <c r="AJ269" s="244"/>
      <c r="AK269" s="244"/>
      <c r="AL269" s="244"/>
      <c r="AM269" s="244"/>
      <c r="AN269" s="244"/>
      <c r="AO269" s="244"/>
      <c r="AP269" s="244"/>
      <c r="AQ269" s="244"/>
      <c r="AR269" s="244"/>
      <c r="AS269" s="244"/>
      <c r="AT269" s="244"/>
      <c r="AU269" s="244"/>
      <c r="AV269" s="244"/>
      <c r="AW269" s="244"/>
      <c r="AX269" s="244"/>
      <c r="AY269" s="244"/>
      <c r="AZ269" s="244"/>
      <c r="BA269" s="244"/>
      <c r="BB269" s="244"/>
      <c r="BC269" s="244"/>
      <c r="BD269" s="244"/>
      <c r="BE269" s="244"/>
      <c r="BF269" s="244"/>
      <c r="BG269" s="244"/>
      <c r="BH269" s="244"/>
    </row>
    <row r="270" spans="1:60" s="58" customFormat="1" ht="18.75" customHeight="1">
      <c r="A270" s="244"/>
      <c r="B270" s="244"/>
      <c r="C270" s="244"/>
      <c r="D270" s="139"/>
      <c r="E270" s="139"/>
      <c r="F270" s="139"/>
      <c r="G270" s="244"/>
      <c r="H270" s="244"/>
      <c r="I270" s="239"/>
      <c r="J270" s="239"/>
      <c r="K270" s="153"/>
      <c r="L270" s="153"/>
      <c r="M270" s="153"/>
      <c r="N270" s="153"/>
      <c r="O270" s="244"/>
      <c r="P270" s="244"/>
      <c r="Q270" s="244"/>
      <c r="R270" s="244"/>
      <c r="S270" s="244"/>
      <c r="T270" s="244"/>
      <c r="U270" s="244"/>
      <c r="V270" s="244"/>
      <c r="W270" s="244"/>
      <c r="X270" s="244"/>
      <c r="Y270" s="244"/>
      <c r="Z270" s="244"/>
      <c r="AA270" s="244"/>
      <c r="AB270" s="244"/>
      <c r="AC270" s="244"/>
      <c r="AD270" s="244"/>
      <c r="AE270" s="244"/>
      <c r="AF270" s="244"/>
      <c r="AG270" s="244"/>
      <c r="AH270" s="244"/>
      <c r="AI270" s="244"/>
      <c r="AJ270" s="244"/>
      <c r="AK270" s="244"/>
      <c r="AL270" s="244"/>
      <c r="AM270" s="244"/>
      <c r="AN270" s="244"/>
      <c r="AO270" s="244"/>
      <c r="AP270" s="244"/>
      <c r="AQ270" s="244"/>
      <c r="AR270" s="244"/>
      <c r="AS270" s="244"/>
      <c r="AT270" s="244"/>
      <c r="AU270" s="244"/>
      <c r="AV270" s="244"/>
      <c r="AW270" s="244"/>
      <c r="AX270" s="244"/>
      <c r="AY270" s="244"/>
      <c r="AZ270" s="244"/>
      <c r="BA270" s="244"/>
      <c r="BB270" s="244"/>
      <c r="BC270" s="244"/>
      <c r="BD270" s="244"/>
      <c r="BE270" s="244"/>
      <c r="BF270" s="244"/>
    </row>
    <row r="271" spans="1:60" s="140" customFormat="1" ht="18.75" customHeight="1">
      <c r="A271" s="239"/>
      <c r="B271" s="239"/>
      <c r="C271" s="239"/>
      <c r="D271" s="144" t="s">
        <v>561</v>
      </c>
      <c r="E271" s="239" t="s">
        <v>146</v>
      </c>
      <c r="F271" s="507" t="e">
        <f ca="1">F269</f>
        <v>#N/A</v>
      </c>
      <c r="G271" s="507"/>
      <c r="H271" s="507"/>
      <c r="I271" s="244" t="s">
        <v>467</v>
      </c>
      <c r="J271" s="244"/>
      <c r="K271" s="152"/>
      <c r="L271" s="152"/>
      <c r="M271" s="152"/>
      <c r="N271" s="239"/>
      <c r="O271" s="239"/>
      <c r="P271" s="244"/>
      <c r="Q271" s="239"/>
      <c r="R271" s="239"/>
      <c r="S271" s="239"/>
      <c r="T271" s="239"/>
      <c r="U271" s="239"/>
      <c r="V271" s="239"/>
      <c r="W271" s="239"/>
      <c r="X271" s="239"/>
      <c r="Y271" s="239"/>
      <c r="Z271" s="239"/>
      <c r="AA271" s="239"/>
      <c r="AB271" s="239"/>
      <c r="AC271" s="239"/>
      <c r="AD271" s="239"/>
      <c r="AE271" s="244"/>
      <c r="AF271" s="239"/>
      <c r="AG271" s="239"/>
      <c r="AH271" s="239"/>
      <c r="AI271" s="239"/>
      <c r="AJ271" s="239"/>
      <c r="AK271" s="239"/>
      <c r="AL271" s="239"/>
      <c r="AM271" s="239"/>
      <c r="AN271" s="239"/>
      <c r="AO271" s="239"/>
      <c r="AP271" s="239"/>
      <c r="AQ271" s="239"/>
      <c r="AR271" s="239"/>
      <c r="AS271" s="239"/>
      <c r="AT271" s="239"/>
      <c r="AU271" s="239"/>
      <c r="AV271" s="239"/>
      <c r="AW271" s="239"/>
      <c r="AX271" s="239"/>
      <c r="AY271" s="239"/>
      <c r="AZ271" s="239"/>
      <c r="BA271" s="239"/>
      <c r="BB271" s="239"/>
      <c r="BC271" s="239"/>
      <c r="BD271" s="239"/>
      <c r="BE271" s="239"/>
      <c r="BF271" s="239"/>
    </row>
    <row r="272" spans="1:60" s="244" customFormat="1" ht="18.75" customHeight="1"/>
    <row r="273" spans="1:60" ht="18.75" customHeight="1">
      <c r="A273" s="57" t="s">
        <v>174</v>
      </c>
      <c r="B273" s="251"/>
      <c r="C273" s="251"/>
      <c r="D273" s="251"/>
      <c r="E273" s="251"/>
      <c r="F273" s="251"/>
      <c r="G273" s="251"/>
      <c r="H273" s="251"/>
      <c r="I273" s="251"/>
      <c r="J273" s="251"/>
      <c r="K273" s="251"/>
      <c r="L273" s="251"/>
      <c r="M273" s="251"/>
      <c r="N273" s="251"/>
      <c r="O273" s="251"/>
      <c r="P273" s="251"/>
      <c r="Q273" s="251"/>
      <c r="R273" s="251"/>
      <c r="S273" s="251"/>
      <c r="T273" s="251"/>
      <c r="U273" s="251"/>
      <c r="V273" s="251"/>
      <c r="W273" s="251"/>
      <c r="X273" s="251"/>
      <c r="Y273" s="251"/>
      <c r="Z273" s="251"/>
      <c r="AA273" s="251"/>
      <c r="AB273" s="251"/>
      <c r="AC273" s="251"/>
      <c r="AD273" s="251"/>
      <c r="AE273" s="251"/>
      <c r="AF273" s="251"/>
      <c r="AG273" s="251"/>
      <c r="AH273" s="251"/>
      <c r="AI273" s="251"/>
      <c r="AJ273" s="251"/>
      <c r="AK273" s="251"/>
      <c r="AL273" s="251"/>
      <c r="AM273" s="251"/>
      <c r="AN273" s="251"/>
      <c r="AO273" s="251"/>
      <c r="AP273" s="251"/>
      <c r="AQ273" s="251"/>
      <c r="AR273" s="251"/>
      <c r="AS273" s="251"/>
      <c r="AT273" s="251"/>
      <c r="AU273" s="251"/>
      <c r="AV273" s="251"/>
      <c r="AW273" s="251"/>
      <c r="AX273" s="251"/>
      <c r="AY273" s="251"/>
      <c r="AZ273" s="251"/>
      <c r="BA273" s="251"/>
      <c r="BB273" s="251"/>
      <c r="BC273" s="251"/>
      <c r="BD273" s="251"/>
      <c r="BE273" s="251"/>
      <c r="BF273" s="251"/>
    </row>
    <row r="274" spans="1:60" ht="18.75" customHeight="1">
      <c r="A274" s="251"/>
      <c r="B274" s="251"/>
      <c r="C274" s="251"/>
      <c r="D274" s="251"/>
      <c r="E274" s="251"/>
      <c r="F274" s="251"/>
      <c r="G274" s="251"/>
      <c r="H274" s="251"/>
      <c r="I274" s="251"/>
      <c r="J274" s="251"/>
      <c r="K274" s="251"/>
      <c r="L274" s="511" t="e">
        <f ca="1">AH90</f>
        <v>#N/A</v>
      </c>
      <c r="M274" s="511"/>
      <c r="N274" s="511"/>
      <c r="O274" s="511"/>
      <c r="P274" s="511"/>
      <c r="Q274" s="511"/>
      <c r="R274" s="511"/>
      <c r="S274" s="511"/>
      <c r="T274" s="511"/>
      <c r="U274" s="511"/>
      <c r="V274" s="511"/>
      <c r="W274" s="511"/>
      <c r="X274" s="511"/>
      <c r="Y274" s="511"/>
      <c r="Z274" s="511"/>
      <c r="AA274" s="511"/>
      <c r="AB274" s="511"/>
      <c r="AC274" s="511"/>
      <c r="AD274" s="511"/>
      <c r="AE274" s="511"/>
      <c r="AF274" s="511"/>
      <c r="AG274" s="511"/>
      <c r="AH274" s="511"/>
      <c r="AI274" s="511"/>
      <c r="AJ274" s="511"/>
      <c r="AK274" s="511"/>
      <c r="AL274" s="394" t="s">
        <v>562</v>
      </c>
      <c r="AM274" s="388" t="e">
        <f>AP90</f>
        <v>#VALUE!</v>
      </c>
      <c r="AN274" s="388"/>
      <c r="AO274" s="388"/>
      <c r="AP274" s="388"/>
      <c r="AQ274" s="388"/>
      <c r="AR274" s="388"/>
    </row>
    <row r="275" spans="1:60" ht="18.75" customHeight="1">
      <c r="A275" s="251"/>
      <c r="B275" s="251"/>
      <c r="C275" s="251"/>
      <c r="D275" s="251"/>
      <c r="E275" s="251"/>
      <c r="F275" s="251"/>
      <c r="G275" s="251"/>
      <c r="H275" s="251"/>
      <c r="I275" s="251"/>
      <c r="J275" s="251"/>
      <c r="K275" s="251"/>
      <c r="L275" s="251"/>
      <c r="M275" s="509">
        <f>AH78</f>
        <v>0</v>
      </c>
      <c r="N275" s="509"/>
      <c r="O275" s="509"/>
      <c r="P275" s="176"/>
      <c r="Q275" s="510" t="s">
        <v>563</v>
      </c>
      <c r="R275" s="509" t="e">
        <f ca="1">AH79</f>
        <v>#N/A</v>
      </c>
      <c r="S275" s="509"/>
      <c r="T275" s="509"/>
      <c r="U275" s="176"/>
      <c r="V275" s="510" t="s">
        <v>563</v>
      </c>
      <c r="W275" s="509">
        <f>AH80</f>
        <v>0</v>
      </c>
      <c r="X275" s="509"/>
      <c r="Y275" s="509"/>
      <c r="Z275" s="176"/>
      <c r="AA275" s="510" t="s">
        <v>563</v>
      </c>
      <c r="AB275" s="509" t="e">
        <f ca="1">AH81</f>
        <v>#N/A</v>
      </c>
      <c r="AC275" s="509"/>
      <c r="AD275" s="509"/>
      <c r="AE275" s="176"/>
      <c r="AF275" s="510" t="s">
        <v>563</v>
      </c>
      <c r="AG275" s="509" t="e">
        <f>AH85</f>
        <v>#VALUE!</v>
      </c>
      <c r="AH275" s="509"/>
      <c r="AI275" s="509"/>
      <c r="AJ275" s="176"/>
      <c r="AK275" s="152"/>
      <c r="AL275" s="394"/>
      <c r="AM275" s="388"/>
      <c r="AN275" s="388"/>
      <c r="AO275" s="388"/>
      <c r="AP275" s="388"/>
      <c r="AQ275" s="388"/>
      <c r="AR275" s="388"/>
    </row>
    <row r="276" spans="1:60" ht="18.75" customHeight="1">
      <c r="A276" s="251"/>
      <c r="B276" s="251"/>
      <c r="C276" s="251"/>
      <c r="D276" s="251"/>
      <c r="E276" s="251"/>
      <c r="F276" s="251"/>
      <c r="G276" s="251"/>
      <c r="H276" s="251"/>
      <c r="I276" s="251"/>
      <c r="J276" s="251"/>
      <c r="K276" s="251"/>
      <c r="L276" s="251"/>
      <c r="M276" s="427">
        <f>AP78</f>
        <v>4</v>
      </c>
      <c r="N276" s="427"/>
      <c r="O276" s="427"/>
      <c r="P276" s="427"/>
      <c r="Q276" s="510"/>
      <c r="R276" s="427" t="str">
        <f>AP79</f>
        <v>∞</v>
      </c>
      <c r="S276" s="427"/>
      <c r="T276" s="427"/>
      <c r="U276" s="427"/>
      <c r="V276" s="510"/>
      <c r="W276" s="427" t="str">
        <f>AP80</f>
        <v>∞</v>
      </c>
      <c r="X276" s="427"/>
      <c r="Y276" s="427"/>
      <c r="Z276" s="427"/>
      <c r="AA276" s="510"/>
      <c r="AB276" s="427" t="str">
        <f>AP81</f>
        <v>∞</v>
      </c>
      <c r="AC276" s="427"/>
      <c r="AD276" s="427"/>
      <c r="AE276" s="427"/>
      <c r="AF276" s="510"/>
      <c r="AG276" s="427">
        <f>AP85</f>
        <v>100</v>
      </c>
      <c r="AH276" s="427"/>
      <c r="AI276" s="427"/>
      <c r="AJ276" s="427"/>
      <c r="AK276" s="152"/>
    </row>
    <row r="277" spans="1:60" ht="18.75" customHeight="1">
      <c r="A277" s="251"/>
      <c r="B277" s="251"/>
      <c r="C277" s="251"/>
      <c r="D277" s="251"/>
      <c r="E277" s="251"/>
      <c r="F277" s="251"/>
      <c r="G277" s="251"/>
      <c r="H277" s="251"/>
      <c r="I277" s="251"/>
      <c r="J277" s="251"/>
      <c r="K277" s="251"/>
      <c r="L277" s="251"/>
      <c r="M277" s="510" t="s">
        <v>563</v>
      </c>
      <c r="N277" s="509" t="e">
        <f>AH86</f>
        <v>#VALUE!</v>
      </c>
      <c r="O277" s="509"/>
      <c r="P277" s="509"/>
      <c r="Q277" s="176"/>
      <c r="R277" s="510" t="s">
        <v>563</v>
      </c>
      <c r="S277" s="509" t="e">
        <f>AH87</f>
        <v>#VALUE!</v>
      </c>
      <c r="T277" s="509"/>
      <c r="U277" s="509"/>
      <c r="V277" s="176"/>
      <c r="W277" s="510" t="s">
        <v>563</v>
      </c>
      <c r="X277" s="509">
        <f>AH88</f>
        <v>0</v>
      </c>
      <c r="Y277" s="509"/>
      <c r="Z277" s="509"/>
      <c r="AA277" s="176"/>
      <c r="AB277" s="510" t="s">
        <v>563</v>
      </c>
      <c r="AC277" s="509">
        <f>AH89</f>
        <v>2.8867513459481291E-2</v>
      </c>
      <c r="AD277" s="509"/>
      <c r="AE277" s="509"/>
      <c r="AF277" s="176"/>
    </row>
    <row r="278" spans="1:60" ht="18.75" customHeight="1">
      <c r="A278" s="251"/>
      <c r="B278" s="251"/>
      <c r="C278" s="251"/>
      <c r="D278" s="251"/>
      <c r="E278" s="251"/>
      <c r="F278" s="251"/>
      <c r="G278" s="251"/>
      <c r="H278" s="251"/>
      <c r="I278" s="251"/>
      <c r="J278" s="251"/>
      <c r="K278" s="251"/>
      <c r="L278" s="251"/>
      <c r="M278" s="510"/>
      <c r="N278" s="427">
        <f>AP86</f>
        <v>12</v>
      </c>
      <c r="O278" s="427"/>
      <c r="P278" s="427"/>
      <c r="Q278" s="427"/>
      <c r="R278" s="510"/>
      <c r="S278" s="427">
        <f>AP87</f>
        <v>100</v>
      </c>
      <c r="T278" s="427"/>
      <c r="U278" s="427"/>
      <c r="V278" s="427"/>
      <c r="W278" s="510"/>
      <c r="X278" s="427">
        <f>AP88</f>
        <v>12</v>
      </c>
      <c r="Y278" s="427"/>
      <c r="Z278" s="427"/>
      <c r="AA278" s="427"/>
      <c r="AB278" s="510"/>
      <c r="AC278" s="427">
        <f>AP89</f>
        <v>12</v>
      </c>
      <c r="AD278" s="427"/>
      <c r="AE278" s="427"/>
      <c r="AF278" s="427"/>
    </row>
    <row r="279" spans="1:60" ht="18.75" customHeight="1">
      <c r="A279" s="251"/>
      <c r="B279" s="251"/>
      <c r="C279" s="251"/>
      <c r="D279" s="251"/>
      <c r="E279" s="251"/>
      <c r="F279" s="251"/>
      <c r="G279" s="251"/>
      <c r="H279" s="251"/>
      <c r="I279" s="251"/>
      <c r="J279" s="251"/>
      <c r="K279" s="251"/>
      <c r="L279" s="251"/>
      <c r="M279" s="251"/>
      <c r="N279" s="251"/>
      <c r="O279" s="251"/>
      <c r="P279" s="251"/>
      <c r="Q279" s="251"/>
      <c r="R279" s="251"/>
      <c r="S279" s="251"/>
      <c r="T279" s="251"/>
      <c r="U279" s="251"/>
      <c r="V279" s="251"/>
      <c r="W279" s="251"/>
      <c r="X279" s="251"/>
      <c r="Y279" s="251"/>
      <c r="Z279" s="251"/>
      <c r="AA279" s="251"/>
      <c r="AB279" s="251"/>
      <c r="AC279" s="251"/>
      <c r="AD279" s="251"/>
      <c r="AE279" s="251"/>
      <c r="AF279" s="251"/>
      <c r="AG279" s="251"/>
      <c r="AH279" s="251"/>
      <c r="AI279" s="251"/>
      <c r="AJ279" s="251"/>
      <c r="AK279" s="251"/>
      <c r="AL279" s="251"/>
      <c r="AM279" s="251"/>
      <c r="AN279" s="251"/>
      <c r="AO279" s="251"/>
      <c r="AP279" s="251"/>
      <c r="AQ279" s="251"/>
      <c r="AR279" s="251"/>
      <c r="AS279" s="251"/>
      <c r="AT279" s="251"/>
      <c r="AU279" s="251"/>
      <c r="AV279" s="251"/>
      <c r="AW279" s="251"/>
      <c r="AX279" s="251"/>
      <c r="AY279" s="251"/>
      <c r="AZ279" s="251"/>
      <c r="BA279" s="251"/>
      <c r="BB279" s="251"/>
      <c r="BC279" s="251"/>
      <c r="BD279" s="251"/>
      <c r="BE279" s="251"/>
      <c r="BF279" s="251"/>
      <c r="BG279" s="251"/>
      <c r="BH279" s="251"/>
    </row>
    <row r="280" spans="1:60" ht="18.75" customHeight="1">
      <c r="A280" s="57" t="s">
        <v>564</v>
      </c>
      <c r="B280" s="251"/>
      <c r="C280" s="251"/>
      <c r="D280" s="251"/>
      <c r="E280" s="251"/>
      <c r="F280" s="251"/>
      <c r="G280" s="251"/>
      <c r="H280" s="251"/>
      <c r="I280" s="251"/>
      <c r="J280" s="251"/>
      <c r="K280" s="251"/>
      <c r="L280" s="251"/>
      <c r="M280" s="251"/>
      <c r="N280" s="251"/>
      <c r="O280" s="251"/>
      <c r="P280" s="251"/>
      <c r="Q280" s="251"/>
      <c r="R280" s="251"/>
      <c r="S280" s="251"/>
      <c r="T280" s="251"/>
      <c r="U280" s="251"/>
      <c r="V280" s="251"/>
      <c r="W280" s="251"/>
      <c r="X280" s="251"/>
      <c r="Y280" s="251"/>
      <c r="Z280" s="251"/>
      <c r="AA280" s="251"/>
      <c r="AB280" s="251"/>
      <c r="AC280" s="251"/>
      <c r="AD280" s="251"/>
      <c r="AE280" s="251"/>
      <c r="AF280" s="251"/>
      <c r="AG280" s="251"/>
      <c r="AH280" s="251"/>
      <c r="AI280" s="251"/>
      <c r="AJ280" s="251"/>
      <c r="AK280" s="251"/>
      <c r="AL280" s="251"/>
      <c r="AM280" s="251"/>
      <c r="AN280" s="251"/>
      <c r="AO280" s="251"/>
      <c r="AP280" s="251"/>
      <c r="AQ280" s="251"/>
      <c r="AR280" s="251"/>
      <c r="AS280" s="251"/>
      <c r="AT280" s="251"/>
      <c r="AU280" s="251"/>
      <c r="AV280" s="251"/>
      <c r="AW280" s="251"/>
      <c r="AX280" s="251"/>
      <c r="AY280" s="251"/>
      <c r="AZ280" s="251"/>
      <c r="BA280" s="251"/>
      <c r="BB280" s="251"/>
      <c r="BC280" s="251"/>
      <c r="BD280" s="251"/>
    </row>
    <row r="281" spans="1:60" ht="18.75" customHeight="1">
      <c r="A281" s="57"/>
      <c r="B281" s="251" t="s">
        <v>565</v>
      </c>
      <c r="C281" s="251"/>
      <c r="D281" s="251"/>
      <c r="E281" s="251"/>
      <c r="F281" s="251"/>
      <c r="G281" s="251"/>
      <c r="H281" s="251"/>
      <c r="I281" s="251"/>
      <c r="J281" s="251"/>
      <c r="K281" s="251"/>
      <c r="L281" s="251"/>
      <c r="M281" s="251"/>
      <c r="N281" s="251"/>
      <c r="O281" s="251"/>
      <c r="P281" s="251"/>
      <c r="Q281" s="251"/>
      <c r="R281" s="251"/>
      <c r="S281" s="251"/>
      <c r="T281" s="251"/>
      <c r="U281" s="251"/>
      <c r="V281" s="251"/>
      <c r="W281" s="251"/>
      <c r="X281" s="251"/>
      <c r="Y281" s="251"/>
      <c r="Z281" s="251"/>
      <c r="AA281" s="251"/>
      <c r="AB281" s="251"/>
      <c r="AC281" s="251"/>
      <c r="AD281" s="251"/>
      <c r="AE281" s="251"/>
      <c r="AF281" s="251"/>
      <c r="AG281" s="251"/>
      <c r="AH281" s="251"/>
      <c r="AI281" s="251"/>
      <c r="AJ281" s="251"/>
      <c r="AK281" s="251"/>
      <c r="AL281" s="251"/>
      <c r="AM281" s="251"/>
      <c r="AN281" s="251"/>
      <c r="AO281" s="251"/>
      <c r="AP281" s="251"/>
      <c r="AQ281" s="251"/>
      <c r="AR281" s="251"/>
      <c r="AS281" s="251"/>
      <c r="AT281" s="251"/>
      <c r="AU281" s="251"/>
      <c r="AV281" s="251"/>
      <c r="AW281" s="251"/>
      <c r="AX281" s="251"/>
      <c r="AY281" s="251"/>
      <c r="AZ281" s="251"/>
      <c r="BA281" s="251"/>
      <c r="BB281" s="251"/>
      <c r="BC281" s="251"/>
      <c r="BD281" s="251"/>
    </row>
    <row r="282" spans="1:60" ht="18.75" customHeight="1">
      <c r="A282" s="57"/>
      <c r="B282" s="251"/>
      <c r="C282" s="251" t="s">
        <v>566</v>
      </c>
      <c r="D282" s="251"/>
      <c r="E282" s="251"/>
      <c r="F282" s="251"/>
      <c r="G282" s="251"/>
      <c r="H282" s="251"/>
      <c r="I282" s="251"/>
      <c r="J282" s="251"/>
      <c r="K282" s="251"/>
      <c r="L282" s="251"/>
      <c r="M282" s="251"/>
      <c r="N282" s="251"/>
      <c r="O282" s="251"/>
      <c r="P282" s="251"/>
      <c r="Q282" s="251"/>
      <c r="R282" s="251"/>
      <c r="S282" s="251"/>
      <c r="T282" s="251"/>
      <c r="U282" s="251"/>
      <c r="V282" s="251"/>
      <c r="W282" s="251"/>
      <c r="X282" s="251"/>
      <c r="Y282" s="251"/>
      <c r="Z282" s="251"/>
      <c r="AA282" s="251"/>
      <c r="AB282" s="251"/>
      <c r="AC282" s="251"/>
      <c r="AD282" s="251"/>
      <c r="AE282" s="251"/>
      <c r="AF282" s="251"/>
      <c r="AG282" s="251"/>
      <c r="AH282" s="251"/>
      <c r="AI282" s="251"/>
      <c r="AJ282" s="251"/>
      <c r="AK282" s="251"/>
      <c r="AL282" s="251"/>
      <c r="AM282" s="251"/>
      <c r="AN282" s="251"/>
      <c r="AO282" s="251"/>
      <c r="AP282" s="251"/>
      <c r="AQ282" s="251"/>
      <c r="AR282" s="251"/>
      <c r="AS282" s="251"/>
      <c r="AT282" s="251"/>
      <c r="AU282" s="251"/>
      <c r="AV282" s="251"/>
      <c r="AW282" s="251"/>
      <c r="AX282" s="251"/>
      <c r="AY282" s="251"/>
      <c r="AZ282" s="251"/>
      <c r="BA282" s="251"/>
      <c r="BB282" s="251"/>
      <c r="BC282" s="251"/>
      <c r="BD282" s="251"/>
    </row>
    <row r="283" spans="1:60" ht="18.75" customHeight="1">
      <c r="A283" s="57"/>
      <c r="B283" s="251"/>
      <c r="C283" s="56" t="s">
        <v>567</v>
      </c>
      <c r="D283" s="251"/>
      <c r="E283" s="251"/>
      <c r="F283" s="251"/>
      <c r="G283" s="251"/>
      <c r="H283" s="251"/>
      <c r="I283" s="251"/>
      <c r="J283" s="251"/>
      <c r="K283" s="251"/>
      <c r="L283" s="251"/>
      <c r="M283" s="251"/>
      <c r="N283" s="251"/>
      <c r="O283" s="251"/>
      <c r="P283" s="251"/>
      <c r="Q283" s="251"/>
      <c r="R283" s="251"/>
      <c r="S283" s="251"/>
      <c r="T283" s="251"/>
      <c r="U283" s="251"/>
      <c r="V283" s="251"/>
      <c r="W283" s="251"/>
      <c r="X283" s="251"/>
      <c r="Y283" s="251"/>
      <c r="Z283" s="251"/>
      <c r="AA283" s="251"/>
      <c r="AB283" s="251"/>
      <c r="AC283" s="251"/>
      <c r="AD283" s="251"/>
      <c r="AE283" s="251"/>
      <c r="AF283" s="251"/>
      <c r="AG283" s="251"/>
      <c r="AH283" s="251"/>
      <c r="AI283" s="251"/>
      <c r="AJ283" s="251"/>
      <c r="AK283" s="251"/>
      <c r="AL283" s="251"/>
      <c r="AM283" s="251"/>
      <c r="AN283" s="251"/>
      <c r="AO283" s="251"/>
      <c r="AP283" s="251"/>
      <c r="AQ283" s="251"/>
      <c r="AR283" s="251"/>
      <c r="AS283" s="251"/>
      <c r="AT283" s="251"/>
      <c r="AU283" s="251"/>
      <c r="AV283" s="251"/>
      <c r="AW283" s="251"/>
      <c r="AX283" s="251"/>
      <c r="AY283" s="251"/>
      <c r="AZ283" s="251"/>
      <c r="BA283" s="251"/>
      <c r="BB283" s="251"/>
      <c r="BC283" s="251"/>
      <c r="BD283" s="251"/>
    </row>
    <row r="284" spans="1:60" ht="18.75" customHeight="1">
      <c r="A284" s="57"/>
      <c r="B284" s="251"/>
      <c r="C284" s="244" t="s">
        <v>568</v>
      </c>
      <c r="D284" s="251"/>
      <c r="E284" s="251"/>
      <c r="F284" s="251"/>
      <c r="G284" s="251"/>
      <c r="H284" s="251"/>
      <c r="I284" s="251"/>
      <c r="J284" s="251"/>
      <c r="K284" s="251"/>
      <c r="L284" s="251"/>
      <c r="M284" s="251"/>
      <c r="N284" s="251"/>
      <c r="O284" s="251"/>
      <c r="P284" s="251"/>
      <c r="Q284" s="251"/>
      <c r="R284" s="251"/>
      <c r="S284" s="251"/>
      <c r="T284" s="251"/>
      <c r="U284" s="251"/>
      <c r="V284" s="251"/>
      <c r="W284" s="251"/>
      <c r="X284" s="251"/>
      <c r="Y284" s="251"/>
      <c r="Z284" s="251"/>
      <c r="AA284" s="251"/>
      <c r="AB284" s="251"/>
      <c r="AC284" s="251"/>
      <c r="AD284" s="251"/>
      <c r="AE284" s="251"/>
      <c r="AF284" s="251"/>
      <c r="AG284" s="251"/>
      <c r="AH284" s="251"/>
      <c r="AI284" s="251"/>
      <c r="AJ284" s="251"/>
      <c r="AK284" s="251"/>
      <c r="AL284" s="251"/>
      <c r="AM284" s="251"/>
      <c r="AN284" s="251"/>
      <c r="AO284" s="251"/>
      <c r="AP284" s="251"/>
      <c r="AQ284" s="251"/>
      <c r="AR284" s="251"/>
      <c r="AS284" s="251"/>
      <c r="AT284" s="251"/>
      <c r="AU284" s="251"/>
      <c r="AV284" s="251"/>
      <c r="AW284" s="251"/>
      <c r="AX284" s="251"/>
      <c r="AY284" s="251"/>
      <c r="AZ284" s="251"/>
      <c r="BA284" s="251"/>
      <c r="BB284" s="251"/>
      <c r="BC284" s="251"/>
      <c r="BD284" s="251"/>
    </row>
    <row r="285" spans="1:60" ht="18.75" customHeight="1">
      <c r="A285" s="57"/>
      <c r="B285" s="251"/>
      <c r="D285" s="251"/>
      <c r="E285" s="144"/>
      <c r="F285" s="251"/>
      <c r="G285" s="250"/>
      <c r="H285" s="239"/>
      <c r="I285" s="239"/>
      <c r="J285" s="239"/>
      <c r="R285" s="144"/>
      <c r="S285" s="154"/>
      <c r="T285" s="154"/>
      <c r="U285" s="154"/>
      <c r="V285" s="154"/>
      <c r="W285" s="154"/>
      <c r="X285" s="251"/>
      <c r="Y285" s="251"/>
      <c r="Z285" s="251"/>
      <c r="AA285" s="251"/>
      <c r="AB285" s="251"/>
      <c r="AC285" s="251"/>
      <c r="AD285" s="251"/>
      <c r="AE285" s="251"/>
      <c r="AF285" s="251"/>
      <c r="AG285" s="251"/>
      <c r="AH285" s="251"/>
      <c r="AI285" s="251"/>
      <c r="AJ285" s="251"/>
      <c r="AK285" s="251"/>
      <c r="AL285" s="251"/>
      <c r="AM285" s="251"/>
      <c r="AN285" s="251"/>
      <c r="AO285" s="251"/>
      <c r="AP285" s="251"/>
      <c r="AQ285" s="251"/>
      <c r="AR285" s="251"/>
      <c r="AS285" s="251"/>
      <c r="AT285" s="251"/>
      <c r="AU285" s="251"/>
      <c r="AV285" s="251"/>
      <c r="AW285" s="251"/>
      <c r="AX285" s="251"/>
      <c r="AY285" s="251"/>
      <c r="AZ285" s="251"/>
      <c r="BA285" s="251"/>
      <c r="BB285" s="251"/>
      <c r="BC285" s="251"/>
      <c r="BD285" s="251"/>
    </row>
    <row r="286" spans="1:60" ht="18.75" customHeight="1">
      <c r="A286" s="57"/>
      <c r="B286" s="251" t="s">
        <v>175</v>
      </c>
      <c r="C286" s="251"/>
      <c r="D286" s="251"/>
      <c r="E286" s="251"/>
      <c r="F286" s="251"/>
      <c r="G286" s="251"/>
      <c r="H286" s="251"/>
      <c r="I286" s="251"/>
      <c r="J286" s="251"/>
      <c r="K286" s="251"/>
      <c r="L286" s="251"/>
      <c r="M286" s="251"/>
      <c r="N286" s="251"/>
      <c r="O286" s="251"/>
      <c r="P286" s="251"/>
      <c r="Q286" s="251"/>
      <c r="R286" s="251"/>
      <c r="S286" s="251"/>
      <c r="T286" s="251"/>
      <c r="U286" s="251"/>
      <c r="V286" s="251"/>
      <c r="W286" s="251"/>
      <c r="X286" s="251"/>
      <c r="Y286" s="251"/>
      <c r="Z286" s="251"/>
      <c r="AA286" s="251"/>
      <c r="AB286" s="251"/>
      <c r="AC286" s="251"/>
      <c r="AD286" s="251"/>
      <c r="AE286" s="251"/>
      <c r="AF286" s="251"/>
      <c r="AG286" s="251"/>
      <c r="AH286" s="251"/>
      <c r="AI286" s="251"/>
      <c r="AJ286" s="251"/>
      <c r="AK286" s="251"/>
      <c r="AL286" s="251"/>
      <c r="AM286" s="251"/>
      <c r="AN286" s="251"/>
      <c r="AO286" s="251"/>
      <c r="AP286" s="251"/>
      <c r="AQ286" s="251"/>
      <c r="AR286" s="251"/>
      <c r="AS286" s="251"/>
      <c r="AT286" s="251"/>
      <c r="AU286" s="251"/>
      <c r="AV286" s="251"/>
      <c r="AW286" s="251"/>
      <c r="AX286" s="251"/>
      <c r="AY286" s="251"/>
      <c r="AZ286" s="251"/>
      <c r="BA286" s="251"/>
      <c r="BB286" s="251"/>
      <c r="BC286" s="251"/>
      <c r="BD286" s="251"/>
    </row>
    <row r="287" spans="1:60" ht="18.75" customHeight="1">
      <c r="A287" s="57"/>
      <c r="B287" s="251"/>
      <c r="C287" s="251" t="s">
        <v>177</v>
      </c>
      <c r="D287" s="251"/>
      <c r="E287" s="251"/>
      <c r="F287" s="251"/>
      <c r="G287" s="251"/>
      <c r="H287" s="251"/>
      <c r="I287" s="251"/>
      <c r="J287" s="251"/>
      <c r="K287" s="251"/>
      <c r="L287" s="251"/>
      <c r="M287" s="251"/>
      <c r="N287" s="251"/>
      <c r="O287" s="251"/>
      <c r="P287" s="251"/>
      <c r="Q287" s="251"/>
      <c r="R287" s="251"/>
      <c r="S287" s="251"/>
      <c r="T287" s="251"/>
      <c r="U287" s="251"/>
      <c r="V287" s="251"/>
      <c r="W287" s="251"/>
      <c r="X287" s="251"/>
      <c r="Y287" s="251"/>
      <c r="Z287" s="251"/>
      <c r="AA287" s="251"/>
      <c r="AB287" s="251"/>
      <c r="AC287" s="251"/>
      <c r="AD287" s="251"/>
      <c r="AE287" s="251"/>
      <c r="AF287" s="251"/>
      <c r="AG287" s="251"/>
      <c r="AH287" s="251"/>
      <c r="AI287" s="251"/>
      <c r="AJ287" s="251"/>
      <c r="AK287" s="251"/>
      <c r="AL287" s="251"/>
      <c r="AM287" s="251"/>
      <c r="AN287" s="251"/>
      <c r="AO287" s="251"/>
      <c r="AP287" s="251"/>
      <c r="AQ287" s="251"/>
      <c r="AR287" s="251"/>
      <c r="AS287" s="251"/>
      <c r="AT287" s="251"/>
      <c r="AU287" s="251"/>
      <c r="AV287" s="251"/>
      <c r="AW287" s="251"/>
      <c r="AX287" s="251"/>
      <c r="AY287" s="251"/>
      <c r="AZ287" s="251"/>
      <c r="BA287" s="251"/>
      <c r="BB287" s="251"/>
      <c r="BC287" s="251"/>
      <c r="BD287" s="251"/>
    </row>
    <row r="288" spans="1:60" ht="18.75" customHeight="1">
      <c r="B288" s="251"/>
      <c r="C288" s="251" t="s">
        <v>569</v>
      </c>
      <c r="D288" s="251"/>
      <c r="E288" s="251"/>
      <c r="F288" s="251"/>
      <c r="G288" s="251"/>
      <c r="H288" s="251"/>
      <c r="I288" s="251"/>
      <c r="J288" s="251"/>
      <c r="K288" s="251"/>
      <c r="L288" s="251"/>
      <c r="M288" s="251"/>
      <c r="N288" s="251"/>
      <c r="O288" s="251"/>
      <c r="P288" s="251"/>
      <c r="Q288" s="251"/>
      <c r="R288" s="251"/>
      <c r="S288" s="251"/>
      <c r="T288" s="251"/>
      <c r="U288" s="251"/>
      <c r="V288" s="251"/>
      <c r="W288" s="251"/>
      <c r="X288" s="251"/>
      <c r="Y288" s="251"/>
      <c r="Z288" s="251"/>
      <c r="AA288" s="251"/>
      <c r="AB288" s="251"/>
      <c r="AC288" s="251"/>
      <c r="AD288" s="251"/>
      <c r="AE288" s="251"/>
      <c r="AF288" s="251"/>
      <c r="AG288" s="251"/>
      <c r="AH288" s="251"/>
      <c r="AI288" s="251"/>
      <c r="AJ288" s="251"/>
      <c r="AK288" s="251"/>
      <c r="AL288" s="251"/>
      <c r="AM288" s="251"/>
      <c r="AN288" s="251"/>
      <c r="AO288" s="251"/>
      <c r="AP288" s="251"/>
      <c r="AQ288" s="251"/>
      <c r="AR288" s="251"/>
      <c r="AS288" s="251"/>
      <c r="AT288" s="251"/>
      <c r="AU288" s="251"/>
      <c r="AV288" s="251"/>
      <c r="AW288" s="251"/>
      <c r="AX288" s="251"/>
      <c r="AY288" s="251"/>
      <c r="AZ288" s="251"/>
      <c r="BA288" s="251"/>
      <c r="BB288" s="251"/>
      <c r="BC288" s="251"/>
      <c r="BD288" s="251"/>
    </row>
    <row r="289" spans="1:54" ht="18.75" customHeight="1">
      <c r="A289" s="251"/>
      <c r="B289" s="251"/>
      <c r="C289" s="56" t="s">
        <v>570</v>
      </c>
      <c r="AL289" s="251"/>
      <c r="AM289" s="251"/>
      <c r="AN289" s="251"/>
      <c r="AO289" s="251"/>
      <c r="AP289" s="251"/>
      <c r="AQ289" s="251"/>
      <c r="AR289" s="251"/>
      <c r="AS289" s="251"/>
      <c r="AT289" s="251"/>
      <c r="AU289" s="251"/>
      <c r="AV289" s="251"/>
      <c r="AW289" s="251"/>
      <c r="AX289" s="251"/>
      <c r="AY289" s="251"/>
      <c r="AZ289" s="251"/>
      <c r="BA289" s="251"/>
      <c r="BB289" s="251"/>
    </row>
    <row r="290" spans="1:54" ht="18.75" customHeight="1">
      <c r="A290" s="251"/>
      <c r="B290" s="251"/>
      <c r="AL290" s="251"/>
      <c r="AM290" s="251"/>
      <c r="AN290" s="251"/>
      <c r="AO290" s="251"/>
      <c r="AP290" s="251"/>
      <c r="AQ290" s="251"/>
      <c r="AR290" s="251"/>
      <c r="AS290" s="251"/>
      <c r="AT290" s="251"/>
      <c r="AU290" s="251"/>
      <c r="AV290" s="251"/>
      <c r="AW290" s="251"/>
      <c r="AX290" s="251"/>
      <c r="AY290" s="251"/>
      <c r="AZ290" s="251"/>
      <c r="BA290" s="251"/>
      <c r="BB290" s="251"/>
    </row>
    <row r="291" spans="1:54" ht="18.75" customHeight="1">
      <c r="A291" s="251"/>
      <c r="B291" s="251"/>
      <c r="C291" s="251"/>
      <c r="D291" s="251"/>
      <c r="E291" s="59"/>
      <c r="F291" s="251"/>
      <c r="G291" s="251"/>
      <c r="H291" s="250" t="s">
        <v>571</v>
      </c>
      <c r="I291" s="394" t="e">
        <f ca="1">Calcu!E81</f>
        <v>#N/A</v>
      </c>
      <c r="J291" s="394"/>
      <c r="K291" s="394"/>
      <c r="L291" s="252" t="s">
        <v>176</v>
      </c>
      <c r="M291" s="495" t="e">
        <f ca="1">AH90</f>
        <v>#N/A</v>
      </c>
      <c r="N291" s="495"/>
      <c r="O291" s="495"/>
      <c r="P291" s="495"/>
      <c r="Q291" s="239" t="s">
        <v>452</v>
      </c>
      <c r="R291" s="495" t="e">
        <f ca="1">I291*M291</f>
        <v>#N/A</v>
      </c>
      <c r="S291" s="495"/>
      <c r="T291" s="495"/>
      <c r="U291" s="495"/>
      <c r="V291" s="239" t="s">
        <v>178</v>
      </c>
      <c r="W291" s="512" t="e">
        <f ca="1">R291</f>
        <v>#N/A</v>
      </c>
      <c r="X291" s="512"/>
      <c r="Y291" s="512"/>
      <c r="Z291" s="512"/>
      <c r="AL291" s="251"/>
      <c r="AM291" s="251"/>
      <c r="AN291" s="251"/>
      <c r="AO291" s="251"/>
      <c r="AP291" s="251"/>
      <c r="AQ291" s="251"/>
      <c r="AR291" s="251"/>
      <c r="AS291" s="251"/>
      <c r="AT291" s="251"/>
    </row>
  </sheetData>
  <mergeCells count="959">
    <mergeCell ref="I291:K291"/>
    <mergeCell ref="M291:P291"/>
    <mergeCell ref="R291:U291"/>
    <mergeCell ref="W291:Z291"/>
    <mergeCell ref="M277:M278"/>
    <mergeCell ref="N277:P277"/>
    <mergeCell ref="R277:R278"/>
    <mergeCell ref="S277:U277"/>
    <mergeCell ref="W277:W278"/>
    <mergeCell ref="X277:Z277"/>
    <mergeCell ref="AB277:AB278"/>
    <mergeCell ref="AC277:AE277"/>
    <mergeCell ref="N278:Q278"/>
    <mergeCell ref="S278:V278"/>
    <mergeCell ref="X278:AA278"/>
    <mergeCell ref="AC278:AF278"/>
    <mergeCell ref="F269:H269"/>
    <mergeCell ref="F271:H271"/>
    <mergeCell ref="L274:AK274"/>
    <mergeCell ref="AL274:AL275"/>
    <mergeCell ref="AM274:AR275"/>
    <mergeCell ref="M275:O275"/>
    <mergeCell ref="Q275:Q276"/>
    <mergeCell ref="R275:T275"/>
    <mergeCell ref="V275:V276"/>
    <mergeCell ref="W275:Y275"/>
    <mergeCell ref="AA275:AA276"/>
    <mergeCell ref="AB275:AD275"/>
    <mergeCell ref="AF275:AF276"/>
    <mergeCell ref="AG275:AI275"/>
    <mergeCell ref="M276:P276"/>
    <mergeCell ref="R276:U276"/>
    <mergeCell ref="W276:Z276"/>
    <mergeCell ref="AB276:AE276"/>
    <mergeCell ref="AG276:AJ276"/>
    <mergeCell ref="Y267:Z267"/>
    <mergeCell ref="AA267:AC267"/>
    <mergeCell ref="AF267:AG267"/>
    <mergeCell ref="AH267:AJ267"/>
    <mergeCell ref="AM267:AN267"/>
    <mergeCell ref="AO267:AQ267"/>
    <mergeCell ref="F268:G268"/>
    <mergeCell ref="H268:J268"/>
    <mergeCell ref="M268:N268"/>
    <mergeCell ref="O268:Q268"/>
    <mergeCell ref="T268:U268"/>
    <mergeCell ref="V268:X268"/>
    <mergeCell ref="I258:P258"/>
    <mergeCell ref="C259:H260"/>
    <mergeCell ref="N259:O260"/>
    <mergeCell ref="L261:M261"/>
    <mergeCell ref="O261:Q261"/>
    <mergeCell ref="V261:X261"/>
    <mergeCell ref="C262:G263"/>
    <mergeCell ref="F267:H267"/>
    <mergeCell ref="K267:L267"/>
    <mergeCell ref="M267:O267"/>
    <mergeCell ref="R267:S267"/>
    <mergeCell ref="T267:V267"/>
    <mergeCell ref="AJ244:AP245"/>
    <mergeCell ref="L246:N246"/>
    <mergeCell ref="S246:V246"/>
    <mergeCell ref="Y246:AA246"/>
    <mergeCell ref="C247:G248"/>
    <mergeCell ref="I254:M254"/>
    <mergeCell ref="N254:O254"/>
    <mergeCell ref="O255:Q255"/>
    <mergeCell ref="K256:M257"/>
    <mergeCell ref="N256:N257"/>
    <mergeCell ref="O256:P256"/>
    <mergeCell ref="S256:S257"/>
    <mergeCell ref="T256:V257"/>
    <mergeCell ref="W256:X257"/>
    <mergeCell ref="O257:R257"/>
    <mergeCell ref="I243:P243"/>
    <mergeCell ref="C244:H245"/>
    <mergeCell ref="S244:U245"/>
    <mergeCell ref="V244:Y245"/>
    <mergeCell ref="Z244:Z245"/>
    <mergeCell ref="AA244:AC245"/>
    <mergeCell ref="AD244:AE245"/>
    <mergeCell ref="AF244:AF245"/>
    <mergeCell ref="AG244:AI245"/>
    <mergeCell ref="L230:O230"/>
    <mergeCell ref="AA230:AC230"/>
    <mergeCell ref="C231:G232"/>
    <mergeCell ref="Z233:AA234"/>
    <mergeCell ref="I240:M240"/>
    <mergeCell ref="N240:O240"/>
    <mergeCell ref="C241:I242"/>
    <mergeCell ref="J241:L242"/>
    <mergeCell ref="M241:M242"/>
    <mergeCell ref="N241:O241"/>
    <mergeCell ref="R241:R242"/>
    <mergeCell ref="S241:U242"/>
    <mergeCell ref="V241:W242"/>
    <mergeCell ref="AI214:AO215"/>
    <mergeCell ref="L216:N216"/>
    <mergeCell ref="S216:V216"/>
    <mergeCell ref="Y216:AA216"/>
    <mergeCell ref="C217:G218"/>
    <mergeCell ref="H222:J222"/>
    <mergeCell ref="I227:P227"/>
    <mergeCell ref="C228:H229"/>
    <mergeCell ref="S228:T229"/>
    <mergeCell ref="U228:V229"/>
    <mergeCell ref="W228:Y229"/>
    <mergeCell ref="Z228:AA229"/>
    <mergeCell ref="AB228:AB229"/>
    <mergeCell ref="AC228:AF229"/>
    <mergeCell ref="AG228:AM229"/>
    <mergeCell ref="I213:P213"/>
    <mergeCell ref="C214:H215"/>
    <mergeCell ref="R214:T215"/>
    <mergeCell ref="U214:X215"/>
    <mergeCell ref="Y214:Y215"/>
    <mergeCell ref="Z214:AB215"/>
    <mergeCell ref="AC214:AD215"/>
    <mergeCell ref="AE214:AE215"/>
    <mergeCell ref="AF214:AH215"/>
    <mergeCell ref="AA200:AC200"/>
    <mergeCell ref="C201:G202"/>
    <mergeCell ref="AB203:AC204"/>
    <mergeCell ref="I210:M210"/>
    <mergeCell ref="N210:O210"/>
    <mergeCell ref="C211:I212"/>
    <mergeCell ref="J211:L212"/>
    <mergeCell ref="M211:M212"/>
    <mergeCell ref="N211:O211"/>
    <mergeCell ref="R211:R212"/>
    <mergeCell ref="S211:U212"/>
    <mergeCell ref="V211:W212"/>
    <mergeCell ref="L200:O200"/>
    <mergeCell ref="AG192:AL193"/>
    <mergeCell ref="AG195:AK196"/>
    <mergeCell ref="I197:P197"/>
    <mergeCell ref="C198:H199"/>
    <mergeCell ref="R198:S199"/>
    <mergeCell ref="T198:U199"/>
    <mergeCell ref="V198:X199"/>
    <mergeCell ref="Y198:Z199"/>
    <mergeCell ref="AA198:AA199"/>
    <mergeCell ref="AB198:AE199"/>
    <mergeCell ref="AF198:AL199"/>
    <mergeCell ref="L184:M184"/>
    <mergeCell ref="O184:Q184"/>
    <mergeCell ref="V184:X184"/>
    <mergeCell ref="H189:J189"/>
    <mergeCell ref="C190:I191"/>
    <mergeCell ref="J190:W191"/>
    <mergeCell ref="J192:Z193"/>
    <mergeCell ref="AA192:AE192"/>
    <mergeCell ref="AF192:AF193"/>
    <mergeCell ref="AA179:AA180"/>
    <mergeCell ref="AB179:AB180"/>
    <mergeCell ref="AC179:AE180"/>
    <mergeCell ref="AF179:AF180"/>
    <mergeCell ref="AG179:AI180"/>
    <mergeCell ref="AJ179:AK180"/>
    <mergeCell ref="P180:T180"/>
    <mergeCell ref="I181:P181"/>
    <mergeCell ref="C182:H183"/>
    <mergeCell ref="O182:P183"/>
    <mergeCell ref="C169:H170"/>
    <mergeCell ref="O169:P170"/>
    <mergeCell ref="L171:M171"/>
    <mergeCell ref="O171:Q171"/>
    <mergeCell ref="V171:X171"/>
    <mergeCell ref="I175:M175"/>
    <mergeCell ref="P178:T178"/>
    <mergeCell ref="V178:Z178"/>
    <mergeCell ref="K179:M180"/>
    <mergeCell ref="N179:N180"/>
    <mergeCell ref="O179:O180"/>
    <mergeCell ref="P179:R179"/>
    <mergeCell ref="U179:U180"/>
    <mergeCell ref="V179:X180"/>
    <mergeCell ref="Y179:Z180"/>
    <mergeCell ref="N175:O175"/>
    <mergeCell ref="AR149:AT149"/>
    <mergeCell ref="AX149:AY149"/>
    <mergeCell ref="K152:O152"/>
    <mergeCell ref="Q152:U152"/>
    <mergeCell ref="W152:AA152"/>
    <mergeCell ref="AC152:AG152"/>
    <mergeCell ref="AI152:AM152"/>
    <mergeCell ref="AG154:AJ155"/>
    <mergeCell ref="AK154:AL155"/>
    <mergeCell ref="AN149:AP149"/>
    <mergeCell ref="AD140:AG140"/>
    <mergeCell ref="AJ140:AL140"/>
    <mergeCell ref="I141:P141"/>
    <mergeCell ref="C142:H143"/>
    <mergeCell ref="N142:O143"/>
    <mergeCell ref="L144:M144"/>
    <mergeCell ref="O144:Q144"/>
    <mergeCell ref="V144:X144"/>
    <mergeCell ref="I148:M148"/>
    <mergeCell ref="N148:O148"/>
    <mergeCell ref="AB128:AC129"/>
    <mergeCell ref="O129:R129"/>
    <mergeCell ref="T129:W129"/>
    <mergeCell ref="I130:P130"/>
    <mergeCell ref="C131:H132"/>
    <mergeCell ref="N131:O132"/>
    <mergeCell ref="L133:M133"/>
    <mergeCell ref="O133:Q133"/>
    <mergeCell ref="V133:X133"/>
    <mergeCell ref="Y120:Z120"/>
    <mergeCell ref="I126:M126"/>
    <mergeCell ref="N126:O126"/>
    <mergeCell ref="P127:R127"/>
    <mergeCell ref="K128:M129"/>
    <mergeCell ref="N128:N129"/>
    <mergeCell ref="O128:R128"/>
    <mergeCell ref="S128:S129"/>
    <mergeCell ref="T128:U128"/>
    <mergeCell ref="X128:X129"/>
    <mergeCell ref="Y128:AA129"/>
    <mergeCell ref="AN112:AP112"/>
    <mergeCell ref="AR112:AT112"/>
    <mergeCell ref="AX112:AY112"/>
    <mergeCell ref="K114:M115"/>
    <mergeCell ref="N114:N115"/>
    <mergeCell ref="O114:P114"/>
    <mergeCell ref="Q114:Q115"/>
    <mergeCell ref="R114:T114"/>
    <mergeCell ref="V114:X114"/>
    <mergeCell ref="AD114:AD115"/>
    <mergeCell ref="AE114:AG114"/>
    <mergeCell ref="AI114:AK114"/>
    <mergeCell ref="AM114:AN114"/>
    <mergeCell ref="O115:P115"/>
    <mergeCell ref="R115:AC115"/>
    <mergeCell ref="AE115:AR115"/>
    <mergeCell ref="I103:P103"/>
    <mergeCell ref="C104:H105"/>
    <mergeCell ref="N104:O105"/>
    <mergeCell ref="L106:M106"/>
    <mergeCell ref="O106:Q106"/>
    <mergeCell ref="R106:S106"/>
    <mergeCell ref="V106:X106"/>
    <mergeCell ref="Y106:Z106"/>
    <mergeCell ref="I111:M111"/>
    <mergeCell ref="N111:O111"/>
    <mergeCell ref="V98:V99"/>
    <mergeCell ref="W98:Y99"/>
    <mergeCell ref="Z98:AA99"/>
    <mergeCell ref="N99:O99"/>
    <mergeCell ref="Q99:U99"/>
    <mergeCell ref="J101:L102"/>
    <mergeCell ref="M101:M102"/>
    <mergeCell ref="N101:O101"/>
    <mergeCell ref="P101:P102"/>
    <mergeCell ref="Q101:S101"/>
    <mergeCell ref="T101:U101"/>
    <mergeCell ref="V101:V102"/>
    <mergeCell ref="W101:Y102"/>
    <mergeCell ref="Z101:AA102"/>
    <mergeCell ref="N102:O102"/>
    <mergeCell ref="Q102:U102"/>
    <mergeCell ref="I96:M96"/>
    <mergeCell ref="Q97:S97"/>
    <mergeCell ref="T97:U97"/>
    <mergeCell ref="J98:L99"/>
    <mergeCell ref="M98:M99"/>
    <mergeCell ref="N98:O98"/>
    <mergeCell ref="P98:P99"/>
    <mergeCell ref="Q98:S98"/>
    <mergeCell ref="T98:U98"/>
    <mergeCell ref="AM89:AO89"/>
    <mergeCell ref="AP89:AS89"/>
    <mergeCell ref="B90:C90"/>
    <mergeCell ref="D90:G90"/>
    <mergeCell ref="H90:L90"/>
    <mergeCell ref="M90:N90"/>
    <mergeCell ref="O90:U90"/>
    <mergeCell ref="V90:Z90"/>
    <mergeCell ref="AA90:AG90"/>
    <mergeCell ref="AH90:AL90"/>
    <mergeCell ref="AM90:AO90"/>
    <mergeCell ref="AP90:AS90"/>
    <mergeCell ref="B89:C89"/>
    <mergeCell ref="D89:G89"/>
    <mergeCell ref="H89:L89"/>
    <mergeCell ref="M89:N89"/>
    <mergeCell ref="O89:R89"/>
    <mergeCell ref="S89:U89"/>
    <mergeCell ref="V89:Z89"/>
    <mergeCell ref="AA89:AG89"/>
    <mergeCell ref="AH89:AL89"/>
    <mergeCell ref="O87:R87"/>
    <mergeCell ref="S87:U87"/>
    <mergeCell ref="V87:Z87"/>
    <mergeCell ref="AA87:AD87"/>
    <mergeCell ref="AE87:AG87"/>
    <mergeCell ref="AH87:AL87"/>
    <mergeCell ref="AM87:AO87"/>
    <mergeCell ref="AP87:AS87"/>
    <mergeCell ref="B88:C88"/>
    <mergeCell ref="D88:G88"/>
    <mergeCell ref="H88:L88"/>
    <mergeCell ref="M88:N88"/>
    <mergeCell ref="O88:R88"/>
    <mergeCell ref="S88:U88"/>
    <mergeCell ref="V88:Z88"/>
    <mergeCell ref="AA88:AD88"/>
    <mergeCell ref="AE88:AG88"/>
    <mergeCell ref="AH88:AL88"/>
    <mergeCell ref="AM88:AO88"/>
    <mergeCell ref="AP88:AS88"/>
    <mergeCell ref="AP51:AT51"/>
    <mergeCell ref="AU51:AY51"/>
    <mergeCell ref="AZ51:BD51"/>
    <mergeCell ref="AA80:AG80"/>
    <mergeCell ref="AA81:AG81"/>
    <mergeCell ref="AA82:AG82"/>
    <mergeCell ref="AH82:AO82"/>
    <mergeCell ref="AA83:AG83"/>
    <mergeCell ref="AH83:AO83"/>
    <mergeCell ref="AP82:AS82"/>
    <mergeCell ref="AP48:AT48"/>
    <mergeCell ref="AU48:AY48"/>
    <mergeCell ref="AZ48:BD48"/>
    <mergeCell ref="AP49:AT49"/>
    <mergeCell ref="AU49:AY49"/>
    <mergeCell ref="AZ49:BD49"/>
    <mergeCell ref="AP50:AT50"/>
    <mergeCell ref="AU50:AY50"/>
    <mergeCell ref="AZ50:BD50"/>
    <mergeCell ref="AP45:AT45"/>
    <mergeCell ref="AU45:AY45"/>
    <mergeCell ref="AZ45:BD45"/>
    <mergeCell ref="AP46:AT46"/>
    <mergeCell ref="AU46:AY46"/>
    <mergeCell ref="AZ46:BD46"/>
    <mergeCell ref="AP47:AT47"/>
    <mergeCell ref="AU47:AY47"/>
    <mergeCell ref="AZ47:BD47"/>
    <mergeCell ref="AP42:AT42"/>
    <mergeCell ref="AU42:AY42"/>
    <mergeCell ref="AZ42:BD42"/>
    <mergeCell ref="AP43:AT43"/>
    <mergeCell ref="AU43:AY43"/>
    <mergeCell ref="AZ43:BD43"/>
    <mergeCell ref="AP44:AT44"/>
    <mergeCell ref="AU44:AY44"/>
    <mergeCell ref="AZ44:BD44"/>
    <mergeCell ref="AP39:AT39"/>
    <mergeCell ref="AU39:AY39"/>
    <mergeCell ref="AZ39:BD39"/>
    <mergeCell ref="AP40:AT40"/>
    <mergeCell ref="AU40:AY40"/>
    <mergeCell ref="AZ40:BD40"/>
    <mergeCell ref="AP41:AT41"/>
    <mergeCell ref="AU41:AY41"/>
    <mergeCell ref="AZ41:BD41"/>
    <mergeCell ref="AP36:AT36"/>
    <mergeCell ref="AU36:AY36"/>
    <mergeCell ref="AZ36:BD36"/>
    <mergeCell ref="AP37:AT37"/>
    <mergeCell ref="AU37:AY37"/>
    <mergeCell ref="AZ37:BD37"/>
    <mergeCell ref="AP38:AT38"/>
    <mergeCell ref="AU38:AY38"/>
    <mergeCell ref="AZ38:BD38"/>
    <mergeCell ref="AP33:AT33"/>
    <mergeCell ref="AU33:AY33"/>
    <mergeCell ref="AZ33:BD33"/>
    <mergeCell ref="AP34:AT34"/>
    <mergeCell ref="AU34:AY34"/>
    <mergeCell ref="AZ34:BD34"/>
    <mergeCell ref="AP35:AT35"/>
    <mergeCell ref="AU35:AY35"/>
    <mergeCell ref="AZ35:BD35"/>
    <mergeCell ref="AP30:AT30"/>
    <mergeCell ref="AU30:AY30"/>
    <mergeCell ref="AZ30:BD30"/>
    <mergeCell ref="AP31:AT31"/>
    <mergeCell ref="AU31:AY31"/>
    <mergeCell ref="AZ31:BD31"/>
    <mergeCell ref="AP32:AT32"/>
    <mergeCell ref="AU32:AY32"/>
    <mergeCell ref="AZ32:BD32"/>
    <mergeCell ref="AP27:AT27"/>
    <mergeCell ref="AU27:AY27"/>
    <mergeCell ref="AZ27:BD27"/>
    <mergeCell ref="AP28:AT28"/>
    <mergeCell ref="AU28:AY28"/>
    <mergeCell ref="AZ28:BD28"/>
    <mergeCell ref="AP29:AT29"/>
    <mergeCell ref="AU29:AY29"/>
    <mergeCell ref="AZ29:BD29"/>
    <mergeCell ref="AP24:AT24"/>
    <mergeCell ref="AU24:AY24"/>
    <mergeCell ref="AZ24:BD24"/>
    <mergeCell ref="AP25:AT25"/>
    <mergeCell ref="AU25:AY25"/>
    <mergeCell ref="AZ25:BD25"/>
    <mergeCell ref="AP26:AT26"/>
    <mergeCell ref="AU26:AY26"/>
    <mergeCell ref="AZ26:BD26"/>
    <mergeCell ref="AP21:AT21"/>
    <mergeCell ref="AU21:AY21"/>
    <mergeCell ref="AZ21:BD21"/>
    <mergeCell ref="AP22:AT22"/>
    <mergeCell ref="AU22:AY22"/>
    <mergeCell ref="AZ22:BD22"/>
    <mergeCell ref="AP23:AT23"/>
    <mergeCell ref="AU23:AY23"/>
    <mergeCell ref="AZ23:BD23"/>
    <mergeCell ref="AP18:AT18"/>
    <mergeCell ref="AU18:AY18"/>
    <mergeCell ref="AZ18:BD18"/>
    <mergeCell ref="AP19:AT19"/>
    <mergeCell ref="AU19:AY19"/>
    <mergeCell ref="AZ19:BD19"/>
    <mergeCell ref="AP20:AT20"/>
    <mergeCell ref="AU20:AY20"/>
    <mergeCell ref="AZ20:BD20"/>
    <mergeCell ref="AP15:AT15"/>
    <mergeCell ref="AU15:AY15"/>
    <mergeCell ref="AZ15:BD15"/>
    <mergeCell ref="AP16:AT16"/>
    <mergeCell ref="AU16:AY16"/>
    <mergeCell ref="AZ16:BD16"/>
    <mergeCell ref="AP17:AT17"/>
    <mergeCell ref="AU17:AY17"/>
    <mergeCell ref="AZ17:BD17"/>
    <mergeCell ref="AP12:AT12"/>
    <mergeCell ref="AU12:AY12"/>
    <mergeCell ref="AZ12:BD12"/>
    <mergeCell ref="AP13:AT13"/>
    <mergeCell ref="AU13:AY13"/>
    <mergeCell ref="AZ13:BD13"/>
    <mergeCell ref="AP14:AT14"/>
    <mergeCell ref="AU14:AY14"/>
    <mergeCell ref="AZ14:BD14"/>
    <mergeCell ref="AP8:AT9"/>
    <mergeCell ref="AU8:AY9"/>
    <mergeCell ref="AZ8:BD9"/>
    <mergeCell ref="AP10:AT10"/>
    <mergeCell ref="AU10:AY10"/>
    <mergeCell ref="AZ10:BD10"/>
    <mergeCell ref="AP11:AT11"/>
    <mergeCell ref="AU11:AY11"/>
    <mergeCell ref="AZ11:BD11"/>
    <mergeCell ref="B25:F25"/>
    <mergeCell ref="G25:K25"/>
    <mergeCell ref="L25:P25"/>
    <mergeCell ref="G29:K29"/>
    <mergeCell ref="L29:P29"/>
    <mergeCell ref="B84:C84"/>
    <mergeCell ref="B85:C85"/>
    <mergeCell ref="N96:O96"/>
    <mergeCell ref="B86:C86"/>
    <mergeCell ref="D86:G86"/>
    <mergeCell ref="H86:L86"/>
    <mergeCell ref="B35:F35"/>
    <mergeCell ref="G35:K35"/>
    <mergeCell ref="L35:P35"/>
    <mergeCell ref="B75:C77"/>
    <mergeCell ref="D75:G75"/>
    <mergeCell ref="H75:N75"/>
    <mergeCell ref="O75:U75"/>
    <mergeCell ref="D76:G76"/>
    <mergeCell ref="B87:C87"/>
    <mergeCell ref="D87:G87"/>
    <mergeCell ref="H87:L87"/>
    <mergeCell ref="M87:N87"/>
    <mergeCell ref="B26:F26"/>
    <mergeCell ref="G26:K26"/>
    <mergeCell ref="B78:C78"/>
    <mergeCell ref="B82:C82"/>
    <mergeCell ref="H79:L79"/>
    <mergeCell ref="D78:G78"/>
    <mergeCell ref="H78:L78"/>
    <mergeCell ref="B30:F30"/>
    <mergeCell ref="G30:K30"/>
    <mergeCell ref="L30:P30"/>
    <mergeCell ref="B28:F28"/>
    <mergeCell ref="G28:K28"/>
    <mergeCell ref="L28:P28"/>
    <mergeCell ref="C59:E59"/>
    <mergeCell ref="B31:F31"/>
    <mergeCell ref="G31:K31"/>
    <mergeCell ref="L31:P31"/>
    <mergeCell ref="H80:L80"/>
    <mergeCell ref="M80:N80"/>
    <mergeCell ref="B81:C81"/>
    <mergeCell ref="B79:C79"/>
    <mergeCell ref="B29:F29"/>
    <mergeCell ref="B39:F39"/>
    <mergeCell ref="C56:E56"/>
    <mergeCell ref="G32:K32"/>
    <mergeCell ref="N4:S4"/>
    <mergeCell ref="T4:Y4"/>
    <mergeCell ref="N5:S5"/>
    <mergeCell ref="T5:Y5"/>
    <mergeCell ref="L26:P26"/>
    <mergeCell ref="Q26:U26"/>
    <mergeCell ref="B27:F27"/>
    <mergeCell ref="G27:K27"/>
    <mergeCell ref="L27:P27"/>
    <mergeCell ref="Q27:U27"/>
    <mergeCell ref="B4:G4"/>
    <mergeCell ref="H4:M4"/>
    <mergeCell ref="B5:G5"/>
    <mergeCell ref="H5:M5"/>
    <mergeCell ref="B14:F14"/>
    <mergeCell ref="G14:K14"/>
    <mergeCell ref="L14:P14"/>
    <mergeCell ref="Q14:U14"/>
    <mergeCell ref="V14:Z14"/>
    <mergeCell ref="G10:K10"/>
    <mergeCell ref="L10:P10"/>
    <mergeCell ref="Q10:U10"/>
    <mergeCell ref="V10:Z10"/>
    <mergeCell ref="B8:F9"/>
    <mergeCell ref="S84:U84"/>
    <mergeCell ref="V84:Z84"/>
    <mergeCell ref="AA84:AG84"/>
    <mergeCell ref="V51:Z51"/>
    <mergeCell ref="V30:Z30"/>
    <mergeCell ref="Q30:U30"/>
    <mergeCell ref="V34:Z34"/>
    <mergeCell ref="G37:K37"/>
    <mergeCell ref="L37:P37"/>
    <mergeCell ref="Q37:U37"/>
    <mergeCell ref="V37:Z37"/>
    <mergeCell ref="D79:G79"/>
    <mergeCell ref="V78:Z78"/>
    <mergeCell ref="S79:U79"/>
    <mergeCell ref="C58:E58"/>
    <mergeCell ref="C57:E57"/>
    <mergeCell ref="M84:N84"/>
    <mergeCell ref="O84:R84"/>
    <mergeCell ref="M81:N81"/>
    <mergeCell ref="O81:R81"/>
    <mergeCell ref="M79:N79"/>
    <mergeCell ref="O79:R79"/>
    <mergeCell ref="M78:N78"/>
    <mergeCell ref="O78:R78"/>
    <mergeCell ref="Q29:U29"/>
    <mergeCell ref="B51:F51"/>
    <mergeCell ref="G8:AE8"/>
    <mergeCell ref="AA13:AE13"/>
    <mergeCell ref="V9:Z9"/>
    <mergeCell ref="AA9:AE9"/>
    <mergeCell ref="B10:F10"/>
    <mergeCell ref="AA14:AE14"/>
    <mergeCell ref="B13:F13"/>
    <mergeCell ref="G13:K13"/>
    <mergeCell ref="L13:P13"/>
    <mergeCell ref="Q13:U13"/>
    <mergeCell ref="G9:K9"/>
    <mergeCell ref="L9:P9"/>
    <mergeCell ref="Q9:U9"/>
    <mergeCell ref="B12:F12"/>
    <mergeCell ref="G12:K12"/>
    <mergeCell ref="L12:P12"/>
    <mergeCell ref="Q12:U12"/>
    <mergeCell ref="B11:F11"/>
    <mergeCell ref="G11:K11"/>
    <mergeCell ref="L11:P11"/>
    <mergeCell ref="Q11:U11"/>
    <mergeCell ref="AA11:AE11"/>
    <mergeCell ref="AA10:AE10"/>
    <mergeCell ref="AP79:AS79"/>
    <mergeCell ref="AH78:AL78"/>
    <mergeCell ref="AM78:AO78"/>
    <mergeCell ref="AP78:AS78"/>
    <mergeCell ref="AM80:AO80"/>
    <mergeCell ref="AP80:AS80"/>
    <mergeCell ref="V76:Z76"/>
    <mergeCell ref="AH80:AL80"/>
    <mergeCell ref="AA27:AE27"/>
    <mergeCell ref="AA12:AE12"/>
    <mergeCell ref="V11:Z11"/>
    <mergeCell ref="V27:Z27"/>
    <mergeCell ref="AF27:AJ27"/>
    <mergeCell ref="AK27:AO27"/>
    <mergeCell ref="AF31:AJ31"/>
    <mergeCell ref="AK31:AO31"/>
    <mergeCell ref="AA51:AE51"/>
    <mergeCell ref="AF37:AJ37"/>
    <mergeCell ref="AK37:AO37"/>
    <mergeCell ref="AF35:AJ35"/>
    <mergeCell ref="AK35:AO35"/>
    <mergeCell ref="AF38:AJ38"/>
    <mergeCell ref="AK38:AO38"/>
    <mergeCell ref="V86:Z86"/>
    <mergeCell ref="AH86:AL86"/>
    <mergeCell ref="AH84:AO84"/>
    <mergeCell ref="AA86:AD86"/>
    <mergeCell ref="AE86:AG86"/>
    <mergeCell ref="AP76:AS76"/>
    <mergeCell ref="AP77:AS77"/>
    <mergeCell ref="AP75:AS75"/>
    <mergeCell ref="V75:Z75"/>
    <mergeCell ref="AA75:AG75"/>
    <mergeCell ref="AH75:AO75"/>
    <mergeCell ref="AH76:AO76"/>
    <mergeCell ref="V77:Z77"/>
    <mergeCell ref="AA77:AG77"/>
    <mergeCell ref="AH77:AO77"/>
    <mergeCell ref="AA85:AD85"/>
    <mergeCell ref="AE85:AG85"/>
    <mergeCell ref="AM79:AO79"/>
    <mergeCell ref="AP81:AS81"/>
    <mergeCell ref="AH81:AL81"/>
    <mergeCell ref="AM81:AO81"/>
    <mergeCell ref="O86:R86"/>
    <mergeCell ref="S86:U86"/>
    <mergeCell ref="AP84:AS84"/>
    <mergeCell ref="S83:U83"/>
    <mergeCell ref="V83:Z83"/>
    <mergeCell ref="D84:G84"/>
    <mergeCell ref="H84:L84"/>
    <mergeCell ref="AP85:AS85"/>
    <mergeCell ref="D85:G85"/>
    <mergeCell ref="H85:L85"/>
    <mergeCell ref="O85:R85"/>
    <mergeCell ref="S85:U85"/>
    <mergeCell ref="V85:Z85"/>
    <mergeCell ref="AH85:AL85"/>
    <mergeCell ref="AM85:AO85"/>
    <mergeCell ref="M85:N85"/>
    <mergeCell ref="AM86:AO86"/>
    <mergeCell ref="AP86:AS86"/>
    <mergeCell ref="M86:N86"/>
    <mergeCell ref="AP83:AS83"/>
    <mergeCell ref="D83:G83"/>
    <mergeCell ref="H83:L83"/>
    <mergeCell ref="M83:N83"/>
    <mergeCell ref="O83:R83"/>
    <mergeCell ref="Q25:U25"/>
    <mergeCell ref="V25:Z25"/>
    <mergeCell ref="AF51:AJ51"/>
    <mergeCell ref="AA30:AE30"/>
    <mergeCell ref="AF30:AJ30"/>
    <mergeCell ref="AK30:AO30"/>
    <mergeCell ref="AA29:AE29"/>
    <mergeCell ref="AF29:AJ29"/>
    <mergeCell ref="AK29:AO29"/>
    <mergeCell ref="AF28:AJ28"/>
    <mergeCell ref="AK28:AO28"/>
    <mergeCell ref="V26:Z26"/>
    <mergeCell ref="AA25:AE25"/>
    <mergeCell ref="AF25:AJ25"/>
    <mergeCell ref="V28:Z28"/>
    <mergeCell ref="AA28:AE28"/>
    <mergeCell ref="Q51:U51"/>
    <mergeCell ref="Q28:U28"/>
    <mergeCell ref="AK51:AO51"/>
    <mergeCell ref="AK25:AO25"/>
    <mergeCell ref="V29:Z29"/>
    <mergeCell ref="AA26:AE26"/>
    <mergeCell ref="AF26:AJ26"/>
    <mergeCell ref="AK26:AO26"/>
    <mergeCell ref="S78:U78"/>
    <mergeCell ref="AA76:AG76"/>
    <mergeCell ref="AA78:AG78"/>
    <mergeCell ref="L51:P51"/>
    <mergeCell ref="V79:Z79"/>
    <mergeCell ref="AA79:AG79"/>
    <mergeCell ref="AH79:AL79"/>
    <mergeCell ref="AF8:AJ9"/>
    <mergeCell ref="AK8:AO9"/>
    <mergeCell ref="AF12:AJ12"/>
    <mergeCell ref="AK12:AO12"/>
    <mergeCell ref="AK10:AO10"/>
    <mergeCell ref="AF11:AJ11"/>
    <mergeCell ref="AK11:AO11"/>
    <mergeCell ref="AF10:AJ10"/>
    <mergeCell ref="AF13:AJ13"/>
    <mergeCell ref="AK13:AO13"/>
    <mergeCell ref="AK16:AO16"/>
    <mergeCell ref="AA19:AE19"/>
    <mergeCell ref="AF19:AJ19"/>
    <mergeCell ref="AK19:AO19"/>
    <mergeCell ref="AK22:AO22"/>
    <mergeCell ref="AK23:AO23"/>
    <mergeCell ref="V12:Z12"/>
    <mergeCell ref="B16:F16"/>
    <mergeCell ref="G16:K16"/>
    <mergeCell ref="L16:P16"/>
    <mergeCell ref="Q16:U16"/>
    <mergeCell ref="V13:Z13"/>
    <mergeCell ref="AA17:AE17"/>
    <mergeCell ref="AF17:AJ17"/>
    <mergeCell ref="AK17:AO17"/>
    <mergeCell ref="V16:Z16"/>
    <mergeCell ref="AA16:AE16"/>
    <mergeCell ref="AF16:AJ16"/>
    <mergeCell ref="B15:F15"/>
    <mergeCell ref="G15:K15"/>
    <mergeCell ref="L15:P15"/>
    <mergeCell ref="AF14:AJ14"/>
    <mergeCell ref="AK14:AO14"/>
    <mergeCell ref="Q15:U15"/>
    <mergeCell ref="V15:Z15"/>
    <mergeCell ref="AA15:AE15"/>
    <mergeCell ref="AF15:AJ15"/>
    <mergeCell ref="AK15:AO15"/>
    <mergeCell ref="B18:F18"/>
    <mergeCell ref="G18:K18"/>
    <mergeCell ref="L18:P18"/>
    <mergeCell ref="Q18:U18"/>
    <mergeCell ref="V18:Z18"/>
    <mergeCell ref="AA18:AE18"/>
    <mergeCell ref="AF18:AJ18"/>
    <mergeCell ref="AK18:AO18"/>
    <mergeCell ref="B17:F17"/>
    <mergeCell ref="G17:K17"/>
    <mergeCell ref="L17:P17"/>
    <mergeCell ref="Q17:U17"/>
    <mergeCell ref="V17:Z17"/>
    <mergeCell ref="B20:F20"/>
    <mergeCell ref="G20:K20"/>
    <mergeCell ref="L20:P20"/>
    <mergeCell ref="Q20:U20"/>
    <mergeCell ref="V20:Z20"/>
    <mergeCell ref="AA20:AE20"/>
    <mergeCell ref="AF20:AJ20"/>
    <mergeCell ref="AK20:AO20"/>
    <mergeCell ref="B19:F19"/>
    <mergeCell ref="G19:K19"/>
    <mergeCell ref="L19:P19"/>
    <mergeCell ref="Q19:U19"/>
    <mergeCell ref="V19:Z19"/>
    <mergeCell ref="B21:F21"/>
    <mergeCell ref="G21:K21"/>
    <mergeCell ref="L21:P21"/>
    <mergeCell ref="Q21:U21"/>
    <mergeCell ref="V21:Z21"/>
    <mergeCell ref="AA21:AE21"/>
    <mergeCell ref="AF21:AJ21"/>
    <mergeCell ref="AK21:AO21"/>
    <mergeCell ref="B22:F22"/>
    <mergeCell ref="G22:K22"/>
    <mergeCell ref="L22:P22"/>
    <mergeCell ref="Q22:U22"/>
    <mergeCell ref="V22:Z22"/>
    <mergeCell ref="AA22:AE22"/>
    <mergeCell ref="AF22:AJ22"/>
    <mergeCell ref="B24:F24"/>
    <mergeCell ref="G24:K24"/>
    <mergeCell ref="L24:P24"/>
    <mergeCell ref="Q24:U24"/>
    <mergeCell ref="V24:Z24"/>
    <mergeCell ref="AA24:AE24"/>
    <mergeCell ref="AF24:AJ24"/>
    <mergeCell ref="AK24:AO24"/>
    <mergeCell ref="B23:F23"/>
    <mergeCell ref="G23:K23"/>
    <mergeCell ref="L23:P23"/>
    <mergeCell ref="Q23:U23"/>
    <mergeCell ref="V23:Z23"/>
    <mergeCell ref="AA23:AE23"/>
    <mergeCell ref="AF23:AJ23"/>
    <mergeCell ref="AF32:AJ32"/>
    <mergeCell ref="AK32:AO32"/>
    <mergeCell ref="AF33:AJ33"/>
    <mergeCell ref="AK33:AO33"/>
    <mergeCell ref="B34:F34"/>
    <mergeCell ref="G34:K34"/>
    <mergeCell ref="L34:P34"/>
    <mergeCell ref="Q34:U34"/>
    <mergeCell ref="AF34:AJ34"/>
    <mergeCell ref="AK34:AO34"/>
    <mergeCell ref="Q31:U31"/>
    <mergeCell ref="V31:Z31"/>
    <mergeCell ref="AA31:AE31"/>
    <mergeCell ref="B33:F33"/>
    <mergeCell ref="G33:K33"/>
    <mergeCell ref="L33:P33"/>
    <mergeCell ref="Q33:U33"/>
    <mergeCell ref="V33:Z33"/>
    <mergeCell ref="AA33:AE33"/>
    <mergeCell ref="L32:P32"/>
    <mergeCell ref="Q32:U32"/>
    <mergeCell ref="V32:Z32"/>
    <mergeCell ref="AA32:AE32"/>
    <mergeCell ref="B37:F37"/>
    <mergeCell ref="B32:F32"/>
    <mergeCell ref="AA34:AE34"/>
    <mergeCell ref="AA37:AE37"/>
    <mergeCell ref="G39:K39"/>
    <mergeCell ref="C66:E66"/>
    <mergeCell ref="B36:F36"/>
    <mergeCell ref="B38:F38"/>
    <mergeCell ref="B41:F41"/>
    <mergeCell ref="G41:K41"/>
    <mergeCell ref="L41:P41"/>
    <mergeCell ref="Q41:U41"/>
    <mergeCell ref="V41:Z41"/>
    <mergeCell ref="AA41:AE41"/>
    <mergeCell ref="B43:F43"/>
    <mergeCell ref="G43:K43"/>
    <mergeCell ref="L43:P43"/>
    <mergeCell ref="Q43:U43"/>
    <mergeCell ref="V43:Z43"/>
    <mergeCell ref="AA43:AE43"/>
    <mergeCell ref="B45:F45"/>
    <mergeCell ref="G51:K51"/>
    <mergeCell ref="G38:K38"/>
    <mergeCell ref="L38:P38"/>
    <mergeCell ref="O76:U76"/>
    <mergeCell ref="C60:E60"/>
    <mergeCell ref="C61:E61"/>
    <mergeCell ref="C62:E62"/>
    <mergeCell ref="C63:E63"/>
    <mergeCell ref="C64:E64"/>
    <mergeCell ref="C65:E65"/>
    <mergeCell ref="D77:G77"/>
    <mergeCell ref="H77:N77"/>
    <mergeCell ref="O77:U77"/>
    <mergeCell ref="O80:R80"/>
    <mergeCell ref="S80:U80"/>
    <mergeCell ref="V80:Z80"/>
    <mergeCell ref="D82:G82"/>
    <mergeCell ref="H82:L82"/>
    <mergeCell ref="M82:N82"/>
    <mergeCell ref="O82:R82"/>
    <mergeCell ref="S82:U82"/>
    <mergeCell ref="V82:Z82"/>
    <mergeCell ref="D81:G81"/>
    <mergeCell ref="H81:L81"/>
    <mergeCell ref="V81:Z81"/>
    <mergeCell ref="S81:U81"/>
    <mergeCell ref="Q38:U38"/>
    <mergeCell ref="V38:Z38"/>
    <mergeCell ref="AA38:AE38"/>
    <mergeCell ref="C134:G135"/>
    <mergeCell ref="I138:M138"/>
    <mergeCell ref="N138:O138"/>
    <mergeCell ref="O116:Q116"/>
    <mergeCell ref="U116:W116"/>
    <mergeCell ref="I117:P117"/>
    <mergeCell ref="C118:H119"/>
    <mergeCell ref="N118:O119"/>
    <mergeCell ref="L120:M120"/>
    <mergeCell ref="O120:Q120"/>
    <mergeCell ref="R120:S120"/>
    <mergeCell ref="V120:X120"/>
    <mergeCell ref="B80:C80"/>
    <mergeCell ref="D80:G80"/>
    <mergeCell ref="B83:C83"/>
    <mergeCell ref="H76:N76"/>
    <mergeCell ref="L39:P39"/>
    <mergeCell ref="Q39:U39"/>
    <mergeCell ref="V39:Z39"/>
    <mergeCell ref="AA39:AE39"/>
    <mergeCell ref="G45:K45"/>
    <mergeCell ref="G36:K36"/>
    <mergeCell ref="L36:P36"/>
    <mergeCell ref="Q36:U36"/>
    <mergeCell ref="V36:Z36"/>
    <mergeCell ref="AA36:AE36"/>
    <mergeCell ref="AF36:AJ36"/>
    <mergeCell ref="AK36:AO36"/>
    <mergeCell ref="Q35:U35"/>
    <mergeCell ref="V35:Z35"/>
    <mergeCell ref="AA35:AE35"/>
    <mergeCell ref="AF39:AJ39"/>
    <mergeCell ref="AK39:AO39"/>
    <mergeCell ref="B40:F40"/>
    <mergeCell ref="G40:K40"/>
    <mergeCell ref="L40:P40"/>
    <mergeCell ref="Q40:U40"/>
    <mergeCell ref="V40:Z40"/>
    <mergeCell ref="AA40:AE40"/>
    <mergeCell ref="AF40:AJ40"/>
    <mergeCell ref="AK40:AO40"/>
    <mergeCell ref="AF41:AJ41"/>
    <mergeCell ref="AK41:AO41"/>
    <mergeCell ref="B42:F42"/>
    <mergeCell ref="G42:K42"/>
    <mergeCell ref="L42:P42"/>
    <mergeCell ref="Q42:U42"/>
    <mergeCell ref="V42:Z42"/>
    <mergeCell ref="AA42:AE42"/>
    <mergeCell ref="AF42:AJ42"/>
    <mergeCell ref="AK42:AO42"/>
    <mergeCell ref="AF43:AJ43"/>
    <mergeCell ref="AK43:AO43"/>
    <mergeCell ref="B44:F44"/>
    <mergeCell ref="G44:K44"/>
    <mergeCell ref="L44:P44"/>
    <mergeCell ref="Q44:U44"/>
    <mergeCell ref="V44:Z44"/>
    <mergeCell ref="AA44:AE44"/>
    <mergeCell ref="AF44:AJ44"/>
    <mergeCell ref="AK44:AO44"/>
    <mergeCell ref="L45:P45"/>
    <mergeCell ref="Q45:U45"/>
    <mergeCell ref="V45:Z45"/>
    <mergeCell ref="AA45:AE45"/>
    <mergeCell ref="AF45:AJ45"/>
    <mergeCell ref="AK45:AO45"/>
    <mergeCell ref="B46:F46"/>
    <mergeCell ref="G46:K46"/>
    <mergeCell ref="L46:P46"/>
    <mergeCell ref="Q46:U46"/>
    <mergeCell ref="V46:Z46"/>
    <mergeCell ref="AA46:AE46"/>
    <mergeCell ref="AF46:AJ46"/>
    <mergeCell ref="AK46:AO46"/>
    <mergeCell ref="B47:F47"/>
    <mergeCell ref="G47:K47"/>
    <mergeCell ref="L47:P47"/>
    <mergeCell ref="Q47:U47"/>
    <mergeCell ref="V47:Z47"/>
    <mergeCell ref="AA47:AE47"/>
    <mergeCell ref="AF47:AJ47"/>
    <mergeCell ref="AK47:AO47"/>
    <mergeCell ref="B48:F48"/>
    <mergeCell ref="G48:K48"/>
    <mergeCell ref="L48:P48"/>
    <mergeCell ref="Q48:U48"/>
    <mergeCell ref="V48:Z48"/>
    <mergeCell ref="AA48:AE48"/>
    <mergeCell ref="AF48:AJ48"/>
    <mergeCell ref="AK48:AO48"/>
    <mergeCell ref="AF49:AJ49"/>
    <mergeCell ref="AK49:AO49"/>
    <mergeCell ref="B50:F50"/>
    <mergeCell ref="G50:K50"/>
    <mergeCell ref="L50:P50"/>
    <mergeCell ref="Q50:U50"/>
    <mergeCell ref="V50:Z50"/>
    <mergeCell ref="AA50:AE50"/>
    <mergeCell ref="AF50:AJ50"/>
    <mergeCell ref="AK50:AO50"/>
    <mergeCell ref="X166:X167"/>
    <mergeCell ref="Y166:AA167"/>
    <mergeCell ref="AB166:AC167"/>
    <mergeCell ref="I168:P168"/>
    <mergeCell ref="B49:F49"/>
    <mergeCell ref="G49:K49"/>
    <mergeCell ref="L49:P49"/>
    <mergeCell ref="Q49:U49"/>
    <mergeCell ref="V49:Z49"/>
    <mergeCell ref="AA49:AE49"/>
    <mergeCell ref="I163:M163"/>
    <mergeCell ref="N163:O163"/>
    <mergeCell ref="K166:M167"/>
    <mergeCell ref="N166:N167"/>
    <mergeCell ref="O166:Q166"/>
    <mergeCell ref="T166:T167"/>
    <mergeCell ref="U166:W167"/>
    <mergeCell ref="X140:AA140"/>
    <mergeCell ref="I156:P156"/>
    <mergeCell ref="C157:H158"/>
    <mergeCell ref="O157:P158"/>
    <mergeCell ref="L159:M159"/>
    <mergeCell ref="O159:Q159"/>
    <mergeCell ref="V159:X159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105"/>
  <sheetViews>
    <sheetView showGridLines="0" zoomScaleNormal="100" workbookViewId="0"/>
  </sheetViews>
  <sheetFormatPr defaultColWidth="8.77734375" defaultRowHeight="18" customHeight="1"/>
  <cols>
    <col min="1" max="1" width="2.77734375" style="121" customWidth="1"/>
    <col min="2" max="2" width="8.77734375" style="123"/>
    <col min="3" max="3" width="10.77734375" style="123" bestFit="1" customWidth="1"/>
    <col min="4" max="4" width="8.77734375" style="123"/>
    <col min="5" max="21" width="8.77734375" style="122"/>
    <col min="22" max="16384" width="8.77734375" style="121"/>
  </cols>
  <sheetData>
    <row r="1" spans="1:32" ht="15" customHeight="1">
      <c r="A1" s="118" t="s">
        <v>231</v>
      </c>
      <c r="B1" s="119"/>
      <c r="C1" s="119"/>
      <c r="D1" s="119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</row>
    <row r="2" spans="1:32" ht="24">
      <c r="B2" s="255" t="s">
        <v>281</v>
      </c>
      <c r="C2" s="255" t="s">
        <v>311</v>
      </c>
      <c r="D2" s="292" t="s">
        <v>605</v>
      </c>
      <c r="E2" s="292" t="s">
        <v>606</v>
      </c>
      <c r="F2" s="255" t="s">
        <v>232</v>
      </c>
      <c r="G2" s="255" t="s">
        <v>312</v>
      </c>
      <c r="H2" s="255" t="s">
        <v>61</v>
      </c>
      <c r="I2" s="255" t="s">
        <v>75</v>
      </c>
      <c r="J2" s="255" t="s">
        <v>313</v>
      </c>
      <c r="K2" s="255" t="s">
        <v>79</v>
      </c>
      <c r="L2" s="255" t="s">
        <v>314</v>
      </c>
      <c r="M2" s="255" t="s">
        <v>282</v>
      </c>
      <c r="N2" s="255" t="s">
        <v>315</v>
      </c>
      <c r="O2" s="255" t="s">
        <v>316</v>
      </c>
      <c r="P2" s="305" t="s">
        <v>628</v>
      </c>
      <c r="Q2" s="255" t="s">
        <v>283</v>
      </c>
      <c r="R2" s="255" t="s">
        <v>234</v>
      </c>
      <c r="S2" s="255" t="s">
        <v>235</v>
      </c>
      <c r="T2" s="255" t="s">
        <v>317</v>
      </c>
      <c r="U2" s="198" t="s">
        <v>122</v>
      </c>
      <c r="V2" s="198" t="s">
        <v>123</v>
      </c>
    </row>
    <row r="3" spans="1:32" ht="15" customHeight="1">
      <c r="B3" s="172" t="e">
        <f>C3</f>
        <v>#DIV/0!</v>
      </c>
      <c r="C3" s="172" t="e">
        <f>AVERAGE(기본정보!B12:B13)</f>
        <v>#DIV/0!</v>
      </c>
      <c r="D3" s="172">
        <f>11.5*10^-6</f>
        <v>1.15E-5</v>
      </c>
      <c r="E3" s="172">
        <f>11.6*10^-6</f>
        <v>1.1599999999999999E-5</v>
      </c>
      <c r="F3" s="172">
        <f>MIN(C9:C49)</f>
        <v>0</v>
      </c>
      <c r="G3" s="172">
        <f>MAX(C9:C49)</f>
        <v>0</v>
      </c>
      <c r="H3" s="172">
        <f>Length_1!L4</f>
        <v>0</v>
      </c>
      <c r="I3" s="172">
        <f>Length_1!M4</f>
        <v>0</v>
      </c>
      <c r="J3" s="172">
        <f>Length_1!N4</f>
        <v>0</v>
      </c>
      <c r="K3" s="172">
        <f>IF(J3="inch",25.4,1)</f>
        <v>1</v>
      </c>
      <c r="L3" s="172">
        <f>MIN(O9:O49)</f>
        <v>0</v>
      </c>
      <c r="M3" s="172">
        <f>MAX(O9:O49)</f>
        <v>0</v>
      </c>
      <c r="N3" s="172" t="e">
        <f ca="1">OFFSET(AA$8,MATCH(M$3,O$9:O$49,0),0)</f>
        <v>#N/A</v>
      </c>
      <c r="O3" s="172">
        <f>H3*K3</f>
        <v>0</v>
      </c>
      <c r="P3" s="172" t="str">
        <f ca="1">TEXT(O3,OFFSET(P74,MATCH(IFERROR(LEN(O3)-FIND(".",O3),0),O75:O84,0),0))</f>
        <v>0</v>
      </c>
      <c r="Q3" s="172">
        <f>I3*K3</f>
        <v>0</v>
      </c>
      <c r="R3" s="172" t="e">
        <f ca="1">OFFSET(Length_1!H3,MATCH($M3,$O9:$O49,0),0)</f>
        <v>#N/A</v>
      </c>
      <c r="S3" s="172" t="e">
        <f ca="1">OFFSET(Length_1!I3,MATCH($M3,$O9:$O49,0),0)</f>
        <v>#N/A</v>
      </c>
      <c r="T3" s="172" t="e">
        <f ca="1">OFFSET(Length_1!J3,MATCH($M3,$O9:$O49,0),0)</f>
        <v>#N/A</v>
      </c>
      <c r="U3" s="129" t="e">
        <f ca="1">IF(SUM(R70)=0,"","초과")</f>
        <v>#N/A</v>
      </c>
      <c r="V3" s="131" t="str">
        <f>IF(SUM(AE8)=0,"PASS","FAIL")</f>
        <v>PASS</v>
      </c>
    </row>
    <row r="4" spans="1:32" ht="15" customHeight="1">
      <c r="B4" s="119"/>
      <c r="C4" s="119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</row>
    <row r="5" spans="1:32" ht="15" customHeight="1">
      <c r="A5" s="118" t="s">
        <v>318</v>
      </c>
      <c r="C5" s="119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1"/>
      <c r="Y5" s="132" t="s">
        <v>236</v>
      </c>
    </row>
    <row r="6" spans="1:32" ht="15" customHeight="1">
      <c r="B6" s="525" t="s">
        <v>319</v>
      </c>
      <c r="C6" s="526" t="s">
        <v>102</v>
      </c>
      <c r="D6" s="526" t="s">
        <v>233</v>
      </c>
      <c r="E6" s="529" t="s">
        <v>320</v>
      </c>
      <c r="F6" s="529"/>
      <c r="G6" s="529"/>
      <c r="H6" s="529"/>
      <c r="I6" s="529"/>
      <c r="J6" s="529"/>
      <c r="K6" s="536" t="s">
        <v>321</v>
      </c>
      <c r="L6" s="536" t="s">
        <v>284</v>
      </c>
      <c r="M6" s="255" t="s">
        <v>285</v>
      </c>
      <c r="N6" s="255" t="s">
        <v>195</v>
      </c>
      <c r="O6" s="255" t="s">
        <v>322</v>
      </c>
      <c r="P6" s="255" t="s">
        <v>323</v>
      </c>
      <c r="Q6" s="295" t="s">
        <v>604</v>
      </c>
      <c r="R6" s="292" t="s">
        <v>598</v>
      </c>
      <c r="S6" s="293" t="s">
        <v>258</v>
      </c>
      <c r="T6" s="292" t="s">
        <v>599</v>
      </c>
      <c r="U6" s="255" t="s">
        <v>195</v>
      </c>
      <c r="V6" s="517" t="s">
        <v>324</v>
      </c>
      <c r="W6" s="519"/>
      <c r="X6" s="124"/>
      <c r="Y6" s="538" t="s">
        <v>237</v>
      </c>
      <c r="Z6" s="539"/>
      <c r="AA6" s="517" t="s">
        <v>325</v>
      </c>
      <c r="AB6" s="518"/>
      <c r="AC6" s="518"/>
      <c r="AD6" s="518"/>
      <c r="AE6" s="518"/>
      <c r="AF6" s="519"/>
    </row>
    <row r="7" spans="1:32" ht="15" customHeight="1">
      <c r="B7" s="525"/>
      <c r="C7" s="528"/>
      <c r="D7" s="528"/>
      <c r="E7" s="191" t="s">
        <v>94</v>
      </c>
      <c r="F7" s="258" t="s">
        <v>121</v>
      </c>
      <c r="G7" s="191" t="s">
        <v>115</v>
      </c>
      <c r="H7" s="258" t="s">
        <v>116</v>
      </c>
      <c r="I7" s="191" t="s">
        <v>117</v>
      </c>
      <c r="J7" s="258" t="s">
        <v>326</v>
      </c>
      <c r="K7" s="537"/>
      <c r="L7" s="537"/>
      <c r="M7" s="255" t="s">
        <v>327</v>
      </c>
      <c r="N7" s="255" t="s">
        <v>286</v>
      </c>
      <c r="O7" s="255" t="s">
        <v>328</v>
      </c>
      <c r="P7" s="255" t="s">
        <v>239</v>
      </c>
      <c r="Q7" s="292" t="s">
        <v>600</v>
      </c>
      <c r="R7" s="292" t="s">
        <v>410</v>
      </c>
      <c r="S7" s="292" t="s">
        <v>411</v>
      </c>
      <c r="T7" s="292" t="s">
        <v>601</v>
      </c>
      <c r="U7" s="255" t="s">
        <v>240</v>
      </c>
      <c r="V7" s="255" t="s">
        <v>329</v>
      </c>
      <c r="W7" s="255" t="s">
        <v>99</v>
      </c>
      <c r="X7" s="124"/>
      <c r="Y7" s="192" t="s">
        <v>241</v>
      </c>
      <c r="Z7" s="192" t="s">
        <v>242</v>
      </c>
      <c r="AA7" s="255" t="s">
        <v>127</v>
      </c>
      <c r="AB7" s="255" t="s">
        <v>330</v>
      </c>
      <c r="AC7" s="255" t="s">
        <v>331</v>
      </c>
      <c r="AD7" s="190" t="s">
        <v>237</v>
      </c>
      <c r="AE7" s="190" t="s">
        <v>287</v>
      </c>
      <c r="AF7" s="190" t="s">
        <v>579</v>
      </c>
    </row>
    <row r="8" spans="1:32" ht="15" customHeight="1">
      <c r="B8" s="525"/>
      <c r="C8" s="527"/>
      <c r="D8" s="527"/>
      <c r="E8" s="258">
        <f>J3</f>
        <v>0</v>
      </c>
      <c r="F8" s="258">
        <f t="shared" ref="F8:J8" si="0">E8</f>
        <v>0</v>
      </c>
      <c r="G8" s="258">
        <f t="shared" si="0"/>
        <v>0</v>
      </c>
      <c r="H8" s="258">
        <f t="shared" si="0"/>
        <v>0</v>
      </c>
      <c r="I8" s="258">
        <f t="shared" si="0"/>
        <v>0</v>
      </c>
      <c r="J8" s="258">
        <f t="shared" si="0"/>
        <v>0</v>
      </c>
      <c r="K8" s="255" t="s">
        <v>129</v>
      </c>
      <c r="L8" s="255"/>
      <c r="M8" s="255" t="s">
        <v>289</v>
      </c>
      <c r="N8" s="255" t="s">
        <v>332</v>
      </c>
      <c r="O8" s="255" t="s">
        <v>289</v>
      </c>
      <c r="P8" s="255" t="s">
        <v>129</v>
      </c>
      <c r="Q8" s="294" t="s">
        <v>602</v>
      </c>
      <c r="R8" s="292" t="s">
        <v>297</v>
      </c>
      <c r="S8" s="294" t="s">
        <v>602</v>
      </c>
      <c r="T8" s="292" t="s">
        <v>603</v>
      </c>
      <c r="U8" s="255" t="s">
        <v>129</v>
      </c>
      <c r="V8" s="255" t="s">
        <v>129</v>
      </c>
      <c r="W8" s="255" t="s">
        <v>289</v>
      </c>
      <c r="X8" s="124"/>
      <c r="Y8" s="255" t="s">
        <v>289</v>
      </c>
      <c r="Z8" s="255" t="s">
        <v>289</v>
      </c>
      <c r="AA8" s="255" t="s">
        <v>332</v>
      </c>
      <c r="AB8" s="255" t="s">
        <v>333</v>
      </c>
      <c r="AC8" s="255" t="s">
        <v>129</v>
      </c>
      <c r="AD8" s="255" t="s">
        <v>129</v>
      </c>
      <c r="AE8" s="306">
        <f>IF(TYPE(MATCH("FAIL",AE9:AE49,0))=16,0,1)</f>
        <v>0</v>
      </c>
      <c r="AF8" s="190" t="s">
        <v>580</v>
      </c>
    </row>
    <row r="9" spans="1:32" ht="15" customHeight="1">
      <c r="B9" s="199" t="b">
        <f>IF(TRIM(Length_1!C4)="",FALSE,TRUE)</f>
        <v>0</v>
      </c>
      <c r="C9" s="172" t="str">
        <f>IF($B9=FALSE,"",VALUE(Length_1!C4))</f>
        <v/>
      </c>
      <c r="D9" s="172" t="str">
        <f>IF($B9=FALSE,"",Length_1!D4)</f>
        <v/>
      </c>
      <c r="E9" s="200" t="str">
        <f>IF($B9=FALSE,"",Length_1!R4)</f>
        <v/>
      </c>
      <c r="F9" s="200" t="str">
        <f>IF($B9=FALSE,"",Length_1!S4)</f>
        <v/>
      </c>
      <c r="G9" s="200" t="str">
        <f>IF($B9=FALSE,"",Length_1!T4)</f>
        <v/>
      </c>
      <c r="H9" s="200" t="str">
        <f>IF($B9=FALSE,"",Length_1!U4)</f>
        <v/>
      </c>
      <c r="I9" s="200" t="str">
        <f>IF($B9=FALSE,"",Length_1!V4)</f>
        <v/>
      </c>
      <c r="J9" s="201" t="str">
        <f>IF($B9=FALSE,"",AVERAGE(E9:I9))</f>
        <v/>
      </c>
      <c r="K9" s="259" t="str">
        <f t="shared" ref="K9:K49" si="1">IF($B9=FALSE,"",STDEV(E9:I9)*K$3)</f>
        <v/>
      </c>
      <c r="L9" s="172" t="str">
        <f>IF($B9=FALSE,"",Length_1!G4)</f>
        <v/>
      </c>
      <c r="M9" s="202" t="str">
        <f t="shared" ref="M9:M49" si="2">IF(B9=FALSE,"",J9)</f>
        <v/>
      </c>
      <c r="N9" s="203" t="str">
        <f t="shared" ref="N9:N49" si="3">IF(B9=FALSE,"",0)</f>
        <v/>
      </c>
      <c r="O9" s="204" t="str">
        <f t="shared" ref="O9:O49" si="4">IF(B9=FALSE,"",C9*K$3)</f>
        <v/>
      </c>
      <c r="P9" s="180" t="str">
        <f>IF(B9=FALSE,"",Length_1!F4)</f>
        <v/>
      </c>
      <c r="Q9" s="172" t="str">
        <f>IF($B9=FALSE,"",AVERAGE(D$3:E$3))</f>
        <v/>
      </c>
      <c r="R9" s="172" t="str">
        <f>IF($B9=FALSE,"",B$3-C$3)</f>
        <v/>
      </c>
      <c r="S9" s="172" t="str">
        <f>IF($B9=FALSE,"",D$3-E$3)</f>
        <v/>
      </c>
      <c r="T9" s="172" t="str">
        <f>IF($B9=FALSE,"",AVERAGE(B$3:C$3)-20)</f>
        <v/>
      </c>
      <c r="U9" s="205" t="str">
        <f>IF(B9=FALSE,"",M9+N9-O9+P9-(Q9*R9+S9*T9)*O9)</f>
        <v/>
      </c>
      <c r="V9" s="172" t="str">
        <f>IF($B9=FALSE,"",ROUND(U9,$M$70))</f>
        <v/>
      </c>
      <c r="W9" s="172" t="str">
        <f>IF($B9=FALSE,"",ROUND(O9+V9,$M$70))</f>
        <v/>
      </c>
      <c r="X9" s="124"/>
      <c r="Y9" s="172" t="e">
        <f ca="1">IF(Length_1!O4&lt;0,ROUNDUP(Length_1!O4*K$3,$M$70),ROUNDDOWN(Length_1!O4*K$3,$M$70))</f>
        <v>#N/A</v>
      </c>
      <c r="Z9" s="172" t="e">
        <f ca="1">IF(Length_1!P4&lt;0,ROUNDDOWN(Length_1!P4*K$3,$M$70),ROUNDUP(Length_1!P4*K$3,$M$70))</f>
        <v>#N/A</v>
      </c>
      <c r="AA9" s="172" t="e">
        <f t="shared" ref="AA9:AA49" ca="1" si="5">TEXT(O9,IF(O9&gt;=1000,"# ##","")&amp;$P$70)</f>
        <v>#N/A</v>
      </c>
      <c r="AB9" s="172" t="e">
        <f t="shared" ref="AB9:AB49" ca="1" si="6">TEXT(W9,IF(W9&gt;=1000,"# ##","")&amp;$P$70)</f>
        <v>#N/A</v>
      </c>
      <c r="AC9" s="172" t="e">
        <f t="shared" ref="AC9:AC49" ca="1" si="7">TEXT(V9,$P$70)</f>
        <v>#N/A</v>
      </c>
      <c r="AD9" s="172" t="e">
        <f t="shared" ref="AD9:AD49" ca="1" si="8">"± "&amp;TEXT(Z9-O9,P$70)</f>
        <v>#N/A</v>
      </c>
      <c r="AE9" s="172" t="str">
        <f>IF($B9=FALSE,"",IF(AND(Y9&lt;=W9,W9&lt;=Z9),"PASS","FAIL"))</f>
        <v/>
      </c>
      <c r="AF9" s="172" t="e">
        <f t="shared" ref="AF9:AF48" ca="1" si="9">S$70</f>
        <v>#N/A</v>
      </c>
    </row>
    <row r="10" spans="1:32" ht="15" customHeight="1">
      <c r="B10" s="199" t="b">
        <f>IF(TRIM(Length_1!C5)="",FALSE,TRUE)</f>
        <v>0</v>
      </c>
      <c r="C10" s="172" t="str">
        <f>IF($B10=FALSE,"",VALUE(Length_1!C5))</f>
        <v/>
      </c>
      <c r="D10" s="172" t="str">
        <f>IF($B10=FALSE,"",Length_1!D5)</f>
        <v/>
      </c>
      <c r="E10" s="200" t="str">
        <f>IF($B10=FALSE,"",Length_1!R5)</f>
        <v/>
      </c>
      <c r="F10" s="200" t="str">
        <f>IF($B10=FALSE,"",Length_1!S5)</f>
        <v/>
      </c>
      <c r="G10" s="200" t="str">
        <f>IF($B10=FALSE,"",Length_1!T5)</f>
        <v/>
      </c>
      <c r="H10" s="200" t="str">
        <f>IF($B10=FALSE,"",Length_1!U5)</f>
        <v/>
      </c>
      <c r="I10" s="200" t="str">
        <f>IF($B10=FALSE,"",Length_1!V5)</f>
        <v/>
      </c>
      <c r="J10" s="201" t="str">
        <f t="shared" ref="J10:J49" si="10">IF($B10=FALSE,"",AVERAGE(E10:I10))</f>
        <v/>
      </c>
      <c r="K10" s="259" t="str">
        <f t="shared" si="1"/>
        <v/>
      </c>
      <c r="L10" s="172" t="str">
        <f>IF($B10=FALSE,"",Length_1!G5)</f>
        <v/>
      </c>
      <c r="M10" s="202" t="str">
        <f t="shared" si="2"/>
        <v/>
      </c>
      <c r="N10" s="203" t="str">
        <f t="shared" si="3"/>
        <v/>
      </c>
      <c r="O10" s="204" t="str">
        <f t="shared" si="4"/>
        <v/>
      </c>
      <c r="P10" s="180" t="str">
        <f>IF(B10=FALSE,"",Length_1!F5)</f>
        <v/>
      </c>
      <c r="Q10" s="172" t="str">
        <f t="shared" ref="Q10:Q49" si="11">IF($B10=FALSE,"",AVERAGE(D$3:E$3))</f>
        <v/>
      </c>
      <c r="R10" s="172" t="str">
        <f t="shared" ref="R10:R49" si="12">IF($B10=FALSE,"",B$3-C$3)</f>
        <v/>
      </c>
      <c r="S10" s="172" t="str">
        <f t="shared" ref="S10:S49" si="13">IF($B10=FALSE,"",D$3-E$3)</f>
        <v/>
      </c>
      <c r="T10" s="172" t="str">
        <f t="shared" ref="T10:T49" si="14">IF($B10=FALSE,"",AVERAGE(B$3:C$3)-20)</f>
        <v/>
      </c>
      <c r="U10" s="205" t="str">
        <f t="shared" ref="U10:U49" si="15">IF(B10=FALSE,"",M10+N10-O10+P10-(Q10*R10+S10*T10)*O10)</f>
        <v/>
      </c>
      <c r="V10" s="172" t="str">
        <f t="shared" ref="V10:V49" si="16">IF($B10=FALSE,"",ROUND(U10,$M$70))</f>
        <v/>
      </c>
      <c r="W10" s="172" t="str">
        <f t="shared" ref="W10:W49" si="17">IF($B10=FALSE,"",ROUND(O10+V10,$M$70))</f>
        <v/>
      </c>
      <c r="X10" s="124"/>
      <c r="Y10" s="172" t="e">
        <f ca="1">IF(Length_1!O5&lt;0,ROUNDUP(Length_1!O5*K$3,$M$70),ROUNDDOWN(Length_1!O5*K$3,$M$70))</f>
        <v>#N/A</v>
      </c>
      <c r="Z10" s="172" t="e">
        <f ca="1">IF(Length_1!P5&lt;0,ROUNDDOWN(Length_1!P5*K$3,$M$70),ROUNDUP(Length_1!P5*K$3,$M$70))</f>
        <v>#N/A</v>
      </c>
      <c r="AA10" s="172" t="e">
        <f t="shared" ca="1" si="5"/>
        <v>#N/A</v>
      </c>
      <c r="AB10" s="172" t="e">
        <f t="shared" ca="1" si="6"/>
        <v>#N/A</v>
      </c>
      <c r="AC10" s="172" t="e">
        <f t="shared" ca="1" si="7"/>
        <v>#N/A</v>
      </c>
      <c r="AD10" s="172" t="e">
        <f t="shared" ca="1" si="8"/>
        <v>#N/A</v>
      </c>
      <c r="AE10" s="172" t="str">
        <f t="shared" ref="AE10:AE49" si="18">IF($B10=FALSE,"",IF(AND(Y10&lt;=W10,W10&lt;=Z10),"PASS","FAIL"))</f>
        <v/>
      </c>
      <c r="AF10" s="172" t="e">
        <f t="shared" ca="1" si="9"/>
        <v>#N/A</v>
      </c>
    </row>
    <row r="11" spans="1:32" ht="15" customHeight="1">
      <c r="B11" s="199" t="b">
        <f>IF(TRIM(Length_1!C6)="",FALSE,TRUE)</f>
        <v>0</v>
      </c>
      <c r="C11" s="172" t="str">
        <f>IF($B11=FALSE,"",VALUE(Length_1!C6))</f>
        <v/>
      </c>
      <c r="D11" s="172" t="str">
        <f>IF($B11=FALSE,"",Length_1!D6)</f>
        <v/>
      </c>
      <c r="E11" s="200" t="str">
        <f>IF($B11=FALSE,"",Length_1!R6)</f>
        <v/>
      </c>
      <c r="F11" s="200" t="str">
        <f>IF($B11=FALSE,"",Length_1!S6)</f>
        <v/>
      </c>
      <c r="G11" s="200" t="str">
        <f>IF($B11=FALSE,"",Length_1!T6)</f>
        <v/>
      </c>
      <c r="H11" s="200" t="str">
        <f>IF($B11=FALSE,"",Length_1!U6)</f>
        <v/>
      </c>
      <c r="I11" s="200" t="str">
        <f>IF($B11=FALSE,"",Length_1!V6)</f>
        <v/>
      </c>
      <c r="J11" s="201" t="str">
        <f t="shared" si="10"/>
        <v/>
      </c>
      <c r="K11" s="259" t="str">
        <f t="shared" si="1"/>
        <v/>
      </c>
      <c r="L11" s="172" t="str">
        <f>IF($B11=FALSE,"",Length_1!G6)</f>
        <v/>
      </c>
      <c r="M11" s="202" t="str">
        <f t="shared" si="2"/>
        <v/>
      </c>
      <c r="N11" s="203" t="str">
        <f t="shared" si="3"/>
        <v/>
      </c>
      <c r="O11" s="204" t="str">
        <f t="shared" si="4"/>
        <v/>
      </c>
      <c r="P11" s="180" t="str">
        <f>IF(B11=FALSE,"",Length_1!F6)</f>
        <v/>
      </c>
      <c r="Q11" s="172" t="str">
        <f t="shared" si="11"/>
        <v/>
      </c>
      <c r="R11" s="172" t="str">
        <f t="shared" si="12"/>
        <v/>
      </c>
      <c r="S11" s="172" t="str">
        <f t="shared" si="13"/>
        <v/>
      </c>
      <c r="T11" s="172" t="str">
        <f t="shared" si="14"/>
        <v/>
      </c>
      <c r="U11" s="205" t="str">
        <f t="shared" si="15"/>
        <v/>
      </c>
      <c r="V11" s="172" t="str">
        <f t="shared" si="16"/>
        <v/>
      </c>
      <c r="W11" s="172" t="str">
        <f t="shared" si="17"/>
        <v/>
      </c>
      <c r="X11" s="124"/>
      <c r="Y11" s="172" t="e">
        <f ca="1">IF(Length_1!O6&lt;0,ROUNDUP(Length_1!O6*K$3,$M$70),ROUNDDOWN(Length_1!O6*K$3,$M$70))</f>
        <v>#N/A</v>
      </c>
      <c r="Z11" s="172" t="e">
        <f ca="1">IF(Length_1!P6&lt;0,ROUNDDOWN(Length_1!P6*K$3,$M$70),ROUNDUP(Length_1!P6*K$3,$M$70))</f>
        <v>#N/A</v>
      </c>
      <c r="AA11" s="172" t="e">
        <f t="shared" ca="1" si="5"/>
        <v>#N/A</v>
      </c>
      <c r="AB11" s="172" t="e">
        <f t="shared" ca="1" si="6"/>
        <v>#N/A</v>
      </c>
      <c r="AC11" s="172" t="e">
        <f t="shared" ca="1" si="7"/>
        <v>#N/A</v>
      </c>
      <c r="AD11" s="172" t="e">
        <f t="shared" ca="1" si="8"/>
        <v>#N/A</v>
      </c>
      <c r="AE11" s="172" t="str">
        <f t="shared" si="18"/>
        <v/>
      </c>
      <c r="AF11" s="172" t="e">
        <f t="shared" ca="1" si="9"/>
        <v>#N/A</v>
      </c>
    </row>
    <row r="12" spans="1:32" ht="15" customHeight="1">
      <c r="B12" s="199" t="b">
        <f>IF(TRIM(Length_1!C7)="",FALSE,TRUE)</f>
        <v>0</v>
      </c>
      <c r="C12" s="172" t="str">
        <f>IF($B12=FALSE,"",VALUE(Length_1!C7))</f>
        <v/>
      </c>
      <c r="D12" s="172" t="str">
        <f>IF($B12=FALSE,"",Length_1!D7)</f>
        <v/>
      </c>
      <c r="E12" s="200" t="str">
        <f>IF($B12=FALSE,"",Length_1!R7)</f>
        <v/>
      </c>
      <c r="F12" s="200" t="str">
        <f>IF($B12=FALSE,"",Length_1!S7)</f>
        <v/>
      </c>
      <c r="G12" s="200" t="str">
        <f>IF($B12=FALSE,"",Length_1!T7)</f>
        <v/>
      </c>
      <c r="H12" s="200" t="str">
        <f>IF($B12=FALSE,"",Length_1!U7)</f>
        <v/>
      </c>
      <c r="I12" s="200" t="str">
        <f>IF($B12=FALSE,"",Length_1!V7)</f>
        <v/>
      </c>
      <c r="J12" s="201" t="str">
        <f t="shared" si="10"/>
        <v/>
      </c>
      <c r="K12" s="259" t="str">
        <f t="shared" si="1"/>
        <v/>
      </c>
      <c r="L12" s="172" t="str">
        <f>IF($B12=FALSE,"",Length_1!G7)</f>
        <v/>
      </c>
      <c r="M12" s="202" t="str">
        <f t="shared" si="2"/>
        <v/>
      </c>
      <c r="N12" s="203" t="str">
        <f t="shared" si="3"/>
        <v/>
      </c>
      <c r="O12" s="204" t="str">
        <f t="shared" si="4"/>
        <v/>
      </c>
      <c r="P12" s="180" t="str">
        <f>IF(B12=FALSE,"",Length_1!F7)</f>
        <v/>
      </c>
      <c r="Q12" s="172" t="str">
        <f t="shared" si="11"/>
        <v/>
      </c>
      <c r="R12" s="172" t="str">
        <f t="shared" si="12"/>
        <v/>
      </c>
      <c r="S12" s="172" t="str">
        <f t="shared" si="13"/>
        <v/>
      </c>
      <c r="T12" s="172" t="str">
        <f t="shared" si="14"/>
        <v/>
      </c>
      <c r="U12" s="205" t="str">
        <f t="shared" si="15"/>
        <v/>
      </c>
      <c r="V12" s="172" t="str">
        <f t="shared" si="16"/>
        <v/>
      </c>
      <c r="W12" s="172" t="str">
        <f t="shared" si="17"/>
        <v/>
      </c>
      <c r="X12" s="124"/>
      <c r="Y12" s="172" t="e">
        <f ca="1">IF(Length_1!O7&lt;0,ROUNDUP(Length_1!O7*K$3,$M$70),ROUNDDOWN(Length_1!O7*K$3,$M$70))</f>
        <v>#N/A</v>
      </c>
      <c r="Z12" s="172" t="e">
        <f ca="1">IF(Length_1!P7&lt;0,ROUNDDOWN(Length_1!P7*K$3,$M$70),ROUNDUP(Length_1!P7*K$3,$M$70))</f>
        <v>#N/A</v>
      </c>
      <c r="AA12" s="172" t="e">
        <f t="shared" ca="1" si="5"/>
        <v>#N/A</v>
      </c>
      <c r="AB12" s="172" t="e">
        <f t="shared" ca="1" si="6"/>
        <v>#N/A</v>
      </c>
      <c r="AC12" s="172" t="e">
        <f t="shared" ca="1" si="7"/>
        <v>#N/A</v>
      </c>
      <c r="AD12" s="172" t="e">
        <f t="shared" ca="1" si="8"/>
        <v>#N/A</v>
      </c>
      <c r="AE12" s="172" t="str">
        <f t="shared" si="18"/>
        <v/>
      </c>
      <c r="AF12" s="172" t="e">
        <f t="shared" ca="1" si="9"/>
        <v>#N/A</v>
      </c>
    </row>
    <row r="13" spans="1:32" ht="15" customHeight="1">
      <c r="B13" s="199" t="b">
        <f>IF(TRIM(Length_1!C8)="",FALSE,TRUE)</f>
        <v>0</v>
      </c>
      <c r="C13" s="172" t="str">
        <f>IF($B13=FALSE,"",VALUE(Length_1!C8))</f>
        <v/>
      </c>
      <c r="D13" s="172" t="str">
        <f>IF($B13=FALSE,"",Length_1!D8)</f>
        <v/>
      </c>
      <c r="E13" s="200" t="str">
        <f>IF($B13=FALSE,"",Length_1!R8)</f>
        <v/>
      </c>
      <c r="F13" s="200" t="str">
        <f>IF($B13=FALSE,"",Length_1!S8)</f>
        <v/>
      </c>
      <c r="G13" s="200" t="str">
        <f>IF($B13=FALSE,"",Length_1!T8)</f>
        <v/>
      </c>
      <c r="H13" s="200" t="str">
        <f>IF($B13=FALSE,"",Length_1!U8)</f>
        <v/>
      </c>
      <c r="I13" s="200" t="str">
        <f>IF($B13=FALSE,"",Length_1!V8)</f>
        <v/>
      </c>
      <c r="J13" s="201" t="str">
        <f t="shared" si="10"/>
        <v/>
      </c>
      <c r="K13" s="259" t="str">
        <f t="shared" si="1"/>
        <v/>
      </c>
      <c r="L13" s="172" t="str">
        <f>IF($B13=FALSE,"",Length_1!G8)</f>
        <v/>
      </c>
      <c r="M13" s="202" t="str">
        <f t="shared" si="2"/>
        <v/>
      </c>
      <c r="N13" s="203" t="str">
        <f t="shared" si="3"/>
        <v/>
      </c>
      <c r="O13" s="204" t="str">
        <f t="shared" si="4"/>
        <v/>
      </c>
      <c r="P13" s="180" t="str">
        <f>IF(B13=FALSE,"",Length_1!F8)</f>
        <v/>
      </c>
      <c r="Q13" s="172" t="str">
        <f t="shared" si="11"/>
        <v/>
      </c>
      <c r="R13" s="172" t="str">
        <f t="shared" si="12"/>
        <v/>
      </c>
      <c r="S13" s="172" t="str">
        <f t="shared" si="13"/>
        <v/>
      </c>
      <c r="T13" s="172" t="str">
        <f t="shared" si="14"/>
        <v/>
      </c>
      <c r="U13" s="205" t="str">
        <f t="shared" si="15"/>
        <v/>
      </c>
      <c r="V13" s="172" t="str">
        <f t="shared" si="16"/>
        <v/>
      </c>
      <c r="W13" s="172" t="str">
        <f t="shared" si="17"/>
        <v/>
      </c>
      <c r="X13" s="124"/>
      <c r="Y13" s="172" t="e">
        <f ca="1">IF(Length_1!O8&lt;0,ROUNDUP(Length_1!O8*K$3,$M$70),ROUNDDOWN(Length_1!O8*K$3,$M$70))</f>
        <v>#N/A</v>
      </c>
      <c r="Z13" s="172" t="e">
        <f ca="1">IF(Length_1!P8&lt;0,ROUNDDOWN(Length_1!P8*K$3,$M$70),ROUNDUP(Length_1!P8*K$3,$M$70))</f>
        <v>#N/A</v>
      </c>
      <c r="AA13" s="172" t="e">
        <f t="shared" ca="1" si="5"/>
        <v>#N/A</v>
      </c>
      <c r="AB13" s="172" t="e">
        <f t="shared" ca="1" si="6"/>
        <v>#N/A</v>
      </c>
      <c r="AC13" s="172" t="e">
        <f t="shared" ca="1" si="7"/>
        <v>#N/A</v>
      </c>
      <c r="AD13" s="172" t="e">
        <f t="shared" ca="1" si="8"/>
        <v>#N/A</v>
      </c>
      <c r="AE13" s="172" t="str">
        <f t="shared" si="18"/>
        <v/>
      </c>
      <c r="AF13" s="172" t="e">
        <f t="shared" ca="1" si="9"/>
        <v>#N/A</v>
      </c>
    </row>
    <row r="14" spans="1:32" ht="15" customHeight="1">
      <c r="B14" s="199" t="b">
        <f>IF(TRIM(Length_1!C9)="",FALSE,TRUE)</f>
        <v>0</v>
      </c>
      <c r="C14" s="172" t="str">
        <f>IF($B14=FALSE,"",VALUE(Length_1!C9))</f>
        <v/>
      </c>
      <c r="D14" s="172" t="str">
        <f>IF($B14=FALSE,"",Length_1!D9)</f>
        <v/>
      </c>
      <c r="E14" s="200" t="str">
        <f>IF($B14=FALSE,"",Length_1!R9)</f>
        <v/>
      </c>
      <c r="F14" s="200" t="str">
        <f>IF($B14=FALSE,"",Length_1!S9)</f>
        <v/>
      </c>
      <c r="G14" s="200" t="str">
        <f>IF($B14=FALSE,"",Length_1!T9)</f>
        <v/>
      </c>
      <c r="H14" s="200" t="str">
        <f>IF($B14=FALSE,"",Length_1!U9)</f>
        <v/>
      </c>
      <c r="I14" s="200" t="str">
        <f>IF($B14=FALSE,"",Length_1!V9)</f>
        <v/>
      </c>
      <c r="J14" s="201" t="str">
        <f t="shared" si="10"/>
        <v/>
      </c>
      <c r="K14" s="259" t="str">
        <f t="shared" si="1"/>
        <v/>
      </c>
      <c r="L14" s="172" t="str">
        <f>IF($B14=FALSE,"",Length_1!G9)</f>
        <v/>
      </c>
      <c r="M14" s="202" t="str">
        <f t="shared" si="2"/>
        <v/>
      </c>
      <c r="N14" s="203" t="str">
        <f t="shared" si="3"/>
        <v/>
      </c>
      <c r="O14" s="204" t="str">
        <f t="shared" si="4"/>
        <v/>
      </c>
      <c r="P14" s="180" t="str">
        <f>IF(B14=FALSE,"",Length_1!F9)</f>
        <v/>
      </c>
      <c r="Q14" s="172" t="str">
        <f t="shared" si="11"/>
        <v/>
      </c>
      <c r="R14" s="172" t="str">
        <f t="shared" si="12"/>
        <v/>
      </c>
      <c r="S14" s="172" t="str">
        <f t="shared" si="13"/>
        <v/>
      </c>
      <c r="T14" s="172" t="str">
        <f t="shared" si="14"/>
        <v/>
      </c>
      <c r="U14" s="205" t="str">
        <f t="shared" si="15"/>
        <v/>
      </c>
      <c r="V14" s="172" t="str">
        <f t="shared" si="16"/>
        <v/>
      </c>
      <c r="W14" s="172" t="str">
        <f t="shared" si="17"/>
        <v/>
      </c>
      <c r="X14" s="124"/>
      <c r="Y14" s="172" t="e">
        <f ca="1">IF(Length_1!O9&lt;0,ROUNDUP(Length_1!O9*K$3,$M$70),ROUNDDOWN(Length_1!O9*K$3,$M$70))</f>
        <v>#N/A</v>
      </c>
      <c r="Z14" s="172" t="e">
        <f ca="1">IF(Length_1!P9&lt;0,ROUNDDOWN(Length_1!P9*K$3,$M$70),ROUNDUP(Length_1!P9*K$3,$M$70))</f>
        <v>#N/A</v>
      </c>
      <c r="AA14" s="172" t="e">
        <f t="shared" ca="1" si="5"/>
        <v>#N/A</v>
      </c>
      <c r="AB14" s="172" t="e">
        <f t="shared" ca="1" si="6"/>
        <v>#N/A</v>
      </c>
      <c r="AC14" s="172" t="e">
        <f t="shared" ca="1" si="7"/>
        <v>#N/A</v>
      </c>
      <c r="AD14" s="172" t="e">
        <f t="shared" ca="1" si="8"/>
        <v>#N/A</v>
      </c>
      <c r="AE14" s="172" t="str">
        <f t="shared" si="18"/>
        <v/>
      </c>
      <c r="AF14" s="172" t="e">
        <f t="shared" ca="1" si="9"/>
        <v>#N/A</v>
      </c>
    </row>
    <row r="15" spans="1:32" ht="15" customHeight="1">
      <c r="B15" s="199" t="b">
        <f>IF(TRIM(Length_1!C10)="",FALSE,TRUE)</f>
        <v>0</v>
      </c>
      <c r="C15" s="172" t="str">
        <f>IF($B15=FALSE,"",VALUE(Length_1!C10))</f>
        <v/>
      </c>
      <c r="D15" s="172" t="str">
        <f>IF($B15=FALSE,"",Length_1!D10)</f>
        <v/>
      </c>
      <c r="E15" s="200" t="str">
        <f>IF($B15=FALSE,"",Length_1!R10)</f>
        <v/>
      </c>
      <c r="F15" s="200" t="str">
        <f>IF($B15=FALSE,"",Length_1!S10)</f>
        <v/>
      </c>
      <c r="G15" s="200" t="str">
        <f>IF($B15=FALSE,"",Length_1!T10)</f>
        <v/>
      </c>
      <c r="H15" s="200" t="str">
        <f>IF($B15=FALSE,"",Length_1!U10)</f>
        <v/>
      </c>
      <c r="I15" s="200" t="str">
        <f>IF($B15=FALSE,"",Length_1!V10)</f>
        <v/>
      </c>
      <c r="J15" s="201" t="str">
        <f t="shared" si="10"/>
        <v/>
      </c>
      <c r="K15" s="259" t="str">
        <f t="shared" si="1"/>
        <v/>
      </c>
      <c r="L15" s="172" t="str">
        <f>IF($B15=FALSE,"",Length_1!G10)</f>
        <v/>
      </c>
      <c r="M15" s="202" t="str">
        <f t="shared" si="2"/>
        <v/>
      </c>
      <c r="N15" s="203" t="str">
        <f t="shared" si="3"/>
        <v/>
      </c>
      <c r="O15" s="204" t="str">
        <f t="shared" si="4"/>
        <v/>
      </c>
      <c r="P15" s="180" t="str">
        <f>IF(B15=FALSE,"",Length_1!F10)</f>
        <v/>
      </c>
      <c r="Q15" s="172" t="str">
        <f t="shared" si="11"/>
        <v/>
      </c>
      <c r="R15" s="172" t="str">
        <f t="shared" si="12"/>
        <v/>
      </c>
      <c r="S15" s="172" t="str">
        <f t="shared" si="13"/>
        <v/>
      </c>
      <c r="T15" s="172" t="str">
        <f t="shared" si="14"/>
        <v/>
      </c>
      <c r="U15" s="205" t="str">
        <f t="shared" si="15"/>
        <v/>
      </c>
      <c r="V15" s="172" t="str">
        <f t="shared" si="16"/>
        <v/>
      </c>
      <c r="W15" s="172" t="str">
        <f t="shared" si="17"/>
        <v/>
      </c>
      <c r="X15" s="124"/>
      <c r="Y15" s="172" t="e">
        <f ca="1">IF(Length_1!O10&lt;0,ROUNDUP(Length_1!O10*K$3,$M$70),ROUNDDOWN(Length_1!O10*K$3,$M$70))</f>
        <v>#N/A</v>
      </c>
      <c r="Z15" s="172" t="e">
        <f ca="1">IF(Length_1!P10&lt;0,ROUNDDOWN(Length_1!P10*K$3,$M$70),ROUNDUP(Length_1!P10*K$3,$M$70))</f>
        <v>#N/A</v>
      </c>
      <c r="AA15" s="172" t="e">
        <f t="shared" ca="1" si="5"/>
        <v>#N/A</v>
      </c>
      <c r="AB15" s="172" t="e">
        <f t="shared" ca="1" si="6"/>
        <v>#N/A</v>
      </c>
      <c r="AC15" s="172" t="e">
        <f t="shared" ca="1" si="7"/>
        <v>#N/A</v>
      </c>
      <c r="AD15" s="172" t="e">
        <f t="shared" ca="1" si="8"/>
        <v>#N/A</v>
      </c>
      <c r="AE15" s="172" t="str">
        <f t="shared" si="18"/>
        <v/>
      </c>
      <c r="AF15" s="172" t="e">
        <f t="shared" ca="1" si="9"/>
        <v>#N/A</v>
      </c>
    </row>
    <row r="16" spans="1:32" ht="15" customHeight="1">
      <c r="B16" s="199" t="b">
        <f>IF(TRIM(Length_1!C11)="",FALSE,TRUE)</f>
        <v>0</v>
      </c>
      <c r="C16" s="172" t="str">
        <f>IF($B16=FALSE,"",VALUE(Length_1!C11))</f>
        <v/>
      </c>
      <c r="D16" s="172" t="str">
        <f>IF($B16=FALSE,"",Length_1!D11)</f>
        <v/>
      </c>
      <c r="E16" s="200" t="str">
        <f>IF($B16=FALSE,"",Length_1!R11)</f>
        <v/>
      </c>
      <c r="F16" s="200" t="str">
        <f>IF($B16=FALSE,"",Length_1!S11)</f>
        <v/>
      </c>
      <c r="G16" s="200" t="str">
        <f>IF($B16=FALSE,"",Length_1!T11)</f>
        <v/>
      </c>
      <c r="H16" s="200" t="str">
        <f>IF($B16=FALSE,"",Length_1!U11)</f>
        <v/>
      </c>
      <c r="I16" s="200" t="str">
        <f>IF($B16=FALSE,"",Length_1!V11)</f>
        <v/>
      </c>
      <c r="J16" s="201" t="str">
        <f t="shared" si="10"/>
        <v/>
      </c>
      <c r="K16" s="259" t="str">
        <f t="shared" si="1"/>
        <v/>
      </c>
      <c r="L16" s="172" t="str">
        <f>IF($B16=FALSE,"",Length_1!G11)</f>
        <v/>
      </c>
      <c r="M16" s="202" t="str">
        <f t="shared" si="2"/>
        <v/>
      </c>
      <c r="N16" s="203" t="str">
        <f t="shared" si="3"/>
        <v/>
      </c>
      <c r="O16" s="204" t="str">
        <f t="shared" si="4"/>
        <v/>
      </c>
      <c r="P16" s="180" t="str">
        <f>IF(B16=FALSE,"",Length_1!F11)</f>
        <v/>
      </c>
      <c r="Q16" s="172" t="str">
        <f t="shared" si="11"/>
        <v/>
      </c>
      <c r="R16" s="172" t="str">
        <f t="shared" si="12"/>
        <v/>
      </c>
      <c r="S16" s="172" t="str">
        <f t="shared" si="13"/>
        <v/>
      </c>
      <c r="T16" s="172" t="str">
        <f t="shared" si="14"/>
        <v/>
      </c>
      <c r="U16" s="205" t="str">
        <f t="shared" si="15"/>
        <v/>
      </c>
      <c r="V16" s="172" t="str">
        <f t="shared" si="16"/>
        <v/>
      </c>
      <c r="W16" s="172" t="str">
        <f t="shared" si="17"/>
        <v/>
      </c>
      <c r="X16" s="124"/>
      <c r="Y16" s="172" t="e">
        <f ca="1">IF(Length_1!O11&lt;0,ROUNDUP(Length_1!O11*K$3,$M$70),ROUNDDOWN(Length_1!O11*K$3,$M$70))</f>
        <v>#N/A</v>
      </c>
      <c r="Z16" s="172" t="e">
        <f ca="1">IF(Length_1!P11&lt;0,ROUNDDOWN(Length_1!P11*K$3,$M$70),ROUNDUP(Length_1!P11*K$3,$M$70))</f>
        <v>#N/A</v>
      </c>
      <c r="AA16" s="172" t="e">
        <f t="shared" ca="1" si="5"/>
        <v>#N/A</v>
      </c>
      <c r="AB16" s="172" t="e">
        <f t="shared" ca="1" si="6"/>
        <v>#N/A</v>
      </c>
      <c r="AC16" s="172" t="e">
        <f t="shared" ca="1" si="7"/>
        <v>#N/A</v>
      </c>
      <c r="AD16" s="172" t="e">
        <f t="shared" ca="1" si="8"/>
        <v>#N/A</v>
      </c>
      <c r="AE16" s="172" t="str">
        <f t="shared" si="18"/>
        <v/>
      </c>
      <c r="AF16" s="172" t="e">
        <f t="shared" ca="1" si="9"/>
        <v>#N/A</v>
      </c>
    </row>
    <row r="17" spans="2:32" ht="15" customHeight="1">
      <c r="B17" s="199" t="b">
        <f>IF(TRIM(Length_1!C12)="",FALSE,TRUE)</f>
        <v>0</v>
      </c>
      <c r="C17" s="172" t="str">
        <f>IF($B17=FALSE,"",VALUE(Length_1!C12))</f>
        <v/>
      </c>
      <c r="D17" s="172" t="str">
        <f>IF($B17=FALSE,"",Length_1!D12)</f>
        <v/>
      </c>
      <c r="E17" s="200" t="str">
        <f>IF($B17=FALSE,"",Length_1!R12)</f>
        <v/>
      </c>
      <c r="F17" s="200" t="str">
        <f>IF($B17=FALSE,"",Length_1!S12)</f>
        <v/>
      </c>
      <c r="G17" s="200" t="str">
        <f>IF($B17=FALSE,"",Length_1!T12)</f>
        <v/>
      </c>
      <c r="H17" s="200" t="str">
        <f>IF($B17=FALSE,"",Length_1!U12)</f>
        <v/>
      </c>
      <c r="I17" s="200" t="str">
        <f>IF($B17=FALSE,"",Length_1!V12)</f>
        <v/>
      </c>
      <c r="J17" s="201" t="str">
        <f t="shared" si="10"/>
        <v/>
      </c>
      <c r="K17" s="259" t="str">
        <f t="shared" si="1"/>
        <v/>
      </c>
      <c r="L17" s="172" t="str">
        <f>IF($B17=FALSE,"",Length_1!G12)</f>
        <v/>
      </c>
      <c r="M17" s="202" t="str">
        <f t="shared" si="2"/>
        <v/>
      </c>
      <c r="N17" s="203" t="str">
        <f t="shared" si="3"/>
        <v/>
      </c>
      <c r="O17" s="204" t="str">
        <f t="shared" si="4"/>
        <v/>
      </c>
      <c r="P17" s="180" t="str">
        <f>IF(B17=FALSE,"",Length_1!F12)</f>
        <v/>
      </c>
      <c r="Q17" s="172" t="str">
        <f t="shared" si="11"/>
        <v/>
      </c>
      <c r="R17" s="172" t="str">
        <f t="shared" si="12"/>
        <v/>
      </c>
      <c r="S17" s="172" t="str">
        <f t="shared" si="13"/>
        <v/>
      </c>
      <c r="T17" s="172" t="str">
        <f t="shared" si="14"/>
        <v/>
      </c>
      <c r="U17" s="205" t="str">
        <f t="shared" si="15"/>
        <v/>
      </c>
      <c r="V17" s="172" t="str">
        <f t="shared" si="16"/>
        <v/>
      </c>
      <c r="W17" s="172" t="str">
        <f t="shared" si="17"/>
        <v/>
      </c>
      <c r="X17" s="124"/>
      <c r="Y17" s="172" t="e">
        <f ca="1">IF(Length_1!O12&lt;0,ROUNDUP(Length_1!O12*K$3,$M$70),ROUNDDOWN(Length_1!O12*K$3,$M$70))</f>
        <v>#N/A</v>
      </c>
      <c r="Z17" s="172" t="e">
        <f ca="1">IF(Length_1!P12&lt;0,ROUNDDOWN(Length_1!P12*K$3,$M$70),ROUNDUP(Length_1!P12*K$3,$M$70))</f>
        <v>#N/A</v>
      </c>
      <c r="AA17" s="172" t="e">
        <f t="shared" ca="1" si="5"/>
        <v>#N/A</v>
      </c>
      <c r="AB17" s="172" t="e">
        <f t="shared" ca="1" si="6"/>
        <v>#N/A</v>
      </c>
      <c r="AC17" s="172" t="e">
        <f t="shared" ca="1" si="7"/>
        <v>#N/A</v>
      </c>
      <c r="AD17" s="172" t="e">
        <f t="shared" ca="1" si="8"/>
        <v>#N/A</v>
      </c>
      <c r="AE17" s="172" t="str">
        <f t="shared" si="18"/>
        <v/>
      </c>
      <c r="AF17" s="172" t="e">
        <f t="shared" ca="1" si="9"/>
        <v>#N/A</v>
      </c>
    </row>
    <row r="18" spans="2:32" ht="15" customHeight="1">
      <c r="B18" s="199" t="b">
        <f>IF(TRIM(Length_1!C13)="",FALSE,TRUE)</f>
        <v>0</v>
      </c>
      <c r="C18" s="172" t="str">
        <f>IF($B18=FALSE,"",VALUE(Length_1!C13))</f>
        <v/>
      </c>
      <c r="D18" s="172" t="str">
        <f>IF($B18=FALSE,"",Length_1!D13)</f>
        <v/>
      </c>
      <c r="E18" s="200" t="str">
        <f>IF($B18=FALSE,"",Length_1!R13)</f>
        <v/>
      </c>
      <c r="F18" s="200" t="str">
        <f>IF($B18=FALSE,"",Length_1!S13)</f>
        <v/>
      </c>
      <c r="G18" s="200" t="str">
        <f>IF($B18=FALSE,"",Length_1!T13)</f>
        <v/>
      </c>
      <c r="H18" s="200" t="str">
        <f>IF($B18=FALSE,"",Length_1!U13)</f>
        <v/>
      </c>
      <c r="I18" s="200" t="str">
        <f>IF($B18=FALSE,"",Length_1!V13)</f>
        <v/>
      </c>
      <c r="J18" s="201" t="str">
        <f t="shared" si="10"/>
        <v/>
      </c>
      <c r="K18" s="259" t="str">
        <f t="shared" si="1"/>
        <v/>
      </c>
      <c r="L18" s="172" t="str">
        <f>IF($B18=FALSE,"",Length_1!G13)</f>
        <v/>
      </c>
      <c r="M18" s="202" t="str">
        <f t="shared" si="2"/>
        <v/>
      </c>
      <c r="N18" s="203" t="str">
        <f t="shared" si="3"/>
        <v/>
      </c>
      <c r="O18" s="204" t="str">
        <f t="shared" si="4"/>
        <v/>
      </c>
      <c r="P18" s="180" t="str">
        <f>IF(B18=FALSE,"",Length_1!F13)</f>
        <v/>
      </c>
      <c r="Q18" s="172" t="str">
        <f t="shared" si="11"/>
        <v/>
      </c>
      <c r="R18" s="172" t="str">
        <f t="shared" si="12"/>
        <v/>
      </c>
      <c r="S18" s="172" t="str">
        <f t="shared" si="13"/>
        <v/>
      </c>
      <c r="T18" s="172" t="str">
        <f t="shared" si="14"/>
        <v/>
      </c>
      <c r="U18" s="205" t="str">
        <f t="shared" si="15"/>
        <v/>
      </c>
      <c r="V18" s="172" t="str">
        <f t="shared" si="16"/>
        <v/>
      </c>
      <c r="W18" s="172" t="str">
        <f t="shared" si="17"/>
        <v/>
      </c>
      <c r="X18" s="124"/>
      <c r="Y18" s="172" t="e">
        <f ca="1">IF(Length_1!O13&lt;0,ROUNDUP(Length_1!O13*K$3,$M$70),ROUNDDOWN(Length_1!O13*K$3,$M$70))</f>
        <v>#N/A</v>
      </c>
      <c r="Z18" s="172" t="e">
        <f ca="1">IF(Length_1!P13&lt;0,ROUNDDOWN(Length_1!P13*K$3,$M$70),ROUNDUP(Length_1!P13*K$3,$M$70))</f>
        <v>#N/A</v>
      </c>
      <c r="AA18" s="172" t="e">
        <f t="shared" ca="1" si="5"/>
        <v>#N/A</v>
      </c>
      <c r="AB18" s="172" t="e">
        <f t="shared" ca="1" si="6"/>
        <v>#N/A</v>
      </c>
      <c r="AC18" s="172" t="e">
        <f t="shared" ca="1" si="7"/>
        <v>#N/A</v>
      </c>
      <c r="AD18" s="172" t="e">
        <f t="shared" ca="1" si="8"/>
        <v>#N/A</v>
      </c>
      <c r="AE18" s="172" t="str">
        <f t="shared" si="18"/>
        <v/>
      </c>
      <c r="AF18" s="172" t="e">
        <f t="shared" ca="1" si="9"/>
        <v>#N/A</v>
      </c>
    </row>
    <row r="19" spans="2:32" ht="15" customHeight="1">
      <c r="B19" s="199" t="b">
        <f>IF(TRIM(Length_1!C14)="",FALSE,TRUE)</f>
        <v>0</v>
      </c>
      <c r="C19" s="172" t="str">
        <f>IF($B19=FALSE,"",VALUE(Length_1!C14))</f>
        <v/>
      </c>
      <c r="D19" s="172" t="str">
        <f>IF($B19=FALSE,"",Length_1!D14)</f>
        <v/>
      </c>
      <c r="E19" s="200" t="str">
        <f>IF($B19=FALSE,"",Length_1!R14)</f>
        <v/>
      </c>
      <c r="F19" s="200" t="str">
        <f>IF($B19=FALSE,"",Length_1!S14)</f>
        <v/>
      </c>
      <c r="G19" s="200" t="str">
        <f>IF($B19=FALSE,"",Length_1!T14)</f>
        <v/>
      </c>
      <c r="H19" s="200" t="str">
        <f>IF($B19=FALSE,"",Length_1!U14)</f>
        <v/>
      </c>
      <c r="I19" s="200" t="str">
        <f>IF($B19=FALSE,"",Length_1!V14)</f>
        <v/>
      </c>
      <c r="J19" s="201" t="str">
        <f t="shared" si="10"/>
        <v/>
      </c>
      <c r="K19" s="259" t="str">
        <f t="shared" si="1"/>
        <v/>
      </c>
      <c r="L19" s="172" t="str">
        <f>IF($B19=FALSE,"",Length_1!G14)</f>
        <v/>
      </c>
      <c r="M19" s="202" t="str">
        <f t="shared" si="2"/>
        <v/>
      </c>
      <c r="N19" s="203" t="str">
        <f t="shared" si="3"/>
        <v/>
      </c>
      <c r="O19" s="204" t="str">
        <f t="shared" si="4"/>
        <v/>
      </c>
      <c r="P19" s="180" t="str">
        <f>IF(B19=FALSE,"",Length_1!F14)</f>
        <v/>
      </c>
      <c r="Q19" s="172" t="str">
        <f t="shared" si="11"/>
        <v/>
      </c>
      <c r="R19" s="172" t="str">
        <f t="shared" si="12"/>
        <v/>
      </c>
      <c r="S19" s="172" t="str">
        <f t="shared" si="13"/>
        <v/>
      </c>
      <c r="T19" s="172" t="str">
        <f t="shared" si="14"/>
        <v/>
      </c>
      <c r="U19" s="205" t="str">
        <f t="shared" si="15"/>
        <v/>
      </c>
      <c r="V19" s="172" t="str">
        <f t="shared" si="16"/>
        <v/>
      </c>
      <c r="W19" s="172" t="str">
        <f t="shared" si="17"/>
        <v/>
      </c>
      <c r="X19" s="124"/>
      <c r="Y19" s="172" t="e">
        <f ca="1">IF(Length_1!O14&lt;0,ROUNDUP(Length_1!O14*K$3,$M$70),ROUNDDOWN(Length_1!O14*K$3,$M$70))</f>
        <v>#N/A</v>
      </c>
      <c r="Z19" s="172" t="e">
        <f ca="1">IF(Length_1!P14&lt;0,ROUNDDOWN(Length_1!P14*K$3,$M$70),ROUNDUP(Length_1!P14*K$3,$M$70))</f>
        <v>#N/A</v>
      </c>
      <c r="AA19" s="172" t="e">
        <f t="shared" ca="1" si="5"/>
        <v>#N/A</v>
      </c>
      <c r="AB19" s="172" t="e">
        <f t="shared" ca="1" si="6"/>
        <v>#N/A</v>
      </c>
      <c r="AC19" s="172" t="e">
        <f t="shared" ca="1" si="7"/>
        <v>#N/A</v>
      </c>
      <c r="AD19" s="172" t="e">
        <f t="shared" ca="1" si="8"/>
        <v>#N/A</v>
      </c>
      <c r="AE19" s="172" t="str">
        <f t="shared" si="18"/>
        <v/>
      </c>
      <c r="AF19" s="172" t="e">
        <f t="shared" ca="1" si="9"/>
        <v>#N/A</v>
      </c>
    </row>
    <row r="20" spans="2:32" ht="15" customHeight="1">
      <c r="B20" s="199" t="b">
        <f>IF(TRIM(Length_1!C15)="",FALSE,TRUE)</f>
        <v>0</v>
      </c>
      <c r="C20" s="172" t="str">
        <f>IF($B20=FALSE,"",VALUE(Length_1!C15))</f>
        <v/>
      </c>
      <c r="D20" s="172" t="str">
        <f>IF($B20=FALSE,"",Length_1!D15)</f>
        <v/>
      </c>
      <c r="E20" s="200" t="str">
        <f>IF($B20=FALSE,"",Length_1!R15)</f>
        <v/>
      </c>
      <c r="F20" s="200" t="str">
        <f>IF($B20=FALSE,"",Length_1!S15)</f>
        <v/>
      </c>
      <c r="G20" s="200" t="str">
        <f>IF($B20=FALSE,"",Length_1!T15)</f>
        <v/>
      </c>
      <c r="H20" s="200" t="str">
        <f>IF($B20=FALSE,"",Length_1!U15)</f>
        <v/>
      </c>
      <c r="I20" s="200" t="str">
        <f>IF($B20=FALSE,"",Length_1!V15)</f>
        <v/>
      </c>
      <c r="J20" s="201" t="str">
        <f t="shared" si="10"/>
        <v/>
      </c>
      <c r="K20" s="259" t="str">
        <f t="shared" si="1"/>
        <v/>
      </c>
      <c r="L20" s="172" t="str">
        <f>IF($B20=FALSE,"",Length_1!G15)</f>
        <v/>
      </c>
      <c r="M20" s="202" t="str">
        <f t="shared" si="2"/>
        <v/>
      </c>
      <c r="N20" s="203" t="str">
        <f t="shared" si="3"/>
        <v/>
      </c>
      <c r="O20" s="204" t="str">
        <f t="shared" si="4"/>
        <v/>
      </c>
      <c r="P20" s="180" t="str">
        <f>IF(B20=FALSE,"",Length_1!F15)</f>
        <v/>
      </c>
      <c r="Q20" s="172" t="str">
        <f t="shared" si="11"/>
        <v/>
      </c>
      <c r="R20" s="172" t="str">
        <f t="shared" si="12"/>
        <v/>
      </c>
      <c r="S20" s="172" t="str">
        <f t="shared" si="13"/>
        <v/>
      </c>
      <c r="T20" s="172" t="str">
        <f t="shared" si="14"/>
        <v/>
      </c>
      <c r="U20" s="205" t="str">
        <f t="shared" si="15"/>
        <v/>
      </c>
      <c r="V20" s="172" t="str">
        <f t="shared" si="16"/>
        <v/>
      </c>
      <c r="W20" s="172" t="str">
        <f t="shared" si="17"/>
        <v/>
      </c>
      <c r="X20" s="124"/>
      <c r="Y20" s="172" t="e">
        <f ca="1">IF(Length_1!O15&lt;0,ROUNDUP(Length_1!O15*K$3,$M$70),ROUNDDOWN(Length_1!O15*K$3,$M$70))</f>
        <v>#N/A</v>
      </c>
      <c r="Z20" s="172" t="e">
        <f ca="1">IF(Length_1!P15&lt;0,ROUNDDOWN(Length_1!P15*K$3,$M$70),ROUNDUP(Length_1!P15*K$3,$M$70))</f>
        <v>#N/A</v>
      </c>
      <c r="AA20" s="172" t="e">
        <f t="shared" ca="1" si="5"/>
        <v>#N/A</v>
      </c>
      <c r="AB20" s="172" t="e">
        <f t="shared" ca="1" si="6"/>
        <v>#N/A</v>
      </c>
      <c r="AC20" s="172" t="e">
        <f t="shared" ca="1" si="7"/>
        <v>#N/A</v>
      </c>
      <c r="AD20" s="172" t="e">
        <f t="shared" ca="1" si="8"/>
        <v>#N/A</v>
      </c>
      <c r="AE20" s="172" t="str">
        <f t="shared" si="18"/>
        <v/>
      </c>
      <c r="AF20" s="172" t="e">
        <f t="shared" ca="1" si="9"/>
        <v>#N/A</v>
      </c>
    </row>
    <row r="21" spans="2:32" ht="15" customHeight="1">
      <c r="B21" s="199" t="b">
        <f>IF(TRIM(Length_1!C16)="",FALSE,TRUE)</f>
        <v>0</v>
      </c>
      <c r="C21" s="172" t="str">
        <f>IF($B21=FALSE,"",VALUE(Length_1!C16))</f>
        <v/>
      </c>
      <c r="D21" s="172" t="str">
        <f>IF($B21=FALSE,"",Length_1!D16)</f>
        <v/>
      </c>
      <c r="E21" s="200" t="str">
        <f>IF($B21=FALSE,"",Length_1!R16)</f>
        <v/>
      </c>
      <c r="F21" s="200" t="str">
        <f>IF($B21=FALSE,"",Length_1!S16)</f>
        <v/>
      </c>
      <c r="G21" s="200" t="str">
        <f>IF($B21=FALSE,"",Length_1!T16)</f>
        <v/>
      </c>
      <c r="H21" s="200" t="str">
        <f>IF($B21=FALSE,"",Length_1!U16)</f>
        <v/>
      </c>
      <c r="I21" s="200" t="str">
        <f>IF($B21=FALSE,"",Length_1!V16)</f>
        <v/>
      </c>
      <c r="J21" s="201" t="str">
        <f t="shared" si="10"/>
        <v/>
      </c>
      <c r="K21" s="259" t="str">
        <f t="shared" si="1"/>
        <v/>
      </c>
      <c r="L21" s="172" t="str">
        <f>IF($B21=FALSE,"",Length_1!G16)</f>
        <v/>
      </c>
      <c r="M21" s="202" t="str">
        <f t="shared" si="2"/>
        <v/>
      </c>
      <c r="N21" s="203" t="str">
        <f t="shared" si="3"/>
        <v/>
      </c>
      <c r="O21" s="204" t="str">
        <f t="shared" si="4"/>
        <v/>
      </c>
      <c r="P21" s="180" t="str">
        <f>IF(B21=FALSE,"",Length_1!F16)</f>
        <v/>
      </c>
      <c r="Q21" s="172" t="str">
        <f t="shared" si="11"/>
        <v/>
      </c>
      <c r="R21" s="172" t="str">
        <f t="shared" si="12"/>
        <v/>
      </c>
      <c r="S21" s="172" t="str">
        <f t="shared" si="13"/>
        <v/>
      </c>
      <c r="T21" s="172" t="str">
        <f t="shared" si="14"/>
        <v/>
      </c>
      <c r="U21" s="205" t="str">
        <f t="shared" si="15"/>
        <v/>
      </c>
      <c r="V21" s="172" t="str">
        <f t="shared" si="16"/>
        <v/>
      </c>
      <c r="W21" s="172" t="str">
        <f t="shared" si="17"/>
        <v/>
      </c>
      <c r="X21" s="124"/>
      <c r="Y21" s="172" t="e">
        <f ca="1">IF(Length_1!O16&lt;0,ROUNDUP(Length_1!O16*K$3,$M$70),ROUNDDOWN(Length_1!O16*K$3,$M$70))</f>
        <v>#N/A</v>
      </c>
      <c r="Z21" s="172" t="e">
        <f ca="1">IF(Length_1!P16&lt;0,ROUNDDOWN(Length_1!P16*K$3,$M$70),ROUNDUP(Length_1!P16*K$3,$M$70))</f>
        <v>#N/A</v>
      </c>
      <c r="AA21" s="172" t="e">
        <f t="shared" ca="1" si="5"/>
        <v>#N/A</v>
      </c>
      <c r="AB21" s="172" t="e">
        <f t="shared" ca="1" si="6"/>
        <v>#N/A</v>
      </c>
      <c r="AC21" s="172" t="e">
        <f t="shared" ca="1" si="7"/>
        <v>#N/A</v>
      </c>
      <c r="AD21" s="172" t="e">
        <f t="shared" ca="1" si="8"/>
        <v>#N/A</v>
      </c>
      <c r="AE21" s="172" t="str">
        <f t="shared" si="18"/>
        <v/>
      </c>
      <c r="AF21" s="172" t="e">
        <f t="shared" ca="1" si="9"/>
        <v>#N/A</v>
      </c>
    </row>
    <row r="22" spans="2:32" ht="15" customHeight="1">
      <c r="B22" s="199" t="b">
        <f>IF(TRIM(Length_1!C17)="",FALSE,TRUE)</f>
        <v>0</v>
      </c>
      <c r="C22" s="172" t="str">
        <f>IF($B22=FALSE,"",VALUE(Length_1!C17))</f>
        <v/>
      </c>
      <c r="D22" s="172" t="str">
        <f>IF($B22=FALSE,"",Length_1!D17)</f>
        <v/>
      </c>
      <c r="E22" s="200" t="str">
        <f>IF($B22=FALSE,"",Length_1!R17)</f>
        <v/>
      </c>
      <c r="F22" s="200" t="str">
        <f>IF($B22=FALSE,"",Length_1!S17)</f>
        <v/>
      </c>
      <c r="G22" s="200" t="str">
        <f>IF($B22=FALSE,"",Length_1!T17)</f>
        <v/>
      </c>
      <c r="H22" s="200" t="str">
        <f>IF($B22=FALSE,"",Length_1!U17)</f>
        <v/>
      </c>
      <c r="I22" s="200" t="str">
        <f>IF($B22=FALSE,"",Length_1!V17)</f>
        <v/>
      </c>
      <c r="J22" s="201" t="str">
        <f t="shared" si="10"/>
        <v/>
      </c>
      <c r="K22" s="259" t="str">
        <f t="shared" si="1"/>
        <v/>
      </c>
      <c r="L22" s="172" t="str">
        <f>IF($B22=FALSE,"",Length_1!G17)</f>
        <v/>
      </c>
      <c r="M22" s="202" t="str">
        <f t="shared" si="2"/>
        <v/>
      </c>
      <c r="N22" s="203" t="str">
        <f t="shared" si="3"/>
        <v/>
      </c>
      <c r="O22" s="204" t="str">
        <f t="shared" si="4"/>
        <v/>
      </c>
      <c r="P22" s="180" t="str">
        <f>IF(B22=FALSE,"",Length_1!F17)</f>
        <v/>
      </c>
      <c r="Q22" s="172" t="str">
        <f t="shared" si="11"/>
        <v/>
      </c>
      <c r="R22" s="172" t="str">
        <f t="shared" si="12"/>
        <v/>
      </c>
      <c r="S22" s="172" t="str">
        <f t="shared" si="13"/>
        <v/>
      </c>
      <c r="T22" s="172" t="str">
        <f t="shared" si="14"/>
        <v/>
      </c>
      <c r="U22" s="205" t="str">
        <f t="shared" si="15"/>
        <v/>
      </c>
      <c r="V22" s="172" t="str">
        <f t="shared" si="16"/>
        <v/>
      </c>
      <c r="W22" s="172" t="str">
        <f t="shared" si="17"/>
        <v/>
      </c>
      <c r="X22" s="124"/>
      <c r="Y22" s="172" t="e">
        <f ca="1">IF(Length_1!O17&lt;0,ROUNDUP(Length_1!O17*K$3,$M$70),ROUNDDOWN(Length_1!O17*K$3,$M$70))</f>
        <v>#N/A</v>
      </c>
      <c r="Z22" s="172" t="e">
        <f ca="1">IF(Length_1!P17&lt;0,ROUNDDOWN(Length_1!P17*K$3,$M$70),ROUNDUP(Length_1!P17*K$3,$M$70))</f>
        <v>#N/A</v>
      </c>
      <c r="AA22" s="172" t="e">
        <f t="shared" ca="1" si="5"/>
        <v>#N/A</v>
      </c>
      <c r="AB22" s="172" t="e">
        <f t="shared" ca="1" si="6"/>
        <v>#N/A</v>
      </c>
      <c r="AC22" s="172" t="e">
        <f t="shared" ca="1" si="7"/>
        <v>#N/A</v>
      </c>
      <c r="AD22" s="172" t="e">
        <f t="shared" ca="1" si="8"/>
        <v>#N/A</v>
      </c>
      <c r="AE22" s="172" t="str">
        <f t="shared" si="18"/>
        <v/>
      </c>
      <c r="AF22" s="172" t="e">
        <f t="shared" ca="1" si="9"/>
        <v>#N/A</v>
      </c>
    </row>
    <row r="23" spans="2:32" ht="15" customHeight="1">
      <c r="B23" s="199" t="b">
        <f>IF(TRIM(Length_1!C18)="",FALSE,TRUE)</f>
        <v>0</v>
      </c>
      <c r="C23" s="172" t="str">
        <f>IF($B23=FALSE,"",VALUE(Length_1!C18))</f>
        <v/>
      </c>
      <c r="D23" s="172" t="str">
        <f>IF($B23=FALSE,"",Length_1!D18)</f>
        <v/>
      </c>
      <c r="E23" s="200" t="str">
        <f>IF($B23=FALSE,"",Length_1!R18)</f>
        <v/>
      </c>
      <c r="F23" s="200" t="str">
        <f>IF($B23=FALSE,"",Length_1!S18)</f>
        <v/>
      </c>
      <c r="G23" s="200" t="str">
        <f>IF($B23=FALSE,"",Length_1!T18)</f>
        <v/>
      </c>
      <c r="H23" s="200" t="str">
        <f>IF($B23=FALSE,"",Length_1!U18)</f>
        <v/>
      </c>
      <c r="I23" s="200" t="str">
        <f>IF($B23=FALSE,"",Length_1!V18)</f>
        <v/>
      </c>
      <c r="J23" s="201" t="str">
        <f t="shared" si="10"/>
        <v/>
      </c>
      <c r="K23" s="259" t="str">
        <f t="shared" si="1"/>
        <v/>
      </c>
      <c r="L23" s="172" t="str">
        <f>IF($B23=FALSE,"",Length_1!G18)</f>
        <v/>
      </c>
      <c r="M23" s="202" t="str">
        <f t="shared" si="2"/>
        <v/>
      </c>
      <c r="N23" s="203" t="str">
        <f t="shared" si="3"/>
        <v/>
      </c>
      <c r="O23" s="204" t="str">
        <f t="shared" si="4"/>
        <v/>
      </c>
      <c r="P23" s="180" t="str">
        <f>IF(B23=FALSE,"",Length_1!F18)</f>
        <v/>
      </c>
      <c r="Q23" s="172" t="str">
        <f t="shared" si="11"/>
        <v/>
      </c>
      <c r="R23" s="172" t="str">
        <f t="shared" si="12"/>
        <v/>
      </c>
      <c r="S23" s="172" t="str">
        <f t="shared" si="13"/>
        <v/>
      </c>
      <c r="T23" s="172" t="str">
        <f t="shared" si="14"/>
        <v/>
      </c>
      <c r="U23" s="205" t="str">
        <f t="shared" si="15"/>
        <v/>
      </c>
      <c r="V23" s="172" t="str">
        <f t="shared" si="16"/>
        <v/>
      </c>
      <c r="W23" s="172" t="str">
        <f t="shared" si="17"/>
        <v/>
      </c>
      <c r="X23" s="124"/>
      <c r="Y23" s="172" t="e">
        <f ca="1">IF(Length_1!O18&lt;0,ROUNDUP(Length_1!O18*K$3,$M$70),ROUNDDOWN(Length_1!O18*K$3,$M$70))</f>
        <v>#N/A</v>
      </c>
      <c r="Z23" s="172" t="e">
        <f ca="1">IF(Length_1!P18&lt;0,ROUNDDOWN(Length_1!P18*K$3,$M$70),ROUNDUP(Length_1!P18*K$3,$M$70))</f>
        <v>#N/A</v>
      </c>
      <c r="AA23" s="172" t="e">
        <f t="shared" ca="1" si="5"/>
        <v>#N/A</v>
      </c>
      <c r="AB23" s="172" t="e">
        <f t="shared" ca="1" si="6"/>
        <v>#N/A</v>
      </c>
      <c r="AC23" s="172" t="e">
        <f t="shared" ca="1" si="7"/>
        <v>#N/A</v>
      </c>
      <c r="AD23" s="172" t="e">
        <f t="shared" ca="1" si="8"/>
        <v>#N/A</v>
      </c>
      <c r="AE23" s="172" t="str">
        <f t="shared" si="18"/>
        <v/>
      </c>
      <c r="AF23" s="172" t="e">
        <f t="shared" ca="1" si="9"/>
        <v>#N/A</v>
      </c>
    </row>
    <row r="24" spans="2:32" ht="15" customHeight="1">
      <c r="B24" s="199" t="b">
        <f>IF(TRIM(Length_1!C19)="",FALSE,TRUE)</f>
        <v>0</v>
      </c>
      <c r="C24" s="172" t="str">
        <f>IF($B24=FALSE,"",VALUE(Length_1!C19))</f>
        <v/>
      </c>
      <c r="D24" s="172" t="str">
        <f>IF($B24=FALSE,"",Length_1!D19)</f>
        <v/>
      </c>
      <c r="E24" s="200" t="str">
        <f>IF($B24=FALSE,"",Length_1!R19)</f>
        <v/>
      </c>
      <c r="F24" s="200" t="str">
        <f>IF($B24=FALSE,"",Length_1!S19)</f>
        <v/>
      </c>
      <c r="G24" s="200" t="str">
        <f>IF($B24=FALSE,"",Length_1!T19)</f>
        <v/>
      </c>
      <c r="H24" s="200" t="str">
        <f>IF($B24=FALSE,"",Length_1!U19)</f>
        <v/>
      </c>
      <c r="I24" s="200" t="str">
        <f>IF($B24=FALSE,"",Length_1!V19)</f>
        <v/>
      </c>
      <c r="J24" s="201" t="str">
        <f t="shared" si="10"/>
        <v/>
      </c>
      <c r="K24" s="259" t="str">
        <f t="shared" si="1"/>
        <v/>
      </c>
      <c r="L24" s="172" t="str">
        <f>IF($B24=FALSE,"",Length_1!G19)</f>
        <v/>
      </c>
      <c r="M24" s="202" t="str">
        <f t="shared" si="2"/>
        <v/>
      </c>
      <c r="N24" s="203" t="str">
        <f t="shared" si="3"/>
        <v/>
      </c>
      <c r="O24" s="204" t="str">
        <f t="shared" si="4"/>
        <v/>
      </c>
      <c r="P24" s="180" t="str">
        <f>IF(B24=FALSE,"",Length_1!F19)</f>
        <v/>
      </c>
      <c r="Q24" s="172" t="str">
        <f t="shared" si="11"/>
        <v/>
      </c>
      <c r="R24" s="172" t="str">
        <f t="shared" si="12"/>
        <v/>
      </c>
      <c r="S24" s="172" t="str">
        <f t="shared" si="13"/>
        <v/>
      </c>
      <c r="T24" s="172" t="str">
        <f t="shared" si="14"/>
        <v/>
      </c>
      <c r="U24" s="205" t="str">
        <f t="shared" si="15"/>
        <v/>
      </c>
      <c r="V24" s="172" t="str">
        <f t="shared" si="16"/>
        <v/>
      </c>
      <c r="W24" s="172" t="str">
        <f t="shared" si="17"/>
        <v/>
      </c>
      <c r="X24" s="124"/>
      <c r="Y24" s="172" t="e">
        <f ca="1">IF(Length_1!O19&lt;0,ROUNDUP(Length_1!O19*K$3,$M$70),ROUNDDOWN(Length_1!O19*K$3,$M$70))</f>
        <v>#N/A</v>
      </c>
      <c r="Z24" s="172" t="e">
        <f ca="1">IF(Length_1!P19&lt;0,ROUNDDOWN(Length_1!P19*K$3,$M$70),ROUNDUP(Length_1!P19*K$3,$M$70))</f>
        <v>#N/A</v>
      </c>
      <c r="AA24" s="172" t="e">
        <f t="shared" ca="1" si="5"/>
        <v>#N/A</v>
      </c>
      <c r="AB24" s="172" t="e">
        <f t="shared" ca="1" si="6"/>
        <v>#N/A</v>
      </c>
      <c r="AC24" s="172" t="e">
        <f t="shared" ca="1" si="7"/>
        <v>#N/A</v>
      </c>
      <c r="AD24" s="172" t="e">
        <f t="shared" ca="1" si="8"/>
        <v>#N/A</v>
      </c>
      <c r="AE24" s="172" t="str">
        <f t="shared" si="18"/>
        <v/>
      </c>
      <c r="AF24" s="172" t="e">
        <f t="shared" ca="1" si="9"/>
        <v>#N/A</v>
      </c>
    </row>
    <row r="25" spans="2:32" ht="15" customHeight="1">
      <c r="B25" s="199" t="b">
        <f>IF(TRIM(Length_1!C20)="",FALSE,TRUE)</f>
        <v>0</v>
      </c>
      <c r="C25" s="172" t="str">
        <f>IF($B25=FALSE,"",VALUE(Length_1!C20))</f>
        <v/>
      </c>
      <c r="D25" s="172" t="str">
        <f>IF($B25=FALSE,"",Length_1!D20)</f>
        <v/>
      </c>
      <c r="E25" s="200" t="str">
        <f>IF($B25=FALSE,"",Length_1!R20)</f>
        <v/>
      </c>
      <c r="F25" s="200" t="str">
        <f>IF($B25=FALSE,"",Length_1!S20)</f>
        <v/>
      </c>
      <c r="G25" s="200" t="str">
        <f>IF($B25=FALSE,"",Length_1!T20)</f>
        <v/>
      </c>
      <c r="H25" s="200" t="str">
        <f>IF($B25=FALSE,"",Length_1!U20)</f>
        <v/>
      </c>
      <c r="I25" s="200" t="str">
        <f>IF($B25=FALSE,"",Length_1!V20)</f>
        <v/>
      </c>
      <c r="J25" s="201" t="str">
        <f t="shared" si="10"/>
        <v/>
      </c>
      <c r="K25" s="259" t="str">
        <f t="shared" si="1"/>
        <v/>
      </c>
      <c r="L25" s="172" t="str">
        <f>IF($B25=FALSE,"",Length_1!G20)</f>
        <v/>
      </c>
      <c r="M25" s="202" t="str">
        <f t="shared" si="2"/>
        <v/>
      </c>
      <c r="N25" s="203" t="str">
        <f t="shared" si="3"/>
        <v/>
      </c>
      <c r="O25" s="204" t="str">
        <f t="shared" si="4"/>
        <v/>
      </c>
      <c r="P25" s="180" t="str">
        <f>IF(B25=FALSE,"",Length_1!F20)</f>
        <v/>
      </c>
      <c r="Q25" s="172" t="str">
        <f t="shared" si="11"/>
        <v/>
      </c>
      <c r="R25" s="172" t="str">
        <f t="shared" si="12"/>
        <v/>
      </c>
      <c r="S25" s="172" t="str">
        <f t="shared" si="13"/>
        <v/>
      </c>
      <c r="T25" s="172" t="str">
        <f t="shared" si="14"/>
        <v/>
      </c>
      <c r="U25" s="205" t="str">
        <f t="shared" si="15"/>
        <v/>
      </c>
      <c r="V25" s="172" t="str">
        <f t="shared" si="16"/>
        <v/>
      </c>
      <c r="W25" s="172" t="str">
        <f t="shared" si="17"/>
        <v/>
      </c>
      <c r="X25" s="124"/>
      <c r="Y25" s="172" t="e">
        <f ca="1">IF(Length_1!O20&lt;0,ROUNDUP(Length_1!O20*K$3,$M$70),ROUNDDOWN(Length_1!O20*K$3,$M$70))</f>
        <v>#N/A</v>
      </c>
      <c r="Z25" s="172" t="e">
        <f ca="1">IF(Length_1!P20&lt;0,ROUNDDOWN(Length_1!P20*K$3,$M$70),ROUNDUP(Length_1!P20*K$3,$M$70))</f>
        <v>#N/A</v>
      </c>
      <c r="AA25" s="172" t="e">
        <f t="shared" ca="1" si="5"/>
        <v>#N/A</v>
      </c>
      <c r="AB25" s="172" t="e">
        <f t="shared" ca="1" si="6"/>
        <v>#N/A</v>
      </c>
      <c r="AC25" s="172" t="e">
        <f t="shared" ca="1" si="7"/>
        <v>#N/A</v>
      </c>
      <c r="AD25" s="172" t="e">
        <f t="shared" ca="1" si="8"/>
        <v>#N/A</v>
      </c>
      <c r="AE25" s="172" t="str">
        <f t="shared" si="18"/>
        <v/>
      </c>
      <c r="AF25" s="172" t="e">
        <f t="shared" ca="1" si="9"/>
        <v>#N/A</v>
      </c>
    </row>
    <row r="26" spans="2:32" ht="15" customHeight="1">
      <c r="B26" s="199" t="b">
        <f>IF(TRIM(Length_1!C21)="",FALSE,TRUE)</f>
        <v>0</v>
      </c>
      <c r="C26" s="172" t="str">
        <f>IF($B26=FALSE,"",VALUE(Length_1!C21))</f>
        <v/>
      </c>
      <c r="D26" s="172" t="str">
        <f>IF($B26=FALSE,"",Length_1!D21)</f>
        <v/>
      </c>
      <c r="E26" s="200" t="str">
        <f>IF($B26=FALSE,"",Length_1!R21)</f>
        <v/>
      </c>
      <c r="F26" s="200" t="str">
        <f>IF($B26=FALSE,"",Length_1!S21)</f>
        <v/>
      </c>
      <c r="G26" s="200" t="str">
        <f>IF($B26=FALSE,"",Length_1!T21)</f>
        <v/>
      </c>
      <c r="H26" s="200" t="str">
        <f>IF($B26=FALSE,"",Length_1!U21)</f>
        <v/>
      </c>
      <c r="I26" s="200" t="str">
        <f>IF($B26=FALSE,"",Length_1!V21)</f>
        <v/>
      </c>
      <c r="J26" s="201" t="str">
        <f t="shared" si="10"/>
        <v/>
      </c>
      <c r="K26" s="259" t="str">
        <f t="shared" si="1"/>
        <v/>
      </c>
      <c r="L26" s="172" t="str">
        <f>IF($B26=FALSE,"",Length_1!G21)</f>
        <v/>
      </c>
      <c r="M26" s="202" t="str">
        <f t="shared" si="2"/>
        <v/>
      </c>
      <c r="N26" s="203" t="str">
        <f t="shared" si="3"/>
        <v/>
      </c>
      <c r="O26" s="204" t="str">
        <f t="shared" si="4"/>
        <v/>
      </c>
      <c r="P26" s="180" t="str">
        <f>IF(B26=FALSE,"",Length_1!F21)</f>
        <v/>
      </c>
      <c r="Q26" s="172" t="str">
        <f t="shared" si="11"/>
        <v/>
      </c>
      <c r="R26" s="172" t="str">
        <f t="shared" si="12"/>
        <v/>
      </c>
      <c r="S26" s="172" t="str">
        <f t="shared" si="13"/>
        <v/>
      </c>
      <c r="T26" s="172" t="str">
        <f t="shared" si="14"/>
        <v/>
      </c>
      <c r="U26" s="205" t="str">
        <f t="shared" si="15"/>
        <v/>
      </c>
      <c r="V26" s="172" t="str">
        <f t="shared" si="16"/>
        <v/>
      </c>
      <c r="W26" s="172" t="str">
        <f t="shared" si="17"/>
        <v/>
      </c>
      <c r="X26" s="124"/>
      <c r="Y26" s="172" t="e">
        <f ca="1">IF(Length_1!O21&lt;0,ROUNDUP(Length_1!O21*K$3,$M$70),ROUNDDOWN(Length_1!O21*K$3,$M$70))</f>
        <v>#N/A</v>
      </c>
      <c r="Z26" s="172" t="e">
        <f ca="1">IF(Length_1!P21&lt;0,ROUNDDOWN(Length_1!P21*K$3,$M$70),ROUNDUP(Length_1!P21*K$3,$M$70))</f>
        <v>#N/A</v>
      </c>
      <c r="AA26" s="172" t="e">
        <f t="shared" ca="1" si="5"/>
        <v>#N/A</v>
      </c>
      <c r="AB26" s="172" t="e">
        <f t="shared" ca="1" si="6"/>
        <v>#N/A</v>
      </c>
      <c r="AC26" s="172" t="e">
        <f t="shared" ca="1" si="7"/>
        <v>#N/A</v>
      </c>
      <c r="AD26" s="172" t="e">
        <f t="shared" ca="1" si="8"/>
        <v>#N/A</v>
      </c>
      <c r="AE26" s="172" t="str">
        <f t="shared" si="18"/>
        <v/>
      </c>
      <c r="AF26" s="172" t="e">
        <f t="shared" ca="1" si="9"/>
        <v>#N/A</v>
      </c>
    </row>
    <row r="27" spans="2:32" ht="15" customHeight="1">
      <c r="B27" s="199" t="b">
        <f>IF(TRIM(Length_1!C22)="",FALSE,TRUE)</f>
        <v>0</v>
      </c>
      <c r="C27" s="172" t="str">
        <f>IF($B27=FALSE,"",VALUE(Length_1!C22))</f>
        <v/>
      </c>
      <c r="D27" s="172" t="str">
        <f>IF($B27=FALSE,"",Length_1!D22)</f>
        <v/>
      </c>
      <c r="E27" s="200" t="str">
        <f>IF($B27=FALSE,"",Length_1!R22)</f>
        <v/>
      </c>
      <c r="F27" s="200" t="str">
        <f>IF($B27=FALSE,"",Length_1!S22)</f>
        <v/>
      </c>
      <c r="G27" s="200" t="str">
        <f>IF($B27=FALSE,"",Length_1!T22)</f>
        <v/>
      </c>
      <c r="H27" s="200" t="str">
        <f>IF($B27=FALSE,"",Length_1!U22)</f>
        <v/>
      </c>
      <c r="I27" s="200" t="str">
        <f>IF($B27=FALSE,"",Length_1!V22)</f>
        <v/>
      </c>
      <c r="J27" s="201" t="str">
        <f t="shared" si="10"/>
        <v/>
      </c>
      <c r="K27" s="259" t="str">
        <f t="shared" si="1"/>
        <v/>
      </c>
      <c r="L27" s="172" t="str">
        <f>IF($B27=FALSE,"",Length_1!G22)</f>
        <v/>
      </c>
      <c r="M27" s="202" t="str">
        <f t="shared" si="2"/>
        <v/>
      </c>
      <c r="N27" s="203" t="str">
        <f t="shared" si="3"/>
        <v/>
      </c>
      <c r="O27" s="204" t="str">
        <f t="shared" si="4"/>
        <v/>
      </c>
      <c r="P27" s="180" t="str">
        <f>IF(B27=FALSE,"",Length_1!F22)</f>
        <v/>
      </c>
      <c r="Q27" s="172" t="str">
        <f t="shared" si="11"/>
        <v/>
      </c>
      <c r="R27" s="172" t="str">
        <f t="shared" si="12"/>
        <v/>
      </c>
      <c r="S27" s="172" t="str">
        <f t="shared" si="13"/>
        <v/>
      </c>
      <c r="T27" s="172" t="str">
        <f t="shared" si="14"/>
        <v/>
      </c>
      <c r="U27" s="205" t="str">
        <f t="shared" si="15"/>
        <v/>
      </c>
      <c r="V27" s="172" t="str">
        <f t="shared" si="16"/>
        <v/>
      </c>
      <c r="W27" s="172" t="str">
        <f t="shared" si="17"/>
        <v/>
      </c>
      <c r="X27" s="124"/>
      <c r="Y27" s="172" t="e">
        <f ca="1">IF(Length_1!O22&lt;0,ROUNDUP(Length_1!O22*K$3,$M$70),ROUNDDOWN(Length_1!O22*K$3,$M$70))</f>
        <v>#N/A</v>
      </c>
      <c r="Z27" s="172" t="e">
        <f ca="1">IF(Length_1!P22&lt;0,ROUNDDOWN(Length_1!P22*K$3,$M$70),ROUNDUP(Length_1!P22*K$3,$M$70))</f>
        <v>#N/A</v>
      </c>
      <c r="AA27" s="172" t="e">
        <f t="shared" ca="1" si="5"/>
        <v>#N/A</v>
      </c>
      <c r="AB27" s="172" t="e">
        <f t="shared" ca="1" si="6"/>
        <v>#N/A</v>
      </c>
      <c r="AC27" s="172" t="e">
        <f t="shared" ca="1" si="7"/>
        <v>#N/A</v>
      </c>
      <c r="AD27" s="172" t="e">
        <f t="shared" ca="1" si="8"/>
        <v>#N/A</v>
      </c>
      <c r="AE27" s="172" t="str">
        <f t="shared" si="18"/>
        <v/>
      </c>
      <c r="AF27" s="172" t="e">
        <f t="shared" ca="1" si="9"/>
        <v>#N/A</v>
      </c>
    </row>
    <row r="28" spans="2:32" ht="15" customHeight="1">
      <c r="B28" s="199" t="b">
        <f>IF(TRIM(Length_1!C23)="",FALSE,TRUE)</f>
        <v>0</v>
      </c>
      <c r="C28" s="172" t="str">
        <f>IF($B28=FALSE,"",VALUE(Length_1!C23))</f>
        <v/>
      </c>
      <c r="D28" s="172" t="str">
        <f>IF($B28=FALSE,"",Length_1!D23)</f>
        <v/>
      </c>
      <c r="E28" s="200" t="str">
        <f>IF($B28=FALSE,"",Length_1!R23)</f>
        <v/>
      </c>
      <c r="F28" s="200" t="str">
        <f>IF($B28=FALSE,"",Length_1!S23)</f>
        <v/>
      </c>
      <c r="G28" s="200" t="str">
        <f>IF($B28=FALSE,"",Length_1!T23)</f>
        <v/>
      </c>
      <c r="H28" s="200" t="str">
        <f>IF($B28=FALSE,"",Length_1!U23)</f>
        <v/>
      </c>
      <c r="I28" s="200" t="str">
        <f>IF($B28=FALSE,"",Length_1!V23)</f>
        <v/>
      </c>
      <c r="J28" s="201" t="str">
        <f t="shared" si="10"/>
        <v/>
      </c>
      <c r="K28" s="259" t="str">
        <f t="shared" si="1"/>
        <v/>
      </c>
      <c r="L28" s="172" t="str">
        <f>IF($B28=FALSE,"",Length_1!G23)</f>
        <v/>
      </c>
      <c r="M28" s="202" t="str">
        <f t="shared" si="2"/>
        <v/>
      </c>
      <c r="N28" s="203" t="str">
        <f t="shared" si="3"/>
        <v/>
      </c>
      <c r="O28" s="204" t="str">
        <f t="shared" si="4"/>
        <v/>
      </c>
      <c r="P28" s="180" t="str">
        <f>IF(B28=FALSE,"",Length_1!F23)</f>
        <v/>
      </c>
      <c r="Q28" s="172" t="str">
        <f t="shared" si="11"/>
        <v/>
      </c>
      <c r="R28" s="172" t="str">
        <f t="shared" si="12"/>
        <v/>
      </c>
      <c r="S28" s="172" t="str">
        <f t="shared" si="13"/>
        <v/>
      </c>
      <c r="T28" s="172" t="str">
        <f t="shared" si="14"/>
        <v/>
      </c>
      <c r="U28" s="205" t="str">
        <f t="shared" si="15"/>
        <v/>
      </c>
      <c r="V28" s="172" t="str">
        <f t="shared" si="16"/>
        <v/>
      </c>
      <c r="W28" s="172" t="str">
        <f t="shared" si="17"/>
        <v/>
      </c>
      <c r="X28" s="124"/>
      <c r="Y28" s="172" t="e">
        <f ca="1">IF(Length_1!O23&lt;0,ROUNDUP(Length_1!O23*K$3,$M$70),ROUNDDOWN(Length_1!O23*K$3,$M$70))</f>
        <v>#N/A</v>
      </c>
      <c r="Z28" s="172" t="e">
        <f ca="1">IF(Length_1!P23&lt;0,ROUNDDOWN(Length_1!P23*K$3,$M$70),ROUNDUP(Length_1!P23*K$3,$M$70))</f>
        <v>#N/A</v>
      </c>
      <c r="AA28" s="172" t="e">
        <f t="shared" ca="1" si="5"/>
        <v>#N/A</v>
      </c>
      <c r="AB28" s="172" t="e">
        <f t="shared" ca="1" si="6"/>
        <v>#N/A</v>
      </c>
      <c r="AC28" s="172" t="e">
        <f t="shared" ca="1" si="7"/>
        <v>#N/A</v>
      </c>
      <c r="AD28" s="172" t="e">
        <f t="shared" ca="1" si="8"/>
        <v>#N/A</v>
      </c>
      <c r="AE28" s="172" t="str">
        <f t="shared" si="18"/>
        <v/>
      </c>
      <c r="AF28" s="172" t="e">
        <f t="shared" ca="1" si="9"/>
        <v>#N/A</v>
      </c>
    </row>
    <row r="29" spans="2:32" ht="15" customHeight="1">
      <c r="B29" s="199" t="b">
        <f>IF(TRIM(Length_1!C24)="",FALSE,TRUE)</f>
        <v>0</v>
      </c>
      <c r="C29" s="172" t="str">
        <f>IF($B29=FALSE,"",VALUE(Length_1!C24))</f>
        <v/>
      </c>
      <c r="D29" s="172" t="str">
        <f>IF($B29=FALSE,"",Length_1!D24)</f>
        <v/>
      </c>
      <c r="E29" s="200" t="str">
        <f>IF($B29=FALSE,"",Length_1!R24)</f>
        <v/>
      </c>
      <c r="F29" s="200" t="str">
        <f>IF($B29=FALSE,"",Length_1!S24)</f>
        <v/>
      </c>
      <c r="G29" s="200" t="str">
        <f>IF($B29=FALSE,"",Length_1!T24)</f>
        <v/>
      </c>
      <c r="H29" s="200" t="str">
        <f>IF($B29=FALSE,"",Length_1!U24)</f>
        <v/>
      </c>
      <c r="I29" s="200" t="str">
        <f>IF($B29=FALSE,"",Length_1!V24)</f>
        <v/>
      </c>
      <c r="J29" s="201" t="str">
        <f t="shared" si="10"/>
        <v/>
      </c>
      <c r="K29" s="259" t="str">
        <f t="shared" si="1"/>
        <v/>
      </c>
      <c r="L29" s="172" t="str">
        <f>IF($B29=FALSE,"",Length_1!G24)</f>
        <v/>
      </c>
      <c r="M29" s="202" t="str">
        <f t="shared" si="2"/>
        <v/>
      </c>
      <c r="N29" s="203" t="str">
        <f t="shared" si="3"/>
        <v/>
      </c>
      <c r="O29" s="204" t="str">
        <f t="shared" si="4"/>
        <v/>
      </c>
      <c r="P29" s="180" t="str">
        <f>IF(B29=FALSE,"",Length_1!F24)</f>
        <v/>
      </c>
      <c r="Q29" s="172" t="str">
        <f t="shared" si="11"/>
        <v/>
      </c>
      <c r="R29" s="172" t="str">
        <f t="shared" si="12"/>
        <v/>
      </c>
      <c r="S29" s="172" t="str">
        <f t="shared" si="13"/>
        <v/>
      </c>
      <c r="T29" s="172" t="str">
        <f t="shared" si="14"/>
        <v/>
      </c>
      <c r="U29" s="205" t="str">
        <f t="shared" si="15"/>
        <v/>
      </c>
      <c r="V29" s="172" t="str">
        <f t="shared" si="16"/>
        <v/>
      </c>
      <c r="W29" s="172" t="str">
        <f t="shared" si="17"/>
        <v/>
      </c>
      <c r="X29" s="124"/>
      <c r="Y29" s="172" t="e">
        <f ca="1">IF(Length_1!O24&lt;0,ROUNDUP(Length_1!O24*K$3,$M$70),ROUNDDOWN(Length_1!O24*K$3,$M$70))</f>
        <v>#N/A</v>
      </c>
      <c r="Z29" s="172" t="e">
        <f ca="1">IF(Length_1!P24&lt;0,ROUNDDOWN(Length_1!P24*K$3,$M$70),ROUNDUP(Length_1!P24*K$3,$M$70))</f>
        <v>#N/A</v>
      </c>
      <c r="AA29" s="172" t="e">
        <f t="shared" ca="1" si="5"/>
        <v>#N/A</v>
      </c>
      <c r="AB29" s="172" t="e">
        <f t="shared" ca="1" si="6"/>
        <v>#N/A</v>
      </c>
      <c r="AC29" s="172" t="e">
        <f t="shared" ca="1" si="7"/>
        <v>#N/A</v>
      </c>
      <c r="AD29" s="172" t="e">
        <f t="shared" ca="1" si="8"/>
        <v>#N/A</v>
      </c>
      <c r="AE29" s="172" t="str">
        <f t="shared" si="18"/>
        <v/>
      </c>
      <c r="AF29" s="172" t="e">
        <f t="shared" ca="1" si="9"/>
        <v>#N/A</v>
      </c>
    </row>
    <row r="30" spans="2:32" ht="15" customHeight="1">
      <c r="B30" s="199" t="b">
        <f>IF(TRIM(Length_1!C25)="",FALSE,TRUE)</f>
        <v>0</v>
      </c>
      <c r="C30" s="172" t="str">
        <f>IF($B30=FALSE,"",VALUE(Length_1!C25))</f>
        <v/>
      </c>
      <c r="D30" s="172" t="str">
        <f>IF($B30=FALSE,"",Length_1!D25)</f>
        <v/>
      </c>
      <c r="E30" s="200" t="str">
        <f>IF($B30=FALSE,"",Length_1!R25)</f>
        <v/>
      </c>
      <c r="F30" s="200" t="str">
        <f>IF($B30=FALSE,"",Length_1!S25)</f>
        <v/>
      </c>
      <c r="G30" s="200" t="str">
        <f>IF($B30=FALSE,"",Length_1!T25)</f>
        <v/>
      </c>
      <c r="H30" s="200" t="str">
        <f>IF($B30=FALSE,"",Length_1!U25)</f>
        <v/>
      </c>
      <c r="I30" s="200" t="str">
        <f>IF($B30=FALSE,"",Length_1!V25)</f>
        <v/>
      </c>
      <c r="J30" s="201" t="str">
        <f t="shared" si="10"/>
        <v/>
      </c>
      <c r="K30" s="259" t="str">
        <f t="shared" si="1"/>
        <v/>
      </c>
      <c r="L30" s="172" t="str">
        <f>IF($B30=FALSE,"",Length_1!G25)</f>
        <v/>
      </c>
      <c r="M30" s="202" t="str">
        <f t="shared" si="2"/>
        <v/>
      </c>
      <c r="N30" s="203" t="str">
        <f t="shared" si="3"/>
        <v/>
      </c>
      <c r="O30" s="204" t="str">
        <f t="shared" si="4"/>
        <v/>
      </c>
      <c r="P30" s="180" t="str">
        <f>IF(B30=FALSE,"",Length_1!F25)</f>
        <v/>
      </c>
      <c r="Q30" s="172" t="str">
        <f t="shared" si="11"/>
        <v/>
      </c>
      <c r="R30" s="172" t="str">
        <f t="shared" si="12"/>
        <v/>
      </c>
      <c r="S30" s="172" t="str">
        <f t="shared" si="13"/>
        <v/>
      </c>
      <c r="T30" s="172" t="str">
        <f t="shared" si="14"/>
        <v/>
      </c>
      <c r="U30" s="205" t="str">
        <f t="shared" si="15"/>
        <v/>
      </c>
      <c r="V30" s="172" t="str">
        <f t="shared" si="16"/>
        <v/>
      </c>
      <c r="W30" s="172" t="str">
        <f t="shared" si="17"/>
        <v/>
      </c>
      <c r="X30" s="124"/>
      <c r="Y30" s="172" t="e">
        <f ca="1">IF(Length_1!O25&lt;0,ROUNDUP(Length_1!O25*K$3,$M$70),ROUNDDOWN(Length_1!O25*K$3,$M$70))</f>
        <v>#N/A</v>
      </c>
      <c r="Z30" s="172" t="e">
        <f ca="1">IF(Length_1!P25&lt;0,ROUNDDOWN(Length_1!P25*K$3,$M$70),ROUNDUP(Length_1!P25*K$3,$M$70))</f>
        <v>#N/A</v>
      </c>
      <c r="AA30" s="172" t="e">
        <f t="shared" ca="1" si="5"/>
        <v>#N/A</v>
      </c>
      <c r="AB30" s="172" t="e">
        <f t="shared" ca="1" si="6"/>
        <v>#N/A</v>
      </c>
      <c r="AC30" s="172" t="e">
        <f t="shared" ca="1" si="7"/>
        <v>#N/A</v>
      </c>
      <c r="AD30" s="172" t="e">
        <f t="shared" ca="1" si="8"/>
        <v>#N/A</v>
      </c>
      <c r="AE30" s="172" t="str">
        <f t="shared" si="18"/>
        <v/>
      </c>
      <c r="AF30" s="172" t="e">
        <f t="shared" ca="1" si="9"/>
        <v>#N/A</v>
      </c>
    </row>
    <row r="31" spans="2:32" ht="15" customHeight="1">
      <c r="B31" s="199" t="b">
        <f>IF(TRIM(Length_1!C26)="",FALSE,TRUE)</f>
        <v>0</v>
      </c>
      <c r="C31" s="172" t="str">
        <f>IF($B31=FALSE,"",VALUE(Length_1!C26))</f>
        <v/>
      </c>
      <c r="D31" s="172" t="str">
        <f>IF($B31=FALSE,"",Length_1!D26)</f>
        <v/>
      </c>
      <c r="E31" s="200" t="str">
        <f>IF($B31=FALSE,"",Length_1!R26)</f>
        <v/>
      </c>
      <c r="F31" s="200" t="str">
        <f>IF($B31=FALSE,"",Length_1!S26)</f>
        <v/>
      </c>
      <c r="G31" s="200" t="str">
        <f>IF($B31=FALSE,"",Length_1!T26)</f>
        <v/>
      </c>
      <c r="H31" s="200" t="str">
        <f>IF($B31=FALSE,"",Length_1!U26)</f>
        <v/>
      </c>
      <c r="I31" s="200" t="str">
        <f>IF($B31=FALSE,"",Length_1!V26)</f>
        <v/>
      </c>
      <c r="J31" s="201" t="str">
        <f t="shared" si="10"/>
        <v/>
      </c>
      <c r="K31" s="259" t="str">
        <f t="shared" si="1"/>
        <v/>
      </c>
      <c r="L31" s="172" t="str">
        <f>IF($B31=FALSE,"",Length_1!G26)</f>
        <v/>
      </c>
      <c r="M31" s="202" t="str">
        <f t="shared" si="2"/>
        <v/>
      </c>
      <c r="N31" s="203" t="str">
        <f t="shared" si="3"/>
        <v/>
      </c>
      <c r="O31" s="204" t="str">
        <f t="shared" si="4"/>
        <v/>
      </c>
      <c r="P31" s="180" t="str">
        <f>IF(B31=FALSE,"",Length_1!F26)</f>
        <v/>
      </c>
      <c r="Q31" s="172" t="str">
        <f t="shared" si="11"/>
        <v/>
      </c>
      <c r="R31" s="172" t="str">
        <f t="shared" si="12"/>
        <v/>
      </c>
      <c r="S31" s="172" t="str">
        <f t="shared" si="13"/>
        <v/>
      </c>
      <c r="T31" s="172" t="str">
        <f t="shared" si="14"/>
        <v/>
      </c>
      <c r="U31" s="205" t="str">
        <f t="shared" si="15"/>
        <v/>
      </c>
      <c r="V31" s="172" t="str">
        <f t="shared" si="16"/>
        <v/>
      </c>
      <c r="W31" s="172" t="str">
        <f t="shared" si="17"/>
        <v/>
      </c>
      <c r="X31" s="124"/>
      <c r="Y31" s="172" t="e">
        <f ca="1">IF(Length_1!O26&lt;0,ROUNDUP(Length_1!O26*K$3,$M$70),ROUNDDOWN(Length_1!O26*K$3,$M$70))</f>
        <v>#N/A</v>
      </c>
      <c r="Z31" s="172" t="e">
        <f ca="1">IF(Length_1!P26&lt;0,ROUNDDOWN(Length_1!P26*K$3,$M$70),ROUNDUP(Length_1!P26*K$3,$M$70))</f>
        <v>#N/A</v>
      </c>
      <c r="AA31" s="172" t="e">
        <f t="shared" ca="1" si="5"/>
        <v>#N/A</v>
      </c>
      <c r="AB31" s="172" t="e">
        <f t="shared" ca="1" si="6"/>
        <v>#N/A</v>
      </c>
      <c r="AC31" s="172" t="e">
        <f t="shared" ca="1" si="7"/>
        <v>#N/A</v>
      </c>
      <c r="AD31" s="172" t="e">
        <f t="shared" ca="1" si="8"/>
        <v>#N/A</v>
      </c>
      <c r="AE31" s="172" t="str">
        <f t="shared" si="18"/>
        <v/>
      </c>
      <c r="AF31" s="172" t="e">
        <f t="shared" ca="1" si="9"/>
        <v>#N/A</v>
      </c>
    </row>
    <row r="32" spans="2:32" ht="15" customHeight="1">
      <c r="B32" s="199" t="b">
        <f>IF(TRIM(Length_1!C27)="",FALSE,TRUE)</f>
        <v>0</v>
      </c>
      <c r="C32" s="172" t="str">
        <f>IF($B32=FALSE,"",VALUE(Length_1!C27))</f>
        <v/>
      </c>
      <c r="D32" s="172" t="str">
        <f>IF($B32=FALSE,"",Length_1!D27)</f>
        <v/>
      </c>
      <c r="E32" s="200" t="str">
        <f>IF($B32=FALSE,"",Length_1!R27)</f>
        <v/>
      </c>
      <c r="F32" s="200" t="str">
        <f>IF($B32=FALSE,"",Length_1!S27)</f>
        <v/>
      </c>
      <c r="G32" s="200" t="str">
        <f>IF($B32=FALSE,"",Length_1!T27)</f>
        <v/>
      </c>
      <c r="H32" s="200" t="str">
        <f>IF($B32=FALSE,"",Length_1!U27)</f>
        <v/>
      </c>
      <c r="I32" s="200" t="str">
        <f>IF($B32=FALSE,"",Length_1!V27)</f>
        <v/>
      </c>
      <c r="J32" s="201" t="str">
        <f t="shared" si="10"/>
        <v/>
      </c>
      <c r="K32" s="259" t="str">
        <f t="shared" si="1"/>
        <v/>
      </c>
      <c r="L32" s="172" t="str">
        <f>IF($B32=FALSE,"",Length_1!G27)</f>
        <v/>
      </c>
      <c r="M32" s="202" t="str">
        <f t="shared" si="2"/>
        <v/>
      </c>
      <c r="N32" s="203" t="str">
        <f t="shared" si="3"/>
        <v/>
      </c>
      <c r="O32" s="204" t="str">
        <f t="shared" si="4"/>
        <v/>
      </c>
      <c r="P32" s="180" t="str">
        <f>IF(B32=FALSE,"",Length_1!F27)</f>
        <v/>
      </c>
      <c r="Q32" s="172" t="str">
        <f t="shared" si="11"/>
        <v/>
      </c>
      <c r="R32" s="172" t="str">
        <f t="shared" si="12"/>
        <v/>
      </c>
      <c r="S32" s="172" t="str">
        <f t="shared" si="13"/>
        <v/>
      </c>
      <c r="T32" s="172" t="str">
        <f t="shared" si="14"/>
        <v/>
      </c>
      <c r="U32" s="205" t="str">
        <f t="shared" si="15"/>
        <v/>
      </c>
      <c r="V32" s="172" t="str">
        <f t="shared" si="16"/>
        <v/>
      </c>
      <c r="W32" s="172" t="str">
        <f t="shared" si="17"/>
        <v/>
      </c>
      <c r="X32" s="124"/>
      <c r="Y32" s="172" t="e">
        <f ca="1">IF(Length_1!O27&lt;0,ROUNDUP(Length_1!O27*K$3,$M$70),ROUNDDOWN(Length_1!O27*K$3,$M$70))</f>
        <v>#N/A</v>
      </c>
      <c r="Z32" s="172" t="e">
        <f ca="1">IF(Length_1!P27&lt;0,ROUNDDOWN(Length_1!P27*K$3,$M$70),ROUNDUP(Length_1!P27*K$3,$M$70))</f>
        <v>#N/A</v>
      </c>
      <c r="AA32" s="172" t="e">
        <f t="shared" ca="1" si="5"/>
        <v>#N/A</v>
      </c>
      <c r="AB32" s="172" t="e">
        <f t="shared" ca="1" si="6"/>
        <v>#N/A</v>
      </c>
      <c r="AC32" s="172" t="e">
        <f t="shared" ca="1" si="7"/>
        <v>#N/A</v>
      </c>
      <c r="AD32" s="172" t="e">
        <f t="shared" ca="1" si="8"/>
        <v>#N/A</v>
      </c>
      <c r="AE32" s="172" t="str">
        <f t="shared" si="18"/>
        <v/>
      </c>
      <c r="AF32" s="172" t="e">
        <f t="shared" ca="1" si="9"/>
        <v>#N/A</v>
      </c>
    </row>
    <row r="33" spans="2:32" ht="15" customHeight="1">
      <c r="B33" s="199" t="b">
        <f>IF(TRIM(Length_1!C28)="",FALSE,TRUE)</f>
        <v>0</v>
      </c>
      <c r="C33" s="172" t="str">
        <f>IF($B33=FALSE,"",VALUE(Length_1!C28))</f>
        <v/>
      </c>
      <c r="D33" s="172" t="str">
        <f>IF($B33=FALSE,"",Length_1!D28)</f>
        <v/>
      </c>
      <c r="E33" s="200" t="str">
        <f>IF($B33=FALSE,"",Length_1!R28)</f>
        <v/>
      </c>
      <c r="F33" s="200" t="str">
        <f>IF($B33=FALSE,"",Length_1!S28)</f>
        <v/>
      </c>
      <c r="G33" s="200" t="str">
        <f>IF($B33=FALSE,"",Length_1!T28)</f>
        <v/>
      </c>
      <c r="H33" s="200" t="str">
        <f>IF($B33=FALSE,"",Length_1!U28)</f>
        <v/>
      </c>
      <c r="I33" s="200" t="str">
        <f>IF($B33=FALSE,"",Length_1!V28)</f>
        <v/>
      </c>
      <c r="J33" s="201" t="str">
        <f t="shared" si="10"/>
        <v/>
      </c>
      <c r="K33" s="259" t="str">
        <f t="shared" si="1"/>
        <v/>
      </c>
      <c r="L33" s="172" t="str">
        <f>IF($B33=FALSE,"",Length_1!G28)</f>
        <v/>
      </c>
      <c r="M33" s="202" t="str">
        <f t="shared" si="2"/>
        <v/>
      </c>
      <c r="N33" s="203" t="str">
        <f t="shared" si="3"/>
        <v/>
      </c>
      <c r="O33" s="204" t="str">
        <f t="shared" si="4"/>
        <v/>
      </c>
      <c r="P33" s="180" t="str">
        <f>IF(B33=FALSE,"",Length_1!F28)</f>
        <v/>
      </c>
      <c r="Q33" s="172" t="str">
        <f t="shared" si="11"/>
        <v/>
      </c>
      <c r="R33" s="172" t="str">
        <f t="shared" si="12"/>
        <v/>
      </c>
      <c r="S33" s="172" t="str">
        <f t="shared" si="13"/>
        <v/>
      </c>
      <c r="T33" s="172" t="str">
        <f t="shared" si="14"/>
        <v/>
      </c>
      <c r="U33" s="205" t="str">
        <f t="shared" si="15"/>
        <v/>
      </c>
      <c r="V33" s="172" t="str">
        <f t="shared" si="16"/>
        <v/>
      </c>
      <c r="W33" s="172" t="str">
        <f t="shared" si="17"/>
        <v/>
      </c>
      <c r="X33" s="124"/>
      <c r="Y33" s="172" t="e">
        <f ca="1">IF(Length_1!O28&lt;0,ROUNDUP(Length_1!O28*K$3,$M$70),ROUNDDOWN(Length_1!O28*K$3,$M$70))</f>
        <v>#N/A</v>
      </c>
      <c r="Z33" s="172" t="e">
        <f ca="1">IF(Length_1!P28&lt;0,ROUNDDOWN(Length_1!P28*K$3,$M$70),ROUNDUP(Length_1!P28*K$3,$M$70))</f>
        <v>#N/A</v>
      </c>
      <c r="AA33" s="172" t="e">
        <f t="shared" ca="1" si="5"/>
        <v>#N/A</v>
      </c>
      <c r="AB33" s="172" t="e">
        <f t="shared" ca="1" si="6"/>
        <v>#N/A</v>
      </c>
      <c r="AC33" s="172" t="e">
        <f t="shared" ca="1" si="7"/>
        <v>#N/A</v>
      </c>
      <c r="AD33" s="172" t="e">
        <f t="shared" ca="1" si="8"/>
        <v>#N/A</v>
      </c>
      <c r="AE33" s="172" t="str">
        <f t="shared" si="18"/>
        <v/>
      </c>
      <c r="AF33" s="172" t="e">
        <f t="shared" ca="1" si="9"/>
        <v>#N/A</v>
      </c>
    </row>
    <row r="34" spans="2:32" ht="15" customHeight="1">
      <c r="B34" s="199" t="b">
        <f>IF(TRIM(Length_1!C29)="",FALSE,TRUE)</f>
        <v>0</v>
      </c>
      <c r="C34" s="172" t="str">
        <f>IF($B34=FALSE,"",VALUE(Length_1!C29))</f>
        <v/>
      </c>
      <c r="D34" s="172" t="str">
        <f>IF($B34=FALSE,"",Length_1!D29)</f>
        <v/>
      </c>
      <c r="E34" s="200" t="str">
        <f>IF($B34=FALSE,"",Length_1!R29)</f>
        <v/>
      </c>
      <c r="F34" s="200" t="str">
        <f>IF($B34=FALSE,"",Length_1!S29)</f>
        <v/>
      </c>
      <c r="G34" s="200" t="str">
        <f>IF($B34=FALSE,"",Length_1!T29)</f>
        <v/>
      </c>
      <c r="H34" s="200" t="str">
        <f>IF($B34=FALSE,"",Length_1!U29)</f>
        <v/>
      </c>
      <c r="I34" s="200" t="str">
        <f>IF($B34=FALSE,"",Length_1!V29)</f>
        <v/>
      </c>
      <c r="J34" s="201" t="str">
        <f t="shared" si="10"/>
        <v/>
      </c>
      <c r="K34" s="259" t="str">
        <f t="shared" si="1"/>
        <v/>
      </c>
      <c r="L34" s="172" t="str">
        <f>IF($B34=FALSE,"",Length_1!G29)</f>
        <v/>
      </c>
      <c r="M34" s="202" t="str">
        <f t="shared" si="2"/>
        <v/>
      </c>
      <c r="N34" s="203" t="str">
        <f t="shared" si="3"/>
        <v/>
      </c>
      <c r="O34" s="204" t="str">
        <f t="shared" si="4"/>
        <v/>
      </c>
      <c r="P34" s="180" t="str">
        <f>IF(B34=FALSE,"",Length_1!F29)</f>
        <v/>
      </c>
      <c r="Q34" s="172" t="str">
        <f t="shared" si="11"/>
        <v/>
      </c>
      <c r="R34" s="172" t="str">
        <f t="shared" si="12"/>
        <v/>
      </c>
      <c r="S34" s="172" t="str">
        <f t="shared" si="13"/>
        <v/>
      </c>
      <c r="T34" s="172" t="str">
        <f t="shared" si="14"/>
        <v/>
      </c>
      <c r="U34" s="205" t="str">
        <f t="shared" si="15"/>
        <v/>
      </c>
      <c r="V34" s="172" t="str">
        <f t="shared" si="16"/>
        <v/>
      </c>
      <c r="W34" s="172" t="str">
        <f t="shared" si="17"/>
        <v/>
      </c>
      <c r="X34" s="124"/>
      <c r="Y34" s="172" t="e">
        <f ca="1">IF(Length_1!O29&lt;0,ROUNDUP(Length_1!O29*K$3,$M$70),ROUNDDOWN(Length_1!O29*K$3,$M$70))</f>
        <v>#N/A</v>
      </c>
      <c r="Z34" s="172" t="e">
        <f ca="1">IF(Length_1!P29&lt;0,ROUNDDOWN(Length_1!P29*K$3,$M$70),ROUNDUP(Length_1!P29*K$3,$M$70))</f>
        <v>#N/A</v>
      </c>
      <c r="AA34" s="172" t="e">
        <f t="shared" ca="1" si="5"/>
        <v>#N/A</v>
      </c>
      <c r="AB34" s="172" t="e">
        <f t="shared" ca="1" si="6"/>
        <v>#N/A</v>
      </c>
      <c r="AC34" s="172" t="e">
        <f t="shared" ca="1" si="7"/>
        <v>#N/A</v>
      </c>
      <c r="AD34" s="172" t="e">
        <f t="shared" ca="1" si="8"/>
        <v>#N/A</v>
      </c>
      <c r="AE34" s="172" t="str">
        <f t="shared" si="18"/>
        <v/>
      </c>
      <c r="AF34" s="172" t="e">
        <f t="shared" ca="1" si="9"/>
        <v>#N/A</v>
      </c>
    </row>
    <row r="35" spans="2:32" ht="15" customHeight="1">
      <c r="B35" s="199" t="b">
        <f>IF(TRIM(Length_1!C30)="",FALSE,TRUE)</f>
        <v>0</v>
      </c>
      <c r="C35" s="172" t="str">
        <f>IF($B35=FALSE,"",VALUE(Length_1!C30))</f>
        <v/>
      </c>
      <c r="D35" s="172" t="str">
        <f>IF($B35=FALSE,"",Length_1!D30)</f>
        <v/>
      </c>
      <c r="E35" s="200" t="str">
        <f>IF($B35=FALSE,"",Length_1!R30)</f>
        <v/>
      </c>
      <c r="F35" s="200" t="str">
        <f>IF($B35=FALSE,"",Length_1!S30)</f>
        <v/>
      </c>
      <c r="G35" s="200" t="str">
        <f>IF($B35=FALSE,"",Length_1!T30)</f>
        <v/>
      </c>
      <c r="H35" s="200" t="str">
        <f>IF($B35=FALSE,"",Length_1!U30)</f>
        <v/>
      </c>
      <c r="I35" s="200" t="str">
        <f>IF($B35=FALSE,"",Length_1!V30)</f>
        <v/>
      </c>
      <c r="J35" s="201" t="str">
        <f t="shared" si="10"/>
        <v/>
      </c>
      <c r="K35" s="259" t="str">
        <f t="shared" si="1"/>
        <v/>
      </c>
      <c r="L35" s="172" t="str">
        <f>IF($B35=FALSE,"",Length_1!G30)</f>
        <v/>
      </c>
      <c r="M35" s="202" t="str">
        <f t="shared" si="2"/>
        <v/>
      </c>
      <c r="N35" s="203" t="str">
        <f t="shared" si="3"/>
        <v/>
      </c>
      <c r="O35" s="204" t="str">
        <f t="shared" si="4"/>
        <v/>
      </c>
      <c r="P35" s="180" t="str">
        <f>IF(B35=FALSE,"",Length_1!F30)</f>
        <v/>
      </c>
      <c r="Q35" s="172" t="str">
        <f t="shared" si="11"/>
        <v/>
      </c>
      <c r="R35" s="172" t="str">
        <f t="shared" si="12"/>
        <v/>
      </c>
      <c r="S35" s="172" t="str">
        <f t="shared" si="13"/>
        <v/>
      </c>
      <c r="T35" s="172" t="str">
        <f t="shared" si="14"/>
        <v/>
      </c>
      <c r="U35" s="205" t="str">
        <f t="shared" si="15"/>
        <v/>
      </c>
      <c r="V35" s="172" t="str">
        <f t="shared" si="16"/>
        <v/>
      </c>
      <c r="W35" s="172" t="str">
        <f t="shared" si="17"/>
        <v/>
      </c>
      <c r="X35" s="124"/>
      <c r="Y35" s="172" t="e">
        <f ca="1">IF(Length_1!O30&lt;0,ROUNDUP(Length_1!O30*K$3,$M$70),ROUNDDOWN(Length_1!O30*K$3,$M$70))</f>
        <v>#N/A</v>
      </c>
      <c r="Z35" s="172" t="e">
        <f ca="1">IF(Length_1!P30&lt;0,ROUNDDOWN(Length_1!P30*K$3,$M$70),ROUNDUP(Length_1!P30*K$3,$M$70))</f>
        <v>#N/A</v>
      </c>
      <c r="AA35" s="172" t="e">
        <f t="shared" ca="1" si="5"/>
        <v>#N/A</v>
      </c>
      <c r="AB35" s="172" t="e">
        <f t="shared" ca="1" si="6"/>
        <v>#N/A</v>
      </c>
      <c r="AC35" s="172" t="e">
        <f t="shared" ca="1" si="7"/>
        <v>#N/A</v>
      </c>
      <c r="AD35" s="172" t="e">
        <f t="shared" ca="1" si="8"/>
        <v>#N/A</v>
      </c>
      <c r="AE35" s="172" t="str">
        <f t="shared" si="18"/>
        <v/>
      </c>
      <c r="AF35" s="172" t="e">
        <f t="shared" ca="1" si="9"/>
        <v>#N/A</v>
      </c>
    </row>
    <row r="36" spans="2:32" ht="15" customHeight="1">
      <c r="B36" s="199" t="b">
        <f>IF(TRIM(Length_1!C31)="",FALSE,TRUE)</f>
        <v>0</v>
      </c>
      <c r="C36" s="172" t="str">
        <f>IF($B36=FALSE,"",VALUE(Length_1!C31))</f>
        <v/>
      </c>
      <c r="D36" s="172" t="str">
        <f>IF($B36=FALSE,"",Length_1!D31)</f>
        <v/>
      </c>
      <c r="E36" s="200" t="str">
        <f>IF($B36=FALSE,"",Length_1!R31)</f>
        <v/>
      </c>
      <c r="F36" s="200" t="str">
        <f>IF($B36=FALSE,"",Length_1!S31)</f>
        <v/>
      </c>
      <c r="G36" s="200" t="str">
        <f>IF($B36=FALSE,"",Length_1!T31)</f>
        <v/>
      </c>
      <c r="H36" s="200" t="str">
        <f>IF($B36=FALSE,"",Length_1!U31)</f>
        <v/>
      </c>
      <c r="I36" s="200" t="str">
        <f>IF($B36=FALSE,"",Length_1!V31)</f>
        <v/>
      </c>
      <c r="J36" s="201" t="str">
        <f t="shared" si="10"/>
        <v/>
      </c>
      <c r="K36" s="259" t="str">
        <f t="shared" si="1"/>
        <v/>
      </c>
      <c r="L36" s="172" t="str">
        <f>IF($B36=FALSE,"",Length_1!G31)</f>
        <v/>
      </c>
      <c r="M36" s="202" t="str">
        <f t="shared" si="2"/>
        <v/>
      </c>
      <c r="N36" s="203" t="str">
        <f t="shared" si="3"/>
        <v/>
      </c>
      <c r="O36" s="204" t="str">
        <f t="shared" si="4"/>
        <v/>
      </c>
      <c r="P36" s="180" t="str">
        <f>IF(B36=FALSE,"",Length_1!F31)</f>
        <v/>
      </c>
      <c r="Q36" s="172" t="str">
        <f t="shared" si="11"/>
        <v/>
      </c>
      <c r="R36" s="172" t="str">
        <f t="shared" si="12"/>
        <v/>
      </c>
      <c r="S36" s="172" t="str">
        <f t="shared" si="13"/>
        <v/>
      </c>
      <c r="T36" s="172" t="str">
        <f t="shared" si="14"/>
        <v/>
      </c>
      <c r="U36" s="205" t="str">
        <f t="shared" si="15"/>
        <v/>
      </c>
      <c r="V36" s="172" t="str">
        <f t="shared" si="16"/>
        <v/>
      </c>
      <c r="W36" s="172" t="str">
        <f t="shared" si="17"/>
        <v/>
      </c>
      <c r="X36" s="124"/>
      <c r="Y36" s="172" t="e">
        <f ca="1">IF(Length_1!O31&lt;0,ROUNDUP(Length_1!O31*K$3,$M$70),ROUNDDOWN(Length_1!O31*K$3,$M$70))</f>
        <v>#N/A</v>
      </c>
      <c r="Z36" s="172" t="e">
        <f ca="1">IF(Length_1!P31&lt;0,ROUNDDOWN(Length_1!P31*K$3,$M$70),ROUNDUP(Length_1!P31*K$3,$M$70))</f>
        <v>#N/A</v>
      </c>
      <c r="AA36" s="172" t="e">
        <f t="shared" ca="1" si="5"/>
        <v>#N/A</v>
      </c>
      <c r="AB36" s="172" t="e">
        <f t="shared" ca="1" si="6"/>
        <v>#N/A</v>
      </c>
      <c r="AC36" s="172" t="e">
        <f t="shared" ca="1" si="7"/>
        <v>#N/A</v>
      </c>
      <c r="AD36" s="172" t="e">
        <f t="shared" ca="1" si="8"/>
        <v>#N/A</v>
      </c>
      <c r="AE36" s="172" t="str">
        <f t="shared" si="18"/>
        <v/>
      </c>
      <c r="AF36" s="172" t="e">
        <f t="shared" ca="1" si="9"/>
        <v>#N/A</v>
      </c>
    </row>
    <row r="37" spans="2:32" ht="15" customHeight="1">
      <c r="B37" s="199" t="b">
        <f>IF(TRIM(Length_1!C32)="",FALSE,TRUE)</f>
        <v>0</v>
      </c>
      <c r="C37" s="172" t="str">
        <f>IF($B37=FALSE,"",VALUE(Length_1!C32))</f>
        <v/>
      </c>
      <c r="D37" s="172" t="str">
        <f>IF($B37=FALSE,"",Length_1!D32)</f>
        <v/>
      </c>
      <c r="E37" s="200" t="str">
        <f>IF($B37=FALSE,"",Length_1!R32)</f>
        <v/>
      </c>
      <c r="F37" s="200" t="str">
        <f>IF($B37=FALSE,"",Length_1!S32)</f>
        <v/>
      </c>
      <c r="G37" s="200" t="str">
        <f>IF($B37=FALSE,"",Length_1!T32)</f>
        <v/>
      </c>
      <c r="H37" s="200" t="str">
        <f>IF($B37=FALSE,"",Length_1!U32)</f>
        <v/>
      </c>
      <c r="I37" s="200" t="str">
        <f>IF($B37=FALSE,"",Length_1!V32)</f>
        <v/>
      </c>
      <c r="J37" s="201" t="str">
        <f t="shared" si="10"/>
        <v/>
      </c>
      <c r="K37" s="259" t="str">
        <f t="shared" si="1"/>
        <v/>
      </c>
      <c r="L37" s="172" t="str">
        <f>IF($B37=FALSE,"",Length_1!G32)</f>
        <v/>
      </c>
      <c r="M37" s="202" t="str">
        <f t="shared" si="2"/>
        <v/>
      </c>
      <c r="N37" s="203" t="str">
        <f t="shared" si="3"/>
        <v/>
      </c>
      <c r="O37" s="204" t="str">
        <f t="shared" si="4"/>
        <v/>
      </c>
      <c r="P37" s="180" t="str">
        <f>IF(B37=FALSE,"",Length_1!F32)</f>
        <v/>
      </c>
      <c r="Q37" s="172" t="str">
        <f t="shared" si="11"/>
        <v/>
      </c>
      <c r="R37" s="172" t="str">
        <f t="shared" si="12"/>
        <v/>
      </c>
      <c r="S37" s="172" t="str">
        <f t="shared" si="13"/>
        <v/>
      </c>
      <c r="T37" s="172" t="str">
        <f t="shared" si="14"/>
        <v/>
      </c>
      <c r="U37" s="205" t="str">
        <f t="shared" si="15"/>
        <v/>
      </c>
      <c r="V37" s="172" t="str">
        <f t="shared" si="16"/>
        <v/>
      </c>
      <c r="W37" s="172" t="str">
        <f t="shared" si="17"/>
        <v/>
      </c>
      <c r="X37" s="124"/>
      <c r="Y37" s="172" t="e">
        <f ca="1">IF(Length_1!O32&lt;0,ROUNDUP(Length_1!O32*K$3,$M$70),ROUNDDOWN(Length_1!O32*K$3,$M$70))</f>
        <v>#N/A</v>
      </c>
      <c r="Z37" s="172" t="e">
        <f ca="1">IF(Length_1!P32&lt;0,ROUNDDOWN(Length_1!P32*K$3,$M$70),ROUNDUP(Length_1!P32*K$3,$M$70))</f>
        <v>#N/A</v>
      </c>
      <c r="AA37" s="172" t="e">
        <f t="shared" ca="1" si="5"/>
        <v>#N/A</v>
      </c>
      <c r="AB37" s="172" t="e">
        <f t="shared" ca="1" si="6"/>
        <v>#N/A</v>
      </c>
      <c r="AC37" s="172" t="e">
        <f t="shared" ca="1" si="7"/>
        <v>#N/A</v>
      </c>
      <c r="AD37" s="172" t="e">
        <f t="shared" ca="1" si="8"/>
        <v>#N/A</v>
      </c>
      <c r="AE37" s="172" t="str">
        <f t="shared" si="18"/>
        <v/>
      </c>
      <c r="AF37" s="172" t="e">
        <f t="shared" ca="1" si="9"/>
        <v>#N/A</v>
      </c>
    </row>
    <row r="38" spans="2:32" ht="15" customHeight="1">
      <c r="B38" s="199" t="b">
        <f>IF(TRIM(Length_1!C33)="",FALSE,TRUE)</f>
        <v>0</v>
      </c>
      <c r="C38" s="172" t="str">
        <f>IF($B38=FALSE,"",VALUE(Length_1!C33))</f>
        <v/>
      </c>
      <c r="D38" s="172" t="str">
        <f>IF($B38=FALSE,"",Length_1!D33)</f>
        <v/>
      </c>
      <c r="E38" s="200" t="str">
        <f>IF($B38=FALSE,"",Length_1!R33)</f>
        <v/>
      </c>
      <c r="F38" s="200" t="str">
        <f>IF($B38=FALSE,"",Length_1!S33)</f>
        <v/>
      </c>
      <c r="G38" s="200" t="str">
        <f>IF($B38=FALSE,"",Length_1!T33)</f>
        <v/>
      </c>
      <c r="H38" s="200" t="str">
        <f>IF($B38=FALSE,"",Length_1!U33)</f>
        <v/>
      </c>
      <c r="I38" s="200" t="str">
        <f>IF($B38=FALSE,"",Length_1!V33)</f>
        <v/>
      </c>
      <c r="J38" s="201" t="str">
        <f t="shared" si="10"/>
        <v/>
      </c>
      <c r="K38" s="259" t="str">
        <f t="shared" si="1"/>
        <v/>
      </c>
      <c r="L38" s="172" t="str">
        <f>IF($B38=FALSE,"",Length_1!G33)</f>
        <v/>
      </c>
      <c r="M38" s="202" t="str">
        <f t="shared" si="2"/>
        <v/>
      </c>
      <c r="N38" s="203" t="str">
        <f t="shared" si="3"/>
        <v/>
      </c>
      <c r="O38" s="204" t="str">
        <f t="shared" si="4"/>
        <v/>
      </c>
      <c r="P38" s="180" t="str">
        <f>IF(B38=FALSE,"",Length_1!F33)</f>
        <v/>
      </c>
      <c r="Q38" s="172" t="str">
        <f t="shared" si="11"/>
        <v/>
      </c>
      <c r="R38" s="172" t="str">
        <f t="shared" si="12"/>
        <v/>
      </c>
      <c r="S38" s="172" t="str">
        <f t="shared" si="13"/>
        <v/>
      </c>
      <c r="T38" s="172" t="str">
        <f t="shared" si="14"/>
        <v/>
      </c>
      <c r="U38" s="205" t="str">
        <f t="shared" si="15"/>
        <v/>
      </c>
      <c r="V38" s="172" t="str">
        <f t="shared" si="16"/>
        <v/>
      </c>
      <c r="W38" s="172" t="str">
        <f t="shared" si="17"/>
        <v/>
      </c>
      <c r="X38" s="124"/>
      <c r="Y38" s="172" t="e">
        <f ca="1">IF(Length_1!O33&lt;0,ROUNDUP(Length_1!O33*K$3,$M$70),ROUNDDOWN(Length_1!O33*K$3,$M$70))</f>
        <v>#N/A</v>
      </c>
      <c r="Z38" s="172" t="e">
        <f ca="1">IF(Length_1!P33&lt;0,ROUNDDOWN(Length_1!P33*K$3,$M$70),ROUNDUP(Length_1!P33*K$3,$M$70))</f>
        <v>#N/A</v>
      </c>
      <c r="AA38" s="172" t="e">
        <f t="shared" ca="1" si="5"/>
        <v>#N/A</v>
      </c>
      <c r="AB38" s="172" t="e">
        <f t="shared" ca="1" si="6"/>
        <v>#N/A</v>
      </c>
      <c r="AC38" s="172" t="e">
        <f t="shared" ca="1" si="7"/>
        <v>#N/A</v>
      </c>
      <c r="AD38" s="172" t="e">
        <f t="shared" ca="1" si="8"/>
        <v>#N/A</v>
      </c>
      <c r="AE38" s="172" t="str">
        <f t="shared" si="18"/>
        <v/>
      </c>
      <c r="AF38" s="172" t="e">
        <f t="shared" ca="1" si="9"/>
        <v>#N/A</v>
      </c>
    </row>
    <row r="39" spans="2:32" ht="15" customHeight="1">
      <c r="B39" s="199" t="b">
        <f>IF(TRIM(Length_1!C34)="",FALSE,TRUE)</f>
        <v>0</v>
      </c>
      <c r="C39" s="172" t="str">
        <f>IF($B39=FALSE,"",VALUE(Length_1!C34))</f>
        <v/>
      </c>
      <c r="D39" s="172" t="str">
        <f>IF($B39=FALSE,"",Length_1!D34)</f>
        <v/>
      </c>
      <c r="E39" s="200" t="str">
        <f>IF($B39=FALSE,"",Length_1!R34)</f>
        <v/>
      </c>
      <c r="F39" s="200" t="str">
        <f>IF($B39=FALSE,"",Length_1!S34)</f>
        <v/>
      </c>
      <c r="G39" s="200" t="str">
        <f>IF($B39=FALSE,"",Length_1!T34)</f>
        <v/>
      </c>
      <c r="H39" s="200" t="str">
        <f>IF($B39=FALSE,"",Length_1!U34)</f>
        <v/>
      </c>
      <c r="I39" s="200" t="str">
        <f>IF($B39=FALSE,"",Length_1!V34)</f>
        <v/>
      </c>
      <c r="J39" s="201" t="str">
        <f t="shared" si="10"/>
        <v/>
      </c>
      <c r="K39" s="259" t="str">
        <f t="shared" si="1"/>
        <v/>
      </c>
      <c r="L39" s="172" t="str">
        <f>IF($B39=FALSE,"",Length_1!G34)</f>
        <v/>
      </c>
      <c r="M39" s="202" t="str">
        <f t="shared" si="2"/>
        <v/>
      </c>
      <c r="N39" s="203" t="str">
        <f t="shared" si="3"/>
        <v/>
      </c>
      <c r="O39" s="204" t="str">
        <f t="shared" si="4"/>
        <v/>
      </c>
      <c r="P39" s="180" t="str">
        <f>IF(B39=FALSE,"",Length_1!F34)</f>
        <v/>
      </c>
      <c r="Q39" s="172" t="str">
        <f t="shared" si="11"/>
        <v/>
      </c>
      <c r="R39" s="172" t="str">
        <f t="shared" si="12"/>
        <v/>
      </c>
      <c r="S39" s="172" t="str">
        <f t="shared" si="13"/>
        <v/>
      </c>
      <c r="T39" s="172" t="str">
        <f t="shared" si="14"/>
        <v/>
      </c>
      <c r="U39" s="205" t="str">
        <f t="shared" si="15"/>
        <v/>
      </c>
      <c r="V39" s="172" t="str">
        <f t="shared" si="16"/>
        <v/>
      </c>
      <c r="W39" s="172" t="str">
        <f t="shared" si="17"/>
        <v/>
      </c>
      <c r="X39" s="124"/>
      <c r="Y39" s="172" t="e">
        <f ca="1">IF(Length_1!O34&lt;0,ROUNDUP(Length_1!O34*K$3,$M$70),ROUNDDOWN(Length_1!O34*K$3,$M$70))</f>
        <v>#N/A</v>
      </c>
      <c r="Z39" s="172" t="e">
        <f ca="1">IF(Length_1!P34&lt;0,ROUNDDOWN(Length_1!P34*K$3,$M$70),ROUNDUP(Length_1!P34*K$3,$M$70))</f>
        <v>#N/A</v>
      </c>
      <c r="AA39" s="172" t="e">
        <f t="shared" ca="1" si="5"/>
        <v>#N/A</v>
      </c>
      <c r="AB39" s="172" t="e">
        <f t="shared" ca="1" si="6"/>
        <v>#N/A</v>
      </c>
      <c r="AC39" s="172" t="e">
        <f t="shared" ca="1" si="7"/>
        <v>#N/A</v>
      </c>
      <c r="AD39" s="172" t="e">
        <f t="shared" ca="1" si="8"/>
        <v>#N/A</v>
      </c>
      <c r="AE39" s="172" t="str">
        <f t="shared" si="18"/>
        <v/>
      </c>
      <c r="AF39" s="172" t="e">
        <f t="shared" ca="1" si="9"/>
        <v>#N/A</v>
      </c>
    </row>
    <row r="40" spans="2:32" ht="15" customHeight="1">
      <c r="B40" s="199" t="b">
        <f>IF(TRIM(Length_1!C35)="",FALSE,TRUE)</f>
        <v>0</v>
      </c>
      <c r="C40" s="172" t="str">
        <f>IF($B40=FALSE,"",VALUE(Length_1!C35))</f>
        <v/>
      </c>
      <c r="D40" s="172" t="str">
        <f>IF($B40=FALSE,"",Length_1!D35)</f>
        <v/>
      </c>
      <c r="E40" s="200" t="str">
        <f>IF($B40=FALSE,"",Length_1!R35)</f>
        <v/>
      </c>
      <c r="F40" s="200" t="str">
        <f>IF($B40=FALSE,"",Length_1!S35)</f>
        <v/>
      </c>
      <c r="G40" s="200" t="str">
        <f>IF($B40=FALSE,"",Length_1!T35)</f>
        <v/>
      </c>
      <c r="H40" s="200" t="str">
        <f>IF($B40=FALSE,"",Length_1!U35)</f>
        <v/>
      </c>
      <c r="I40" s="200" t="str">
        <f>IF($B40=FALSE,"",Length_1!V35)</f>
        <v/>
      </c>
      <c r="J40" s="201" t="str">
        <f t="shared" si="10"/>
        <v/>
      </c>
      <c r="K40" s="259" t="str">
        <f t="shared" si="1"/>
        <v/>
      </c>
      <c r="L40" s="172" t="str">
        <f>IF($B40=FALSE,"",Length_1!G35)</f>
        <v/>
      </c>
      <c r="M40" s="202" t="str">
        <f t="shared" si="2"/>
        <v/>
      </c>
      <c r="N40" s="203" t="str">
        <f t="shared" si="3"/>
        <v/>
      </c>
      <c r="O40" s="204" t="str">
        <f t="shared" si="4"/>
        <v/>
      </c>
      <c r="P40" s="180" t="str">
        <f>IF(B40=FALSE,"",Length_1!F35)</f>
        <v/>
      </c>
      <c r="Q40" s="172" t="str">
        <f t="shared" si="11"/>
        <v/>
      </c>
      <c r="R40" s="172" t="str">
        <f t="shared" si="12"/>
        <v/>
      </c>
      <c r="S40" s="172" t="str">
        <f t="shared" si="13"/>
        <v/>
      </c>
      <c r="T40" s="172" t="str">
        <f t="shared" si="14"/>
        <v/>
      </c>
      <c r="U40" s="205" t="str">
        <f t="shared" si="15"/>
        <v/>
      </c>
      <c r="V40" s="172" t="str">
        <f t="shared" si="16"/>
        <v/>
      </c>
      <c r="W40" s="172" t="str">
        <f t="shared" si="17"/>
        <v/>
      </c>
      <c r="X40" s="124"/>
      <c r="Y40" s="172" t="e">
        <f ca="1">IF(Length_1!O35&lt;0,ROUNDUP(Length_1!O35*K$3,$M$70),ROUNDDOWN(Length_1!O35*K$3,$M$70))</f>
        <v>#N/A</v>
      </c>
      <c r="Z40" s="172" t="e">
        <f ca="1">IF(Length_1!P35&lt;0,ROUNDDOWN(Length_1!P35*K$3,$M$70),ROUNDUP(Length_1!P35*K$3,$M$70))</f>
        <v>#N/A</v>
      </c>
      <c r="AA40" s="172" t="e">
        <f t="shared" ca="1" si="5"/>
        <v>#N/A</v>
      </c>
      <c r="AB40" s="172" t="e">
        <f t="shared" ca="1" si="6"/>
        <v>#N/A</v>
      </c>
      <c r="AC40" s="172" t="e">
        <f t="shared" ca="1" si="7"/>
        <v>#N/A</v>
      </c>
      <c r="AD40" s="172" t="e">
        <f t="shared" ca="1" si="8"/>
        <v>#N/A</v>
      </c>
      <c r="AE40" s="172" t="str">
        <f t="shared" si="18"/>
        <v/>
      </c>
      <c r="AF40" s="172" t="e">
        <f t="shared" ca="1" si="9"/>
        <v>#N/A</v>
      </c>
    </row>
    <row r="41" spans="2:32" ht="15" customHeight="1">
      <c r="B41" s="199" t="b">
        <f>IF(TRIM(Length_1!C36)="",FALSE,TRUE)</f>
        <v>0</v>
      </c>
      <c r="C41" s="172" t="str">
        <f>IF($B41=FALSE,"",VALUE(Length_1!C36))</f>
        <v/>
      </c>
      <c r="D41" s="172" t="str">
        <f>IF($B41=FALSE,"",Length_1!D36)</f>
        <v/>
      </c>
      <c r="E41" s="200" t="str">
        <f>IF($B41=FALSE,"",Length_1!R36)</f>
        <v/>
      </c>
      <c r="F41" s="200" t="str">
        <f>IF($B41=FALSE,"",Length_1!S36)</f>
        <v/>
      </c>
      <c r="G41" s="200" t="str">
        <f>IF($B41=FALSE,"",Length_1!T36)</f>
        <v/>
      </c>
      <c r="H41" s="200" t="str">
        <f>IF($B41=FALSE,"",Length_1!U36)</f>
        <v/>
      </c>
      <c r="I41" s="200" t="str">
        <f>IF($B41=FALSE,"",Length_1!V36)</f>
        <v/>
      </c>
      <c r="J41" s="201" t="str">
        <f t="shared" si="10"/>
        <v/>
      </c>
      <c r="K41" s="259" t="str">
        <f t="shared" si="1"/>
        <v/>
      </c>
      <c r="L41" s="172" t="str">
        <f>IF($B41=FALSE,"",Length_1!G36)</f>
        <v/>
      </c>
      <c r="M41" s="202" t="str">
        <f t="shared" si="2"/>
        <v/>
      </c>
      <c r="N41" s="203" t="str">
        <f t="shared" si="3"/>
        <v/>
      </c>
      <c r="O41" s="204" t="str">
        <f t="shared" si="4"/>
        <v/>
      </c>
      <c r="P41" s="180" t="str">
        <f>IF(B41=FALSE,"",Length_1!F36)</f>
        <v/>
      </c>
      <c r="Q41" s="172" t="str">
        <f t="shared" si="11"/>
        <v/>
      </c>
      <c r="R41" s="172" t="str">
        <f t="shared" si="12"/>
        <v/>
      </c>
      <c r="S41" s="172" t="str">
        <f t="shared" si="13"/>
        <v/>
      </c>
      <c r="T41" s="172" t="str">
        <f t="shared" si="14"/>
        <v/>
      </c>
      <c r="U41" s="205" t="str">
        <f t="shared" si="15"/>
        <v/>
      </c>
      <c r="V41" s="172" t="str">
        <f t="shared" si="16"/>
        <v/>
      </c>
      <c r="W41" s="172" t="str">
        <f t="shared" si="17"/>
        <v/>
      </c>
      <c r="X41" s="124"/>
      <c r="Y41" s="172" t="e">
        <f ca="1">IF(Length_1!O36&lt;0,ROUNDUP(Length_1!O36*K$3,$M$70),ROUNDDOWN(Length_1!O36*K$3,$M$70))</f>
        <v>#N/A</v>
      </c>
      <c r="Z41" s="172" t="e">
        <f ca="1">IF(Length_1!P36&lt;0,ROUNDDOWN(Length_1!P36*K$3,$M$70),ROUNDUP(Length_1!P36*K$3,$M$70))</f>
        <v>#N/A</v>
      </c>
      <c r="AA41" s="172" t="e">
        <f t="shared" ca="1" si="5"/>
        <v>#N/A</v>
      </c>
      <c r="AB41" s="172" t="e">
        <f t="shared" ca="1" si="6"/>
        <v>#N/A</v>
      </c>
      <c r="AC41" s="172" t="e">
        <f t="shared" ca="1" si="7"/>
        <v>#N/A</v>
      </c>
      <c r="AD41" s="172" t="e">
        <f t="shared" ca="1" si="8"/>
        <v>#N/A</v>
      </c>
      <c r="AE41" s="172" t="str">
        <f t="shared" si="18"/>
        <v/>
      </c>
      <c r="AF41" s="172" t="e">
        <f t="shared" ca="1" si="9"/>
        <v>#N/A</v>
      </c>
    </row>
    <row r="42" spans="2:32" ht="15" customHeight="1">
      <c r="B42" s="199" t="b">
        <f>IF(TRIM(Length_1!C37)="",FALSE,TRUE)</f>
        <v>0</v>
      </c>
      <c r="C42" s="172" t="str">
        <f>IF($B42=FALSE,"",VALUE(Length_1!C37))</f>
        <v/>
      </c>
      <c r="D42" s="172" t="str">
        <f>IF($B42=FALSE,"",Length_1!D37)</f>
        <v/>
      </c>
      <c r="E42" s="200" t="str">
        <f>IF($B42=FALSE,"",Length_1!R37)</f>
        <v/>
      </c>
      <c r="F42" s="200" t="str">
        <f>IF($B42=FALSE,"",Length_1!S37)</f>
        <v/>
      </c>
      <c r="G42" s="200" t="str">
        <f>IF($B42=FALSE,"",Length_1!T37)</f>
        <v/>
      </c>
      <c r="H42" s="200" t="str">
        <f>IF($B42=FALSE,"",Length_1!U37)</f>
        <v/>
      </c>
      <c r="I42" s="200" t="str">
        <f>IF($B42=FALSE,"",Length_1!V37)</f>
        <v/>
      </c>
      <c r="J42" s="201" t="str">
        <f t="shared" si="10"/>
        <v/>
      </c>
      <c r="K42" s="259" t="str">
        <f t="shared" si="1"/>
        <v/>
      </c>
      <c r="L42" s="172" t="str">
        <f>IF($B42=FALSE,"",Length_1!G37)</f>
        <v/>
      </c>
      <c r="M42" s="202" t="str">
        <f t="shared" si="2"/>
        <v/>
      </c>
      <c r="N42" s="203" t="str">
        <f t="shared" si="3"/>
        <v/>
      </c>
      <c r="O42" s="204" t="str">
        <f t="shared" si="4"/>
        <v/>
      </c>
      <c r="P42" s="180" t="str">
        <f>IF(B42=FALSE,"",Length_1!F37)</f>
        <v/>
      </c>
      <c r="Q42" s="172" t="str">
        <f t="shared" si="11"/>
        <v/>
      </c>
      <c r="R42" s="172" t="str">
        <f t="shared" si="12"/>
        <v/>
      </c>
      <c r="S42" s="172" t="str">
        <f t="shared" si="13"/>
        <v/>
      </c>
      <c r="T42" s="172" t="str">
        <f t="shared" si="14"/>
        <v/>
      </c>
      <c r="U42" s="205" t="str">
        <f t="shared" si="15"/>
        <v/>
      </c>
      <c r="V42" s="172" t="str">
        <f t="shared" si="16"/>
        <v/>
      </c>
      <c r="W42" s="172" t="str">
        <f t="shared" si="17"/>
        <v/>
      </c>
      <c r="X42" s="124"/>
      <c r="Y42" s="172" t="e">
        <f ca="1">IF(Length_1!O37&lt;0,ROUNDUP(Length_1!O37*K$3,$M$70),ROUNDDOWN(Length_1!O37*K$3,$M$70))</f>
        <v>#N/A</v>
      </c>
      <c r="Z42" s="172" t="e">
        <f ca="1">IF(Length_1!P37&lt;0,ROUNDDOWN(Length_1!P37*K$3,$M$70),ROUNDUP(Length_1!P37*K$3,$M$70))</f>
        <v>#N/A</v>
      </c>
      <c r="AA42" s="172" t="e">
        <f t="shared" ca="1" si="5"/>
        <v>#N/A</v>
      </c>
      <c r="AB42" s="172" t="e">
        <f t="shared" ca="1" si="6"/>
        <v>#N/A</v>
      </c>
      <c r="AC42" s="172" t="e">
        <f t="shared" ca="1" si="7"/>
        <v>#N/A</v>
      </c>
      <c r="AD42" s="172" t="e">
        <f t="shared" ca="1" si="8"/>
        <v>#N/A</v>
      </c>
      <c r="AE42" s="172" t="str">
        <f t="shared" si="18"/>
        <v/>
      </c>
      <c r="AF42" s="172" t="e">
        <f t="shared" ca="1" si="9"/>
        <v>#N/A</v>
      </c>
    </row>
    <row r="43" spans="2:32" ht="15" customHeight="1">
      <c r="B43" s="199" t="b">
        <f>IF(TRIM(Length_1!C38)="",FALSE,TRUE)</f>
        <v>0</v>
      </c>
      <c r="C43" s="172" t="str">
        <f>IF($B43=FALSE,"",VALUE(Length_1!C38))</f>
        <v/>
      </c>
      <c r="D43" s="172" t="str">
        <f>IF($B43=FALSE,"",Length_1!D38)</f>
        <v/>
      </c>
      <c r="E43" s="200" t="str">
        <f>IF($B43=FALSE,"",Length_1!R38)</f>
        <v/>
      </c>
      <c r="F43" s="200" t="str">
        <f>IF($B43=FALSE,"",Length_1!S38)</f>
        <v/>
      </c>
      <c r="G43" s="200" t="str">
        <f>IF($B43=FALSE,"",Length_1!T38)</f>
        <v/>
      </c>
      <c r="H43" s="200" t="str">
        <f>IF($B43=FALSE,"",Length_1!U38)</f>
        <v/>
      </c>
      <c r="I43" s="200" t="str">
        <f>IF($B43=FALSE,"",Length_1!V38)</f>
        <v/>
      </c>
      <c r="J43" s="201" t="str">
        <f t="shared" si="10"/>
        <v/>
      </c>
      <c r="K43" s="259" t="str">
        <f t="shared" si="1"/>
        <v/>
      </c>
      <c r="L43" s="172" t="str">
        <f>IF($B43=FALSE,"",Length_1!G38)</f>
        <v/>
      </c>
      <c r="M43" s="202" t="str">
        <f t="shared" si="2"/>
        <v/>
      </c>
      <c r="N43" s="203" t="str">
        <f t="shared" si="3"/>
        <v/>
      </c>
      <c r="O43" s="204" t="str">
        <f t="shared" si="4"/>
        <v/>
      </c>
      <c r="P43" s="180" t="str">
        <f>IF(B43=FALSE,"",Length_1!F38)</f>
        <v/>
      </c>
      <c r="Q43" s="172" t="str">
        <f t="shared" si="11"/>
        <v/>
      </c>
      <c r="R43" s="172" t="str">
        <f t="shared" si="12"/>
        <v/>
      </c>
      <c r="S43" s="172" t="str">
        <f t="shared" si="13"/>
        <v/>
      </c>
      <c r="T43" s="172" t="str">
        <f t="shared" si="14"/>
        <v/>
      </c>
      <c r="U43" s="205" t="str">
        <f t="shared" si="15"/>
        <v/>
      </c>
      <c r="V43" s="172" t="str">
        <f t="shared" si="16"/>
        <v/>
      </c>
      <c r="W43" s="172" t="str">
        <f t="shared" si="17"/>
        <v/>
      </c>
      <c r="X43" s="124"/>
      <c r="Y43" s="172" t="e">
        <f ca="1">IF(Length_1!O38&lt;0,ROUNDUP(Length_1!O38*K$3,$M$70),ROUNDDOWN(Length_1!O38*K$3,$M$70))</f>
        <v>#N/A</v>
      </c>
      <c r="Z43" s="172" t="e">
        <f ca="1">IF(Length_1!P38&lt;0,ROUNDDOWN(Length_1!P38*K$3,$M$70),ROUNDUP(Length_1!P38*K$3,$M$70))</f>
        <v>#N/A</v>
      </c>
      <c r="AA43" s="172" t="e">
        <f t="shared" ca="1" si="5"/>
        <v>#N/A</v>
      </c>
      <c r="AB43" s="172" t="e">
        <f t="shared" ca="1" si="6"/>
        <v>#N/A</v>
      </c>
      <c r="AC43" s="172" t="e">
        <f t="shared" ca="1" si="7"/>
        <v>#N/A</v>
      </c>
      <c r="AD43" s="172" t="e">
        <f t="shared" ca="1" si="8"/>
        <v>#N/A</v>
      </c>
      <c r="AE43" s="172" t="str">
        <f t="shared" si="18"/>
        <v/>
      </c>
      <c r="AF43" s="172" t="e">
        <f t="shared" ca="1" si="9"/>
        <v>#N/A</v>
      </c>
    </row>
    <row r="44" spans="2:32" ht="15" customHeight="1">
      <c r="B44" s="199" t="b">
        <f>IF(TRIM(Length_1!C39)="",FALSE,TRUE)</f>
        <v>0</v>
      </c>
      <c r="C44" s="172" t="str">
        <f>IF($B44=FALSE,"",VALUE(Length_1!C39))</f>
        <v/>
      </c>
      <c r="D44" s="172" t="str">
        <f>IF($B44=FALSE,"",Length_1!D39)</f>
        <v/>
      </c>
      <c r="E44" s="200" t="str">
        <f>IF($B44=FALSE,"",Length_1!R39)</f>
        <v/>
      </c>
      <c r="F44" s="200" t="str">
        <f>IF($B44=FALSE,"",Length_1!S39)</f>
        <v/>
      </c>
      <c r="G44" s="200" t="str">
        <f>IF($B44=FALSE,"",Length_1!T39)</f>
        <v/>
      </c>
      <c r="H44" s="200" t="str">
        <f>IF($B44=FALSE,"",Length_1!U39)</f>
        <v/>
      </c>
      <c r="I44" s="200" t="str">
        <f>IF($B44=FALSE,"",Length_1!V39)</f>
        <v/>
      </c>
      <c r="J44" s="201" t="str">
        <f t="shared" si="10"/>
        <v/>
      </c>
      <c r="K44" s="259" t="str">
        <f t="shared" si="1"/>
        <v/>
      </c>
      <c r="L44" s="172" t="str">
        <f>IF($B44=FALSE,"",Length_1!G39)</f>
        <v/>
      </c>
      <c r="M44" s="202" t="str">
        <f t="shared" si="2"/>
        <v/>
      </c>
      <c r="N44" s="203" t="str">
        <f t="shared" si="3"/>
        <v/>
      </c>
      <c r="O44" s="204" t="str">
        <f t="shared" si="4"/>
        <v/>
      </c>
      <c r="P44" s="180" t="str">
        <f>IF(B44=FALSE,"",Length_1!F39)</f>
        <v/>
      </c>
      <c r="Q44" s="172" t="str">
        <f t="shared" si="11"/>
        <v/>
      </c>
      <c r="R44" s="172" t="str">
        <f t="shared" si="12"/>
        <v/>
      </c>
      <c r="S44" s="172" t="str">
        <f t="shared" si="13"/>
        <v/>
      </c>
      <c r="T44" s="172" t="str">
        <f t="shared" si="14"/>
        <v/>
      </c>
      <c r="U44" s="205" t="str">
        <f t="shared" si="15"/>
        <v/>
      </c>
      <c r="V44" s="172" t="str">
        <f t="shared" si="16"/>
        <v/>
      </c>
      <c r="W44" s="172" t="str">
        <f t="shared" si="17"/>
        <v/>
      </c>
      <c r="X44" s="124"/>
      <c r="Y44" s="172" t="e">
        <f ca="1">IF(Length_1!O39&lt;0,ROUNDUP(Length_1!O39*K$3,$M$70),ROUNDDOWN(Length_1!O39*K$3,$M$70))</f>
        <v>#N/A</v>
      </c>
      <c r="Z44" s="172" t="e">
        <f ca="1">IF(Length_1!P39&lt;0,ROUNDDOWN(Length_1!P39*K$3,$M$70),ROUNDUP(Length_1!P39*K$3,$M$70))</f>
        <v>#N/A</v>
      </c>
      <c r="AA44" s="172" t="e">
        <f t="shared" ca="1" si="5"/>
        <v>#N/A</v>
      </c>
      <c r="AB44" s="172" t="e">
        <f t="shared" ca="1" si="6"/>
        <v>#N/A</v>
      </c>
      <c r="AC44" s="172" t="e">
        <f t="shared" ca="1" si="7"/>
        <v>#N/A</v>
      </c>
      <c r="AD44" s="172" t="e">
        <f t="shared" ca="1" si="8"/>
        <v>#N/A</v>
      </c>
      <c r="AE44" s="172" t="str">
        <f t="shared" si="18"/>
        <v/>
      </c>
      <c r="AF44" s="172" t="e">
        <f t="shared" ca="1" si="9"/>
        <v>#N/A</v>
      </c>
    </row>
    <row r="45" spans="2:32" ht="15" customHeight="1">
      <c r="B45" s="199" t="b">
        <f>IF(TRIM(Length_1!C40)="",FALSE,TRUE)</f>
        <v>0</v>
      </c>
      <c r="C45" s="172" t="str">
        <f>IF($B45=FALSE,"",VALUE(Length_1!C40))</f>
        <v/>
      </c>
      <c r="D45" s="172" t="str">
        <f>IF($B45=FALSE,"",Length_1!D40)</f>
        <v/>
      </c>
      <c r="E45" s="200" t="str">
        <f>IF($B45=FALSE,"",Length_1!R40)</f>
        <v/>
      </c>
      <c r="F45" s="200" t="str">
        <f>IF($B45=FALSE,"",Length_1!S40)</f>
        <v/>
      </c>
      <c r="G45" s="200" t="str">
        <f>IF($B45=FALSE,"",Length_1!T40)</f>
        <v/>
      </c>
      <c r="H45" s="200" t="str">
        <f>IF($B45=FALSE,"",Length_1!U40)</f>
        <v/>
      </c>
      <c r="I45" s="200" t="str">
        <f>IF($B45=FALSE,"",Length_1!V40)</f>
        <v/>
      </c>
      <c r="J45" s="201" t="str">
        <f t="shared" si="10"/>
        <v/>
      </c>
      <c r="K45" s="259" t="str">
        <f t="shared" si="1"/>
        <v/>
      </c>
      <c r="L45" s="172" t="str">
        <f>IF($B45=FALSE,"",Length_1!G40)</f>
        <v/>
      </c>
      <c r="M45" s="202" t="str">
        <f t="shared" si="2"/>
        <v/>
      </c>
      <c r="N45" s="203" t="str">
        <f t="shared" si="3"/>
        <v/>
      </c>
      <c r="O45" s="204" t="str">
        <f t="shared" si="4"/>
        <v/>
      </c>
      <c r="P45" s="180" t="str">
        <f>IF(B45=FALSE,"",Length_1!F40)</f>
        <v/>
      </c>
      <c r="Q45" s="172" t="str">
        <f t="shared" si="11"/>
        <v/>
      </c>
      <c r="R45" s="172" t="str">
        <f t="shared" si="12"/>
        <v/>
      </c>
      <c r="S45" s="172" t="str">
        <f t="shared" si="13"/>
        <v/>
      </c>
      <c r="T45" s="172" t="str">
        <f t="shared" si="14"/>
        <v/>
      </c>
      <c r="U45" s="205" t="str">
        <f t="shared" si="15"/>
        <v/>
      </c>
      <c r="V45" s="172" t="str">
        <f t="shared" si="16"/>
        <v/>
      </c>
      <c r="W45" s="172" t="str">
        <f t="shared" si="17"/>
        <v/>
      </c>
      <c r="X45" s="124"/>
      <c r="Y45" s="172" t="e">
        <f ca="1">IF(Length_1!O40&lt;0,ROUNDUP(Length_1!O40*K$3,$M$70),ROUNDDOWN(Length_1!O40*K$3,$M$70))</f>
        <v>#N/A</v>
      </c>
      <c r="Z45" s="172" t="e">
        <f ca="1">IF(Length_1!P40&lt;0,ROUNDDOWN(Length_1!P40*K$3,$M$70),ROUNDUP(Length_1!P40*K$3,$M$70))</f>
        <v>#N/A</v>
      </c>
      <c r="AA45" s="172" t="e">
        <f t="shared" ca="1" si="5"/>
        <v>#N/A</v>
      </c>
      <c r="AB45" s="172" t="e">
        <f t="shared" ca="1" si="6"/>
        <v>#N/A</v>
      </c>
      <c r="AC45" s="172" t="e">
        <f t="shared" ca="1" si="7"/>
        <v>#N/A</v>
      </c>
      <c r="AD45" s="172" t="e">
        <f t="shared" ca="1" si="8"/>
        <v>#N/A</v>
      </c>
      <c r="AE45" s="172" t="str">
        <f t="shared" si="18"/>
        <v/>
      </c>
      <c r="AF45" s="172" t="e">
        <f t="shared" ca="1" si="9"/>
        <v>#N/A</v>
      </c>
    </row>
    <row r="46" spans="2:32" ht="15" customHeight="1">
      <c r="B46" s="199" t="b">
        <f>IF(TRIM(Length_1!C41)="",FALSE,TRUE)</f>
        <v>0</v>
      </c>
      <c r="C46" s="172" t="str">
        <f>IF($B46=FALSE,"",VALUE(Length_1!C41))</f>
        <v/>
      </c>
      <c r="D46" s="172" t="str">
        <f>IF($B46=FALSE,"",Length_1!D41)</f>
        <v/>
      </c>
      <c r="E46" s="200" t="str">
        <f>IF($B46=FALSE,"",Length_1!R41)</f>
        <v/>
      </c>
      <c r="F46" s="200" t="str">
        <f>IF($B46=FALSE,"",Length_1!S41)</f>
        <v/>
      </c>
      <c r="G46" s="200" t="str">
        <f>IF($B46=FALSE,"",Length_1!T41)</f>
        <v/>
      </c>
      <c r="H46" s="200" t="str">
        <f>IF($B46=FALSE,"",Length_1!U41)</f>
        <v/>
      </c>
      <c r="I46" s="200" t="str">
        <f>IF($B46=FALSE,"",Length_1!V41)</f>
        <v/>
      </c>
      <c r="J46" s="201" t="str">
        <f t="shared" si="10"/>
        <v/>
      </c>
      <c r="K46" s="259" t="str">
        <f t="shared" si="1"/>
        <v/>
      </c>
      <c r="L46" s="172" t="str">
        <f>IF($B46=FALSE,"",Length_1!G41)</f>
        <v/>
      </c>
      <c r="M46" s="202" t="str">
        <f t="shared" si="2"/>
        <v/>
      </c>
      <c r="N46" s="203" t="str">
        <f t="shared" si="3"/>
        <v/>
      </c>
      <c r="O46" s="204" t="str">
        <f t="shared" si="4"/>
        <v/>
      </c>
      <c r="P46" s="180" t="str">
        <f>IF(B46=FALSE,"",Length_1!F41)</f>
        <v/>
      </c>
      <c r="Q46" s="172" t="str">
        <f t="shared" si="11"/>
        <v/>
      </c>
      <c r="R46" s="172" t="str">
        <f t="shared" si="12"/>
        <v/>
      </c>
      <c r="S46" s="172" t="str">
        <f t="shared" si="13"/>
        <v/>
      </c>
      <c r="T46" s="172" t="str">
        <f t="shared" si="14"/>
        <v/>
      </c>
      <c r="U46" s="205" t="str">
        <f t="shared" si="15"/>
        <v/>
      </c>
      <c r="V46" s="172" t="str">
        <f t="shared" si="16"/>
        <v/>
      </c>
      <c r="W46" s="172" t="str">
        <f t="shared" si="17"/>
        <v/>
      </c>
      <c r="X46" s="124"/>
      <c r="Y46" s="172" t="e">
        <f ca="1">IF(Length_1!O41&lt;0,ROUNDUP(Length_1!O41*K$3,$M$70),ROUNDDOWN(Length_1!O41*K$3,$M$70))</f>
        <v>#N/A</v>
      </c>
      <c r="Z46" s="172" t="e">
        <f ca="1">IF(Length_1!P41&lt;0,ROUNDDOWN(Length_1!P41*K$3,$M$70),ROUNDUP(Length_1!P41*K$3,$M$70))</f>
        <v>#N/A</v>
      </c>
      <c r="AA46" s="172" t="e">
        <f t="shared" ca="1" si="5"/>
        <v>#N/A</v>
      </c>
      <c r="AB46" s="172" t="e">
        <f t="shared" ca="1" si="6"/>
        <v>#N/A</v>
      </c>
      <c r="AC46" s="172" t="e">
        <f t="shared" ca="1" si="7"/>
        <v>#N/A</v>
      </c>
      <c r="AD46" s="172" t="e">
        <f t="shared" ca="1" si="8"/>
        <v>#N/A</v>
      </c>
      <c r="AE46" s="172" t="str">
        <f t="shared" si="18"/>
        <v/>
      </c>
      <c r="AF46" s="172" t="e">
        <f t="shared" ca="1" si="9"/>
        <v>#N/A</v>
      </c>
    </row>
    <row r="47" spans="2:32" ht="15" customHeight="1">
      <c r="B47" s="199" t="b">
        <f>IF(TRIM(Length_1!C42)="",FALSE,TRUE)</f>
        <v>0</v>
      </c>
      <c r="C47" s="172" t="str">
        <f>IF($B47=FALSE,"",VALUE(Length_1!C42))</f>
        <v/>
      </c>
      <c r="D47" s="172" t="str">
        <f>IF($B47=FALSE,"",Length_1!D42)</f>
        <v/>
      </c>
      <c r="E47" s="200" t="str">
        <f>IF($B47=FALSE,"",Length_1!R42)</f>
        <v/>
      </c>
      <c r="F47" s="200" t="str">
        <f>IF($B47=FALSE,"",Length_1!S42)</f>
        <v/>
      </c>
      <c r="G47" s="200" t="str">
        <f>IF($B47=FALSE,"",Length_1!T42)</f>
        <v/>
      </c>
      <c r="H47" s="200" t="str">
        <f>IF($B47=FALSE,"",Length_1!U42)</f>
        <v/>
      </c>
      <c r="I47" s="200" t="str">
        <f>IF($B47=FALSE,"",Length_1!V42)</f>
        <v/>
      </c>
      <c r="J47" s="201" t="str">
        <f t="shared" si="10"/>
        <v/>
      </c>
      <c r="K47" s="259" t="str">
        <f t="shared" si="1"/>
        <v/>
      </c>
      <c r="L47" s="172" t="str">
        <f>IF($B47=FALSE,"",Length_1!G42)</f>
        <v/>
      </c>
      <c r="M47" s="202" t="str">
        <f t="shared" si="2"/>
        <v/>
      </c>
      <c r="N47" s="203" t="str">
        <f t="shared" si="3"/>
        <v/>
      </c>
      <c r="O47" s="204" t="str">
        <f t="shared" si="4"/>
        <v/>
      </c>
      <c r="P47" s="180" t="str">
        <f>IF(B47=FALSE,"",Length_1!F42)</f>
        <v/>
      </c>
      <c r="Q47" s="172" t="str">
        <f t="shared" si="11"/>
        <v/>
      </c>
      <c r="R47" s="172" t="str">
        <f t="shared" si="12"/>
        <v/>
      </c>
      <c r="S47" s="172" t="str">
        <f t="shared" si="13"/>
        <v/>
      </c>
      <c r="T47" s="172" t="str">
        <f t="shared" si="14"/>
        <v/>
      </c>
      <c r="U47" s="205" t="str">
        <f t="shared" si="15"/>
        <v/>
      </c>
      <c r="V47" s="172" t="str">
        <f t="shared" si="16"/>
        <v/>
      </c>
      <c r="W47" s="172" t="str">
        <f t="shared" si="17"/>
        <v/>
      </c>
      <c r="X47" s="124"/>
      <c r="Y47" s="172" t="e">
        <f ca="1">IF(Length_1!O42&lt;0,ROUNDUP(Length_1!O42*K$3,$M$70),ROUNDDOWN(Length_1!O42*K$3,$M$70))</f>
        <v>#N/A</v>
      </c>
      <c r="Z47" s="172" t="e">
        <f ca="1">IF(Length_1!P42&lt;0,ROUNDDOWN(Length_1!P42*K$3,$M$70),ROUNDUP(Length_1!P42*K$3,$M$70))</f>
        <v>#N/A</v>
      </c>
      <c r="AA47" s="172" t="e">
        <f t="shared" ca="1" si="5"/>
        <v>#N/A</v>
      </c>
      <c r="AB47" s="172" t="e">
        <f t="shared" ca="1" si="6"/>
        <v>#N/A</v>
      </c>
      <c r="AC47" s="172" t="e">
        <f t="shared" ca="1" si="7"/>
        <v>#N/A</v>
      </c>
      <c r="AD47" s="172" t="e">
        <f t="shared" ca="1" si="8"/>
        <v>#N/A</v>
      </c>
      <c r="AE47" s="172" t="str">
        <f t="shared" si="18"/>
        <v/>
      </c>
      <c r="AF47" s="172" t="e">
        <f t="shared" ca="1" si="9"/>
        <v>#N/A</v>
      </c>
    </row>
    <row r="48" spans="2:32" ht="15" customHeight="1">
      <c r="B48" s="199" t="b">
        <f>IF(TRIM(Length_1!C43)="",FALSE,TRUE)</f>
        <v>0</v>
      </c>
      <c r="C48" s="172" t="str">
        <f>IF($B48=FALSE,"",VALUE(Length_1!C43))</f>
        <v/>
      </c>
      <c r="D48" s="172" t="str">
        <f>IF($B48=FALSE,"",Length_1!D43)</f>
        <v/>
      </c>
      <c r="E48" s="200" t="str">
        <f>IF($B48=FALSE,"",Length_1!R43)</f>
        <v/>
      </c>
      <c r="F48" s="200" t="str">
        <f>IF($B48=FALSE,"",Length_1!S43)</f>
        <v/>
      </c>
      <c r="G48" s="200" t="str">
        <f>IF($B48=FALSE,"",Length_1!T43)</f>
        <v/>
      </c>
      <c r="H48" s="200" t="str">
        <f>IF($B48=FALSE,"",Length_1!U43)</f>
        <v/>
      </c>
      <c r="I48" s="200" t="str">
        <f>IF($B48=FALSE,"",Length_1!V43)</f>
        <v/>
      </c>
      <c r="J48" s="201" t="str">
        <f t="shared" si="10"/>
        <v/>
      </c>
      <c r="K48" s="259" t="str">
        <f t="shared" si="1"/>
        <v/>
      </c>
      <c r="L48" s="172" t="str">
        <f>IF($B48=FALSE,"",Length_1!G43)</f>
        <v/>
      </c>
      <c r="M48" s="202" t="str">
        <f t="shared" si="2"/>
        <v/>
      </c>
      <c r="N48" s="203" t="str">
        <f t="shared" si="3"/>
        <v/>
      </c>
      <c r="O48" s="204" t="str">
        <f t="shared" si="4"/>
        <v/>
      </c>
      <c r="P48" s="180" t="str">
        <f>IF(B48=FALSE,"",Length_1!F43)</f>
        <v/>
      </c>
      <c r="Q48" s="172" t="str">
        <f t="shared" si="11"/>
        <v/>
      </c>
      <c r="R48" s="172" t="str">
        <f t="shared" si="12"/>
        <v/>
      </c>
      <c r="S48" s="172" t="str">
        <f t="shared" si="13"/>
        <v/>
      </c>
      <c r="T48" s="172" t="str">
        <f t="shared" si="14"/>
        <v/>
      </c>
      <c r="U48" s="205" t="str">
        <f t="shared" si="15"/>
        <v/>
      </c>
      <c r="V48" s="172" t="str">
        <f t="shared" si="16"/>
        <v/>
      </c>
      <c r="W48" s="172" t="str">
        <f t="shared" si="17"/>
        <v/>
      </c>
      <c r="X48" s="124"/>
      <c r="Y48" s="172" t="e">
        <f ca="1">IF(Length_1!O43&lt;0,ROUNDUP(Length_1!O43*K$3,$M$70),ROUNDDOWN(Length_1!O43*K$3,$M$70))</f>
        <v>#N/A</v>
      </c>
      <c r="Z48" s="172" t="e">
        <f ca="1">IF(Length_1!P43&lt;0,ROUNDDOWN(Length_1!P43*K$3,$M$70),ROUNDUP(Length_1!P43*K$3,$M$70))</f>
        <v>#N/A</v>
      </c>
      <c r="AA48" s="172" t="e">
        <f t="shared" ca="1" si="5"/>
        <v>#N/A</v>
      </c>
      <c r="AB48" s="172" t="e">
        <f t="shared" ca="1" si="6"/>
        <v>#N/A</v>
      </c>
      <c r="AC48" s="172" t="e">
        <f t="shared" ca="1" si="7"/>
        <v>#N/A</v>
      </c>
      <c r="AD48" s="172" t="e">
        <f t="shared" ca="1" si="8"/>
        <v>#N/A</v>
      </c>
      <c r="AE48" s="172" t="str">
        <f t="shared" si="18"/>
        <v/>
      </c>
      <c r="AF48" s="172" t="e">
        <f t="shared" ca="1" si="9"/>
        <v>#N/A</v>
      </c>
    </row>
    <row r="49" spans="1:32" ht="15" customHeight="1">
      <c r="B49" s="199" t="b">
        <f>IF(TRIM(Length_1!C44)="",FALSE,TRUE)</f>
        <v>0</v>
      </c>
      <c r="C49" s="172" t="str">
        <f>IF($B49=FALSE,"",VALUE(Length_1!C44))</f>
        <v/>
      </c>
      <c r="D49" s="172" t="str">
        <f>IF($B49=FALSE,"",Length_1!D44)</f>
        <v/>
      </c>
      <c r="E49" s="200" t="str">
        <f>IF($B49=FALSE,"",Length_1!R44)</f>
        <v/>
      </c>
      <c r="F49" s="200" t="str">
        <f>IF($B49=FALSE,"",Length_1!S44)</f>
        <v/>
      </c>
      <c r="G49" s="200" t="str">
        <f>IF($B49=FALSE,"",Length_1!T44)</f>
        <v/>
      </c>
      <c r="H49" s="200" t="str">
        <f>IF($B49=FALSE,"",Length_1!U44)</f>
        <v/>
      </c>
      <c r="I49" s="200" t="str">
        <f>IF($B49=FALSE,"",Length_1!V44)</f>
        <v/>
      </c>
      <c r="J49" s="201" t="str">
        <f t="shared" si="10"/>
        <v/>
      </c>
      <c r="K49" s="259" t="str">
        <f t="shared" si="1"/>
        <v/>
      </c>
      <c r="L49" s="172" t="str">
        <f>IF($B49=FALSE,"",Length_1!G44)</f>
        <v/>
      </c>
      <c r="M49" s="202" t="str">
        <f t="shared" si="2"/>
        <v/>
      </c>
      <c r="N49" s="203" t="str">
        <f t="shared" si="3"/>
        <v/>
      </c>
      <c r="O49" s="204" t="str">
        <f t="shared" si="4"/>
        <v/>
      </c>
      <c r="P49" s="180" t="str">
        <f>IF(B49=FALSE,"",Length_1!F44)</f>
        <v/>
      </c>
      <c r="Q49" s="172" t="str">
        <f t="shared" si="11"/>
        <v/>
      </c>
      <c r="R49" s="172" t="str">
        <f t="shared" si="12"/>
        <v/>
      </c>
      <c r="S49" s="172" t="str">
        <f t="shared" si="13"/>
        <v/>
      </c>
      <c r="T49" s="172" t="str">
        <f t="shared" si="14"/>
        <v/>
      </c>
      <c r="U49" s="205" t="str">
        <f t="shared" si="15"/>
        <v/>
      </c>
      <c r="V49" s="172" t="str">
        <f t="shared" si="16"/>
        <v/>
      </c>
      <c r="W49" s="172" t="str">
        <f t="shared" si="17"/>
        <v/>
      </c>
      <c r="X49" s="124"/>
      <c r="Y49" s="172" t="e">
        <f ca="1">IF(Length_1!O44&lt;0,ROUNDUP(Length_1!O44*K$3,$M$70),ROUNDDOWN(Length_1!O44*K$3,$M$70))</f>
        <v>#N/A</v>
      </c>
      <c r="Z49" s="172" t="e">
        <f ca="1">IF(Length_1!P44&lt;0,ROUNDDOWN(Length_1!P44*K$3,$M$70),ROUNDUP(Length_1!P44*K$3,$M$70))</f>
        <v>#N/A</v>
      </c>
      <c r="AA49" s="172" t="e">
        <f t="shared" ca="1" si="5"/>
        <v>#N/A</v>
      </c>
      <c r="AB49" s="172" t="e">
        <f t="shared" ca="1" si="6"/>
        <v>#N/A</v>
      </c>
      <c r="AC49" s="172" t="e">
        <f t="shared" ca="1" si="7"/>
        <v>#N/A</v>
      </c>
      <c r="AD49" s="172" t="e">
        <f t="shared" ca="1" si="8"/>
        <v>#N/A</v>
      </c>
      <c r="AE49" s="172" t="str">
        <f t="shared" si="18"/>
        <v/>
      </c>
      <c r="AF49" s="172" t="e">
        <f ca="1">S$70</f>
        <v>#N/A</v>
      </c>
    </row>
    <row r="50" spans="1:32" ht="15" customHeight="1">
      <c r="N50" s="120"/>
      <c r="O50" s="120"/>
      <c r="P50" s="120"/>
      <c r="Q50" s="120"/>
      <c r="R50" s="120"/>
      <c r="S50" s="120"/>
      <c r="T50" s="120"/>
      <c r="X50" s="120"/>
    </row>
    <row r="51" spans="1:32" ht="15" customHeight="1">
      <c r="A51" s="118" t="s">
        <v>226</v>
      </c>
      <c r="C51" s="119"/>
      <c r="D51" s="119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</row>
    <row r="52" spans="1:32" ht="15" customHeight="1">
      <c r="A52" s="118"/>
      <c r="B52" s="513"/>
      <c r="C52" s="513" t="s">
        <v>243</v>
      </c>
      <c r="D52" s="526" t="s">
        <v>334</v>
      </c>
      <c r="E52" s="513" t="s">
        <v>124</v>
      </c>
      <c r="F52" s="513" t="s">
        <v>233</v>
      </c>
      <c r="G52" s="517">
        <v>1</v>
      </c>
      <c r="H52" s="518"/>
      <c r="I52" s="518"/>
      <c r="J52" s="518"/>
      <c r="K52" s="519"/>
      <c r="L52" s="255">
        <v>2</v>
      </c>
      <c r="M52" s="517">
        <v>3</v>
      </c>
      <c r="N52" s="518"/>
      <c r="O52" s="518"/>
      <c r="P52" s="519"/>
      <c r="Q52" s="517">
        <v>4</v>
      </c>
      <c r="R52" s="519"/>
      <c r="S52" s="255">
        <v>5</v>
      </c>
      <c r="T52" s="513" t="s">
        <v>608</v>
      </c>
      <c r="U52" s="517" t="s">
        <v>619</v>
      </c>
      <c r="V52" s="519"/>
      <c r="Y52" s="255" t="s">
        <v>284</v>
      </c>
      <c r="Z52" s="255" t="s">
        <v>335</v>
      </c>
      <c r="AA52" s="255" t="s">
        <v>290</v>
      </c>
      <c r="AB52" s="255" t="s">
        <v>244</v>
      </c>
      <c r="AC52" s="376" t="s">
        <v>336</v>
      </c>
    </row>
    <row r="53" spans="1:32" ht="15" customHeight="1">
      <c r="A53" s="118"/>
      <c r="B53" s="520"/>
      <c r="C53" s="520"/>
      <c r="D53" s="527"/>
      <c r="E53" s="520"/>
      <c r="F53" s="520"/>
      <c r="G53" s="284" t="s">
        <v>572</v>
      </c>
      <c r="H53" s="284" t="s">
        <v>573</v>
      </c>
      <c r="I53" s="284" t="s">
        <v>574</v>
      </c>
      <c r="J53" s="517" t="s">
        <v>337</v>
      </c>
      <c r="K53" s="519"/>
      <c r="L53" s="255" t="s">
        <v>125</v>
      </c>
      <c r="M53" s="517" t="s">
        <v>291</v>
      </c>
      <c r="N53" s="519"/>
      <c r="O53" s="517" t="s">
        <v>292</v>
      </c>
      <c r="P53" s="519"/>
      <c r="Q53" s="517" t="s">
        <v>245</v>
      </c>
      <c r="R53" s="519"/>
      <c r="S53" s="255" t="s">
        <v>126</v>
      </c>
      <c r="T53" s="514"/>
      <c r="U53" s="300" t="s">
        <v>620</v>
      </c>
      <c r="V53" s="300" t="s">
        <v>621</v>
      </c>
      <c r="Y53" s="255" t="s">
        <v>293</v>
      </c>
      <c r="Z53" s="255" t="s">
        <v>129</v>
      </c>
      <c r="AA53" s="255" t="s">
        <v>129</v>
      </c>
      <c r="AB53" s="255" t="s">
        <v>129</v>
      </c>
      <c r="AC53" s="377"/>
    </row>
    <row r="54" spans="1:32" ht="15" customHeight="1">
      <c r="B54" s="255" t="s">
        <v>128</v>
      </c>
      <c r="C54" s="206" t="s">
        <v>285</v>
      </c>
      <c r="D54" s="207" t="s">
        <v>246</v>
      </c>
      <c r="E54" s="259" t="e">
        <f ca="1">OFFSET(M$8,MATCH(M$3,O$9:O$49,0),0)</f>
        <v>#N/A</v>
      </c>
      <c r="F54" s="208" t="s">
        <v>294</v>
      </c>
      <c r="G54" s="174">
        <f>IF(MAX(K9:K49)=0,O3,MAX(K9:K49))</f>
        <v>0</v>
      </c>
      <c r="H54" s="172">
        <f>IF(MAX(K9:K49)=0,2,1)</f>
        <v>2</v>
      </c>
      <c r="I54" s="213">
        <f>IF(MAX(K9:K49)=0,3,5)</f>
        <v>3</v>
      </c>
      <c r="J54" s="210">
        <f>G54/H54/SQRT(I54)</f>
        <v>0</v>
      </c>
      <c r="K54" s="174" t="s">
        <v>332</v>
      </c>
      <c r="L54" s="211" t="s">
        <v>227</v>
      </c>
      <c r="M54" s="172"/>
      <c r="N54" s="172"/>
      <c r="O54" s="203">
        <v>1</v>
      </c>
      <c r="P54" s="172"/>
      <c r="Q54" s="212">
        <f>ABS(J54*O54)</f>
        <v>0</v>
      </c>
      <c r="R54" s="174" t="s">
        <v>129</v>
      </c>
      <c r="S54" s="172">
        <v>4</v>
      </c>
      <c r="T54" s="218">
        <f>IF(S54="∞",0,Q54^4/S54)</f>
        <v>0</v>
      </c>
      <c r="U54" s="212" t="str">
        <f>IF(OR(L54="직사각형",L54="삼각형"),Q54,"")</f>
        <v/>
      </c>
      <c r="V54" s="212">
        <f>IF(OR(L54="직사각형",L54="삼각형"),"",Q54)</f>
        <v>0</v>
      </c>
      <c r="Y54" s="172">
        <v>0</v>
      </c>
      <c r="Z54" s="172">
        <f ca="1">IFERROR(OFFSET(Length_1!F2,MATCH(1,Length_1!G$4:G$44,0),0),0)</f>
        <v>0</v>
      </c>
      <c r="AA54" s="223">
        <v>0</v>
      </c>
      <c r="AB54" s="224">
        <f t="shared" ref="AB54:AB59" si="19">IF(AA54=0,0,SQRT(SUMSQ(G$55,H$55*AA54/1000))/2/1000)</f>
        <v>0</v>
      </c>
      <c r="AC54" s="225">
        <f ca="1">SQRT(SUMSQ(AB54,AB55,AB56,AB57,AB58,AB59)+SUM(2*(AB54*AB55),2*(AB54*AB56),2*(AB54*AB57),2*(AB54*AB58),2*(AB54*AB59),2*(AB55*AB56),2*(AB55*AB57),2*(AB55*AB58),2*(AB55*AB59),2*(AB56*AB57),2*(AB56*AB58),2*(AB56*AB59),2*(AB57*AB58),2*(AB57*AB59),2*(AB58*AB59)))</f>
        <v>0</v>
      </c>
    </row>
    <row r="55" spans="1:32" ht="15" customHeight="1">
      <c r="B55" s="255" t="s">
        <v>338</v>
      </c>
      <c r="C55" s="206" t="s">
        <v>339</v>
      </c>
      <c r="D55" s="207" t="s">
        <v>238</v>
      </c>
      <c r="E55" s="172" t="e">
        <f ca="1">OFFSET(N$8,MATCH(M$3,O$9:O$49,0),0)</f>
        <v>#N/A</v>
      </c>
      <c r="F55" s="208" t="s">
        <v>294</v>
      </c>
      <c r="G55" s="209" t="e">
        <f ca="1">OFFSET(Length_1!D47,MATCH(M3,Length_1!B48:B70,0),0)</f>
        <v>#N/A</v>
      </c>
      <c r="H55" s="172" t="e">
        <f ca="1">OFFSET(Length_1!D47,MATCH(M3,Length_1!B48:B70,0),1)</f>
        <v>#N/A</v>
      </c>
      <c r="I55" s="172" t="e">
        <f ca="1">OFFSET(Length_1!E47,MATCH(M3,Length_1!B48:B70,0),2)</f>
        <v>#N/A</v>
      </c>
      <c r="J55" s="226" t="e">
        <f ca="1">SQRT(SUMSQ(G55,H55*M3/1000))/I55/1000</f>
        <v>#N/A</v>
      </c>
      <c r="K55" s="174" t="s">
        <v>294</v>
      </c>
      <c r="L55" s="211" t="s">
        <v>305</v>
      </c>
      <c r="M55" s="172"/>
      <c r="N55" s="172"/>
      <c r="O55" s="203">
        <v>1</v>
      </c>
      <c r="P55" s="172"/>
      <c r="Q55" s="212" t="e">
        <f t="shared" ref="Q55:Q64" ca="1" si="20">ABS(J55*O55)</f>
        <v>#N/A</v>
      </c>
      <c r="R55" s="174" t="s">
        <v>129</v>
      </c>
      <c r="S55" s="172" t="s">
        <v>228</v>
      </c>
      <c r="T55" s="218">
        <f>IF(S55="∞",0,Q55^4/S55)</f>
        <v>0</v>
      </c>
      <c r="U55" s="212" t="str">
        <f>IF(OR(L55="직사각형",L55="삼각형"),Q55,"")</f>
        <v/>
      </c>
      <c r="V55" s="212" t="e">
        <f ca="1">IF(OR(L55="직사각형",L55="삼각형"),"",Q55)</f>
        <v>#N/A</v>
      </c>
      <c r="Y55" s="172">
        <v>1</v>
      </c>
      <c r="Z55" s="172">
        <f ca="1">IFERROR(OFFSET(Length_1!F3,MATCH(1,Length_1!G$4:G$44,0),0),0)</f>
        <v>0</v>
      </c>
      <c r="AA55" s="172">
        <f ca="1">MAX(Z55-Z54,0)</f>
        <v>0</v>
      </c>
      <c r="AB55" s="224">
        <f t="shared" ca="1" si="19"/>
        <v>0</v>
      </c>
    </row>
    <row r="56" spans="1:32" ht="15" customHeight="1">
      <c r="B56" s="255" t="s">
        <v>81</v>
      </c>
      <c r="C56" s="206" t="s">
        <v>248</v>
      </c>
      <c r="D56" s="207" t="s">
        <v>249</v>
      </c>
      <c r="E56" s="259" t="e">
        <f ca="1">OFFSET(O$8,MATCH(M$3,O$9:O$49,0),0)</f>
        <v>#N/A</v>
      </c>
      <c r="F56" s="208" t="s">
        <v>129</v>
      </c>
      <c r="G56" s="172">
        <f>O3</f>
        <v>0</v>
      </c>
      <c r="H56" s="172">
        <v>2</v>
      </c>
      <c r="I56" s="213">
        <v>3</v>
      </c>
      <c r="J56" s="227">
        <f>G56/H56/SQRT(I56)</f>
        <v>0</v>
      </c>
      <c r="K56" s="174" t="s">
        <v>294</v>
      </c>
      <c r="L56" s="211" t="s">
        <v>295</v>
      </c>
      <c r="M56" s="172"/>
      <c r="N56" s="172"/>
      <c r="O56" s="203">
        <v>-1</v>
      </c>
      <c r="P56" s="172"/>
      <c r="Q56" s="212">
        <f t="shared" si="20"/>
        <v>0</v>
      </c>
      <c r="R56" s="174" t="s">
        <v>332</v>
      </c>
      <c r="S56" s="172" t="s">
        <v>228</v>
      </c>
      <c r="T56" s="218">
        <f>IF(S56="∞",0,Q56^4/S56)</f>
        <v>0</v>
      </c>
      <c r="U56" s="212">
        <f>IF(OR(L56="직사각형",L56="삼각형"),Q56,"")</f>
        <v>0</v>
      </c>
      <c r="V56" s="212" t="str">
        <f>IF(OR(L56="직사각형",L56="삼각형"),"",Q56)</f>
        <v/>
      </c>
      <c r="Y56" s="172">
        <v>2</v>
      </c>
      <c r="Z56" s="172">
        <f ca="1">IFERROR(OFFSET(Length_1!F4,MATCH(1,Length_1!G$4:G$44,0),0),0)</f>
        <v>0</v>
      </c>
      <c r="AA56" s="172">
        <f ca="1">MAX(Z56-Z55,0)</f>
        <v>0</v>
      </c>
      <c r="AB56" s="224">
        <f t="shared" ca="1" si="19"/>
        <v>0</v>
      </c>
    </row>
    <row r="57" spans="1:32" ht="15" customHeight="1">
      <c r="B57" s="255" t="s">
        <v>340</v>
      </c>
      <c r="C57" s="206" t="s">
        <v>341</v>
      </c>
      <c r="D57" s="207" t="s">
        <v>342</v>
      </c>
      <c r="E57" s="259" t="e">
        <f ca="1">OFFSET(P$8,MATCH(M$3,O$9:O$49,0),0)</f>
        <v>#N/A</v>
      </c>
      <c r="F57" s="208" t="s">
        <v>332</v>
      </c>
      <c r="G57" s="224"/>
      <c r="H57" s="224"/>
      <c r="I57" s="260"/>
      <c r="J57" s="226" t="e">
        <f ca="1">SQRT(SUMSQ(J58:J60))</f>
        <v>#N/A</v>
      </c>
      <c r="K57" s="174" t="s">
        <v>288</v>
      </c>
      <c r="L57" s="211" t="s">
        <v>343</v>
      </c>
      <c r="M57" s="172"/>
      <c r="N57" s="172"/>
      <c r="O57" s="203">
        <v>1</v>
      </c>
      <c r="P57" s="172"/>
      <c r="Q57" s="212" t="e">
        <f t="shared" ca="1" si="20"/>
        <v>#N/A</v>
      </c>
      <c r="R57" s="174" t="s">
        <v>294</v>
      </c>
      <c r="S57" s="172" t="s">
        <v>344</v>
      </c>
      <c r="T57" s="218">
        <f>IF(S57="∞",0,Q57^4/S57)</f>
        <v>0</v>
      </c>
      <c r="U57" s="212" t="str">
        <f>IF(OR(L57="직사각형",L57="삼각형"),Q57,"")</f>
        <v/>
      </c>
      <c r="V57" s="212" t="e">
        <f ca="1">IF(OR(L57="직사각형",L57="삼각형"),"",Q57)</f>
        <v>#N/A</v>
      </c>
      <c r="Y57" s="172">
        <v>3</v>
      </c>
      <c r="Z57" s="172">
        <f ca="1">IFERROR(OFFSET(Length_1!F5,MATCH(1,Length_1!G$4:G$44,0),0),0)</f>
        <v>0</v>
      </c>
      <c r="AA57" s="172">
        <f t="shared" ref="AA57:AA59" ca="1" si="21">MAX(Z57-Z56,0)</f>
        <v>0</v>
      </c>
      <c r="AB57" s="224">
        <f t="shared" ca="1" si="19"/>
        <v>0</v>
      </c>
    </row>
    <row r="58" spans="1:32" ht="15" customHeight="1">
      <c r="B58" s="255" t="s">
        <v>345</v>
      </c>
      <c r="C58" s="206" t="s">
        <v>346</v>
      </c>
      <c r="D58" s="207" t="s">
        <v>347</v>
      </c>
      <c r="E58" s="172">
        <v>0</v>
      </c>
      <c r="F58" s="208" t="s">
        <v>294</v>
      </c>
      <c r="G58" s="261"/>
      <c r="H58" s="261"/>
      <c r="I58" s="261"/>
      <c r="J58" s="226">
        <f ca="1">AC54</f>
        <v>0</v>
      </c>
      <c r="K58" s="174" t="s">
        <v>294</v>
      </c>
      <c r="L58" s="211" t="s">
        <v>305</v>
      </c>
      <c r="M58" s="172"/>
      <c r="N58" s="172"/>
      <c r="O58" s="203">
        <v>1</v>
      </c>
      <c r="P58" s="172"/>
      <c r="Q58" s="212"/>
      <c r="R58" s="174"/>
      <c r="S58" s="172" t="s">
        <v>228</v>
      </c>
      <c r="T58" s="218"/>
      <c r="U58" s="212"/>
      <c r="V58" s="212"/>
      <c r="Y58" s="172">
        <v>4</v>
      </c>
      <c r="Z58" s="172">
        <f ca="1">IFERROR(OFFSET(Length_1!F6,MATCH(1,Length_1!G$4:G$44,0),0),0)</f>
        <v>0</v>
      </c>
      <c r="AA58" s="172">
        <f t="shared" ca="1" si="21"/>
        <v>0</v>
      </c>
      <c r="AB58" s="224">
        <f t="shared" ca="1" si="19"/>
        <v>0</v>
      </c>
    </row>
    <row r="59" spans="1:32" ht="15" customHeight="1">
      <c r="B59" s="255" t="s">
        <v>131</v>
      </c>
      <c r="C59" s="206" t="s">
        <v>348</v>
      </c>
      <c r="D59" s="207" t="s">
        <v>349</v>
      </c>
      <c r="E59" s="172">
        <v>0</v>
      </c>
      <c r="F59" s="208" t="s">
        <v>294</v>
      </c>
      <c r="G59" s="172">
        <v>0.1</v>
      </c>
      <c r="H59" s="172">
        <f>MAX(L9:L49)</f>
        <v>0</v>
      </c>
      <c r="I59" s="213">
        <v>3</v>
      </c>
      <c r="J59" s="226">
        <f>G59/SQRT(I59)*H59</f>
        <v>0</v>
      </c>
      <c r="K59" s="174" t="s">
        <v>129</v>
      </c>
      <c r="L59" s="211" t="s">
        <v>250</v>
      </c>
      <c r="M59" s="172"/>
      <c r="N59" s="172"/>
      <c r="O59" s="203">
        <v>1</v>
      </c>
      <c r="P59" s="172"/>
      <c r="Q59" s="212"/>
      <c r="R59" s="174"/>
      <c r="S59" s="172" t="s">
        <v>228</v>
      </c>
      <c r="T59" s="218"/>
      <c r="U59" s="212"/>
      <c r="V59" s="212"/>
      <c r="Y59" s="172">
        <v>5</v>
      </c>
      <c r="Z59" s="172">
        <f ca="1">IFERROR(OFFSET(Length_1!F7,MATCH(1,Length_1!G$4:G$44,0),0),0)</f>
        <v>0</v>
      </c>
      <c r="AA59" s="172">
        <f t="shared" ca="1" si="21"/>
        <v>0</v>
      </c>
      <c r="AB59" s="224">
        <f t="shared" ca="1" si="19"/>
        <v>0</v>
      </c>
    </row>
    <row r="60" spans="1:32" ht="15" customHeight="1">
      <c r="B60" s="255" t="s">
        <v>296</v>
      </c>
      <c r="C60" s="206" t="s">
        <v>350</v>
      </c>
      <c r="D60" s="207" t="s">
        <v>351</v>
      </c>
      <c r="E60" s="172">
        <v>0</v>
      </c>
      <c r="F60" s="208" t="s">
        <v>129</v>
      </c>
      <c r="G60" s="172" t="e">
        <f>IF(Length_1_STD2="",#N/A,Length_1!T92)</f>
        <v>#N/A</v>
      </c>
      <c r="H60" s="172" t="e">
        <f>IF(Length_1_STD2="",#N/A,Length_1!R92)</f>
        <v>#N/A</v>
      </c>
      <c r="I60" s="172">
        <f>H59+1</f>
        <v>1</v>
      </c>
      <c r="J60" s="226" t="e">
        <f>(G60/2+H60)*I60</f>
        <v>#N/A</v>
      </c>
      <c r="K60" s="174" t="s">
        <v>129</v>
      </c>
      <c r="L60" s="211" t="s">
        <v>247</v>
      </c>
      <c r="M60" s="172"/>
      <c r="N60" s="172"/>
      <c r="O60" s="203">
        <v>1</v>
      </c>
      <c r="P60" s="172"/>
      <c r="Q60" s="212"/>
      <c r="R60" s="174"/>
      <c r="S60" s="172" t="s">
        <v>228</v>
      </c>
      <c r="T60" s="218"/>
      <c r="U60" s="212"/>
      <c r="V60" s="212"/>
    </row>
    <row r="61" spans="1:32" ht="15" customHeight="1">
      <c r="B61" s="255" t="s">
        <v>352</v>
      </c>
      <c r="C61" s="206" t="s">
        <v>251</v>
      </c>
      <c r="D61" s="207" t="s">
        <v>252</v>
      </c>
      <c r="E61" s="214" t="str">
        <f>Q9</f>
        <v/>
      </c>
      <c r="F61" s="208" t="s">
        <v>253</v>
      </c>
      <c r="G61" s="214">
        <f>1*10^-6</f>
        <v>9.9999999999999995E-7</v>
      </c>
      <c r="H61" s="173">
        <v>1</v>
      </c>
      <c r="I61" s="213">
        <v>3</v>
      </c>
      <c r="J61" s="215">
        <f>SQRT((G61/SQRT(I61)/2)^2+(G61/SQRT(I61)/2)^2)</f>
        <v>4.0824829046386305E-7</v>
      </c>
      <c r="K61" s="208" t="s">
        <v>253</v>
      </c>
      <c r="L61" s="211" t="s">
        <v>254</v>
      </c>
      <c r="M61" s="174" t="e">
        <f>-G62</f>
        <v>#VALUE!</v>
      </c>
      <c r="N61" s="172">
        <f>$G$3</f>
        <v>0</v>
      </c>
      <c r="O61" s="203" t="e">
        <f>M61*N61</f>
        <v>#VALUE!</v>
      </c>
      <c r="P61" s="172" t="s">
        <v>260</v>
      </c>
      <c r="Q61" s="212" t="e">
        <f t="shared" si="20"/>
        <v>#VALUE!</v>
      </c>
      <c r="R61" s="174" t="s">
        <v>129</v>
      </c>
      <c r="S61" s="172">
        <v>100</v>
      </c>
      <c r="T61" s="218" t="e">
        <f>IF(S61="∞",0,Q61^4/S61)</f>
        <v>#VALUE!</v>
      </c>
      <c r="U61" s="212" t="e">
        <f>IF(OR(L61="직사각형",L61="삼각형"),Q61,"")</f>
        <v>#VALUE!</v>
      </c>
      <c r="V61" s="212" t="str">
        <f>IF(OR(L61="직사각형",L61="삼각형"),"",Q61)</f>
        <v/>
      </c>
    </row>
    <row r="62" spans="1:32" ht="15" customHeight="1">
      <c r="B62" s="255" t="s">
        <v>307</v>
      </c>
      <c r="C62" s="206" t="s">
        <v>255</v>
      </c>
      <c r="D62" s="207" t="s">
        <v>256</v>
      </c>
      <c r="E62" s="174" t="str">
        <f>R9</f>
        <v/>
      </c>
      <c r="F62" s="208" t="s">
        <v>200</v>
      </c>
      <c r="G62" s="174" t="e">
        <f>MAX(ABS(E62),1)</f>
        <v>#VALUE!</v>
      </c>
      <c r="H62" s="173">
        <v>1</v>
      </c>
      <c r="I62" s="213">
        <v>3</v>
      </c>
      <c r="J62" s="210" t="e">
        <f>G62/SQRT(I62)</f>
        <v>#VALUE!</v>
      </c>
      <c r="K62" s="208" t="s">
        <v>200</v>
      </c>
      <c r="L62" s="211" t="s">
        <v>250</v>
      </c>
      <c r="M62" s="214" t="e">
        <f>-E61</f>
        <v>#VALUE!</v>
      </c>
      <c r="N62" s="172">
        <f>$G$3</f>
        <v>0</v>
      </c>
      <c r="O62" s="232" t="e">
        <f>M62*N62</f>
        <v>#VALUE!</v>
      </c>
      <c r="P62" s="172" t="s">
        <v>298</v>
      </c>
      <c r="Q62" s="212" t="e">
        <f t="shared" si="20"/>
        <v>#VALUE!</v>
      </c>
      <c r="R62" s="174" t="s">
        <v>288</v>
      </c>
      <c r="S62" s="172">
        <v>12</v>
      </c>
      <c r="T62" s="218" t="e">
        <f>IF(S62="∞",0,Q62^4/S62)</f>
        <v>#VALUE!</v>
      </c>
      <c r="U62" s="212" t="e">
        <f>IF(OR(L62="직사각형",L62="삼각형"),Q62,"")</f>
        <v>#VALUE!</v>
      </c>
      <c r="V62" s="212" t="str">
        <f>IF(OR(L62="직사각형",L62="삼각형"),"",Q62)</f>
        <v/>
      </c>
      <c r="W62" s="124"/>
    </row>
    <row r="63" spans="1:32" ht="15" customHeight="1">
      <c r="B63" s="255" t="s">
        <v>353</v>
      </c>
      <c r="C63" s="206" t="s">
        <v>258</v>
      </c>
      <c r="D63" s="207" t="s">
        <v>259</v>
      </c>
      <c r="E63" s="214" t="str">
        <f>S9</f>
        <v/>
      </c>
      <c r="F63" s="208" t="s">
        <v>253</v>
      </c>
      <c r="G63" s="214">
        <f>1*10^-6</f>
        <v>9.9999999999999995E-7</v>
      </c>
      <c r="H63" s="173">
        <v>1</v>
      </c>
      <c r="I63" s="213">
        <v>3</v>
      </c>
      <c r="J63" s="215">
        <f>SQRT((G63/SQRT(I63))^2+(G63/SQRT(I63))^2)</f>
        <v>8.1649658092772609E-7</v>
      </c>
      <c r="K63" s="208" t="s">
        <v>253</v>
      </c>
      <c r="L63" s="211" t="s">
        <v>354</v>
      </c>
      <c r="M63" s="174" t="e">
        <f>-E64</f>
        <v>#VALUE!</v>
      </c>
      <c r="N63" s="172">
        <f>$G$3</f>
        <v>0</v>
      </c>
      <c r="O63" s="203" t="e">
        <f>M63*N63</f>
        <v>#VALUE!</v>
      </c>
      <c r="P63" s="172" t="s">
        <v>260</v>
      </c>
      <c r="Q63" s="212" t="e">
        <f t="shared" si="20"/>
        <v>#VALUE!</v>
      </c>
      <c r="R63" s="174" t="s">
        <v>129</v>
      </c>
      <c r="S63" s="172">
        <v>100</v>
      </c>
      <c r="T63" s="218" t="e">
        <f>IF(S63="∞",0,Q63^4/S63)</f>
        <v>#VALUE!</v>
      </c>
      <c r="U63" s="212" t="e">
        <f>IF(OR(L63="직사각형",L63="삼각형"),Q63,"")</f>
        <v>#VALUE!</v>
      </c>
      <c r="V63" s="212" t="str">
        <f>IF(OR(L63="직사각형",L63="삼각형"),"",Q63)</f>
        <v/>
      </c>
      <c r="W63" s="301"/>
    </row>
    <row r="64" spans="1:32" ht="15" customHeight="1">
      <c r="B64" s="255" t="s">
        <v>308</v>
      </c>
      <c r="C64" s="206" t="s">
        <v>118</v>
      </c>
      <c r="D64" s="207" t="s">
        <v>119</v>
      </c>
      <c r="E64" s="174" t="str">
        <f>T9</f>
        <v/>
      </c>
      <c r="F64" s="208" t="s">
        <v>200</v>
      </c>
      <c r="G64" s="174">
        <v>1</v>
      </c>
      <c r="H64" s="173">
        <v>1</v>
      </c>
      <c r="I64" s="213">
        <v>3</v>
      </c>
      <c r="J64" s="210">
        <f>G64/SQRT(I64)</f>
        <v>0.57735026918962584</v>
      </c>
      <c r="K64" s="208" t="s">
        <v>200</v>
      </c>
      <c r="L64" s="211" t="s">
        <v>250</v>
      </c>
      <c r="M64" s="216">
        <f>-G63</f>
        <v>-9.9999999999999995E-7</v>
      </c>
      <c r="N64" s="172">
        <f>$G$3</f>
        <v>0</v>
      </c>
      <c r="O64" s="215">
        <f>M64*N64</f>
        <v>0</v>
      </c>
      <c r="P64" s="172" t="s">
        <v>306</v>
      </c>
      <c r="Q64" s="212">
        <f t="shared" si="20"/>
        <v>0</v>
      </c>
      <c r="R64" s="174" t="s">
        <v>129</v>
      </c>
      <c r="S64" s="172">
        <v>12</v>
      </c>
      <c r="T64" s="218">
        <f>IF(S64="∞",0,Q64^4/S64)</f>
        <v>0</v>
      </c>
      <c r="U64" s="212">
        <f>IF(OR(L64="직사각형",L64="삼각형"),Q64,"")</f>
        <v>0</v>
      </c>
      <c r="V64" s="212" t="str">
        <f>IF(OR(L64="직사각형",L64="삼각형"),"",Q64)</f>
        <v/>
      </c>
      <c r="W64" s="301"/>
      <c r="Y64" s="124"/>
    </row>
    <row r="65" spans="2:28" ht="15" customHeight="1">
      <c r="B65" s="255" t="s">
        <v>355</v>
      </c>
      <c r="C65" s="206" t="s">
        <v>229</v>
      </c>
      <c r="D65" s="207" t="s">
        <v>299</v>
      </c>
      <c r="E65" s="172">
        <v>0</v>
      </c>
      <c r="F65" s="208" t="s">
        <v>294</v>
      </c>
      <c r="G65" s="172">
        <v>0.1</v>
      </c>
      <c r="H65" s="172">
        <v>2</v>
      </c>
      <c r="I65" s="213">
        <v>3</v>
      </c>
      <c r="J65" s="226">
        <f>G65/H65/SQRT(I65)</f>
        <v>2.8867513459481291E-2</v>
      </c>
      <c r="K65" s="174" t="s">
        <v>129</v>
      </c>
      <c r="L65" s="211" t="s">
        <v>295</v>
      </c>
      <c r="M65" s="216"/>
      <c r="N65" s="172"/>
      <c r="O65" s="203">
        <v>1</v>
      </c>
      <c r="P65" s="172"/>
      <c r="Q65" s="212">
        <f>ABS(J65*O65)</f>
        <v>2.8867513459481291E-2</v>
      </c>
      <c r="R65" s="174" t="s">
        <v>129</v>
      </c>
      <c r="S65" s="172">
        <v>12</v>
      </c>
      <c r="T65" s="218" t="e">
        <f>IF(S61="∞",0,Q61^4/S61)</f>
        <v>#VALUE!</v>
      </c>
      <c r="U65" s="212">
        <f>IF(OR(L65="직사각형",L65="삼각형"),Q65,"")</f>
        <v>2.8867513459481291E-2</v>
      </c>
      <c r="V65" s="212" t="str">
        <f>IF(OR(L65="직사각형",L65="삼각형"),"",Q65)</f>
        <v/>
      </c>
      <c r="W65" s="301"/>
      <c r="Y65" s="124"/>
    </row>
    <row r="66" spans="2:28" ht="15" customHeight="1">
      <c r="B66" s="255" t="s">
        <v>309</v>
      </c>
      <c r="C66" s="206" t="s">
        <v>356</v>
      </c>
      <c r="D66" s="207" t="s">
        <v>262</v>
      </c>
      <c r="E66" s="259" t="e">
        <f ca="1">E54+E55-E56+E57</f>
        <v>#N/A</v>
      </c>
      <c r="F66" s="208" t="s">
        <v>288</v>
      </c>
      <c r="G66" s="530"/>
      <c r="H66" s="531"/>
      <c r="I66" s="531"/>
      <c r="J66" s="531"/>
      <c r="K66" s="531"/>
      <c r="L66" s="531"/>
      <c r="M66" s="531"/>
      <c r="N66" s="531"/>
      <c r="O66" s="531"/>
      <c r="P66" s="532"/>
      <c r="Q66" s="217" t="e">
        <f ca="1">SQRT(SUMSQ(Q54:Q65))</f>
        <v>#N/A</v>
      </c>
      <c r="R66" s="174" t="s">
        <v>294</v>
      </c>
      <c r="S66" s="180" t="e">
        <f>IF(T66=0,"∞",ROUNDDOWN(Q66^4/T66,0))</f>
        <v>#VALUE!</v>
      </c>
      <c r="T66" s="303" t="e">
        <f>SUM(T54:T65)</f>
        <v>#VALUE!</v>
      </c>
      <c r="U66" s="286" t="e">
        <f>SQRT(SUMSQ(U54:U65))</f>
        <v>#VALUE!</v>
      </c>
      <c r="V66" s="286" t="e">
        <f ca="1">SQRT(SUMSQ(V54:V65))</f>
        <v>#N/A</v>
      </c>
      <c r="W66" s="301"/>
      <c r="X66" s="301"/>
    </row>
    <row r="67" spans="2:28" ht="15" customHeight="1">
      <c r="T67" s="124"/>
      <c r="U67" s="124"/>
    </row>
    <row r="68" spans="2:28" ht="15" customHeight="1">
      <c r="B68" s="258"/>
      <c r="C68" s="517" t="s">
        <v>300</v>
      </c>
      <c r="D68" s="518"/>
      <c r="E68" s="518"/>
      <c r="F68" s="518"/>
      <c r="G68" s="519"/>
      <c r="H68" s="255" t="s">
        <v>230</v>
      </c>
      <c r="I68" s="255" t="s">
        <v>75</v>
      </c>
      <c r="J68" s="517" t="s">
        <v>301</v>
      </c>
      <c r="K68" s="518"/>
      <c r="L68" s="518"/>
      <c r="M68" s="519"/>
      <c r="N68" s="296" t="s">
        <v>359</v>
      </c>
      <c r="O68" s="517" t="s">
        <v>612</v>
      </c>
      <c r="P68" s="518"/>
      <c r="Q68" s="519"/>
      <c r="R68" s="513" t="s">
        <v>613</v>
      </c>
      <c r="S68" s="517" t="s">
        <v>614</v>
      </c>
      <c r="T68" s="519"/>
      <c r="U68" s="121"/>
    </row>
    <row r="69" spans="2:28" ht="15" customHeight="1">
      <c r="B69" s="258"/>
      <c r="C69" s="258">
        <v>1</v>
      </c>
      <c r="D69" s="258">
        <v>2</v>
      </c>
      <c r="E69" s="258" t="s">
        <v>225</v>
      </c>
      <c r="F69" s="258" t="s">
        <v>233</v>
      </c>
      <c r="G69" s="258" t="s">
        <v>360</v>
      </c>
      <c r="H69" s="258" t="s">
        <v>129</v>
      </c>
      <c r="I69" s="258" t="s">
        <v>129</v>
      </c>
      <c r="J69" s="296" t="s">
        <v>615</v>
      </c>
      <c r="K69" s="296" t="s">
        <v>361</v>
      </c>
      <c r="L69" s="296" t="s">
        <v>75</v>
      </c>
      <c r="M69" s="296" t="s">
        <v>616</v>
      </c>
      <c r="N69" s="297"/>
      <c r="O69" s="296" t="s">
        <v>617</v>
      </c>
      <c r="P69" s="296" t="s">
        <v>361</v>
      </c>
      <c r="Q69" s="296" t="s">
        <v>362</v>
      </c>
      <c r="R69" s="520"/>
      <c r="S69" s="304" t="s">
        <v>626</v>
      </c>
      <c r="T69" s="304" t="s">
        <v>627</v>
      </c>
      <c r="U69" s="121"/>
    </row>
    <row r="70" spans="2:28" ht="15" customHeight="1">
      <c r="B70" s="258" t="s">
        <v>300</v>
      </c>
      <c r="C70" s="126" t="e">
        <f ca="1">E81*Q66</f>
        <v>#N/A</v>
      </c>
      <c r="D70" s="126"/>
      <c r="E70" s="126"/>
      <c r="F70" s="128" t="str">
        <f>R66</f>
        <v>mm</v>
      </c>
      <c r="G70" s="133" t="e">
        <f ca="1">C70</f>
        <v>#N/A</v>
      </c>
      <c r="H70" s="133" t="e">
        <f ca="1">MAX(G70:G71)</f>
        <v>#N/A</v>
      </c>
      <c r="I70" s="165">
        <f>Q3</f>
        <v>0</v>
      </c>
      <c r="J70" s="125" t="e">
        <f ca="1">IF(H70&lt;0.00001,6,IF(H70&lt;0.0001,5,IF(H70&lt;0.001,4,IF(H70&lt;0.01,3,IF(H70&lt;0.1,2,IF(H70&lt;1,1,IF(H70&lt;10,0,IF(H70&lt;100,-1,-2))))))))+K71</f>
        <v>#N/A</v>
      </c>
      <c r="K70" s="125" t="e">
        <f ca="1">J70+IF(AND(H69="μm",I69="mm"),3,0)</f>
        <v>#N/A</v>
      </c>
      <c r="L70" s="172">
        <f>IFERROR(LEN(I70)-FIND(".",I70),0)</f>
        <v>0</v>
      </c>
      <c r="M70" s="218" t="e">
        <f ca="1">IF(M71=TRUE,MIN(K70:L70),K70)</f>
        <v>#N/A</v>
      </c>
      <c r="N70" s="165" t="e">
        <f ca="1">ABS((H70-ROUND(H70,M70))/H70*100)</f>
        <v>#N/A</v>
      </c>
      <c r="O70" s="172" t="e">
        <f ca="1">OFFSET(P74,MATCH(J70,O75:O84,0),0)</f>
        <v>#N/A</v>
      </c>
      <c r="P70" s="172" t="e">
        <f ca="1">OFFSET(P74,MATCH(M70,O75:O84,0),0)</f>
        <v>#N/A</v>
      </c>
      <c r="Q70" s="172" t="str">
        <f ca="1">OFFSET(P74,MATCH(L70,O75:O84,0),0)</f>
        <v>0</v>
      </c>
      <c r="R70" s="129" t="e">
        <f ca="1">IF(H70=G70,0,1)</f>
        <v>#N/A</v>
      </c>
      <c r="S70" s="135" t="e">
        <f ca="1">TEXT(IF(N70&gt;5,ROUNDUP(H70,M70),ROUND(H70,M70)),P70)</f>
        <v>#N/A</v>
      </c>
      <c r="T70" s="135" t="e">
        <f ca="1">S70&amp;" "&amp;H69</f>
        <v>#N/A</v>
      </c>
      <c r="U70" s="121"/>
    </row>
    <row r="71" spans="2:28" ht="15" customHeight="1">
      <c r="B71" s="258" t="s">
        <v>302</v>
      </c>
      <c r="C71" s="127" t="e">
        <f ca="1">$R$3</f>
        <v>#N/A</v>
      </c>
      <c r="D71" s="128" t="e">
        <f ca="1">$S$3</f>
        <v>#N/A</v>
      </c>
      <c r="E71" s="125">
        <f>M3/1000</f>
        <v>0</v>
      </c>
      <c r="F71" s="128" t="e">
        <f ca="1">$T$3</f>
        <v>#N/A</v>
      </c>
      <c r="G71" s="134" t="e">
        <f ca="1">SQRT(SUMSQ(C71,D71*E71))</f>
        <v>#N/A</v>
      </c>
      <c r="J71" s="291" t="s">
        <v>595</v>
      </c>
      <c r="K71" s="172">
        <f>IF(O71=TRUE,1,기본정보!$A$47)</f>
        <v>1</v>
      </c>
      <c r="L71" s="291" t="s">
        <v>596</v>
      </c>
      <c r="M71" s="172" t="b">
        <f>IF(O71=TRUE,FALSE,기본정보!$A$52)</f>
        <v>0</v>
      </c>
      <c r="N71" s="291" t="s">
        <v>597</v>
      </c>
      <c r="O71" s="172" t="b">
        <f>기본정보!$A$46=0</f>
        <v>1</v>
      </c>
      <c r="P71" s="124"/>
      <c r="Q71" s="121"/>
      <c r="R71" s="121"/>
      <c r="S71" s="121"/>
      <c r="T71" s="121"/>
      <c r="U71" s="121"/>
    </row>
    <row r="72" spans="2:28" ht="15" customHeight="1">
      <c r="B72" s="122"/>
      <c r="C72" s="122"/>
      <c r="D72" s="122"/>
      <c r="O72" s="124"/>
      <c r="P72" s="124"/>
      <c r="Q72" s="121"/>
      <c r="R72" s="121"/>
      <c r="S72" s="121"/>
      <c r="T72" s="121"/>
      <c r="U72" s="121"/>
    </row>
    <row r="73" spans="2:28" ht="15" customHeight="1">
      <c r="B73" s="130" t="s">
        <v>357</v>
      </c>
      <c r="C73" s="121"/>
      <c r="D73" s="121"/>
      <c r="E73" s="121"/>
      <c r="F73" s="121"/>
      <c r="G73" s="121"/>
      <c r="H73" s="121"/>
      <c r="I73" s="206" t="s">
        <v>53</v>
      </c>
      <c r="J73" s="206" t="s">
        <v>364</v>
      </c>
      <c r="K73" s="123"/>
      <c r="L73" s="123"/>
      <c r="M73" s="123"/>
      <c r="N73" s="123"/>
      <c r="O73" s="256" t="s">
        <v>365</v>
      </c>
      <c r="P73" s="256" t="s">
        <v>366</v>
      </c>
      <c r="R73" s="121"/>
      <c r="S73" s="123"/>
      <c r="T73" s="123"/>
      <c r="U73" s="123"/>
      <c r="V73" s="123"/>
      <c r="W73" s="122"/>
      <c r="X73" s="122"/>
      <c r="Y73" s="122"/>
      <c r="Z73" s="122"/>
      <c r="AA73" s="124"/>
      <c r="AB73" s="124"/>
    </row>
    <row r="74" spans="2:28" ht="15" customHeight="1">
      <c r="B74" s="515" t="s">
        <v>609</v>
      </c>
      <c r="C74" s="516"/>
      <c r="D74" s="513" t="s">
        <v>622</v>
      </c>
      <c r="E74" s="300" t="s">
        <v>623</v>
      </c>
      <c r="F74" s="300" t="s">
        <v>624</v>
      </c>
      <c r="G74" s="300" t="s">
        <v>625</v>
      </c>
      <c r="H74" s="121"/>
      <c r="I74" s="206"/>
      <c r="J74" s="206">
        <v>95.45</v>
      </c>
      <c r="K74" s="123"/>
      <c r="L74" s="123"/>
      <c r="M74" s="123"/>
      <c r="N74" s="123"/>
      <c r="O74" s="257" t="s">
        <v>367</v>
      </c>
      <c r="P74" s="257" t="s">
        <v>368</v>
      </c>
      <c r="R74" s="121"/>
      <c r="S74" s="121"/>
      <c r="T74" s="130"/>
      <c r="U74" s="123"/>
      <c r="V74" s="123"/>
      <c r="W74" s="122"/>
      <c r="X74" s="122"/>
      <c r="Y74" s="122"/>
      <c r="Z74" s="122"/>
      <c r="AA74" s="124"/>
      <c r="AB74" s="124"/>
    </row>
    <row r="75" spans="2:28" ht="15" customHeight="1">
      <c r="B75" s="297" t="s">
        <v>610</v>
      </c>
      <c r="C75" s="302" t="s">
        <v>611</v>
      </c>
      <c r="D75" s="520"/>
      <c r="E75" s="299" t="e">
        <f>U66</f>
        <v>#VALUE!</v>
      </c>
      <c r="F75" s="299" t="e">
        <f ca="1">V66</f>
        <v>#N/A</v>
      </c>
      <c r="G75" s="285" t="e">
        <f ca="1">F75/E75</f>
        <v>#N/A</v>
      </c>
      <c r="H75" s="121"/>
      <c r="I75" s="172">
        <v>1</v>
      </c>
      <c r="J75" s="172">
        <v>13.97</v>
      </c>
      <c r="K75" s="123"/>
      <c r="L75" s="123"/>
      <c r="M75" s="123"/>
      <c r="N75" s="123"/>
      <c r="O75" s="219">
        <v>0</v>
      </c>
      <c r="P75" s="220" t="s">
        <v>369</v>
      </c>
      <c r="R75" s="121"/>
      <c r="S75" s="121"/>
      <c r="T75" s="121"/>
      <c r="U75" s="121"/>
      <c r="W75" s="122"/>
      <c r="X75" s="122"/>
      <c r="Y75" s="122"/>
      <c r="Z75" s="122"/>
      <c r="AA75" s="124"/>
      <c r="AB75" s="124"/>
    </row>
    <row r="76" spans="2:28" ht="15" customHeight="1">
      <c r="B76" s="172">
        <v>1</v>
      </c>
      <c r="C76" s="212">
        <f>IFERROR(LARGE(U54:U65,B76),0)</f>
        <v>0</v>
      </c>
      <c r="D76" s="284" t="s">
        <v>575</v>
      </c>
      <c r="E76" s="533" t="e">
        <f ca="1">SQRT(SUMSQ(C78:C87,V54:V65))</f>
        <v>#N/A</v>
      </c>
      <c r="F76" s="533"/>
      <c r="G76" s="534" t="e">
        <f ca="1">E76/SQRT(SUMSQ(E77,F77))</f>
        <v>#N/A</v>
      </c>
      <c r="H76" s="121"/>
      <c r="I76" s="172">
        <v>2</v>
      </c>
      <c r="J76" s="172">
        <v>4.53</v>
      </c>
      <c r="K76" s="123"/>
      <c r="L76" s="123"/>
      <c r="M76" s="123"/>
      <c r="N76" s="123"/>
      <c r="O76" s="219">
        <v>1</v>
      </c>
      <c r="P76" s="220" t="s">
        <v>370</v>
      </c>
      <c r="R76" s="121"/>
      <c r="S76" s="121"/>
      <c r="T76" s="121"/>
      <c r="U76" s="121"/>
      <c r="W76" s="123"/>
      <c r="X76" s="123"/>
      <c r="Y76" s="122"/>
      <c r="Z76" s="122"/>
      <c r="AA76" s="124"/>
      <c r="AB76" s="122"/>
    </row>
    <row r="77" spans="2:28" ht="15" customHeight="1">
      <c r="B77" s="172">
        <v>2</v>
      </c>
      <c r="C77" s="212">
        <f>IFERROR(LARGE(U54:U65,B77),0)</f>
        <v>0</v>
      </c>
      <c r="D77" s="284" t="s">
        <v>576</v>
      </c>
      <c r="E77" s="298">
        <f>C76</f>
        <v>0</v>
      </c>
      <c r="F77" s="298">
        <f>C77</f>
        <v>0</v>
      </c>
      <c r="G77" s="535"/>
      <c r="H77" s="121"/>
      <c r="I77" s="172">
        <v>3</v>
      </c>
      <c r="J77" s="172">
        <v>3.31</v>
      </c>
      <c r="K77" s="123"/>
      <c r="L77" s="123"/>
      <c r="M77" s="123"/>
      <c r="N77" s="123"/>
      <c r="O77" s="219">
        <v>2</v>
      </c>
      <c r="P77" s="220" t="s">
        <v>371</v>
      </c>
      <c r="R77" s="121"/>
      <c r="S77" s="121"/>
      <c r="T77" s="121"/>
      <c r="U77" s="121"/>
      <c r="W77" s="123"/>
      <c r="X77" s="123"/>
      <c r="Y77" s="122"/>
      <c r="Z77" s="122"/>
      <c r="AA77" s="124"/>
      <c r="AB77" s="122"/>
    </row>
    <row r="78" spans="2:28" ht="15" customHeight="1">
      <c r="B78" s="172">
        <v>3</v>
      </c>
      <c r="C78" s="217">
        <f>IFERROR(LARGE(U54:U65,B78),0)</f>
        <v>0</v>
      </c>
      <c r="D78" s="513" t="s">
        <v>358</v>
      </c>
      <c r="E78" s="171" t="s">
        <v>577</v>
      </c>
      <c r="F78" s="171" t="s">
        <v>618</v>
      </c>
      <c r="G78" s="171" t="s">
        <v>578</v>
      </c>
      <c r="H78" s="121"/>
      <c r="I78" s="172">
        <v>4</v>
      </c>
      <c r="J78" s="172">
        <v>2.87</v>
      </c>
      <c r="K78" s="123"/>
      <c r="L78" s="123"/>
      <c r="M78" s="123"/>
      <c r="N78" s="123"/>
      <c r="O78" s="219">
        <v>3</v>
      </c>
      <c r="P78" s="220" t="s">
        <v>372</v>
      </c>
      <c r="R78" s="121"/>
      <c r="S78" s="121"/>
      <c r="T78" s="121"/>
      <c r="U78" s="121"/>
      <c r="W78" s="123"/>
      <c r="X78" s="123"/>
      <c r="Y78" s="122"/>
      <c r="Z78" s="122"/>
      <c r="AA78" s="124"/>
      <c r="AB78" s="122"/>
    </row>
    <row r="79" spans="2:28" ht="15" customHeight="1">
      <c r="B79" s="172">
        <v>4</v>
      </c>
      <c r="C79" s="217">
        <f>IFERROR(LARGE(U54:U65,B79),0)</f>
        <v>0</v>
      </c>
      <c r="D79" s="520"/>
      <c r="E79" s="172">
        <f ca="1">OFFSET(G53,MATCH(E77,U54:U65,0),0)/IF(OFFSET(H53,MATCH(E77,U54:U65,0),0)="",1,OFFSET(H53,MATCH(E77,U54:U65,0),0))</f>
        <v>0</v>
      </c>
      <c r="F79" s="172">
        <f ca="1">OFFSET(G53,MATCH(F77,U54:U65,0),0)/IF(OFFSET(H53,MATCH(F77,U54:U65,0),0)="",1,OFFSET(H53,MATCH(F77,U54:U65,0),0))</f>
        <v>0</v>
      </c>
      <c r="G79" s="283" t="e">
        <f ca="1">ABS(E79-F79)/(E79+F79)</f>
        <v>#DIV/0!</v>
      </c>
      <c r="H79" s="121"/>
      <c r="I79" s="172">
        <v>5</v>
      </c>
      <c r="J79" s="172">
        <v>2.65</v>
      </c>
      <c r="K79" s="123"/>
      <c r="L79" s="123"/>
      <c r="M79" s="123"/>
      <c r="N79" s="123"/>
      <c r="O79" s="219">
        <v>4</v>
      </c>
      <c r="P79" s="220" t="s">
        <v>373</v>
      </c>
      <c r="V79" s="122"/>
      <c r="W79" s="122"/>
      <c r="X79" s="122"/>
      <c r="Y79" s="122"/>
      <c r="Z79" s="122"/>
      <c r="AA79" s="122"/>
      <c r="AB79" s="122"/>
    </row>
    <row r="80" spans="2:28" ht="15" customHeight="1">
      <c r="B80" s="172">
        <v>5</v>
      </c>
      <c r="C80" s="217">
        <f>IFERROR(LARGE(U54:U65,B80),0)</f>
        <v>0</v>
      </c>
      <c r="D80" s="255" t="s">
        <v>363</v>
      </c>
      <c r="E80" s="164" t="e">
        <f ca="1">IF(AND(G75&lt;0.3,G76&lt;0.3),"사다리꼴","정규")</f>
        <v>#N/A</v>
      </c>
      <c r="F80" s="121"/>
      <c r="G80" s="121"/>
      <c r="H80" s="121"/>
      <c r="I80" s="172">
        <v>6</v>
      </c>
      <c r="J80" s="172">
        <v>2.52</v>
      </c>
      <c r="K80" s="123"/>
      <c r="L80" s="123"/>
      <c r="M80" s="123"/>
      <c r="N80" s="123"/>
      <c r="O80" s="219">
        <v>5</v>
      </c>
      <c r="P80" s="220" t="s">
        <v>374</v>
      </c>
      <c r="V80" s="122"/>
      <c r="W80" s="122"/>
      <c r="X80" s="122"/>
      <c r="Y80" s="122"/>
      <c r="Z80" s="122"/>
      <c r="AA80" s="122"/>
      <c r="AB80" s="122"/>
    </row>
    <row r="81" spans="2:35" ht="15" customHeight="1">
      <c r="B81" s="172">
        <v>6</v>
      </c>
      <c r="C81" s="217">
        <f>IFERROR(LARGE(U54:U65,B81),0)</f>
        <v>0</v>
      </c>
      <c r="D81" s="255" t="s">
        <v>87</v>
      </c>
      <c r="E81" s="172" t="e">
        <f ca="1">IF(E80="정규",IF(OR(S66="∞",S66&gt;=10),2,OFFSET(J74,MATCH(S66,I75:I84,0),0)),ROUND((1-SQRT((1-0.95)*(1-G79^2)))/SQRT((1+G79^2)/6),2))</f>
        <v>#N/A</v>
      </c>
      <c r="F81" s="121"/>
      <c r="G81" s="121"/>
      <c r="H81" s="121"/>
      <c r="I81" s="172">
        <v>7</v>
      </c>
      <c r="J81" s="172">
        <v>2.4300000000000002</v>
      </c>
      <c r="K81" s="123"/>
      <c r="L81" s="123"/>
      <c r="M81" s="123"/>
      <c r="N81" s="123"/>
      <c r="O81" s="219">
        <v>6</v>
      </c>
      <c r="P81" s="220" t="s">
        <v>375</v>
      </c>
      <c r="V81" s="122"/>
      <c r="W81" s="122"/>
      <c r="X81" s="122"/>
      <c r="Y81" s="122"/>
      <c r="Z81" s="122"/>
      <c r="AA81" s="122"/>
      <c r="AB81" s="122"/>
    </row>
    <row r="82" spans="2:35" ht="15" customHeight="1">
      <c r="B82" s="172">
        <v>7</v>
      </c>
      <c r="C82" s="217">
        <f>IFERROR(LARGE(U54:U65,B82),0)</f>
        <v>0</v>
      </c>
      <c r="D82" s="121"/>
      <c r="E82" s="121"/>
      <c r="F82" s="121"/>
      <c r="G82" s="121"/>
      <c r="H82" s="121"/>
      <c r="I82" s="172">
        <v>8</v>
      </c>
      <c r="J82" s="172">
        <v>2.37</v>
      </c>
      <c r="K82" s="123"/>
      <c r="L82" s="123"/>
      <c r="M82" s="123"/>
      <c r="N82" s="123"/>
      <c r="O82" s="219">
        <v>7</v>
      </c>
      <c r="P82" s="220" t="s">
        <v>376</v>
      </c>
      <c r="V82" s="122"/>
      <c r="W82" s="122"/>
      <c r="X82" s="122"/>
      <c r="Y82" s="122"/>
      <c r="Z82" s="122"/>
      <c r="AA82" s="122"/>
      <c r="AB82" s="122"/>
    </row>
    <row r="83" spans="2:35" ht="18" customHeight="1">
      <c r="B83" s="172">
        <v>8</v>
      </c>
      <c r="C83" s="217">
        <f>IFERROR(LARGE(U54:U65,B83),0)</f>
        <v>0</v>
      </c>
      <c r="D83" s="121"/>
      <c r="E83" s="121"/>
      <c r="F83" s="121"/>
      <c r="G83" s="121"/>
      <c r="H83" s="121"/>
      <c r="I83" s="172">
        <v>9</v>
      </c>
      <c r="J83" s="172">
        <v>2.3199999999999998</v>
      </c>
      <c r="K83" s="123"/>
      <c r="L83" s="123"/>
      <c r="M83" s="123"/>
      <c r="N83" s="123"/>
      <c r="O83" s="219">
        <v>8</v>
      </c>
      <c r="P83" s="220" t="s">
        <v>377</v>
      </c>
      <c r="V83" s="122"/>
      <c r="W83" s="122"/>
      <c r="X83" s="122"/>
      <c r="Y83" s="122"/>
      <c r="Z83" s="122"/>
      <c r="AA83" s="122"/>
      <c r="AB83" s="122"/>
      <c r="AG83" s="122"/>
      <c r="AH83" s="122"/>
      <c r="AI83" s="122"/>
    </row>
    <row r="84" spans="2:35" ht="18" customHeight="1">
      <c r="B84" s="172">
        <v>9</v>
      </c>
      <c r="C84" s="217">
        <f>IFERROR(LARGE(U54:U65,B84),0)</f>
        <v>0</v>
      </c>
      <c r="D84" s="121"/>
      <c r="E84" s="121"/>
      <c r="F84" s="121"/>
      <c r="G84" s="121"/>
      <c r="H84" s="121"/>
      <c r="I84" s="172" t="s">
        <v>54</v>
      </c>
      <c r="J84" s="172">
        <v>2</v>
      </c>
      <c r="K84" s="123"/>
      <c r="L84" s="123"/>
      <c r="M84" s="123"/>
      <c r="N84" s="123"/>
      <c r="O84" s="219">
        <v>9</v>
      </c>
      <c r="P84" s="220" t="s">
        <v>378</v>
      </c>
      <c r="V84" s="122"/>
      <c r="W84" s="122"/>
      <c r="X84" s="122"/>
      <c r="Y84" s="122"/>
      <c r="Z84" s="122"/>
      <c r="AA84" s="122"/>
      <c r="AB84" s="122"/>
      <c r="AG84" s="122"/>
      <c r="AH84" s="122"/>
      <c r="AI84" s="122"/>
    </row>
    <row r="85" spans="2:35" ht="18" customHeight="1">
      <c r="B85" s="172">
        <v>10</v>
      </c>
      <c r="C85" s="217">
        <f>IFERROR(LARGE(U54:U65,B85),0)</f>
        <v>0</v>
      </c>
      <c r="D85" s="122"/>
      <c r="N85" s="121"/>
      <c r="O85" s="121"/>
      <c r="P85" s="121"/>
      <c r="Q85" s="121"/>
      <c r="U85" s="121"/>
    </row>
    <row r="86" spans="2:35" ht="18" customHeight="1">
      <c r="B86" s="172">
        <v>11</v>
      </c>
      <c r="C86" s="217">
        <f>IFERROR(LARGE(U54:U65,B86),0)</f>
        <v>0</v>
      </c>
      <c r="D86" s="122"/>
      <c r="N86" s="121"/>
      <c r="O86" s="121"/>
      <c r="P86" s="121"/>
      <c r="Q86" s="121"/>
      <c r="U86" s="121"/>
    </row>
    <row r="87" spans="2:35" ht="18" customHeight="1">
      <c r="B87" s="172">
        <v>12</v>
      </c>
      <c r="C87" s="217">
        <f>IFERROR(LARGE(U54:U65,B87),0)</f>
        <v>0</v>
      </c>
      <c r="D87" s="122"/>
      <c r="N87" s="121"/>
      <c r="O87" s="121"/>
      <c r="P87" s="121"/>
      <c r="Q87" s="121"/>
      <c r="U87" s="121"/>
    </row>
    <row r="88" spans="2:35" ht="18" customHeight="1">
      <c r="S88" s="121"/>
      <c r="T88" s="121"/>
      <c r="U88" s="121"/>
      <c r="W88" s="122"/>
      <c r="X88" s="122"/>
      <c r="Y88" s="122"/>
    </row>
    <row r="89" spans="2:35" ht="18" customHeight="1">
      <c r="B89" s="155" t="s">
        <v>379</v>
      </c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S89" s="121"/>
      <c r="T89" s="121"/>
      <c r="U89" s="121"/>
      <c r="W89" s="122"/>
      <c r="X89" s="122"/>
      <c r="Y89" s="122"/>
    </row>
    <row r="90" spans="2:35" ht="18" customHeight="1">
      <c r="B90" s="156"/>
      <c r="C90" s="521" t="s">
        <v>380</v>
      </c>
      <c r="D90" s="522"/>
      <c r="E90" s="116" t="s">
        <v>303</v>
      </c>
      <c r="F90" s="116" t="s">
        <v>381</v>
      </c>
      <c r="G90" s="156"/>
      <c r="H90" s="116" t="s">
        <v>382</v>
      </c>
      <c r="I90" s="541" t="s">
        <v>630</v>
      </c>
      <c r="J90" s="541" t="s">
        <v>310</v>
      </c>
      <c r="K90" s="166" t="s">
        <v>383</v>
      </c>
      <c r="L90" s="541" t="s">
        <v>631</v>
      </c>
      <c r="M90" s="542" t="s">
        <v>381</v>
      </c>
      <c r="N90" s="541" t="s">
        <v>632</v>
      </c>
      <c r="O90" s="541" t="s">
        <v>304</v>
      </c>
      <c r="S90" s="121"/>
      <c r="T90" s="121"/>
      <c r="U90" s="121"/>
      <c r="W90" s="122"/>
      <c r="X90" s="122"/>
      <c r="Y90" s="122"/>
    </row>
    <row r="91" spans="2:35" ht="18" customHeight="1">
      <c r="B91" s="156"/>
      <c r="C91" s="540">
        <v>5</v>
      </c>
      <c r="D91" s="158" t="s">
        <v>629</v>
      </c>
      <c r="E91" s="167">
        <v>34300</v>
      </c>
      <c r="F91" s="221" t="s">
        <v>310</v>
      </c>
      <c r="G91" s="156"/>
      <c r="H91" s="116">
        <f>M3/1000</f>
        <v>0</v>
      </c>
      <c r="I91" s="541">
        <f>MAX(0,H91-C91)</f>
        <v>0</v>
      </c>
      <c r="J91" s="541">
        <f>ROUNDDOWN(I91/F92,0)</f>
        <v>0</v>
      </c>
      <c r="K91" s="116" t="b">
        <f>J3="inch"</f>
        <v>0</v>
      </c>
      <c r="L91" s="543">
        <f>E91*IF(K91=TRUE,1.8,1)</f>
        <v>34300</v>
      </c>
      <c r="M91" s="544">
        <f>L91*(J91*F94)</f>
        <v>0</v>
      </c>
      <c r="N91" s="545">
        <f>SUM(L91:M91)</f>
        <v>34300</v>
      </c>
      <c r="O91" s="523">
        <f>SUM(N91:N93)</f>
        <v>34300</v>
      </c>
      <c r="S91" s="121"/>
      <c r="T91" s="121"/>
      <c r="U91" s="121"/>
      <c r="W91" s="122"/>
      <c r="X91" s="122"/>
      <c r="Y91" s="122"/>
    </row>
    <row r="92" spans="2:35" ht="18" customHeight="1">
      <c r="B92" s="156"/>
      <c r="C92" s="157"/>
      <c r="D92" s="158"/>
      <c r="E92" s="167"/>
      <c r="F92" s="228">
        <v>5</v>
      </c>
      <c r="G92" s="156"/>
      <c r="H92" s="116"/>
      <c r="I92" s="116"/>
      <c r="J92" s="116"/>
      <c r="K92" s="116"/>
      <c r="L92" s="543"/>
      <c r="M92" s="544"/>
      <c r="N92" s="545"/>
      <c r="O92" s="546"/>
      <c r="S92" s="121"/>
      <c r="T92" s="121"/>
      <c r="U92" s="121"/>
      <c r="W92" s="122"/>
      <c r="X92" s="122"/>
      <c r="Y92" s="122"/>
    </row>
    <row r="93" spans="2:35" ht="18" customHeight="1">
      <c r="B93" s="156"/>
      <c r="C93" s="157"/>
      <c r="D93" s="158"/>
      <c r="E93" s="167"/>
      <c r="F93" s="229" t="s">
        <v>384</v>
      </c>
      <c r="G93" s="156"/>
      <c r="H93" s="116"/>
      <c r="I93" s="116"/>
      <c r="J93" s="116"/>
      <c r="K93" s="116"/>
      <c r="L93" s="543"/>
      <c r="M93" s="547"/>
      <c r="N93" s="545"/>
      <c r="O93" s="524"/>
      <c r="S93" s="121"/>
      <c r="T93" s="121"/>
      <c r="U93" s="121"/>
      <c r="W93" s="122"/>
      <c r="X93" s="122"/>
      <c r="Y93" s="122"/>
    </row>
    <row r="94" spans="2:35" ht="18" customHeight="1">
      <c r="B94" s="156"/>
      <c r="C94" s="157"/>
      <c r="D94" s="158"/>
      <c r="E94" s="167"/>
      <c r="F94" s="230">
        <v>0.2</v>
      </c>
      <c r="G94" s="156"/>
      <c r="H94" s="156"/>
      <c r="I94" s="156"/>
      <c r="J94" s="156"/>
      <c r="K94" s="156"/>
      <c r="L94" s="156"/>
      <c r="M94" s="156"/>
      <c r="N94" s="159"/>
      <c r="O94" s="156"/>
      <c r="P94" s="156"/>
      <c r="Q94" s="156"/>
      <c r="U94" s="121"/>
      <c r="Y94" s="122"/>
      <c r="Z94" s="122"/>
      <c r="AA94" s="122"/>
    </row>
    <row r="95" spans="2:35" ht="18" customHeight="1">
      <c r="B95" s="156"/>
      <c r="C95" s="157"/>
      <c r="D95" s="158"/>
      <c r="E95" s="167"/>
      <c r="F95" s="231" t="s">
        <v>385</v>
      </c>
      <c r="G95" s="156"/>
      <c r="H95" s="160" t="s">
        <v>264</v>
      </c>
      <c r="I95" s="156"/>
      <c r="J95" s="156"/>
      <c r="K95" s="156"/>
      <c r="L95" s="156"/>
      <c r="M95" s="156"/>
      <c r="N95" s="156"/>
      <c r="O95" s="156"/>
      <c r="P95" s="156"/>
      <c r="Q95" s="156"/>
      <c r="U95" s="121"/>
      <c r="Y95" s="122"/>
      <c r="Z95" s="122"/>
      <c r="AA95" s="122"/>
    </row>
    <row r="96" spans="2:35" ht="18" customHeight="1">
      <c r="B96" s="156"/>
      <c r="C96" s="157"/>
      <c r="D96" s="158"/>
      <c r="E96" s="167"/>
      <c r="F96" s="229"/>
      <c r="G96" s="156"/>
      <c r="H96" s="161"/>
      <c r="L96" s="156"/>
      <c r="M96" s="156"/>
      <c r="N96" s="156"/>
      <c r="O96" s="156"/>
      <c r="P96" s="156"/>
      <c r="Q96" s="156"/>
      <c r="U96" s="121"/>
      <c r="Y96" s="122"/>
      <c r="Z96" s="122"/>
      <c r="AA96" s="122"/>
    </row>
    <row r="97" spans="2:28" ht="18" customHeight="1">
      <c r="B97" s="156"/>
      <c r="C97" s="157"/>
      <c r="D97" s="162"/>
      <c r="E97" s="116"/>
      <c r="F97" s="222"/>
      <c r="G97" s="156"/>
      <c r="H97" s="161"/>
      <c r="L97" s="156"/>
      <c r="M97" s="156"/>
      <c r="N97" s="156"/>
      <c r="O97" s="156"/>
      <c r="P97" s="156"/>
      <c r="Q97" s="156"/>
      <c r="U97" s="121"/>
      <c r="Y97" s="122"/>
      <c r="Z97" s="122"/>
      <c r="AA97" s="122"/>
    </row>
    <row r="98" spans="2:28" ht="18" customHeight="1">
      <c r="B98" s="72"/>
      <c r="C98" s="72"/>
      <c r="D98" s="72"/>
      <c r="E98" s="72"/>
      <c r="F98" s="72"/>
      <c r="G98" s="72"/>
      <c r="H98" s="72"/>
      <c r="M98" s="72"/>
      <c r="N98" s="72"/>
      <c r="O98" s="72"/>
      <c r="P98" s="156"/>
      <c r="Q98" s="156"/>
      <c r="R98" s="156"/>
      <c r="Z98" s="122"/>
      <c r="AA98" s="122"/>
      <c r="AB98" s="122"/>
    </row>
    <row r="99" spans="2:28" ht="18" customHeight="1">
      <c r="B99" s="122"/>
      <c r="C99" s="122"/>
      <c r="D99" s="122"/>
      <c r="I99" s="161"/>
      <c r="J99" s="156"/>
      <c r="K99" s="156"/>
      <c r="L99" s="156"/>
      <c r="P99" s="121"/>
      <c r="Q99" s="121"/>
      <c r="R99" s="121"/>
      <c r="Z99" s="122"/>
      <c r="AA99" s="122"/>
      <c r="AB99" s="122"/>
    </row>
    <row r="100" spans="2:28" ht="18" customHeight="1">
      <c r="B100" s="122"/>
      <c r="C100" s="122"/>
      <c r="D100" s="122"/>
      <c r="I100" s="161"/>
      <c r="J100" s="156"/>
      <c r="K100" s="156"/>
      <c r="L100" s="156"/>
      <c r="P100" s="121"/>
      <c r="Q100" s="121"/>
      <c r="R100" s="121"/>
      <c r="V100" s="122"/>
      <c r="W100" s="122"/>
      <c r="X100" s="122"/>
      <c r="Y100" s="122"/>
      <c r="Z100" s="122"/>
      <c r="AA100" s="122"/>
      <c r="AB100" s="122"/>
    </row>
    <row r="101" spans="2:28" ht="18" customHeight="1">
      <c r="B101" s="122"/>
      <c r="C101" s="122"/>
      <c r="D101" s="122"/>
      <c r="J101" s="72"/>
      <c r="K101" s="72"/>
      <c r="L101" s="72"/>
      <c r="P101" s="121"/>
      <c r="Q101" s="121"/>
      <c r="R101" s="121"/>
      <c r="V101" s="122"/>
      <c r="W101" s="122"/>
      <c r="X101" s="122"/>
      <c r="Y101" s="122"/>
      <c r="Z101" s="122"/>
      <c r="AA101" s="122"/>
      <c r="AB101" s="122"/>
    </row>
    <row r="102" spans="2:28" ht="18" customHeight="1">
      <c r="B102" s="122"/>
      <c r="C102" s="122"/>
      <c r="D102" s="122"/>
      <c r="I102" s="161"/>
      <c r="J102" s="124"/>
      <c r="K102" s="124"/>
      <c r="P102" s="121"/>
      <c r="Q102" s="121"/>
      <c r="R102" s="121"/>
    </row>
    <row r="103" spans="2:28" ht="18" customHeight="1">
      <c r="B103" s="122"/>
      <c r="C103" s="122"/>
      <c r="D103" s="122"/>
      <c r="I103" s="161"/>
      <c r="J103" s="124"/>
      <c r="K103" s="124"/>
      <c r="P103" s="121"/>
      <c r="Q103" s="121"/>
      <c r="R103" s="121"/>
    </row>
    <row r="104" spans="2:28" ht="18" customHeight="1">
      <c r="B104" s="122"/>
      <c r="C104" s="122"/>
      <c r="D104" s="122"/>
      <c r="J104" s="124"/>
      <c r="K104" s="124"/>
      <c r="P104" s="121"/>
      <c r="Q104" s="121"/>
      <c r="R104" s="121"/>
    </row>
    <row r="105" spans="2:28" ht="18" customHeight="1">
      <c r="B105" s="122"/>
      <c r="C105" s="122"/>
      <c r="D105" s="122"/>
      <c r="P105" s="121"/>
      <c r="Q105" s="121"/>
      <c r="R105" s="121"/>
    </row>
  </sheetData>
  <mergeCells count="37">
    <mergeCell ref="AC52:AC53"/>
    <mergeCell ref="AA6:AF6"/>
    <mergeCell ref="G66:P66"/>
    <mergeCell ref="D78:D79"/>
    <mergeCell ref="E76:F76"/>
    <mergeCell ref="G76:G77"/>
    <mergeCell ref="C68:G68"/>
    <mergeCell ref="K6:K7"/>
    <mergeCell ref="V6:W6"/>
    <mergeCell ref="Y6:Z6"/>
    <mergeCell ref="G52:K52"/>
    <mergeCell ref="M52:P52"/>
    <mergeCell ref="Q52:R52"/>
    <mergeCell ref="L6:L7"/>
    <mergeCell ref="U52:V52"/>
    <mergeCell ref="D74:D75"/>
    <mergeCell ref="C90:D90"/>
    <mergeCell ref="O91:O93"/>
    <mergeCell ref="B6:B8"/>
    <mergeCell ref="B52:B53"/>
    <mergeCell ref="C52:C53"/>
    <mergeCell ref="D52:D53"/>
    <mergeCell ref="E52:E53"/>
    <mergeCell ref="C6:C8"/>
    <mergeCell ref="D6:D8"/>
    <mergeCell ref="E6:J6"/>
    <mergeCell ref="F52:F53"/>
    <mergeCell ref="J53:K53"/>
    <mergeCell ref="M53:N53"/>
    <mergeCell ref="O53:P53"/>
    <mergeCell ref="Q53:R53"/>
    <mergeCell ref="T52:T53"/>
    <mergeCell ref="B74:C74"/>
    <mergeCell ref="J68:M68"/>
    <mergeCell ref="O68:Q68"/>
    <mergeCell ref="R68:R69"/>
    <mergeCell ref="S68:T68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19</vt:i4>
      </vt:variant>
    </vt:vector>
  </HeadingPairs>
  <TitlesOfParts>
    <vt:vector size="30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Length_1</vt:lpstr>
      <vt:lpstr>'교정결과-E'!B_Tag</vt:lpstr>
      <vt:lpstr>'교정결과-HY'!B_Tag</vt:lpstr>
      <vt:lpstr>B_Tag</vt:lpstr>
      <vt:lpstr>판정결과!B_Tag_2</vt:lpstr>
      <vt:lpstr>부록!B_Tag_3</vt:lpstr>
      <vt:lpstr>Length_1_CMC</vt:lpstr>
      <vt:lpstr>Length_1_Condition</vt:lpstr>
      <vt:lpstr>Length_1_Condition_Temp</vt:lpstr>
      <vt:lpstr>Length_1_Resolution</vt:lpstr>
      <vt:lpstr>Length_1_Result</vt:lpstr>
      <vt:lpstr>Length_1_Spec</vt:lpstr>
      <vt:lpstr>Length_1_STD1</vt:lpstr>
      <vt:lpstr>Length_1_STD2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2020-11-02T06:46:32Z</cp:lastPrinted>
  <dcterms:created xsi:type="dcterms:W3CDTF">2004-11-10T00:11:43Z</dcterms:created>
  <dcterms:modified xsi:type="dcterms:W3CDTF">2021-07-23T05:24:22Z</dcterms:modified>
</cp:coreProperties>
</file>