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6" sheetId="14" r:id="rId11"/>
  </sheets>
  <definedNames>
    <definedName name="_xlnm._FilterDatabase" localSheetId="0" hidden="1">기본정보!#REF!</definedName>
    <definedName name="B_Tag" localSheetId="2">'교정결과-E'!$C$36:$J$36</definedName>
    <definedName name="B_Tag" localSheetId="3">'교정결과-HY'!$B$26:$Q$26</definedName>
    <definedName name="B_Tag">교정결과!$C$35:$J$35</definedName>
    <definedName name="B_Tag_2" localSheetId="4">판정결과!$C$19:$J$19</definedName>
    <definedName name="B_Tag_3" localSheetId="5">부록!$B$11:$K$11</definedName>
    <definedName name="Length_16_CMC">Length_16!$F$4:$H$15</definedName>
    <definedName name="Length_16_Condition">Length_16!$A$4:$E$15</definedName>
    <definedName name="Length_16_Resolution">Length_16!$I$4:$L$15</definedName>
    <definedName name="Length_16_Result">Length_16!$P$4:$R$15</definedName>
    <definedName name="Length_16_Spec">Length_16!$M$4:$O$15</definedName>
    <definedName name="Length_16_STD1">Length_16!$A$19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H55" i="21" l="1"/>
  <c r="I55" i="21" s="1"/>
  <c r="J55" i="21" s="1"/>
  <c r="K55" i="21"/>
  <c r="L55" i="21" s="1"/>
  <c r="M55" i="21" l="1"/>
  <c r="N55" i="21" s="1"/>
  <c r="O55" i="21" s="1"/>
  <c r="BO10" i="23" l="1"/>
  <c r="BJ10" i="23"/>
  <c r="AZ10" i="23"/>
  <c r="BE10" i="23" s="1"/>
  <c r="AU10" i="23"/>
  <c r="V10" i="23"/>
  <c r="A4" i="24" l="1"/>
  <c r="O38" i="21"/>
  <c r="M38" i="21" s="1"/>
  <c r="G32" i="21"/>
  <c r="J32" i="21" s="1"/>
  <c r="Q32" i="21" s="1"/>
  <c r="T32" i="21" s="1"/>
  <c r="G30" i="21"/>
  <c r="J30" i="21" s="1"/>
  <c r="I26" i="21"/>
  <c r="H26" i="21"/>
  <c r="G26" i="21"/>
  <c r="B20" i="21"/>
  <c r="AA20" i="21" s="1"/>
  <c r="J19" i="21"/>
  <c r="B19" i="21"/>
  <c r="B18" i="21"/>
  <c r="B17" i="21"/>
  <c r="M16" i="21"/>
  <c r="B16" i="21"/>
  <c r="J15" i="21"/>
  <c r="AK17" i="23" s="1"/>
  <c r="F15" i="21"/>
  <c r="Q17" i="23" s="1"/>
  <c r="V19" i="23" s="1"/>
  <c r="B15" i="21"/>
  <c r="B14" i="21"/>
  <c r="M14" i="21" s="1"/>
  <c r="B13" i="21"/>
  <c r="M12" i="21"/>
  <c r="B12" i="21"/>
  <c r="J11" i="21"/>
  <c r="AK13" i="23" s="1"/>
  <c r="F11" i="21"/>
  <c r="B11" i="21"/>
  <c r="B10" i="21"/>
  <c r="M10" i="21" s="1"/>
  <c r="B9" i="21"/>
  <c r="F9" i="21" s="1"/>
  <c r="Q11" i="23" s="1"/>
  <c r="O3" i="21"/>
  <c r="N3" i="21"/>
  <c r="M3" i="21"/>
  <c r="F3" i="21"/>
  <c r="U3" i="21" s="1"/>
  <c r="E3" i="21"/>
  <c r="C3" i="21"/>
  <c r="B3" i="21" s="1"/>
  <c r="F37" i="21"/>
  <c r="V32" i="21"/>
  <c r="V31" i="21"/>
  <c r="T31" i="21"/>
  <c r="V30" i="21"/>
  <c r="S30" i="21"/>
  <c r="V29" i="21"/>
  <c r="G29" i="21"/>
  <c r="J29" i="21" s="1"/>
  <c r="V28" i="21"/>
  <c r="S28" i="21"/>
  <c r="V27" i="21"/>
  <c r="G27" i="21"/>
  <c r="J27" i="21" s="1"/>
  <c r="S27" i="21" s="1"/>
  <c r="U26" i="21"/>
  <c r="T26" i="21"/>
  <c r="U25" i="21"/>
  <c r="W20" i="21"/>
  <c r="R20" i="21"/>
  <c r="AL19" i="21"/>
  <c r="AK19" i="21"/>
  <c r="AJ19" i="21"/>
  <c r="AA19" i="21"/>
  <c r="X19" i="21"/>
  <c r="W19" i="21"/>
  <c r="U19" i="21"/>
  <c r="R19" i="21"/>
  <c r="P19" i="21"/>
  <c r="O19" i="21"/>
  <c r="K19" i="21"/>
  <c r="S17" i="21"/>
  <c r="I37" i="21"/>
  <c r="L37" i="21" s="1"/>
  <c r="Q37" i="21" s="1"/>
  <c r="D3" i="21"/>
  <c r="V14" i="23" l="1"/>
  <c r="V11" i="23"/>
  <c r="M18" i="21"/>
  <c r="AD18" i="21"/>
  <c r="AM18" i="21"/>
  <c r="AC18" i="21"/>
  <c r="AB18" i="21"/>
  <c r="BO20" i="23" s="1"/>
  <c r="T18" i="21"/>
  <c r="BE20" i="23" s="1"/>
  <c r="I13" i="21"/>
  <c r="AF15" i="23" s="1"/>
  <c r="AM13" i="21"/>
  <c r="AD13" i="21"/>
  <c r="AC13" i="21"/>
  <c r="AB13" i="21"/>
  <c r="BO15" i="23" s="1"/>
  <c r="T13" i="21"/>
  <c r="BE15" i="23" s="1"/>
  <c r="H14" i="21"/>
  <c r="AA16" i="23" s="1"/>
  <c r="I17" i="21"/>
  <c r="AF19" i="23" s="1"/>
  <c r="AM17" i="21"/>
  <c r="AD17" i="21"/>
  <c r="AC17" i="21"/>
  <c r="AB17" i="21"/>
  <c r="BO19" i="23" s="1"/>
  <c r="T17" i="21"/>
  <c r="BE19" i="23" s="1"/>
  <c r="H18" i="21"/>
  <c r="AA20" i="23" s="1"/>
  <c r="H6" i="21"/>
  <c r="J12" i="21"/>
  <c r="AK14" i="23" s="1"/>
  <c r="AM12" i="21"/>
  <c r="AC12" i="21"/>
  <c r="AD12" i="21"/>
  <c r="AB12" i="21"/>
  <c r="BO14" i="23" s="1"/>
  <c r="T12" i="21"/>
  <c r="BE14" i="23" s="1"/>
  <c r="F13" i="21"/>
  <c r="J16" i="21"/>
  <c r="AK18" i="23" s="1"/>
  <c r="AC16" i="21"/>
  <c r="AD16" i="21"/>
  <c r="AM16" i="21"/>
  <c r="AB16" i="21"/>
  <c r="BO18" i="23" s="1"/>
  <c r="T16" i="21"/>
  <c r="BE18" i="23" s="1"/>
  <c r="F17" i="21"/>
  <c r="N18" i="21"/>
  <c r="AZ20" i="23" s="1"/>
  <c r="J10" i="21"/>
  <c r="AK12" i="23" s="1"/>
  <c r="AD10" i="21"/>
  <c r="AM10" i="21"/>
  <c r="AC10" i="21"/>
  <c r="AB10" i="21"/>
  <c r="BO12" i="23" s="1"/>
  <c r="T10" i="21"/>
  <c r="BE12" i="23" s="1"/>
  <c r="J14" i="21"/>
  <c r="AK16" i="23" s="1"/>
  <c r="AD14" i="21"/>
  <c r="AM14" i="21"/>
  <c r="AC14" i="21"/>
  <c r="AB14" i="21"/>
  <c r="BO16" i="23" s="1"/>
  <c r="T14" i="21"/>
  <c r="BE16" i="23" s="1"/>
  <c r="I9" i="21"/>
  <c r="AF11" i="23" s="1"/>
  <c r="AM9" i="21"/>
  <c r="AC9" i="21"/>
  <c r="AD9" i="21"/>
  <c r="AB9" i="21"/>
  <c r="BO11" i="23" s="1"/>
  <c r="T9" i="21"/>
  <c r="BE11" i="23" s="1"/>
  <c r="H10" i="21"/>
  <c r="AA12" i="23" s="1"/>
  <c r="M20" i="21"/>
  <c r="AM20" i="21"/>
  <c r="AC20" i="21"/>
  <c r="AD20" i="21"/>
  <c r="AB20" i="21"/>
  <c r="T20" i="21"/>
  <c r="O17" i="21"/>
  <c r="S9" i="21"/>
  <c r="J9" i="21"/>
  <c r="AK11" i="23" s="1"/>
  <c r="I11" i="21"/>
  <c r="AF13" i="23" s="1"/>
  <c r="AD11" i="21"/>
  <c r="AM11" i="21"/>
  <c r="AC11" i="21"/>
  <c r="AB11" i="21"/>
  <c r="BO13" i="23" s="1"/>
  <c r="T11" i="21"/>
  <c r="BE13" i="23" s="1"/>
  <c r="H12" i="21"/>
  <c r="AA14" i="23" s="1"/>
  <c r="J13" i="21"/>
  <c r="AK15" i="23" s="1"/>
  <c r="I15" i="21"/>
  <c r="AF17" i="23" s="1"/>
  <c r="AD15" i="21"/>
  <c r="AM15" i="21"/>
  <c r="AC15" i="21"/>
  <c r="T15" i="21"/>
  <c r="BE17" i="23" s="1"/>
  <c r="AB15" i="21"/>
  <c r="BO17" i="23" s="1"/>
  <c r="H16" i="21"/>
  <c r="AA18" i="23" s="1"/>
  <c r="J17" i="21"/>
  <c r="AK19" i="23" s="1"/>
  <c r="I19" i="21"/>
  <c r="AD19" i="21"/>
  <c r="AM19" i="21"/>
  <c r="AC19" i="21"/>
  <c r="AB19" i="21"/>
  <c r="T19" i="21"/>
  <c r="K38" i="21"/>
  <c r="V17" i="23"/>
  <c r="N10" i="21"/>
  <c r="AZ12" i="23" s="1"/>
  <c r="N12" i="21"/>
  <c r="AZ14" i="23" s="1"/>
  <c r="N14" i="21"/>
  <c r="AZ16" i="23" s="1"/>
  <c r="N16" i="21"/>
  <c r="AZ18" i="23" s="1"/>
  <c r="H20" i="21"/>
  <c r="G10" i="21"/>
  <c r="G12" i="21"/>
  <c r="G14" i="21"/>
  <c r="G16" i="21"/>
  <c r="G18" i="21"/>
  <c r="F19" i="21"/>
  <c r="N20" i="21"/>
  <c r="Q3" i="21"/>
  <c r="S3" i="21" s="1"/>
  <c r="Y16" i="21" s="1"/>
  <c r="G9" i="21"/>
  <c r="I3" i="21" s="1"/>
  <c r="J3" i="21" s="1"/>
  <c r="M9" i="21"/>
  <c r="I10" i="21"/>
  <c r="AF12" i="23" s="1"/>
  <c r="G11" i="21"/>
  <c r="M11" i="21"/>
  <c r="I12" i="21"/>
  <c r="AF14" i="23" s="1"/>
  <c r="G13" i="21"/>
  <c r="M13" i="21"/>
  <c r="I14" i="21"/>
  <c r="AF16" i="23" s="1"/>
  <c r="G15" i="21"/>
  <c r="M15" i="21"/>
  <c r="I16" i="21"/>
  <c r="AF18" i="23" s="1"/>
  <c r="G17" i="21"/>
  <c r="M17" i="21"/>
  <c r="I18" i="21"/>
  <c r="AF20" i="23" s="1"/>
  <c r="G19" i="21"/>
  <c r="M19" i="21"/>
  <c r="I20" i="21"/>
  <c r="S13" i="21"/>
  <c r="L19" i="21"/>
  <c r="S19" i="21"/>
  <c r="Y19" i="21"/>
  <c r="AH19" i="21"/>
  <c r="AJ20" i="21"/>
  <c r="H9" i="21"/>
  <c r="AA11" i="23" s="1"/>
  <c r="N9" i="21"/>
  <c r="AZ11" i="23" s="1"/>
  <c r="F10" i="21"/>
  <c r="H11" i="21"/>
  <c r="AA13" i="23" s="1"/>
  <c r="N11" i="21"/>
  <c r="AZ13" i="23" s="1"/>
  <c r="F12" i="21"/>
  <c r="H13" i="21"/>
  <c r="AA15" i="23" s="1"/>
  <c r="N13" i="21"/>
  <c r="AZ15" i="23" s="1"/>
  <c r="F14" i="21"/>
  <c r="H15" i="21"/>
  <c r="AA17" i="23" s="1"/>
  <c r="N15" i="21"/>
  <c r="AZ17" i="23" s="1"/>
  <c r="F16" i="21"/>
  <c r="H17" i="21"/>
  <c r="AA19" i="23" s="1"/>
  <c r="N17" i="21"/>
  <c r="AZ19" i="23" s="1"/>
  <c r="F18" i="21"/>
  <c r="J18" i="21"/>
  <c r="AK20" i="23" s="1"/>
  <c r="H19" i="21"/>
  <c r="N19" i="21"/>
  <c r="F20" i="21"/>
  <c r="J20" i="21"/>
  <c r="G20" i="21"/>
  <c r="S15" i="21"/>
  <c r="R17" i="21"/>
  <c r="R18" i="21"/>
  <c r="R16" i="21"/>
  <c r="R14" i="21"/>
  <c r="R9" i="21"/>
  <c r="P9" i="21"/>
  <c r="R13" i="21"/>
  <c r="P12" i="21"/>
  <c r="R11" i="21"/>
  <c r="P10" i="21"/>
  <c r="R15" i="21"/>
  <c r="P17" i="21"/>
  <c r="P15" i="21"/>
  <c r="P13" i="21"/>
  <c r="R12" i="21"/>
  <c r="P11" i="21"/>
  <c r="R10" i="21"/>
  <c r="K9" i="21"/>
  <c r="AP11" i="23" s="1"/>
  <c r="S11" i="21"/>
  <c r="L15" i="21"/>
  <c r="AU17" i="23" s="1"/>
  <c r="Y9" i="21"/>
  <c r="Y11" i="21"/>
  <c r="Y13" i="21"/>
  <c r="Y17" i="21"/>
  <c r="P3" i="21"/>
  <c r="T3" i="21"/>
  <c r="H8" i="21"/>
  <c r="L9" i="21"/>
  <c r="AU11" i="23" s="1"/>
  <c r="Q9" i="21"/>
  <c r="V9" i="21"/>
  <c r="O10" i="21"/>
  <c r="S10" i="21"/>
  <c r="L11" i="21"/>
  <c r="AU13" i="23" s="1"/>
  <c r="Q11" i="21"/>
  <c r="V11" i="21"/>
  <c r="O12" i="21"/>
  <c r="S12" i="21"/>
  <c r="L13" i="21"/>
  <c r="AU15" i="23" s="1"/>
  <c r="Q13" i="21"/>
  <c r="V13" i="21"/>
  <c r="S14" i="21"/>
  <c r="O14" i="21"/>
  <c r="K14" i="21"/>
  <c r="AP16" i="23" s="1"/>
  <c r="L14" i="21"/>
  <c r="AU16" i="23" s="1"/>
  <c r="P14" i="21"/>
  <c r="V14" i="21"/>
  <c r="S16" i="21"/>
  <c r="O16" i="21"/>
  <c r="K16" i="21"/>
  <c r="AP18" i="23" s="1"/>
  <c r="L16" i="21"/>
  <c r="AU18" i="23" s="1"/>
  <c r="P16" i="21"/>
  <c r="V16" i="21"/>
  <c r="Y10" i="21"/>
  <c r="Y12" i="21"/>
  <c r="Q14" i="21"/>
  <c r="Y15" i="21"/>
  <c r="Q16" i="21"/>
  <c r="S29" i="21"/>
  <c r="O9" i="21"/>
  <c r="K10" i="21"/>
  <c r="AP12" i="23" s="1"/>
  <c r="Q10" i="21"/>
  <c r="V10" i="21"/>
  <c r="O11" i="21"/>
  <c r="L12" i="21"/>
  <c r="AU14" i="23" s="1"/>
  <c r="Q12" i="21"/>
  <c r="V12" i="21"/>
  <c r="O13" i="21"/>
  <c r="Y14" i="21"/>
  <c r="O15" i="21"/>
  <c r="U32" i="21"/>
  <c r="K15" i="21"/>
  <c r="AP17" i="23" s="1"/>
  <c r="Q15" i="21"/>
  <c r="V15" i="21"/>
  <c r="K17" i="21"/>
  <c r="AP19" i="23" s="1"/>
  <c r="Q17" i="21"/>
  <c r="V17" i="21"/>
  <c r="K18" i="21"/>
  <c r="AP20" i="23" s="1"/>
  <c r="O18" i="21"/>
  <c r="S18" i="21"/>
  <c r="Q19" i="21"/>
  <c r="V19" i="21"/>
  <c r="Z19" i="21"/>
  <c r="AI19" i="21"/>
  <c r="K20" i="21"/>
  <c r="O20" i="21"/>
  <c r="S20" i="21"/>
  <c r="X20" i="21"/>
  <c r="AK20" i="21"/>
  <c r="L18" i="21"/>
  <c r="AU20" i="23" s="1"/>
  <c r="P18" i="21"/>
  <c r="U18" i="21"/>
  <c r="W18" i="21" s="1"/>
  <c r="Y18" i="21"/>
  <c r="L20" i="21"/>
  <c r="P20" i="21"/>
  <c r="U20" i="21"/>
  <c r="Y20" i="21"/>
  <c r="AH20" i="21"/>
  <c r="AL20" i="21"/>
  <c r="Q18" i="21"/>
  <c r="V18" i="21"/>
  <c r="Q20" i="21"/>
  <c r="V20" i="21"/>
  <c r="Z20" i="21"/>
  <c r="AI20" i="21"/>
  <c r="D22" i="3"/>
  <c r="D21" i="3"/>
  <c r="C21" i="3"/>
  <c r="D20" i="3"/>
  <c r="D19" i="3"/>
  <c r="C19" i="3"/>
  <c r="D18" i="3"/>
  <c r="D17" i="3"/>
  <c r="C17" i="3"/>
  <c r="B17" i="3"/>
  <c r="D16" i="3"/>
  <c r="D15" i="3"/>
  <c r="C15" i="3"/>
  <c r="D14" i="3"/>
  <c r="D13" i="3"/>
  <c r="C13" i="3"/>
  <c r="D12" i="3"/>
  <c r="D11" i="3"/>
  <c r="C11" i="3"/>
  <c r="B11" i="3"/>
  <c r="H4" i="3"/>
  <c r="E4" i="3"/>
  <c r="C4" i="3"/>
  <c r="H3" i="3"/>
  <c r="E3" i="3"/>
  <c r="C3" i="3"/>
  <c r="I8" i="21" l="1"/>
  <c r="AA10" i="23"/>
  <c r="H3" i="21"/>
  <c r="G3" i="21"/>
  <c r="L3" i="21"/>
  <c r="N29" i="21" s="1"/>
  <c r="E30" i="21"/>
  <c r="M29" i="21" s="1"/>
  <c r="E25" i="21"/>
  <c r="K12" i="21"/>
  <c r="AP14" i="23" s="1"/>
  <c r="L17" i="21"/>
  <c r="AU19" i="23" s="1"/>
  <c r="L10" i="21"/>
  <c r="AU12" i="23" s="1"/>
  <c r="K13" i="21"/>
  <c r="AP15" i="23" s="1"/>
  <c r="K11" i="21"/>
  <c r="AP13" i="23" s="1"/>
  <c r="U15" i="21"/>
  <c r="W15" i="21" s="1"/>
  <c r="R3" i="21"/>
  <c r="U17" i="21"/>
  <c r="W17" i="21" s="1"/>
  <c r="U12" i="21"/>
  <c r="W12" i="21" s="1"/>
  <c r="U10" i="21"/>
  <c r="W10" i="21" s="1"/>
  <c r="U9" i="21"/>
  <c r="W9" i="21" s="1"/>
  <c r="U16" i="21"/>
  <c r="W16" i="21" s="1"/>
  <c r="U14" i="21"/>
  <c r="W14" i="21" s="1"/>
  <c r="U13" i="21"/>
  <c r="W13" i="21" s="1"/>
  <c r="U11" i="21"/>
  <c r="W11" i="21" s="1"/>
  <c r="K3" i="21"/>
  <c r="E10" i="3"/>
  <c r="F10" i="3" s="1"/>
  <c r="J8" i="21" l="1"/>
  <c r="AF10" i="23"/>
  <c r="G25" i="21"/>
  <c r="J25" i="21" s="1"/>
  <c r="Q25" i="21" s="1"/>
  <c r="V25" i="21" s="1"/>
  <c r="O29" i="21"/>
  <c r="Q29" i="21" s="1"/>
  <c r="E28" i="21"/>
  <c r="G28" i="21" s="1"/>
  <c r="J28" i="21" s="1"/>
  <c r="E27" i="21"/>
  <c r="M28" i="21" s="1"/>
  <c r="O28" i="21" s="1"/>
  <c r="N30" i="21"/>
  <c r="E26" i="21"/>
  <c r="N28" i="21"/>
  <c r="N27" i="21"/>
  <c r="E29" i="21"/>
  <c r="M30" i="21" s="1"/>
  <c r="O30" i="21" s="1"/>
  <c r="Q30" i="21" s="1"/>
  <c r="T30" i="21" s="1"/>
  <c r="J26" i="21"/>
  <c r="Q26" i="21" s="1"/>
  <c r="V26" i="21" s="1"/>
  <c r="E38" i="21"/>
  <c r="V3" i="21"/>
  <c r="C38" i="21" s="1"/>
  <c r="X3" i="21"/>
  <c r="F38" i="21" s="1"/>
  <c r="W3" i="21"/>
  <c r="D38" i="21" s="1"/>
  <c r="AA16" i="21"/>
  <c r="BJ18" i="23" s="1"/>
  <c r="X17" i="21"/>
  <c r="Z17" i="21" s="1"/>
  <c r="AA17" i="21" s="1"/>
  <c r="BJ19" i="23" s="1"/>
  <c r="X13" i="21"/>
  <c r="Z13" i="21" s="1"/>
  <c r="AA13" i="21" s="1"/>
  <c r="BJ15" i="23" s="1"/>
  <c r="X11" i="21"/>
  <c r="Z11" i="21" s="1"/>
  <c r="AA11" i="21" s="1"/>
  <c r="BJ13" i="23" s="1"/>
  <c r="X9" i="21"/>
  <c r="Z9" i="21" s="1"/>
  <c r="AA9" i="21" s="1"/>
  <c r="BJ11" i="23" s="1"/>
  <c r="X15" i="21"/>
  <c r="Z15" i="21" s="1"/>
  <c r="AA15" i="21" s="1"/>
  <c r="BJ17" i="23" s="1"/>
  <c r="X10" i="21"/>
  <c r="Z10" i="21" s="1"/>
  <c r="AA10" i="21" s="1"/>
  <c r="BJ12" i="23" s="1"/>
  <c r="X14" i="21"/>
  <c r="Z14" i="21" s="1"/>
  <c r="AA14" i="21" s="1"/>
  <c r="BJ16" i="23" s="1"/>
  <c r="X16" i="21"/>
  <c r="Z16" i="21" s="1"/>
  <c r="X12" i="21"/>
  <c r="Z12" i="21" s="1"/>
  <c r="AA12" i="21" s="1"/>
  <c r="BJ14" i="23" s="1"/>
  <c r="X18" i="21"/>
  <c r="Z18" i="21" s="1"/>
  <c r="AA18" i="21" s="1"/>
  <c r="BJ20" i="23" s="1"/>
  <c r="E11" i="3"/>
  <c r="G14" i="3"/>
  <c r="I14" i="3"/>
  <c r="H14" i="3"/>
  <c r="I16" i="3"/>
  <c r="H16" i="3"/>
  <c r="G16" i="3"/>
  <c r="G18" i="3"/>
  <c r="I18" i="3"/>
  <c r="H18" i="3"/>
  <c r="I20" i="3"/>
  <c r="H20" i="3"/>
  <c r="G20" i="3"/>
  <c r="G10" i="3"/>
  <c r="H10" i="3" s="1"/>
  <c r="I10" i="3" s="1"/>
  <c r="I11" i="3"/>
  <c r="H11" i="3"/>
  <c r="G11" i="3"/>
  <c r="H13" i="3"/>
  <c r="G13" i="3"/>
  <c r="I13" i="3"/>
  <c r="I15" i="3"/>
  <c r="H15" i="3"/>
  <c r="G15" i="3"/>
  <c r="G17" i="3"/>
  <c r="I17" i="3"/>
  <c r="H17" i="3"/>
  <c r="I19" i="3"/>
  <c r="H19" i="3"/>
  <c r="G19" i="3"/>
  <c r="I21" i="3"/>
  <c r="H21" i="3"/>
  <c r="G21" i="3"/>
  <c r="I12" i="3"/>
  <c r="H12" i="3"/>
  <c r="G12" i="3"/>
  <c r="E17" i="3"/>
  <c r="I22" i="3"/>
  <c r="H22" i="3"/>
  <c r="G22" i="3"/>
  <c r="G8" i="3"/>
  <c r="A4" i="31"/>
  <c r="C9" i="31"/>
  <c r="C8" i="31"/>
  <c r="C7" i="31"/>
  <c r="C6" i="31"/>
  <c r="T25" i="21" l="1"/>
  <c r="K8" i="21"/>
  <c r="AP10" i="23" s="1"/>
  <c r="AK10" i="23"/>
  <c r="G38" i="21"/>
  <c r="M27" i="21"/>
  <c r="O27" i="21" s="1"/>
  <c r="Q27" i="21" s="1"/>
  <c r="T27" i="21" s="1"/>
  <c r="T33" i="21" s="1"/>
  <c r="U30" i="21"/>
  <c r="Q28" i="21"/>
  <c r="T28" i="21" s="1"/>
  <c r="V33" i="21"/>
  <c r="F42" i="21" s="1"/>
  <c r="U29" i="21"/>
  <c r="T29" i="21"/>
  <c r="E31" i="21"/>
  <c r="F11" i="3"/>
  <c r="F14" i="3"/>
  <c r="F20" i="3"/>
  <c r="F17" i="3"/>
  <c r="AM55" i="23"/>
  <c r="M55" i="23"/>
  <c r="AP54" i="23"/>
  <c r="X184" i="23" s="1"/>
  <c r="AM54" i="23"/>
  <c r="AA54" i="23"/>
  <c r="O165" i="23" s="1"/>
  <c r="L167" i="23" s="1"/>
  <c r="V54" i="23"/>
  <c r="I164" i="23" s="1"/>
  <c r="S54" i="23"/>
  <c r="M54" i="23"/>
  <c r="H54" i="23"/>
  <c r="AP53" i="23"/>
  <c r="S184" i="23" s="1"/>
  <c r="AM53" i="23"/>
  <c r="AA53" i="23"/>
  <c r="N152" i="23" s="1"/>
  <c r="L154" i="23" s="1"/>
  <c r="V53" i="23"/>
  <c r="I151" i="23" s="1"/>
  <c r="S53" i="23"/>
  <c r="M53" i="23"/>
  <c r="M148" i="23" s="1"/>
  <c r="AM52" i="23"/>
  <c r="AE52" i="23"/>
  <c r="V52" i="23"/>
  <c r="I139" i="23" s="1"/>
  <c r="S52" i="23"/>
  <c r="M52" i="23"/>
  <c r="AM51" i="23"/>
  <c r="AE51" i="23"/>
  <c r="V51" i="23"/>
  <c r="I123" i="23" s="1"/>
  <c r="S51" i="23"/>
  <c r="M51" i="23"/>
  <c r="AM50" i="23"/>
  <c r="AE50" i="23"/>
  <c r="V50" i="23"/>
  <c r="I109" i="23" s="1"/>
  <c r="S50" i="23"/>
  <c r="M50" i="23"/>
  <c r="AM49" i="23"/>
  <c r="AE49" i="23"/>
  <c r="V49" i="23"/>
  <c r="I93" i="23" s="1"/>
  <c r="S49" i="23"/>
  <c r="M49" i="23"/>
  <c r="AP48" i="23"/>
  <c r="R182" i="23" s="1"/>
  <c r="AM48" i="23"/>
  <c r="AA48" i="23"/>
  <c r="N78" i="23" s="1"/>
  <c r="L80" i="23" s="1"/>
  <c r="V48" i="23"/>
  <c r="I77" i="23" s="1"/>
  <c r="S48" i="23"/>
  <c r="M48" i="23"/>
  <c r="N73" i="23" s="1"/>
  <c r="AP47" i="23"/>
  <c r="M182" i="23" s="1"/>
  <c r="AM47" i="23"/>
  <c r="AA47" i="23"/>
  <c r="N66" i="23" s="1"/>
  <c r="L68" i="23" s="1"/>
  <c r="V47" i="23"/>
  <c r="I65" i="23" s="1"/>
  <c r="S47" i="23"/>
  <c r="M47" i="23"/>
  <c r="N61" i="23" s="1"/>
  <c r="R167" i="23"/>
  <c r="Y167" i="23" s="1"/>
  <c r="AC149" i="23"/>
  <c r="R154" i="23" s="1"/>
  <c r="Y154" i="23" s="1"/>
  <c r="AS74" i="23"/>
  <c r="Q76" i="23" s="1"/>
  <c r="R80" i="23" s="1"/>
  <c r="Y80" i="23" s="1"/>
  <c r="AA63" i="23"/>
  <c r="R68" i="23" s="1"/>
  <c r="Y68" i="23" s="1"/>
  <c r="U63" i="23"/>
  <c r="G28" i="23"/>
  <c r="G25" i="23"/>
  <c r="U27" i="21" l="1"/>
  <c r="U28" i="21"/>
  <c r="G31" i="21"/>
  <c r="J31" i="21" s="1"/>
  <c r="Q31" i="21" s="1"/>
  <c r="E33" i="21"/>
  <c r="Q75" i="23"/>
  <c r="AD75" i="23" s="1"/>
  <c r="U74" i="23"/>
  <c r="AH74" i="23" s="1"/>
  <c r="Q74" i="23"/>
  <c r="AD74" i="23" s="1"/>
  <c r="AP52" i="23"/>
  <c r="N184" i="23" s="1"/>
  <c r="O51" i="23"/>
  <c r="AP50" i="23"/>
  <c r="AB182" i="23" s="1"/>
  <c r="O49" i="23"/>
  <c r="U31" i="21" l="1"/>
  <c r="Q33" i="21"/>
  <c r="S33" i="21" s="1"/>
  <c r="Q161" i="23"/>
  <c r="N162" i="23" s="1"/>
  <c r="S162" i="23" s="1"/>
  <c r="O167" i="23" s="1"/>
  <c r="V167" i="23" s="1"/>
  <c r="N137" i="23"/>
  <c r="S137" i="23" s="1"/>
  <c r="S142" i="23" s="1"/>
  <c r="O52" i="23"/>
  <c r="H5" i="23"/>
  <c r="B5" i="23"/>
  <c r="Q10" i="23" s="1"/>
  <c r="O54" i="23"/>
  <c r="T5" i="23"/>
  <c r="AP49" i="23"/>
  <c r="AP51" i="23"/>
  <c r="C159" i="23" l="1"/>
  <c r="AA8" i="23"/>
  <c r="AZ8" i="23"/>
  <c r="C50" i="21"/>
  <c r="C43" i="21"/>
  <c r="E44" i="21" s="1"/>
  <c r="E46" i="21" s="1"/>
  <c r="U33" i="21"/>
  <c r="E42" i="21" s="1"/>
  <c r="G42" i="21" s="1"/>
  <c r="C46" i="21"/>
  <c r="C44" i="21"/>
  <c r="F44" i="21" s="1"/>
  <c r="F46" i="21" s="1"/>
  <c r="C48" i="21"/>
  <c r="C49" i="21"/>
  <c r="C47" i="21"/>
  <c r="C45" i="21"/>
  <c r="C134" i="23"/>
  <c r="AH54" i="23"/>
  <c r="AG182" i="23"/>
  <c r="Z129" i="23"/>
  <c r="W182" i="23"/>
  <c r="AB99" i="23"/>
  <c r="B133" i="23"/>
  <c r="B71" i="23"/>
  <c r="C72" i="23"/>
  <c r="G26" i="23"/>
  <c r="G31" i="23"/>
  <c r="G32" i="23"/>
  <c r="G29" i="23"/>
  <c r="B58" i="23"/>
  <c r="B103" i="23"/>
  <c r="B83" i="23"/>
  <c r="B116" i="23"/>
  <c r="G27" i="23"/>
  <c r="G30" i="23"/>
  <c r="C84" i="23"/>
  <c r="C117" i="23"/>
  <c r="G46" i="21" l="1"/>
  <c r="E43" i="21"/>
  <c r="G43" i="21" s="1"/>
  <c r="E47" i="21" s="1"/>
  <c r="E35" i="24" s="1"/>
  <c r="O174" i="23"/>
  <c r="X183" i="23"/>
  <c r="AL74" i="23"/>
  <c r="N76" i="23" s="1"/>
  <c r="O80" i="23" s="1"/>
  <c r="V80" i="23" s="1"/>
  <c r="V94" i="23"/>
  <c r="W124" i="23"/>
  <c r="AA140" i="23"/>
  <c r="Z110" i="23"/>
  <c r="H48" i="23"/>
  <c r="H47" i="23"/>
  <c r="H52" i="23"/>
  <c r="H51" i="23"/>
  <c r="A48" i="13"/>
  <c r="E48" i="21" l="1"/>
  <c r="F35" i="24" s="1"/>
  <c r="D34" i="11"/>
  <c r="O48" i="23"/>
  <c r="Q62" i="23"/>
  <c r="R63" i="23" s="1"/>
  <c r="X63" i="23" s="1"/>
  <c r="AA50" i="23"/>
  <c r="H49" i="23"/>
  <c r="H53" i="23"/>
  <c r="O50" i="23"/>
  <c r="H50" i="23"/>
  <c r="H55" i="23"/>
  <c r="C37" i="21" l="1"/>
  <c r="G37" i="21" s="1"/>
  <c r="H37" i="21" s="1"/>
  <c r="E34" i="11"/>
  <c r="O47" i="23"/>
  <c r="AH48" i="23"/>
  <c r="AA52" i="23"/>
  <c r="T149" i="23"/>
  <c r="S124" i="23"/>
  <c r="N107" i="23"/>
  <c r="R37" i="21" l="1"/>
  <c r="Y3" i="21" s="1"/>
  <c r="J37" i="21"/>
  <c r="N37" i="21" s="1"/>
  <c r="M173" i="23"/>
  <c r="R181" i="23"/>
  <c r="AH47" i="23"/>
  <c r="AH50" i="23"/>
  <c r="AH52" i="23"/>
  <c r="O53" i="23"/>
  <c r="R94" i="23"/>
  <c r="AA51" i="23"/>
  <c r="AH55" i="23"/>
  <c r="K37" i="21" l="1"/>
  <c r="M37" i="21" s="1"/>
  <c r="AG18" i="21" s="1"/>
  <c r="O37" i="21"/>
  <c r="S37" i="21" s="1"/>
  <c r="AL18" i="21"/>
  <c r="AL17" i="21"/>
  <c r="AL13" i="21"/>
  <c r="AL12" i="21"/>
  <c r="AL16" i="21"/>
  <c r="AL11" i="21"/>
  <c r="AL10" i="21"/>
  <c r="AL14" i="21"/>
  <c r="AL15" i="21"/>
  <c r="AL9" i="21"/>
  <c r="M181" i="23"/>
  <c r="O68" i="23"/>
  <c r="V68" i="23" s="1"/>
  <c r="F173" i="23"/>
  <c r="AH51" i="23"/>
  <c r="AH53" i="23"/>
  <c r="AA49" i="23"/>
  <c r="E25" i="24" l="1"/>
  <c r="E24" i="11"/>
  <c r="E31" i="24"/>
  <c r="E30" i="11"/>
  <c r="I25" i="24"/>
  <c r="I31" i="24"/>
  <c r="U37" i="21"/>
  <c r="I30" i="11"/>
  <c r="I24" i="11"/>
  <c r="AG13" i="21"/>
  <c r="AF20" i="21"/>
  <c r="AF11" i="21"/>
  <c r="AF16" i="21"/>
  <c r="AF10" i="21"/>
  <c r="AF15" i="21"/>
  <c r="AG16" i="21"/>
  <c r="AF14" i="21"/>
  <c r="AF19" i="21"/>
  <c r="P37" i="21"/>
  <c r="T37" i="21" s="1"/>
  <c r="AG12" i="21"/>
  <c r="AF18" i="21"/>
  <c r="AG15" i="21"/>
  <c r="AF9" i="21"/>
  <c r="AG10" i="21"/>
  <c r="AF13" i="21"/>
  <c r="AG19" i="21"/>
  <c r="AG9" i="21"/>
  <c r="AG17" i="21"/>
  <c r="AG11" i="21"/>
  <c r="AG20" i="21"/>
  <c r="AG14" i="21"/>
  <c r="AF12" i="21"/>
  <c r="AF17" i="21"/>
  <c r="AI10" i="21"/>
  <c r="AJ10" i="21"/>
  <c r="AJ17" i="21"/>
  <c r="AI17" i="21"/>
  <c r="AK13" i="21"/>
  <c r="H18" i="31" s="1"/>
  <c r="I11" i="30"/>
  <c r="AK12" i="21"/>
  <c r="H17" i="31" s="1"/>
  <c r="I13" i="30"/>
  <c r="AJ9" i="21"/>
  <c r="AI9" i="21"/>
  <c r="AI18" i="21"/>
  <c r="AJ18" i="21"/>
  <c r="AI11" i="21"/>
  <c r="AJ11" i="21"/>
  <c r="I18" i="30"/>
  <c r="AK18" i="21"/>
  <c r="H23" i="31" s="1"/>
  <c r="AK11" i="21"/>
  <c r="H10" i="30" s="1"/>
  <c r="I10" i="30"/>
  <c r="AK17" i="21"/>
  <c r="H22" i="31" s="1"/>
  <c r="I16" i="30"/>
  <c r="AJ13" i="21"/>
  <c r="AI13" i="21"/>
  <c r="AI14" i="21"/>
  <c r="AJ14" i="21"/>
  <c r="AK9" i="21"/>
  <c r="AK16" i="21"/>
  <c r="H21" i="31" s="1"/>
  <c r="I17" i="30"/>
  <c r="AI16" i="21"/>
  <c r="AJ16" i="21"/>
  <c r="AI12" i="21"/>
  <c r="AJ12" i="21"/>
  <c r="AJ15" i="21"/>
  <c r="AI15" i="21"/>
  <c r="I12" i="30"/>
  <c r="AK10" i="21"/>
  <c r="H15" i="31" s="1"/>
  <c r="AK15" i="21"/>
  <c r="H15" i="30" s="1"/>
  <c r="I15" i="30"/>
  <c r="AK14" i="21"/>
  <c r="H14" i="30" s="1"/>
  <c r="I14" i="30"/>
  <c r="AH13" i="21"/>
  <c r="F11" i="30" s="1"/>
  <c r="AH14" i="21"/>
  <c r="F14" i="30" s="1"/>
  <c r="AH9" i="21"/>
  <c r="AH16" i="21"/>
  <c r="F17" i="30" s="1"/>
  <c r="AH17" i="21"/>
  <c r="F16" i="30" s="1"/>
  <c r="AH18" i="21"/>
  <c r="F18" i="30" s="1"/>
  <c r="AH11" i="21"/>
  <c r="F10" i="30" s="1"/>
  <c r="AH15" i="21"/>
  <c r="AH10" i="21"/>
  <c r="F12" i="30" s="1"/>
  <c r="AH12" i="21"/>
  <c r="F13" i="30" s="1"/>
  <c r="AH49" i="23"/>
  <c r="AM8" i="21" l="1"/>
  <c r="Z3" i="21" s="1"/>
  <c r="AN9" i="21"/>
  <c r="AN10" i="21"/>
  <c r="AN14" i="21"/>
  <c r="AN18" i="21"/>
  <c r="AN11" i="21"/>
  <c r="AN19" i="21"/>
  <c r="AN12" i="21"/>
  <c r="AN16" i="21"/>
  <c r="AN20" i="21"/>
  <c r="AN13" i="21"/>
  <c r="AN17" i="21"/>
  <c r="AN15" i="21"/>
  <c r="H16" i="31"/>
  <c r="H20" i="31"/>
  <c r="H11" i="30"/>
  <c r="H19" i="31"/>
  <c r="H17" i="30"/>
  <c r="E33" i="24"/>
  <c r="E32" i="11"/>
  <c r="G17" i="30"/>
  <c r="H33" i="24"/>
  <c r="H32" i="11"/>
  <c r="E28" i="24"/>
  <c r="E27" i="11"/>
  <c r="G10" i="30"/>
  <c r="H26" i="24"/>
  <c r="H25" i="11"/>
  <c r="G12" i="30"/>
  <c r="H28" i="24"/>
  <c r="H27" i="11"/>
  <c r="H12" i="30"/>
  <c r="H13" i="30"/>
  <c r="H18" i="30"/>
  <c r="H16" i="30"/>
  <c r="H14" i="31"/>
  <c r="D24" i="11"/>
  <c r="D25" i="24"/>
  <c r="G13" i="30"/>
  <c r="H29" i="24"/>
  <c r="H28" i="11"/>
  <c r="G14" i="30"/>
  <c r="H29" i="11"/>
  <c r="H30" i="24"/>
  <c r="G18" i="30"/>
  <c r="H34" i="24"/>
  <c r="H33" i="11"/>
  <c r="G15" i="30"/>
  <c r="H31" i="24"/>
  <c r="H30" i="11"/>
  <c r="G11" i="30"/>
  <c r="H26" i="11"/>
  <c r="H27" i="24"/>
  <c r="H25" i="24"/>
  <c r="H24" i="11"/>
  <c r="F15" i="30"/>
  <c r="D30" i="11"/>
  <c r="D31" i="24"/>
  <c r="G16" i="30"/>
  <c r="H31" i="11"/>
  <c r="H32" i="24"/>
  <c r="H9" i="30"/>
  <c r="L16" i="31"/>
  <c r="AP55" i="23"/>
  <c r="J21" i="31" l="1"/>
  <c r="J19" i="31"/>
  <c r="J18" i="31"/>
  <c r="J17" i="31"/>
  <c r="L17" i="31"/>
  <c r="L19" i="31"/>
  <c r="L20" i="31"/>
  <c r="J14" i="31"/>
  <c r="J16" i="31"/>
  <c r="J23" i="31"/>
  <c r="L18" i="31"/>
  <c r="L23" i="31"/>
  <c r="L14" i="31"/>
  <c r="J15" i="31"/>
  <c r="J22" i="31"/>
  <c r="J20" i="31"/>
  <c r="L21" i="31"/>
  <c r="L15" i="31"/>
  <c r="L22" i="31"/>
  <c r="F14" i="31"/>
  <c r="F17" i="31" l="1"/>
  <c r="F19" i="31"/>
  <c r="F15" i="31"/>
  <c r="F23" i="31"/>
  <c r="F22" i="31"/>
  <c r="F16" i="31"/>
  <c r="F21" i="31"/>
  <c r="F18" i="31"/>
  <c r="F20" i="31"/>
  <c r="G25" i="31"/>
  <c r="H25" i="31"/>
  <c r="C9" i="25"/>
  <c r="C8" i="25"/>
  <c r="C7" i="25"/>
  <c r="C6" i="25"/>
  <c r="I192" i="23" l="1"/>
  <c r="I9" i="30"/>
  <c r="C9" i="24" l="1"/>
  <c r="C8" i="24"/>
  <c r="C7" i="24"/>
  <c r="C6" i="24"/>
  <c r="K14" i="31" l="1"/>
  <c r="K15" i="31"/>
  <c r="K19" i="31"/>
  <c r="K23" i="31"/>
  <c r="K16" i="31"/>
  <c r="K20" i="31"/>
  <c r="K22" i="31"/>
  <c r="K17" i="31"/>
  <c r="K21" i="31"/>
  <c r="K18" i="31"/>
  <c r="G9" i="30"/>
  <c r="F9" i="30"/>
  <c r="C9" i="11"/>
  <c r="C8" i="11"/>
  <c r="C7" i="11"/>
  <c r="C6" i="11"/>
  <c r="A4" i="11" l="1"/>
  <c r="Q18" i="31" l="1"/>
  <c r="Q17" i="31"/>
  <c r="Q20" i="31"/>
  <c r="Q15" i="31"/>
  <c r="Q19" i="31"/>
  <c r="Q14" i="31"/>
  <c r="Q21" i="31"/>
  <c r="Q22" i="31"/>
  <c r="Q16" i="31"/>
  <c r="Q23" i="31"/>
  <c r="C43" i="13"/>
  <c r="A50" i="13" l="1"/>
  <c r="H106" i="23" l="1"/>
  <c r="I73" i="23"/>
  <c r="I61" i="23"/>
  <c r="H148" i="23"/>
  <c r="C147" i="23" s="1"/>
  <c r="R110" i="23" l="1"/>
  <c r="AF110" i="23" s="1"/>
  <c r="L112" i="23" s="1"/>
  <c r="H85" i="23"/>
  <c r="AC124" i="23"/>
  <c r="L126" i="23" s="1"/>
  <c r="AA126" i="23" s="1"/>
  <c r="H136" i="23"/>
  <c r="Z149" i="23"/>
  <c r="O154" i="23" s="1"/>
  <c r="V154" i="23" s="1"/>
  <c r="H118" i="23" l="1"/>
  <c r="S140" i="23"/>
  <c r="AG140" i="23" s="1"/>
  <c r="L142" i="23" s="1"/>
  <c r="Y142" i="23" s="1"/>
  <c r="S107" i="23" l="1"/>
  <c r="S112" i="23" s="1"/>
  <c r="Y112" i="23" s="1"/>
  <c r="C104" i="23"/>
  <c r="AB94" i="23"/>
  <c r="L96" i="23" s="1"/>
  <c r="AA96" i="23" s="1"/>
  <c r="N183" i="23" l="1"/>
  <c r="AO173" i="23"/>
  <c r="AG181" i="23"/>
  <c r="AH173" i="23"/>
  <c r="AB181" i="23" l="1"/>
  <c r="AA173" i="23"/>
  <c r="S183" i="23"/>
  <c r="H174" i="23"/>
  <c r="W181" i="23" l="1"/>
  <c r="T173" i="23"/>
  <c r="L180" i="23" l="1"/>
  <c r="F175" i="23"/>
  <c r="F177" i="23" s="1"/>
  <c r="M192" i="23" s="1"/>
  <c r="AM180" i="23"/>
  <c r="R192" i="23" l="1"/>
  <c r="W192" i="23" s="1"/>
</calcChain>
</file>

<file path=xl/sharedStrings.xml><?xml version="1.0" encoding="utf-8"?>
<sst xmlns="http://schemas.openxmlformats.org/spreadsheetml/2006/main" count="909" uniqueCount="609">
  <si>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</si>
  <si>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</si>
  <si>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</si>
  <si>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</si>
  <si>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</si>
  <si>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</si>
  <si>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</si>
  <si>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</si>
  <si>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</si>
  <si>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</si>
  <si>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</si>
  <si>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</si>
  <si>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</si>
  <si>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</si>
  <si>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</si>
  <si>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</si>
  <si>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</si>
  <si>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</si>
  <si>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</si>
  <si>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</si>
  <si>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</si>
  <si>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</si>
  <si>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</si>
  <si>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</si>
  <si>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</si>
  <si>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</si>
  <si>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</si>
  <si>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</si>
  <si>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</si>
  <si>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</si>
  <si>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</si>
  <si>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</si>
  <si>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</si>
  <si>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</si>
  <si>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</si>
  <si>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</si>
  <si>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</si>
  <si>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</si>
  <si>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</si>
  <si>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</si>
  <si>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</si>
  <si>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</si>
  <si>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</si>
  <si>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</si>
  <si>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</si>
  <si>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</si>
  <si>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</si>
  <si>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</si>
  <si>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</si>
  <si>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</si>
  <si>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</si>
  <si>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</si>
  <si>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</si>
  <si>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</si>
  <si>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</si>
  <si>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</si>
  <si>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</si>
  <si>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</si>
  <si>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</si>
  <si>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</si>
  <si>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</si>
  <si>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</si>
  <si>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</si>
  <si>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</si>
  <si>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</si>
  <si>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</si>
  <si>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</si>
  <si>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</si>
  <si>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</si>
  <si>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</si>
  <si>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</si>
  <si>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</si>
  <si>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</si>
  <si>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</si>
  <si>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◆ 측정불확도 추정보고서 ◆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</si>
  <si>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</si>
  <si>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</si>
  <si>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</si>
  <si>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k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</si>
  <si>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</si>
  <si>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</si>
  <si>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</si>
  <si>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</si>
  <si>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</si>
  <si>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</si>
  <si>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</si>
  <si>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</si>
  <si>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</si>
  <si>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</si>
  <si>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</si>
  <si>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</si>
  <si>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</si>
  <si>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</si>
  <si>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</si>
  <si>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교정일자</t>
    <phoneticPr fontId="76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</si>
  <si>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</si>
  <si>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</si>
  <si>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(mm)</t>
    <phoneticPr fontId="4" type="noConversion"/>
  </si>
  <si>
    <t>1. 교정결과</t>
    <phoneticPr fontId="4" type="noConversion"/>
  </si>
  <si>
    <t>(mm)</t>
    <phoneticPr fontId="4" type="noConversion"/>
  </si>
  <si>
    <t>×</t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</si>
  <si>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</si>
  <si>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</si>
  <si>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</si>
  <si>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기준기명</t>
  </si>
  <si>
    <t>단위</t>
  </si>
  <si>
    <t>fees</t>
    <phoneticPr fontId="4" type="noConversion"/>
  </si>
  <si>
    <t>P/F</t>
    <phoneticPr fontId="4" type="noConversion"/>
  </si>
  <si>
    <t>Standard Measuring Machine</t>
  </si>
  <si>
    <t>보정값</t>
    <phoneticPr fontId="4" type="noConversion"/>
  </si>
  <si>
    <t>단위</t>
    <phoneticPr fontId="4" type="noConversion"/>
  </si>
  <si>
    <t>불확도1</t>
    <phoneticPr fontId="4" type="noConversion"/>
  </si>
  <si>
    <t>불확도 단위</t>
    <phoneticPr fontId="4" type="noConversion"/>
  </si>
  <si>
    <t>비고</t>
    <phoneticPr fontId="4" type="noConversion"/>
  </si>
  <si>
    <t>평행도</t>
    <phoneticPr fontId="4" type="noConversion"/>
  </si>
  <si>
    <t>명목값</t>
    <phoneticPr fontId="4" type="noConversion"/>
  </si>
  <si>
    <t>최소눈금</t>
    <phoneticPr fontId="4" type="noConversion"/>
  </si>
  <si>
    <t>평행도</t>
    <phoneticPr fontId="4" type="noConversion"/>
  </si>
  <si>
    <t>σ</t>
  </si>
  <si>
    <t>E</t>
  </si>
  <si>
    <t>N/mm2</t>
  </si>
  <si>
    <t>DUT 포아송비</t>
  </si>
  <si>
    <t>평균열팽창계수</t>
    <phoneticPr fontId="4" type="noConversion"/>
  </si>
  <si>
    <t>mm</t>
    <phoneticPr fontId="4" type="noConversion"/>
  </si>
  <si>
    <t>α_avr</t>
  </si>
  <si>
    <t>Δt</t>
  </si>
  <si>
    <t>Δα</t>
  </si>
  <si>
    <t>t_avr-20</t>
  </si>
  <si>
    <t>δt</t>
  </si>
  <si>
    <t>교정일자</t>
    <phoneticPr fontId="4" type="noConversion"/>
  </si>
  <si>
    <t>■ 측정기본정보</t>
    <phoneticPr fontId="4" type="noConversion"/>
  </si>
  <si>
    <t>단위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</si>
  <si>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</si>
  <si>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</si>
  <si>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</si>
  <si>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핀 게이지</t>
    <phoneticPr fontId="4" type="noConversion"/>
  </si>
  <si>
    <t>■ 반복 측정 결과</t>
    <phoneticPr fontId="4" type="noConversion"/>
  </si>
  <si>
    <t>평균값</t>
    <phoneticPr fontId="4" type="noConversion"/>
  </si>
  <si>
    <t>표준편차</t>
    <phoneticPr fontId="4" type="noConversion"/>
  </si>
  <si>
    <t>열팽창보정항</t>
    <phoneticPr fontId="4" type="noConversion"/>
  </si>
  <si>
    <t>탄성변형보정항</t>
    <phoneticPr fontId="4" type="noConversion"/>
  </si>
  <si>
    <t>원통형 게이지의 지름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</si>
  <si>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</si>
  <si>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</si>
  <si>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</si>
  <si>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C</t>
    <phoneticPr fontId="4" type="noConversion"/>
  </si>
  <si>
    <t>A</t>
    <phoneticPr fontId="4" type="noConversion"/>
  </si>
  <si>
    <t>■ 수학적 모델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</si>
  <si>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</si>
  <si>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</si>
  <si>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</si>
  <si>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</si>
  <si>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</si>
  <si>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</si>
  <si>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</si>
  <si>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</si>
  <si>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</si>
  <si>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cd</t>
    </r>
    <phoneticPr fontId="4" type="noConversion"/>
  </si>
  <si>
    <t>측정력에 의한 탄성변형에서 기인하는 보정값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</si>
  <si>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g</t>
    </r>
    <phoneticPr fontId="4" type="noConversion"/>
  </si>
  <si>
    <t>기하학적 효과에 의한 보정값 (표준 측장기의 평행도, 기대값=0)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</si>
  <si>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</si>
  <si>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</si>
  <si>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</si>
  <si>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</si>
  <si>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</si>
  <si>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</si>
  <si>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</si>
  <si>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</si>
  <si>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</si>
  <si>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</si>
  <si>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</si>
  <si>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</si>
  <si>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</si>
  <si>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</si>
  <si>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</si>
  <si>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</si>
  <si>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D</t>
    <phoneticPr fontId="4" type="noConversion"/>
  </si>
  <si>
    <t>Δt</t>
    <phoneticPr fontId="4" type="noConversion"/>
  </si>
  <si>
    <t>E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</si>
  <si>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</si>
  <si>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</si>
  <si>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</si>
  <si>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cd</t>
    </r>
    <phoneticPr fontId="4" type="noConversion"/>
  </si>
  <si>
    <t>H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</si>
  <si>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g</t>
    </r>
    <phoneticPr fontId="4" type="noConversion"/>
  </si>
  <si>
    <t>I</t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</si>
  <si>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</si>
  <si>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</si>
  <si>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</si>
  <si>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</si>
  <si>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</si>
  <si>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</si>
  <si>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</si>
  <si>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</si>
  <si>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</si>
  <si>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</si>
  <si>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s</t>
    <phoneticPr fontId="4" type="noConversion"/>
  </si>
  <si>
    <t>=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</si>
  <si>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</si>
  <si>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</si>
  <si>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</si>
  <si>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</si>
  <si>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</si>
  <si>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</si>
  <si>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t>B1. 추정값 :</t>
    <phoneticPr fontId="4" type="noConversion"/>
  </si>
  <si>
    <t>B2. 표준불확도 :</t>
    <phoneticPr fontId="4" type="noConversion"/>
  </si>
  <si>
    <t>U</t>
    <phoneticPr fontId="4" type="noConversion"/>
  </si>
  <si>
    <t>mm</t>
    <phoneticPr fontId="4" type="noConversion"/>
  </si>
  <si>
    <t>k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</si>
  <si>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</si>
  <si>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</si>
  <si>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</si>
  <si>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</si>
  <si>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</si>
  <si>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</si>
  <si>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</si>
  <si>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</si>
  <si>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</si>
  <si>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 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</si>
  <si>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</si>
  <si>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</si>
  <si>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</si>
  <si>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</si>
  <si>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</si>
  <si>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C3. 확률분포 :</t>
    <phoneticPr fontId="4" type="noConversion"/>
  </si>
  <si>
    <t>C4. 감도계수 :</t>
    <phoneticPr fontId="4" type="noConversion"/>
  </si>
  <si>
    <t>.</t>
    <phoneticPr fontId="4" type="noConversion"/>
  </si>
  <si>
    <t>℃×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</si>
  <si>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</si>
  <si>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</si>
  <si>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</si>
  <si>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</si>
  <si>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</si>
  <si>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</si>
  <si>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</si>
  <si>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</si>
  <si>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</si>
  <si>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</si>
  <si>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</si>
  <si>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</si>
  <si>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</si>
  <si>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</si>
  <si>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D3. 확률분포 :</t>
    <phoneticPr fontId="4" type="noConversion"/>
  </si>
  <si>
    <t>D4.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</si>
  <si>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</si>
  <si>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/℃·μm</t>
    <phoneticPr fontId="4" type="noConversion"/>
  </si>
  <si>
    <t>D5. 불확도 기여량 :</t>
    <phoneticPr fontId="4" type="noConversion"/>
  </si>
  <si>
    <t>｜</t>
    <phoneticPr fontId="4" type="noConversion"/>
  </si>
  <si>
    <t>/℃·μm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</si>
  <si>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</si>
  <si>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</si>
  <si>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</si>
  <si>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</si>
  <si>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</si>
  <si>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</si>
  <si>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</si>
  <si>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</si>
  <si>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E3. 확률분포 :</t>
    <phoneticPr fontId="4" type="noConversion"/>
  </si>
  <si>
    <t>E4. 감도계수 :</t>
    <phoneticPr fontId="4" type="noConversion"/>
  </si>
  <si>
    <t>℃·μm</t>
    <phoneticPr fontId="4" type="noConversion"/>
  </si>
  <si>
    <t>E5.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</si>
  <si>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</si>
  <si>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</si>
  <si>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</si>
  <si>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</si>
  <si>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F1. 추정값 :</t>
    <phoneticPr fontId="4" type="noConversion"/>
  </si>
  <si>
    <t>F2.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</si>
  <si>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</si>
  <si>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</si>
  <si>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</si>
  <si>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</si>
  <si>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</si>
  <si>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>. 측정력에 의한 탄성변형에 기인하는 보정값에 대한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</si>
  <si>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cd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</si>
  <si>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cd</t>
    </r>
    <r>
      <rPr>
        <sz val="10"/>
        <rFont val="Times New Roman"/>
        <family val="1"/>
      </rPr>
      <t>)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</si>
  <si>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</si>
  <si>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8. 기하학적 효과에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</si>
  <si>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g</t>
    </r>
    <r>
      <rPr>
        <b/>
        <sz val="10"/>
        <rFont val="Times New Roman"/>
        <family val="1"/>
      </rPr>
      <t>)</t>
    </r>
    <phoneticPr fontId="4" type="noConversion"/>
  </si>
  <si>
    <t>H1. 추정값 : 0</t>
    <phoneticPr fontId="4" type="noConversion"/>
  </si>
  <si>
    <t>H2. 표준불확도 :</t>
    <phoneticPr fontId="4" type="noConversion"/>
  </si>
  <si>
    <r>
      <t>※ 평행도 (</t>
    </r>
    <r>
      <rPr>
        <i/>
        <sz val="10"/>
        <rFont val="Times New Roman"/>
        <family val="1"/>
      </rPr>
      <t>P</t>
    </r>
    <r>
      <rPr>
        <sz val="10"/>
        <rFont val="맑은 고딕"/>
        <family val="3"/>
        <charset val="129"/>
        <scheme val="minor"/>
      </rPr>
      <t>) =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</si>
  <si>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g</t>
    </r>
    <r>
      <rPr>
        <sz val="10"/>
        <rFont val="Times New Roman"/>
        <family val="1"/>
      </rPr>
      <t>)</t>
    </r>
    <phoneticPr fontId="4" type="noConversion"/>
  </si>
  <si>
    <t>μm</t>
  </si>
  <si>
    <t>H3. 확률분포 :</t>
    <phoneticPr fontId="4" type="noConversion"/>
  </si>
  <si>
    <t>H4. 감도계수 :</t>
    <phoneticPr fontId="4" type="noConversion"/>
  </si>
  <si>
    <t>H5. 불확도 기여도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</si>
  <si>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</si>
  <si>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</si>
  <si>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</si>
  <si>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</si>
  <si>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</si>
  <si>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</si>
  <si>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=</t>
  </si>
  <si>
    <t>+</t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</si>
  <si>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</si>
  <si>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</si>
  <si>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</si>
  <si>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</si>
  <si>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</si>
  <si>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</si>
  <si>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</si>
  <si>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</si>
  <si>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Indication Value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</si>
  <si>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</si>
  <si>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</si>
  <si>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</si>
  <si>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</si>
  <si>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</si>
  <si>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</si>
  <si>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</si>
  <si>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</si>
  <si>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</si>
  <si>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</si>
  <si>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</si>
  <si>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U &amp; r</t>
  </si>
  <si>
    <t>1st</t>
    <phoneticPr fontId="4" type="noConversion"/>
  </si>
  <si>
    <t>2nd</t>
    <phoneticPr fontId="4" type="noConversion"/>
  </si>
  <si>
    <t>3rd</t>
    <phoneticPr fontId="4" type="noConversion"/>
  </si>
  <si>
    <t>측정항목</t>
    <phoneticPr fontId="4" type="noConversion"/>
  </si>
  <si>
    <t>측정면</t>
    <phoneticPr fontId="4" type="noConversion"/>
  </si>
  <si>
    <t>측정방향</t>
    <phoneticPr fontId="4" type="noConversion"/>
  </si>
  <si>
    <t>열팽창계수</t>
    <phoneticPr fontId="4" type="noConversion"/>
  </si>
  <si>
    <t>측정항목</t>
    <phoneticPr fontId="4" type="noConversion"/>
  </si>
  <si>
    <t>1회</t>
    <phoneticPr fontId="4" type="noConversion"/>
  </si>
  <si>
    <t>2회</t>
    <phoneticPr fontId="4" type="noConversion"/>
  </si>
  <si>
    <r>
      <t>V</t>
    </r>
    <r>
      <rPr>
        <b/>
        <vertAlign val="subscript"/>
        <sz val="9"/>
        <color indexed="9"/>
        <rFont val="맑은 고딕"/>
        <family val="3"/>
        <charset val="129"/>
        <scheme val="major"/>
      </rPr>
      <t>1</t>
    </r>
    <phoneticPr fontId="4" type="noConversion"/>
  </si>
  <si>
    <t>C면</t>
    <phoneticPr fontId="4" type="noConversion"/>
  </si>
  <si>
    <t>3. 불확도 계산</t>
    <phoneticPr fontId="4" type="noConversion"/>
  </si>
  <si>
    <t>직사각형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</si>
  <si>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</si>
  <si>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교정번호</t>
    <phoneticPr fontId="4" type="noConversion"/>
  </si>
  <si>
    <t>교정자</t>
    <phoneticPr fontId="4" type="noConversion"/>
  </si>
  <si>
    <t>기술책임자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</si>
  <si>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</si>
  <si>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</si>
  <si>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공차</t>
    <phoneticPr fontId="4" type="noConversion"/>
  </si>
  <si>
    <t>3회</t>
    <phoneticPr fontId="4" type="noConversion"/>
  </si>
  <si>
    <t>● 바깥지름 교정결과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</si>
  <si>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</si>
  <si>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</si>
  <si>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</si>
  <si>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</si>
  <si>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</si>
  <si>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기준기명</t>
    <phoneticPr fontId="4" type="noConversion"/>
  </si>
  <si>
    <t>최소범위</t>
    <phoneticPr fontId="4" type="noConversion"/>
  </si>
  <si>
    <t>최대범위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</si>
  <si>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</si>
  <si>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</si>
  <si>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</si>
  <si>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</si>
  <si>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Div.</t>
    <phoneticPr fontId="4" type="noConversion"/>
  </si>
  <si>
    <t>Res.</t>
    <phoneticPr fontId="4" type="noConversion"/>
  </si>
  <si>
    <t>기준기 포아송비</t>
    <phoneticPr fontId="4" type="noConversion"/>
  </si>
  <si>
    <r>
      <t>기준기 영률
N/mm</t>
    </r>
    <r>
      <rPr>
        <b/>
        <vertAlign val="superscript"/>
        <sz val="9"/>
        <color indexed="9"/>
        <rFont val="돋움"/>
        <family val="3"/>
        <charset val="129"/>
      </rPr>
      <t>2</t>
    </r>
    <phoneticPr fontId="4" type="noConversion"/>
  </si>
  <si>
    <t>DUT 포아송비</t>
    <phoneticPr fontId="4" type="noConversion"/>
  </si>
  <si>
    <t>DUT 영률
N/mm2</t>
    <phoneticPr fontId="4" type="noConversion"/>
  </si>
  <si>
    <t>측정력, P (N)</t>
    <phoneticPr fontId="4" type="noConversion"/>
  </si>
  <si>
    <t>외경, a (mm)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</si>
  <si>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</si>
  <si>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</si>
  <si>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</si>
  <si>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</si>
  <si>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</si>
  <si>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</si>
  <si>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측정항목</t>
    <phoneticPr fontId="4" type="noConversion"/>
  </si>
  <si>
    <t>측정면</t>
    <phoneticPr fontId="4" type="noConversion"/>
  </si>
  <si>
    <t>측정방향</t>
    <phoneticPr fontId="4" type="noConversion"/>
  </si>
  <si>
    <t>명목값</t>
    <phoneticPr fontId="4" type="noConversion"/>
  </si>
  <si>
    <t>단위</t>
    <phoneticPr fontId="4" type="noConversion"/>
  </si>
  <si>
    <t>표준편차</t>
    <phoneticPr fontId="4" type="noConversion"/>
  </si>
  <si>
    <t>지시값</t>
    <phoneticPr fontId="4" type="noConversion"/>
  </si>
  <si>
    <t>기준기보정값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</si>
  <si>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</si>
  <si>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</si>
  <si>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</si>
  <si>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기준기포아송비</t>
    <phoneticPr fontId="4" type="noConversion"/>
  </si>
  <si>
    <t>기준기영률</t>
    <phoneticPr fontId="4" type="noConversion"/>
  </si>
  <si>
    <t>DUT 영률</t>
    <phoneticPr fontId="4" type="noConversion"/>
  </si>
  <si>
    <t>탄성변형량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</si>
  <si>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</si>
  <si>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</si>
  <si>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</si>
  <si>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2회</t>
    <phoneticPr fontId="4" type="noConversion"/>
  </si>
  <si>
    <t>3회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</si>
  <si>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</si>
  <si>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</si>
  <si>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b</t>
    </r>
    <phoneticPr fontId="4" type="noConversion"/>
  </si>
  <si>
    <t>α_avr</t>
    <phoneticPr fontId="4" type="noConversion"/>
  </si>
  <si>
    <t>Δα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</si>
  <si>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</si>
  <si>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V</t>
    </r>
    <r>
      <rPr>
        <b/>
        <vertAlign val="subscript"/>
        <sz val="9"/>
        <color indexed="9"/>
        <rFont val="맑은 고딕"/>
        <family val="3"/>
        <charset val="129"/>
        <scheme val="major"/>
      </rPr>
      <t>2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</si>
  <si>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cd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</si>
  <si>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</si>
  <si>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</si>
  <si>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</si>
  <si>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</si>
  <si>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Pass/Fail</t>
    <phoneticPr fontId="4" type="noConversion"/>
  </si>
  <si>
    <t>불확도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</si>
  <si>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</si>
  <si>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</si>
  <si>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</si>
  <si>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</si>
  <si>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/℃</t>
    <phoneticPr fontId="4" type="noConversion"/>
  </si>
  <si>
    <t>℃</t>
    <phoneticPr fontId="4" type="noConversion"/>
  </si>
  <si>
    <t>N/mm2</t>
    <phoneticPr fontId="4" type="noConversion"/>
  </si>
  <si>
    <t>mm</t>
    <phoneticPr fontId="4" type="noConversion"/>
  </si>
  <si>
    <t>MAX</t>
    <phoneticPr fontId="4" type="noConversion"/>
  </si>
  <si>
    <t>통과측</t>
    <phoneticPr fontId="4" type="noConversion"/>
  </si>
  <si>
    <t>A면</t>
    <phoneticPr fontId="4" type="noConversion"/>
  </si>
  <si>
    <t>A면</t>
    <phoneticPr fontId="4" type="noConversion"/>
  </si>
  <si>
    <t>X방향</t>
    <phoneticPr fontId="4" type="noConversion"/>
  </si>
  <si>
    <t>Y방향</t>
    <phoneticPr fontId="4" type="noConversion"/>
  </si>
  <si>
    <t>Y방향</t>
    <phoneticPr fontId="4" type="noConversion"/>
  </si>
  <si>
    <t>B면</t>
    <phoneticPr fontId="4" type="noConversion"/>
  </si>
  <si>
    <t>X방향</t>
    <phoneticPr fontId="4" type="noConversion"/>
  </si>
  <si>
    <t>C면</t>
    <phoneticPr fontId="4" type="noConversion"/>
  </si>
  <si>
    <t>정지측</t>
    <phoneticPr fontId="4" type="noConversion"/>
  </si>
  <si>
    <t>X방향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</si>
  <si>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</si>
  <si>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</si>
  <si>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</si>
  <si>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</si>
  <si>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확률분포별 불확도기여량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</si>
  <si>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</si>
  <si>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</si>
  <si>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</si>
  <si>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감도계수</t>
    <phoneticPr fontId="4" type="noConversion"/>
  </si>
  <si>
    <t>불확도기여량</t>
    <phoneticPr fontId="4" type="noConversion"/>
  </si>
  <si>
    <t>기타</t>
    <phoneticPr fontId="4" type="noConversion"/>
  </si>
  <si>
    <t>기타</t>
    <phoneticPr fontId="4" type="noConversion"/>
  </si>
  <si>
    <t>A</t>
    <phoneticPr fontId="4" type="noConversion"/>
  </si>
  <si>
    <t>기준기지시값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</si>
  <si>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</si>
  <si>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μm</t>
    <phoneticPr fontId="4" type="noConversion"/>
  </si>
  <si>
    <t>t</t>
    <phoneticPr fontId="4" type="noConversion"/>
  </si>
  <si>
    <t>μm</t>
    <phoneticPr fontId="4" type="noConversion"/>
  </si>
  <si>
    <t>B</t>
    <phoneticPr fontId="4" type="noConversion"/>
  </si>
  <si>
    <t>기준기보정값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</si>
  <si>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b</t>
    </r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</si>
  <si>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</si>
  <si>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</si>
  <si>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</si>
  <si>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평균열팽창계수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</si>
  <si>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</si>
  <si>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</si>
  <si>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</si>
  <si>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D</t>
    <phoneticPr fontId="4" type="noConversion"/>
  </si>
  <si>
    <t>온도차</t>
    <phoneticPr fontId="4" type="noConversion"/>
  </si>
  <si>
    <t>℃</t>
    <phoneticPr fontId="4" type="noConversion"/>
  </si>
  <si>
    <t>/℃·μm</t>
    <phoneticPr fontId="4" type="noConversion"/>
  </si>
  <si>
    <t>열팽창계수차</t>
    <phoneticPr fontId="4" type="noConversion"/>
  </si>
  <si>
    <t>삼각형</t>
    <phoneticPr fontId="4" type="noConversion"/>
  </si>
  <si>
    <t>μm</t>
    <phoneticPr fontId="4" type="noConversion"/>
  </si>
  <si>
    <t>F</t>
    <phoneticPr fontId="4" type="noConversion"/>
  </si>
  <si>
    <t>℃</t>
    <phoneticPr fontId="4" type="noConversion"/>
  </si>
  <si>
    <t>직사각형</t>
    <phoneticPr fontId="4" type="noConversion"/>
  </si>
  <si>
    <t>/℃·μm</t>
    <phoneticPr fontId="4" type="noConversion"/>
  </si>
  <si>
    <t>G</t>
    <phoneticPr fontId="4" type="noConversion"/>
  </si>
  <si>
    <t>탄성변형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</si>
  <si>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cd</t>
    </r>
    <phoneticPr fontId="4" type="noConversion"/>
  </si>
  <si>
    <t>H</t>
    <phoneticPr fontId="4" type="noConversion"/>
  </si>
  <si>
    <t>평행도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</si>
  <si>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g</t>
    </r>
    <phoneticPr fontId="4" type="noConversion"/>
  </si>
  <si>
    <t>mm</t>
    <phoneticPr fontId="4" type="noConversion"/>
  </si>
  <si>
    <t>I</t>
    <phoneticPr fontId="4" type="noConversion"/>
  </si>
  <si>
    <t>합성표준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</si>
  <si>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</si>
  <si>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측정불확도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</si>
  <si>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</si>
  <si>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</si>
  <si>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</si>
  <si>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</si>
  <si>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</si>
  <si>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</si>
  <si>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</si>
  <si>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단위</t>
    <phoneticPr fontId="4" type="noConversion"/>
  </si>
  <si>
    <t>계산</t>
    <phoneticPr fontId="4" type="noConversion"/>
  </si>
  <si>
    <t>불확도</t>
    <phoneticPr fontId="4" type="noConversion"/>
  </si>
  <si>
    <t>성적서</t>
    <phoneticPr fontId="4" type="noConversion"/>
  </si>
  <si>
    <t>분해능</t>
    <phoneticPr fontId="4" type="noConversion"/>
  </si>
  <si>
    <t>성적서</t>
    <phoneticPr fontId="4" type="noConversion"/>
  </si>
  <si>
    <t>Rawdata</t>
    <phoneticPr fontId="4" type="noConversion"/>
  </si>
  <si>
    <t>측정불확도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</si>
  <si>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</si>
  <si>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</si>
  <si>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</si>
  <si>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</si>
  <si>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※ 직사각형 확률분포가 합성표준불확도에 미치는 영향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</si>
  <si>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</si>
  <si>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</si>
  <si>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</si>
  <si>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표준 측장기</t>
    <phoneticPr fontId="4" type="noConversion"/>
  </si>
  <si>
    <t>직사각형분포</t>
    <phoneticPr fontId="4" type="noConversion"/>
  </si>
  <si>
    <t>영향</t>
    <phoneticPr fontId="4" type="noConversion"/>
  </si>
  <si>
    <t>비율</t>
    <phoneticPr fontId="4" type="noConversion"/>
  </si>
  <si>
    <t>자리수</t>
    <phoneticPr fontId="4" type="noConversion"/>
  </si>
  <si>
    <t>Format</t>
    <phoneticPr fontId="4" type="noConversion"/>
  </si>
  <si>
    <t>Bench Micrometer</t>
    <phoneticPr fontId="4" type="noConversion"/>
  </si>
  <si>
    <t>벤치 마이크로미터</t>
    <phoneticPr fontId="4" type="noConversion"/>
  </si>
  <si>
    <t>번호</t>
    <phoneticPr fontId="4" type="noConversion"/>
  </si>
  <si>
    <t>크기순</t>
    <phoneticPr fontId="4" type="noConversion"/>
  </si>
  <si>
    <t>0</t>
    <phoneticPr fontId="4" type="noConversion"/>
  </si>
  <si>
    <t>Laser Scan Micrometer</t>
    <phoneticPr fontId="4" type="noConversion"/>
  </si>
  <si>
    <t>레이저 스캔 마이크로미터</t>
    <phoneticPr fontId="4" type="noConversion"/>
  </si>
  <si>
    <t>잔여 기여량</t>
    <phoneticPr fontId="4" type="noConversion"/>
  </si>
  <si>
    <t>0.0</t>
    <phoneticPr fontId="4" type="noConversion"/>
  </si>
  <si>
    <t>주 기여량</t>
    <phoneticPr fontId="4" type="noConversion"/>
  </si>
  <si>
    <t>0.00</t>
    <phoneticPr fontId="4" type="noConversion"/>
  </si>
  <si>
    <t>직사각형
분포 성분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</si>
  <si>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</si>
  <si>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</si>
  <si>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</si>
  <si>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0.000</t>
    <phoneticPr fontId="4" type="noConversion"/>
  </si>
  <si>
    <t>0.000 0</t>
    <phoneticPr fontId="4" type="noConversion"/>
  </si>
  <si>
    <t>확률분포</t>
    <phoneticPr fontId="4" type="noConversion"/>
  </si>
  <si>
    <t>0.000 00</t>
    <phoneticPr fontId="4" type="noConversion"/>
  </si>
  <si>
    <t>k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</si>
  <si>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</si>
  <si>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</si>
  <si>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</si>
  <si>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</si>
  <si>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</si>
  <si>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기본수수료</t>
    <phoneticPr fontId="4" type="noConversion"/>
  </si>
  <si>
    <t>추가수수료</t>
    <phoneticPr fontId="4" type="noConversion"/>
  </si>
  <si>
    <t>인치?</t>
    <phoneticPr fontId="4" type="noConversion"/>
  </si>
  <si>
    <t>※ 인치의 경우 기본수수료에서 80% 추가함.</t>
    <phoneticPr fontId="4" type="noConversion"/>
  </si>
  <si>
    <t>교정항목</t>
    <phoneticPr fontId="4" type="noConversion"/>
  </si>
  <si>
    <t>호칭치수</t>
    <phoneticPr fontId="4" type="noConversion"/>
  </si>
  <si>
    <t>측정값</t>
    <phoneticPr fontId="4" type="noConversion"/>
  </si>
  <si>
    <t>(mm)</t>
    <phoneticPr fontId="4" type="noConversion"/>
  </si>
  <si>
    <t>(μm)</t>
    <phoneticPr fontId="4" type="noConversion"/>
  </si>
  <si>
    <t>통과측</t>
    <phoneticPr fontId="4" type="noConversion"/>
  </si>
  <si>
    <t>X축</t>
    <phoneticPr fontId="4" type="noConversion"/>
  </si>
  <si>
    <t>B</t>
    <phoneticPr fontId="4" type="noConversion"/>
  </si>
  <si>
    <t>C</t>
    <phoneticPr fontId="4" type="noConversion"/>
  </si>
  <si>
    <t>Y축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</si>
  <si>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</si>
  <si>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</si>
  <si>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</si>
  <si>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정지측</t>
    <phoneticPr fontId="4" type="noConversion"/>
  </si>
  <si>
    <t>X축</t>
    <phoneticPr fontId="4" type="noConversion"/>
  </si>
  <si>
    <t>Y축</t>
    <phoneticPr fontId="4" type="noConversion"/>
  </si>
  <si>
    <t>● Outside diameter calibration results</t>
    <phoneticPr fontId="4" type="noConversion"/>
  </si>
  <si>
    <t>Calibration item</t>
    <phoneticPr fontId="4" type="noConversion"/>
  </si>
  <si>
    <t>Nominal value</t>
    <phoneticPr fontId="4" type="noConversion"/>
  </si>
  <si>
    <t>Calibraion value</t>
    <phoneticPr fontId="4" type="noConversion"/>
  </si>
  <si>
    <t>Measurement uncertainty</t>
    <phoneticPr fontId="4" type="noConversion"/>
  </si>
  <si>
    <t>Measurement direction</t>
    <phoneticPr fontId="4" type="noConversion"/>
  </si>
  <si>
    <t>X axis</t>
    <phoneticPr fontId="4" type="noConversion"/>
  </si>
  <si>
    <t>Y axis</t>
    <phoneticPr fontId="4" type="noConversion"/>
  </si>
  <si>
    <t>X axis</t>
    <phoneticPr fontId="4" type="noConversion"/>
  </si>
  <si>
    <t>Y axis</t>
    <phoneticPr fontId="4" type="noConversion"/>
  </si>
  <si>
    <t>Go</t>
    <phoneticPr fontId="4" type="noConversion"/>
  </si>
  <si>
    <t>Not go</t>
    <phoneticPr fontId="4" type="noConversion"/>
  </si>
  <si>
    <t>측정항목</t>
    <phoneticPr fontId="4" type="noConversion"/>
  </si>
  <si>
    <t>측정면</t>
    <phoneticPr fontId="4" type="noConversion"/>
  </si>
  <si>
    <t>측정방향</t>
    <phoneticPr fontId="4" type="noConversion"/>
  </si>
  <si>
    <t>통과측</t>
    <phoneticPr fontId="4" type="noConversion"/>
  </si>
  <si>
    <t>정지측</t>
    <phoneticPr fontId="4" type="noConversion"/>
  </si>
  <si>
    <t>A면</t>
    <phoneticPr fontId="4" type="noConversion"/>
  </si>
  <si>
    <t>B면</t>
    <phoneticPr fontId="4" type="noConversion"/>
  </si>
  <si>
    <t>C면</t>
    <phoneticPr fontId="4" type="noConversion"/>
  </si>
  <si>
    <t>X방향</t>
    <phoneticPr fontId="4" type="noConversion"/>
  </si>
  <si>
    <t>Y방향</t>
    <phoneticPr fontId="4" type="noConversion"/>
  </si>
  <si>
    <t>측정항목</t>
    <phoneticPr fontId="4" type="noConversion"/>
  </si>
  <si>
    <t>측정방향</t>
    <phoneticPr fontId="4" type="noConversion"/>
  </si>
  <si>
    <t>정지측</t>
    <phoneticPr fontId="4" type="noConversion"/>
  </si>
  <si>
    <t>X방향</t>
    <phoneticPr fontId="4" type="noConversion"/>
  </si>
  <si>
    <t>Y방향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</si>
  <si>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</si>
  <si>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</si>
  <si>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</si>
  <si>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C</t>
    <phoneticPr fontId="4" type="noConversion"/>
  </si>
  <si>
    <t>B</t>
    <phoneticPr fontId="4" type="noConversion"/>
  </si>
  <si>
    <t>A</t>
    <phoneticPr fontId="4" type="noConversion"/>
  </si>
  <si>
    <t>B</t>
    <phoneticPr fontId="4" type="noConversion"/>
  </si>
  <si>
    <t>열팽창보정</t>
    <phoneticPr fontId="4" type="noConversion"/>
  </si>
  <si>
    <t>Δl</t>
    <phoneticPr fontId="4" type="noConversion"/>
  </si>
  <si>
    <t>mm</t>
    <phoneticPr fontId="4" type="noConversion"/>
  </si>
  <si>
    <t>측정면</t>
    <phoneticPr fontId="4" type="noConversion"/>
  </si>
  <si>
    <t>공자</t>
    <phoneticPr fontId="4" type="noConversion"/>
  </si>
  <si>
    <t>3회</t>
    <phoneticPr fontId="4" type="noConversion"/>
  </si>
  <si>
    <t>통과측</t>
    <phoneticPr fontId="4" type="noConversion"/>
  </si>
  <si>
    <t>A면</t>
    <phoneticPr fontId="4" type="noConversion"/>
  </si>
  <si>
    <t>X방향</t>
    <phoneticPr fontId="4" type="noConversion"/>
  </si>
  <si>
    <t>A면</t>
    <phoneticPr fontId="4" type="noConversion"/>
  </si>
  <si>
    <t>Y방향</t>
    <phoneticPr fontId="4" type="noConversion"/>
  </si>
  <si>
    <t>B면</t>
    <phoneticPr fontId="4" type="noConversion"/>
  </si>
  <si>
    <t>X방향</t>
    <phoneticPr fontId="4" type="noConversion"/>
  </si>
  <si>
    <t>C면</t>
    <phoneticPr fontId="4" type="noConversion"/>
  </si>
  <si>
    <t>정지측</t>
    <phoneticPr fontId="4" type="noConversion"/>
  </si>
  <si>
    <t>통과측</t>
    <phoneticPr fontId="4" type="noConversion"/>
  </si>
  <si>
    <t>정지측</t>
    <phoneticPr fontId="4" type="noConversion"/>
  </si>
  <si>
    <t>Go</t>
    <phoneticPr fontId="4" type="noConversion"/>
  </si>
  <si>
    <t>Not go</t>
    <phoneticPr fontId="4" type="noConversion"/>
  </si>
  <si>
    <t>불확도표기</t>
    <phoneticPr fontId="4" type="noConversion"/>
  </si>
  <si>
    <t>단위포함</t>
    <phoneticPr fontId="4" type="noConversion"/>
  </si>
  <si>
    <t>μm</t>
    <phoneticPr fontId="4" type="noConversion"/>
  </si>
  <si>
    <t>mm</t>
    <phoneticPr fontId="4" type="noConversion"/>
  </si>
  <si>
    <t>추가</t>
    <phoneticPr fontId="4" type="noConversion"/>
  </si>
  <si>
    <t>mm마다</t>
    <phoneticPr fontId="4" type="noConversion"/>
  </si>
  <si>
    <t>mm 기준</t>
    <phoneticPr fontId="4" type="noConversion"/>
  </si>
  <si>
    <t>조건</t>
    <phoneticPr fontId="4" type="noConversion"/>
  </si>
  <si>
    <t>최대범위</t>
    <phoneticPr fontId="4" type="noConversion"/>
  </si>
  <si>
    <t>추가범위</t>
    <phoneticPr fontId="4" type="noConversion"/>
  </si>
  <si>
    <t>기본수수료</t>
    <phoneticPr fontId="4" type="noConversion"/>
  </si>
  <si>
    <t>소계</t>
    <phoneticPr fontId="4" type="noConversion"/>
  </si>
  <si>
    <t>합계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</si>
</sst>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\√\(0\)"/>
    <numFmt numFmtId="200" formatCode="0.0"/>
    <numFmt numFmtId="201" formatCode="0.00\ &quot;μm&quot;"/>
    <numFmt numFmtId="202" formatCode="0.000\ 00"/>
    <numFmt numFmtId="203" formatCode="0.000\ &quot;μm&quot;"/>
    <numFmt numFmtId="204" formatCode="_-* #,##0_-;\-* #,##0_-;_-* &quot;-&quot;??_-;_-@_-"/>
    <numFmt numFmtId="205" formatCode="0.00_);[Red]\(0.00\)"/>
    <numFmt numFmtId="206" formatCode="0.00000_ "/>
    <numFmt numFmtId="207" formatCode="0.0E+00"/>
    <numFmt numFmtId="208" formatCode="0.0000000_ "/>
    <numFmt numFmtId="209" formatCode="#0.0\ E+00"/>
    <numFmt numFmtId="210" formatCode="&quot;0&quot;.0#\ E+00"/>
    <numFmt numFmtId="211" formatCode="0.00_ "/>
    <numFmt numFmtId="212" formatCode="\(0.00\ &quot;μm&quot;\)"/>
    <numFmt numFmtId="213" formatCode="0.0\ \℃"/>
    <numFmt numFmtId="214" formatCode="0.000\ \℃"/>
    <numFmt numFmtId="215" formatCode="&quot;0.58 ℃×( -&quot;0.00"/>
    <numFmt numFmtId="216" formatCode="0.00\ \℃"/>
    <numFmt numFmtId="217" formatCode="0.000000"/>
    <numFmt numFmtId="218" formatCode="0_ "/>
  </numFmts>
  <fonts count="106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vertAlign val="superscript"/>
      <sz val="9"/>
      <color indexed="9"/>
      <name val="돋움"/>
      <family val="3"/>
      <charset val="129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맑은 고딕"/>
      <family val="3"/>
      <charset val="129"/>
      <scheme val="major"/>
    </font>
    <font>
      <i/>
      <vertAlign val="superscript"/>
      <sz val="10"/>
      <name val="Times New Roman"/>
      <family val="1"/>
    </font>
    <font>
      <b/>
      <sz val="10"/>
      <name val="맑은 고딕"/>
      <family val="1"/>
      <scheme val="major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5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17" fillId="22" borderId="59" applyNumberForma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5" fillId="7" borderId="59" applyNumberFormat="0" applyAlignment="0" applyProtection="0">
      <alignment vertical="center"/>
    </xf>
    <xf numFmtId="0" fontId="31" fillId="22" borderId="6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3" applyNumberFormat="0" applyBorder="0" applyAlignment="0" applyProtection="0"/>
    <xf numFmtId="0" fontId="17" fillId="22" borderId="64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25" fillId="7" borderId="64" applyNumberFormat="0" applyAlignment="0" applyProtection="0">
      <alignment vertical="center"/>
    </xf>
    <xf numFmtId="0" fontId="31" fillId="22" borderId="66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3" applyNumberFormat="0" applyBorder="0" applyAlignment="0" applyProtection="0"/>
    <xf numFmtId="0" fontId="17" fillId="22" borderId="64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25" fillId="7" borderId="64" applyNumberFormat="0" applyAlignment="0" applyProtection="0">
      <alignment vertical="center"/>
    </xf>
    <xf numFmtId="0" fontId="31" fillId="22" borderId="66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/>
    <xf numFmtId="42" fontId="3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39" xfId="79" applyNumberFormat="1" applyFont="1" applyFill="1" applyBorder="1" applyAlignment="1">
      <alignment horizontal="center" vertical="center"/>
    </xf>
    <xf numFmtId="0" fontId="60" fillId="31" borderId="39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3" xfId="0" applyNumberFormat="1" applyFont="1" applyBorder="1" applyAlignment="1">
      <alignment horizontal="center" vertical="center"/>
    </xf>
    <xf numFmtId="0" fontId="53" fillId="26" borderId="43" xfId="0" applyFont="1" applyFill="1" applyBorder="1" applyAlignment="1">
      <alignment horizontal="center" vertical="center" wrapText="1"/>
    </xf>
    <xf numFmtId="0" fontId="55" fillId="0" borderId="43" xfId="0" applyFont="1" applyBorder="1" applyAlignment="1">
      <alignment horizontal="center" vertical="center"/>
    </xf>
    <xf numFmtId="0" fontId="52" fillId="0" borderId="43" xfId="0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75" fillId="33" borderId="43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47" xfId="0" applyNumberFormat="1" applyFont="1" applyFill="1" applyBorder="1" applyAlignment="1">
      <alignment horizontal="center" vertical="center"/>
    </xf>
    <xf numFmtId="197" fontId="80" fillId="29" borderId="48" xfId="0" applyNumberFormat="1" applyFont="1" applyFill="1" applyBorder="1" applyAlignment="1">
      <alignment horizontal="center" vertical="center"/>
    </xf>
    <xf numFmtId="197" fontId="80" fillId="0" borderId="50" xfId="0" applyNumberFormat="1" applyFont="1" applyFill="1" applyBorder="1" applyAlignment="1">
      <alignment horizontal="center" vertical="center"/>
    </xf>
    <xf numFmtId="198" fontId="80" fillId="0" borderId="47" xfId="0" applyNumberFormat="1" applyFont="1" applyFill="1" applyBorder="1" applyAlignment="1">
      <alignment horizontal="center" vertical="center"/>
    </xf>
    <xf numFmtId="0" fontId="80" fillId="35" borderId="47" xfId="0" applyNumberFormat="1" applyFont="1" applyFill="1" applyBorder="1" applyAlignment="1">
      <alignment horizontal="center" vertical="center"/>
    </xf>
    <xf numFmtId="0" fontId="77" fillId="0" borderId="43" xfId="0" applyFont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0" fontId="80" fillId="35" borderId="49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4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20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88" fillId="0" borderId="0" xfId="0" applyFont="1" applyBorder="1" applyAlignment="1">
      <alignment vertical="center"/>
    </xf>
    <xf numFmtId="200" fontId="88" fillId="0" borderId="0" xfId="0" applyNumberFormat="1" applyFont="1" applyBorder="1" applyAlignment="1">
      <alignment vertical="center"/>
    </xf>
    <xf numFmtId="200" fontId="88" fillId="0" borderId="0" xfId="0" applyNumberFormat="1" applyFont="1" applyBorder="1" applyAlignment="1">
      <alignment vertical="center" shrinkToFit="1"/>
    </xf>
    <xf numFmtId="202" fontId="67" fillId="0" borderId="0" xfId="0" applyNumberFormat="1" applyFont="1" applyBorder="1" applyAlignment="1">
      <alignment vertical="center"/>
    </xf>
    <xf numFmtId="202" fontId="67" fillId="0" borderId="0" xfId="0" applyNumberFormat="1" applyFont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1" xfId="0" applyNumberFormat="1" applyFont="1" applyBorder="1" applyAlignment="1">
      <alignment vertical="center"/>
    </xf>
    <xf numFmtId="0" fontId="52" fillId="0" borderId="52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89" fillId="0" borderId="0" xfId="0" applyNumberFormat="1" applyFont="1" applyAlignment="1">
      <alignment vertical="center"/>
    </xf>
    <xf numFmtId="0" fontId="89" fillId="0" borderId="0" xfId="0" applyNumberFormat="1" applyFont="1" applyAlignment="1">
      <alignment horizontal="left" vertical="center" indent="1"/>
    </xf>
    <xf numFmtId="0" fontId="52" fillId="0" borderId="52" xfId="0" applyNumberFormat="1" applyFont="1" applyBorder="1" applyAlignment="1">
      <alignment horizontal="left" vertical="center"/>
    </xf>
    <xf numFmtId="0" fontId="80" fillId="0" borderId="49" xfId="0" applyNumberFormat="1" applyFont="1" applyFill="1" applyBorder="1" applyAlignment="1">
      <alignment horizontal="center" vertical="center"/>
    </xf>
    <xf numFmtId="41" fontId="52" fillId="0" borderId="43" xfId="86" applyFont="1" applyBorder="1" applyAlignment="1">
      <alignment horizontal="center" vertical="center"/>
    </xf>
    <xf numFmtId="0" fontId="75" fillId="33" borderId="43" xfId="0" applyFont="1" applyFill="1" applyBorder="1">
      <alignment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81" fillId="28" borderId="62" xfId="0" applyNumberFormat="1" applyFont="1" applyFill="1" applyBorder="1" applyAlignment="1">
      <alignment horizontal="center" vertical="center" wrapText="1"/>
    </xf>
    <xf numFmtId="0" fontId="80" fillId="0" borderId="62" xfId="0" applyNumberFormat="1" applyFont="1" applyFill="1" applyBorder="1" applyAlignment="1">
      <alignment horizontal="center" vertical="center"/>
    </xf>
    <xf numFmtId="0" fontId="90" fillId="0" borderId="62" xfId="0" applyNumberFormat="1" applyFont="1" applyFill="1" applyBorder="1" applyAlignment="1">
      <alignment horizontal="center" vertical="center"/>
    </xf>
    <xf numFmtId="192" fontId="80" fillId="0" borderId="62" xfId="0" applyNumberFormat="1" applyFont="1" applyFill="1" applyBorder="1" applyAlignment="1">
      <alignment horizontal="center" vertical="center"/>
    </xf>
    <xf numFmtId="0" fontId="92" fillId="0" borderId="0" xfId="0" applyFont="1" applyBorder="1">
      <alignment vertical="center"/>
    </xf>
    <xf numFmtId="0" fontId="52" fillId="0" borderId="0" xfId="0" applyFont="1" applyBorder="1" applyAlignment="1">
      <alignment vertical="center"/>
    </xf>
    <xf numFmtId="0" fontId="59" fillId="27" borderId="45" xfId="8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2" xfId="0" applyNumberFormat="1" applyFont="1" applyFill="1" applyBorder="1" applyAlignment="1">
      <alignment horizontal="center" vertical="center"/>
    </xf>
    <xf numFmtId="0" fontId="48" fillId="0" borderId="63" xfId="79" applyNumberFormat="1" applyFont="1" applyFill="1" applyBorder="1" applyAlignment="1">
      <alignment horizontal="center" vertical="center"/>
    </xf>
    <xf numFmtId="0" fontId="52" fillId="0" borderId="51" xfId="0" applyNumberFormat="1" applyFont="1" applyBorder="1" applyAlignment="1">
      <alignment horizontal="left" vertical="center"/>
    </xf>
    <xf numFmtId="0" fontId="85" fillId="0" borderId="0" xfId="0" applyFont="1" applyBorder="1">
      <alignment vertical="center"/>
    </xf>
    <xf numFmtId="0" fontId="94" fillId="0" borderId="0" xfId="0" applyFont="1" applyBorder="1" applyAlignment="1">
      <alignment vertical="center"/>
    </xf>
    <xf numFmtId="0" fontId="5" fillId="28" borderId="57" xfId="0" applyNumberFormat="1" applyFont="1" applyFill="1" applyBorder="1" applyAlignment="1">
      <alignment horizontal="center" vertical="center"/>
    </xf>
    <xf numFmtId="49" fontId="81" fillId="28" borderId="62" xfId="0" applyNumberFormat="1" applyFont="1" applyFill="1" applyBorder="1" applyAlignment="1">
      <alignment horizontal="center" vertical="center"/>
    </xf>
    <xf numFmtId="0" fontId="80" fillId="0" borderId="62" xfId="78" applyNumberFormat="1" applyFont="1" applyFill="1" applyBorder="1" applyAlignment="1">
      <alignment horizontal="center" vertical="center"/>
    </xf>
    <xf numFmtId="206" fontId="80" fillId="0" borderId="62" xfId="0" applyNumberFormat="1" applyFont="1" applyFill="1" applyBorder="1" applyAlignment="1">
      <alignment horizontal="center" vertical="center"/>
    </xf>
    <xf numFmtId="0" fontId="80" fillId="32" borderId="62" xfId="0" applyNumberFormat="1" applyFont="1" applyFill="1" applyBorder="1" applyAlignment="1">
      <alignment horizontal="center" vertical="center"/>
    </xf>
    <xf numFmtId="0" fontId="80" fillId="29" borderId="62" xfId="0" applyNumberFormat="1" applyFont="1" applyFill="1" applyBorder="1" applyAlignment="1">
      <alignment horizontal="center" vertical="center"/>
    </xf>
    <xf numFmtId="0" fontId="80" fillId="32" borderId="62" xfId="0" applyNumberFormat="1" applyFont="1" applyFill="1" applyBorder="1" applyAlignment="1">
      <alignment horizontal="center" vertical="center" wrapText="1"/>
    </xf>
    <xf numFmtId="0" fontId="80" fillId="0" borderId="62" xfId="0" applyNumberFormat="1" applyFont="1" applyFill="1" applyBorder="1" applyAlignment="1">
      <alignment horizontal="center" vertical="center" wrapText="1"/>
    </xf>
    <xf numFmtId="0" fontId="80" fillId="0" borderId="62" xfId="0" applyNumberFormat="1" applyFont="1" applyBorder="1" applyAlignment="1">
      <alignment horizontal="center" vertical="center"/>
    </xf>
    <xf numFmtId="205" fontId="80" fillId="0" borderId="62" xfId="0" applyNumberFormat="1" applyFont="1" applyFill="1" applyBorder="1" applyAlignment="1">
      <alignment horizontal="center" vertical="center"/>
    </xf>
    <xf numFmtId="2" fontId="80" fillId="29" borderId="62" xfId="0" applyNumberFormat="1" applyFont="1" applyFill="1" applyBorder="1" applyAlignment="1">
      <alignment horizontal="center" vertical="center"/>
    </xf>
    <xf numFmtId="200" fontId="80" fillId="0" borderId="62" xfId="0" applyNumberFormat="1" applyFont="1" applyFill="1" applyBorder="1" applyAlignment="1">
      <alignment horizontal="center" vertical="center"/>
    </xf>
    <xf numFmtId="194" fontId="80" fillId="0" borderId="62" xfId="0" applyNumberFormat="1" applyFont="1" applyFill="1" applyBorder="1" applyAlignment="1">
      <alignment horizontal="center" vertical="center"/>
    </xf>
    <xf numFmtId="199" fontId="80" fillId="0" borderId="62" xfId="0" applyNumberFormat="1" applyFont="1" applyFill="1" applyBorder="1" applyAlignment="1">
      <alignment horizontal="center" vertical="center"/>
    </xf>
    <xf numFmtId="194" fontId="80" fillId="32" borderId="62" xfId="0" applyNumberFormat="1" applyFont="1" applyFill="1" applyBorder="1" applyAlignment="1">
      <alignment horizontal="center" vertical="center"/>
    </xf>
    <xf numFmtId="0" fontId="80" fillId="36" borderId="62" xfId="0" applyNumberFormat="1" applyFont="1" applyFill="1" applyBorder="1" applyAlignment="1">
      <alignment horizontal="center" vertical="center"/>
    </xf>
    <xf numFmtId="0" fontId="80" fillId="0" borderId="62" xfId="0" applyNumberFormat="1" applyFont="1" applyFill="1" applyBorder="1" applyAlignment="1">
      <alignment horizontal="left" vertical="center"/>
    </xf>
    <xf numFmtId="49" fontId="80" fillId="0" borderId="62" xfId="0" applyNumberFormat="1" applyFont="1" applyFill="1" applyBorder="1" applyAlignment="1">
      <alignment horizontal="left" vertical="center"/>
    </xf>
    <xf numFmtId="0" fontId="7" fillId="28" borderId="57" xfId="0" applyNumberFormat="1" applyFont="1" applyFill="1" applyBorder="1" applyAlignment="1">
      <alignment horizontal="center" vertical="center"/>
    </xf>
    <xf numFmtId="0" fontId="1" fillId="0" borderId="62" xfId="78" applyNumberFormat="1" applyFont="1" applyFill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200" fontId="69" fillId="0" borderId="0" xfId="0" applyNumberFormat="1" applyFont="1" applyBorder="1" applyAlignment="1">
      <alignment vertical="center"/>
    </xf>
    <xf numFmtId="0" fontId="81" fillId="28" borderId="62" xfId="0" applyNumberFormat="1" applyFont="1" applyFill="1" applyBorder="1" applyAlignment="1">
      <alignment horizontal="center" vertical="center"/>
    </xf>
    <xf numFmtId="0" fontId="80" fillId="31" borderId="62" xfId="0" applyNumberFormat="1" applyFont="1" applyFill="1" applyBorder="1" applyAlignment="1">
      <alignment horizontal="center" vertical="center"/>
    </xf>
    <xf numFmtId="0" fontId="81" fillId="28" borderId="62" xfId="0" quotePrefix="1" applyNumberFormat="1" applyFont="1" applyFill="1" applyBorder="1" applyAlignment="1">
      <alignment horizontal="center" vertical="center" wrapText="1"/>
    </xf>
    <xf numFmtId="0" fontId="81" fillId="28" borderId="62" xfId="0" applyNumberFormat="1" applyFont="1" applyFill="1" applyBorder="1" applyAlignment="1">
      <alignment horizontal="center" vertical="center" shrinkToFit="1"/>
    </xf>
    <xf numFmtId="207" fontId="80" fillId="37" borderId="62" xfId="0" applyNumberFormat="1" applyFont="1" applyFill="1" applyBorder="1" applyAlignment="1">
      <alignment horizontal="center" vertical="center"/>
    </xf>
    <xf numFmtId="195" fontId="80" fillId="36" borderId="62" xfId="0" applyNumberFormat="1" applyFont="1" applyFill="1" applyBorder="1" applyAlignment="1">
      <alignment horizontal="center" vertical="center"/>
    </xf>
    <xf numFmtId="195" fontId="80" fillId="0" borderId="62" xfId="0" applyNumberFormat="1" applyFont="1" applyFill="1" applyBorder="1" applyAlignment="1">
      <alignment horizontal="center" vertical="center"/>
    </xf>
    <xf numFmtId="194" fontId="80" fillId="29" borderId="62" xfId="0" applyNumberFormat="1" applyFont="1" applyFill="1" applyBorder="1" applyAlignment="1">
      <alignment horizontal="center" vertical="center"/>
    </xf>
    <xf numFmtId="208" fontId="80" fillId="0" borderId="62" xfId="0" applyNumberFormat="1" applyFont="1" applyFill="1" applyBorder="1" applyAlignment="1">
      <alignment horizontal="center" vertical="center"/>
    </xf>
    <xf numFmtId="209" fontId="80" fillId="0" borderId="62" xfId="0" applyNumberFormat="1" applyFont="1" applyFill="1" applyBorder="1" applyAlignment="1">
      <alignment horizontal="center" vertical="center"/>
    </xf>
    <xf numFmtId="210" fontId="80" fillId="29" borderId="62" xfId="0" applyNumberFormat="1" applyFont="1" applyFill="1" applyBorder="1" applyAlignment="1">
      <alignment horizontal="center" vertical="center"/>
    </xf>
    <xf numFmtId="210" fontId="80" fillId="0" borderId="62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2" fontId="80" fillId="32" borderId="62" xfId="112" applyNumberFormat="1" applyFont="1" applyFill="1" applyBorder="1" applyAlignment="1">
      <alignment horizontal="center" vertical="center" wrapText="1"/>
    </xf>
    <xf numFmtId="0" fontId="80" fillId="32" borderId="57" xfId="0" applyNumberFormat="1" applyFont="1" applyFill="1" applyBorder="1" applyAlignment="1">
      <alignment horizontal="center" vertical="center" wrapText="1"/>
    </xf>
    <xf numFmtId="0" fontId="96" fillId="28" borderId="62" xfId="0" applyNumberFormat="1" applyFont="1" applyFill="1" applyBorder="1" applyAlignment="1">
      <alignment horizontal="center" vertical="center"/>
    </xf>
    <xf numFmtId="206" fontId="80" fillId="0" borderId="49" xfId="0" applyNumberFormat="1" applyFont="1" applyFill="1" applyBorder="1" applyAlignment="1">
      <alignment horizontal="center" vertical="center"/>
    </xf>
    <xf numFmtId="196" fontId="1" fillId="0" borderId="62" xfId="78" applyNumberFormat="1" applyFont="1" applyFill="1" applyBorder="1" applyAlignment="1">
      <alignment horizontal="center" vertical="center"/>
    </xf>
    <xf numFmtId="49" fontId="1" fillId="0" borderId="62" xfId="78" applyNumberFormat="1" applyFont="1" applyFill="1" applyBorder="1" applyAlignment="1">
      <alignment horizontal="center" vertical="center"/>
    </xf>
    <xf numFmtId="0" fontId="48" fillId="0" borderId="68" xfId="79" applyNumberFormat="1" applyFont="1" applyFill="1" applyBorder="1" applyAlignment="1">
      <alignment horizontal="right" vertical="center"/>
    </xf>
    <xf numFmtId="0" fontId="48" fillId="0" borderId="68" xfId="79" applyNumberFormat="1" applyFont="1" applyFill="1" applyBorder="1" applyAlignment="1">
      <alignment vertical="center"/>
    </xf>
    <xf numFmtId="0" fontId="48" fillId="0" borderId="68" xfId="79" applyNumberFormat="1" applyFont="1" applyFill="1" applyBorder="1" applyAlignment="1">
      <alignment horizontal="center" vertical="center"/>
    </xf>
    <xf numFmtId="0" fontId="50" fillId="0" borderId="68" xfId="80" applyNumberFormat="1" applyFont="1" applyFill="1" applyBorder="1" applyAlignment="1">
      <alignment horizontal="right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right" vertical="center"/>
    </xf>
    <xf numFmtId="0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209" fontId="80" fillId="29" borderId="62" xfId="0" applyNumberFormat="1" applyFont="1" applyFill="1" applyBorder="1" applyAlignment="1">
      <alignment horizontal="center" vertical="center"/>
    </xf>
    <xf numFmtId="0" fontId="67" fillId="0" borderId="68" xfId="0" applyFont="1" applyBorder="1">
      <alignment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12" fontId="67" fillId="0" borderId="0" xfId="0" applyNumberFormat="1" applyFont="1" applyBorder="1" applyAlignment="1">
      <alignment vertical="center"/>
    </xf>
    <xf numFmtId="0" fontId="67" fillId="0" borderId="68" xfId="0" applyNumberFormat="1" applyFont="1" applyBorder="1" applyAlignment="1">
      <alignment vertical="center"/>
    </xf>
    <xf numFmtId="213" fontId="67" fillId="0" borderId="68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15" fontId="67" fillId="0" borderId="0" xfId="0" applyNumberFormat="1" applyFont="1" applyBorder="1" applyAlignment="1"/>
    <xf numFmtId="0" fontId="67" fillId="0" borderId="0" xfId="0" applyNumberFormat="1" applyFont="1" applyBorder="1" applyAlignment="1"/>
    <xf numFmtId="0" fontId="67" fillId="0" borderId="68" xfId="0" applyNumberFormat="1" applyFont="1" applyBorder="1" applyAlignment="1">
      <alignment horizontal="center" vertical="center"/>
    </xf>
    <xf numFmtId="185" fontId="67" fillId="0" borderId="0" xfId="0" applyNumberFormat="1" applyFont="1" applyBorder="1" applyAlignment="1">
      <alignment vertical="center"/>
    </xf>
    <xf numFmtId="216" fontId="67" fillId="0" borderId="0" xfId="0" applyNumberFormat="1" applyFont="1" applyBorder="1" applyAlignment="1">
      <alignment vertical="center"/>
    </xf>
    <xf numFmtId="0" fontId="101" fillId="0" borderId="0" xfId="0" applyFont="1" applyBorder="1" applyAlignment="1">
      <alignment vertical="center"/>
    </xf>
    <xf numFmtId="0" fontId="85" fillId="0" borderId="0" xfId="0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203" fontId="67" fillId="0" borderId="0" xfId="0" applyNumberFormat="1" applyFont="1" applyBorder="1" applyAlignment="1">
      <alignment vertical="center" shrinkToFit="1"/>
    </xf>
    <xf numFmtId="0" fontId="67" fillId="0" borderId="39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horizontal="left" vertical="center"/>
    </xf>
    <xf numFmtId="194" fontId="80" fillId="31" borderId="62" xfId="0" applyNumberFormat="1" applyFont="1" applyFill="1" applyBorder="1" applyAlignment="1">
      <alignment horizontal="center" vertical="center"/>
    </xf>
    <xf numFmtId="0" fontId="48" fillId="0" borderId="68" xfId="79" applyNumberFormat="1" applyFont="1" applyFill="1" applyBorder="1" applyAlignment="1">
      <alignment horizontal="left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18" fontId="102" fillId="38" borderId="68" xfId="113" applyNumberFormat="1" applyFont="1" applyFill="1" applyBorder="1" applyAlignment="1">
      <alignment horizontal="center" vertical="center" wrapText="1"/>
    </xf>
    <xf numFmtId="49" fontId="60" fillId="38" borderId="68" xfId="79" applyNumberFormat="1" applyFont="1" applyFill="1" applyBorder="1" applyAlignment="1">
      <alignment horizontal="center" vertical="center" wrapText="1"/>
    </xf>
    <xf numFmtId="0" fontId="104" fillId="28" borderId="62" xfId="0" applyNumberFormat="1" applyFont="1" applyFill="1" applyBorder="1" applyAlignment="1">
      <alignment horizontal="center" vertical="center"/>
    </xf>
    <xf numFmtId="0" fontId="80" fillId="37" borderId="62" xfId="0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 wrapText="1"/>
    </xf>
    <xf numFmtId="189" fontId="81" fillId="28" borderId="62" xfId="0" applyNumberFormat="1" applyFont="1" applyFill="1" applyBorder="1" applyAlignment="1">
      <alignment horizontal="center" vertical="center" wrapText="1"/>
    </xf>
    <xf numFmtId="189" fontId="81" fillId="28" borderId="62" xfId="0" applyNumberFormat="1" applyFont="1" applyFill="1" applyBorder="1" applyAlignment="1">
      <alignment horizontal="center" vertical="center"/>
    </xf>
    <xf numFmtId="0" fontId="52" fillId="0" borderId="52" xfId="0" applyNumberFormat="1" applyFont="1" applyBorder="1" applyAlignment="1">
      <alignment horizontal="center" vertical="center"/>
    </xf>
    <xf numFmtId="188" fontId="80" fillId="0" borderId="62" xfId="0" applyNumberFormat="1" applyFont="1" applyFill="1" applyBorder="1" applyAlignment="1">
      <alignment horizontal="center" vertical="center"/>
    </xf>
    <xf numFmtId="0" fontId="84" fillId="35" borderId="73" xfId="78" applyNumberFormat="1" applyFont="1" applyFill="1" applyBorder="1" applyAlignment="1">
      <alignment horizontal="center" vertical="center"/>
    </xf>
    <xf numFmtId="188" fontId="80" fillId="0" borderId="49" xfId="0" applyNumberFormat="1" applyFont="1" applyFill="1" applyBorder="1" applyAlignment="1">
      <alignment horizontal="center" vertical="center"/>
    </xf>
    <xf numFmtId="2" fontId="80" fillId="0" borderId="49" xfId="0" applyNumberFormat="1" applyFont="1" applyFill="1" applyBorder="1" applyAlignment="1">
      <alignment horizontal="center" vertical="center"/>
    </xf>
    <xf numFmtId="188" fontId="80" fillId="0" borderId="47" xfId="0" applyNumberFormat="1" applyFont="1" applyFill="1" applyBorder="1" applyAlignment="1">
      <alignment horizontal="center" vertical="center"/>
    </xf>
    <xf numFmtId="0" fontId="81" fillId="28" borderId="73" xfId="0" applyNumberFormat="1" applyFont="1" applyFill="1" applyBorder="1" applyAlignment="1">
      <alignment horizontal="center" vertical="center"/>
    </xf>
    <xf numFmtId="0" fontId="48" fillId="0" borderId="76" xfId="79" applyNumberFormat="1" applyFont="1" applyFill="1" applyBorder="1" applyAlignment="1">
      <alignment horizontal="center" vertical="center"/>
    </xf>
    <xf numFmtId="49" fontId="74" fillId="0" borderId="0" xfId="82" applyNumberFormat="1" applyFont="1" applyFill="1" applyBorder="1" applyAlignment="1">
      <alignment vertical="center" wrapText="1"/>
    </xf>
    <xf numFmtId="0" fontId="48" fillId="0" borderId="77" xfId="79" applyNumberFormat="1" applyFont="1" applyFill="1" applyBorder="1" applyAlignment="1">
      <alignment horizontal="left" vertical="center"/>
    </xf>
    <xf numFmtId="0" fontId="48" fillId="0" borderId="77" xfId="79" applyNumberFormat="1" applyFont="1" applyFill="1" applyBorder="1" applyAlignment="1">
      <alignment vertical="center"/>
    </xf>
    <xf numFmtId="0" fontId="81" fillId="28" borderId="84" xfId="0" applyNumberFormat="1" applyFont="1" applyFill="1" applyBorder="1" applyAlignment="1">
      <alignment horizontal="center" vertical="center" wrapText="1"/>
    </xf>
    <xf numFmtId="0" fontId="81" fillId="28" borderId="84" xfId="0" applyNumberFormat="1" applyFont="1" applyFill="1" applyBorder="1" applyAlignment="1">
      <alignment horizontal="center" vertical="center"/>
    </xf>
    <xf numFmtId="0" fontId="105" fillId="35" borderId="73" xfId="78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8" fillId="0" borderId="44" xfId="79" applyNumberFormat="1" applyFont="1" applyFill="1" applyBorder="1" applyAlignment="1">
      <alignment horizontal="center" vertical="center"/>
    </xf>
    <xf numFmtId="0" fontId="48" fillId="0" borderId="45" xfId="79" applyNumberFormat="1" applyFont="1" applyFill="1" applyBorder="1" applyAlignment="1">
      <alignment horizontal="center" vertical="center"/>
    </xf>
    <xf numFmtId="0" fontId="48" fillId="0" borderId="74" xfId="79" applyNumberFormat="1" applyFont="1" applyFill="1" applyBorder="1" applyAlignment="1">
      <alignment horizontal="center" vertical="center"/>
    </xf>
    <xf numFmtId="0" fontId="48" fillId="0" borderId="75" xfId="79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17" xfId="79" applyNumberFormat="1" applyFont="1" applyFill="1" applyBorder="1" applyAlignment="1">
      <alignment horizontal="center" vertical="center"/>
    </xf>
    <xf numFmtId="0" fontId="48" fillId="0" borderId="76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center" vertical="center"/>
    </xf>
    <xf numFmtId="0" fontId="47" fillId="0" borderId="0" xfId="79" applyNumberFormat="1" applyFont="1" applyAlignment="1">
      <alignment horizontal="center" wrapText="1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/>
    </xf>
    <xf numFmtId="0" fontId="48" fillId="0" borderId="17" xfId="79" applyNumberFormat="1" applyFont="1" applyFill="1" applyBorder="1" applyAlignment="1">
      <alignment horizontal="center"/>
    </xf>
    <xf numFmtId="0" fontId="48" fillId="0" borderId="17" xfId="79" applyNumberFormat="1" applyFont="1" applyFill="1" applyBorder="1" applyAlignment="1">
      <alignment horizontal="center" vertical="top"/>
    </xf>
    <xf numFmtId="0" fontId="48" fillId="0" borderId="76" xfId="79" applyNumberFormat="1" applyFont="1" applyFill="1" applyBorder="1" applyAlignment="1">
      <alignment horizontal="center" vertical="top"/>
    </xf>
    <xf numFmtId="0" fontId="48" fillId="0" borderId="17" xfId="114" applyNumberFormat="1" applyFont="1" applyFill="1" applyBorder="1" applyAlignment="1">
      <alignment horizontal="center" vertical="top"/>
    </xf>
    <xf numFmtId="0" fontId="48" fillId="0" borderId="76" xfId="114" applyNumberFormat="1" applyFont="1" applyFill="1" applyBorder="1" applyAlignment="1">
      <alignment horizontal="center" vertical="top"/>
    </xf>
    <xf numFmtId="49" fontId="74" fillId="0" borderId="0" xfId="82" applyNumberFormat="1" applyFont="1" applyFill="1" applyBorder="1" applyAlignment="1">
      <alignment horizontal="center" vertical="center" wrapText="1"/>
    </xf>
    <xf numFmtId="0" fontId="48" fillId="0" borderId="53" xfId="79" applyNumberFormat="1" applyFont="1" applyFill="1" applyBorder="1" applyAlignment="1">
      <alignment horizontal="center" vertical="center" wrapText="1"/>
    </xf>
    <xf numFmtId="0" fontId="48" fillId="0" borderId="17" xfId="79" applyNumberFormat="1" applyFont="1" applyFill="1" applyBorder="1" applyAlignment="1">
      <alignment horizontal="center" vertical="center" wrapText="1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69" xfId="79" applyNumberFormat="1" applyFont="1" applyFill="1" applyBorder="1" applyAlignment="1">
      <alignment horizontal="center" vertical="center"/>
    </xf>
    <xf numFmtId="0" fontId="48" fillId="0" borderId="32" xfId="79" applyNumberFormat="1" applyFont="1" applyFill="1" applyBorder="1" applyAlignment="1">
      <alignment horizontal="center" vertical="center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68" xfId="79" applyNumberFormat="1" applyFont="1" applyFill="1" applyBorder="1" applyAlignment="1">
      <alignment horizontal="center" vertical="center"/>
    </xf>
    <xf numFmtId="218" fontId="60" fillId="38" borderId="0" xfId="0" applyNumberFormat="1" applyFont="1" applyFill="1" applyBorder="1" applyAlignment="1">
      <alignment horizontal="center" vertical="center" wrapText="1"/>
    </xf>
    <xf numFmtId="218" fontId="60" fillId="38" borderId="68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68" xfId="0" applyNumberFormat="1" applyFont="1" applyFill="1" applyBorder="1" applyAlignment="1">
      <alignment horizontal="center" vertical="center"/>
    </xf>
    <xf numFmtId="218" fontId="60" fillId="38" borderId="0" xfId="0" applyNumberFormat="1" applyFont="1" applyFill="1" applyAlignment="1">
      <alignment horizontal="center" vertical="center"/>
    </xf>
    <xf numFmtId="218" fontId="60" fillId="38" borderId="68" xfId="0" applyNumberFormat="1" applyFont="1" applyFill="1" applyBorder="1" applyAlignment="1">
      <alignment horizontal="center" vertical="center"/>
    </xf>
    <xf numFmtId="218" fontId="102" fillId="38" borderId="0" xfId="113" applyNumberFormat="1" applyFont="1" applyFill="1" applyBorder="1" applyAlignment="1">
      <alignment horizontal="center" vertical="center" wrapText="1"/>
    </xf>
    <xf numFmtId="218" fontId="102" fillId="38" borderId="68" xfId="113" applyNumberFormat="1" applyFont="1" applyFill="1" applyBorder="1" applyAlignment="1">
      <alignment horizontal="center" vertical="center" wrapText="1"/>
    </xf>
    <xf numFmtId="218" fontId="102" fillId="38" borderId="0" xfId="113" applyNumberFormat="1" applyFont="1" applyFill="1" applyBorder="1" applyAlignment="1">
      <alignment horizontal="center" vertical="center"/>
    </xf>
    <xf numFmtId="218" fontId="102" fillId="38" borderId="68" xfId="113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68" xfId="0" applyNumberFormat="1" applyFont="1" applyFill="1" applyBorder="1" applyAlignment="1">
      <alignment horizontal="center" vertical="center"/>
    </xf>
    <xf numFmtId="218" fontId="48" fillId="38" borderId="0" xfId="0" applyNumberFormat="1" applyFont="1" applyFill="1" applyBorder="1" applyAlignment="1">
      <alignment horizontal="center" vertical="center"/>
    </xf>
    <xf numFmtId="218" fontId="48" fillId="38" borderId="68" xfId="0" applyNumberFormat="1" applyFont="1" applyFill="1" applyBorder="1" applyAlignment="1">
      <alignment horizontal="center" vertical="center"/>
    </xf>
    <xf numFmtId="218" fontId="60" fillId="38" borderId="0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0" xfId="0" applyNumberFormat="1" applyFont="1" applyFill="1" applyBorder="1" applyAlignment="1">
      <alignment horizontal="center" vertical="center"/>
    </xf>
    <xf numFmtId="0" fontId="7" fillId="28" borderId="41" xfId="0" applyNumberFormat="1" applyFont="1" applyFill="1" applyBorder="1" applyAlignment="1">
      <alignment horizontal="center" vertical="center"/>
    </xf>
    <xf numFmtId="0" fontId="1" fillId="0" borderId="57" xfId="78" applyNumberFormat="1" applyFont="1" applyFill="1" applyBorder="1" applyAlignment="1">
      <alignment horizontal="center" vertical="center"/>
    </xf>
    <xf numFmtId="0" fontId="1" fillId="0" borderId="67" xfId="78" applyNumberFormat="1" applyFont="1" applyFill="1" applyBorder="1" applyAlignment="1">
      <alignment horizontal="center" vertical="center"/>
    </xf>
    <xf numFmtId="0" fontId="1" fillId="0" borderId="70" xfId="78" applyNumberFormat="1" applyFont="1" applyFill="1" applyBorder="1" applyAlignment="1">
      <alignment horizontal="center" vertical="center"/>
    </xf>
    <xf numFmtId="0" fontId="1" fillId="0" borderId="57" xfId="78" applyNumberFormat="1" applyFont="1" applyFill="1" applyBorder="1" applyAlignment="1">
      <alignment horizontal="center"/>
    </xf>
    <xf numFmtId="0" fontId="1" fillId="0" borderId="67" xfId="78" applyNumberFormat="1" applyFont="1" applyFill="1" applyBorder="1" applyAlignment="1">
      <alignment horizontal="center"/>
    </xf>
    <xf numFmtId="0" fontId="1" fillId="0" borderId="67" xfId="78" applyNumberFormat="1" applyFont="1" applyFill="1" applyBorder="1" applyAlignment="1">
      <alignment horizontal="center" vertical="top"/>
    </xf>
    <xf numFmtId="0" fontId="1" fillId="0" borderId="70" xfId="78" applyNumberFormat="1" applyFont="1" applyFill="1" applyBorder="1" applyAlignment="1">
      <alignment horizontal="center" vertical="top"/>
    </xf>
    <xf numFmtId="196" fontId="1" fillId="0" borderId="40" xfId="78" applyNumberFormat="1" applyFont="1" applyFill="1" applyBorder="1" applyAlignment="1">
      <alignment horizontal="center" vertical="center"/>
    </xf>
    <xf numFmtId="196" fontId="1" fillId="0" borderId="42" xfId="78" applyNumberFormat="1" applyFont="1" applyFill="1" applyBorder="1" applyAlignment="1">
      <alignment horizontal="center" vertical="center"/>
    </xf>
    <xf numFmtId="49" fontId="1" fillId="0" borderId="40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0" fontId="7" fillId="28" borderId="57" xfId="0" applyNumberFormat="1" applyFont="1" applyFill="1" applyBorder="1" applyAlignment="1">
      <alignment horizontal="center" vertical="center" wrapText="1"/>
    </xf>
    <xf numFmtId="0" fontId="7" fillId="28" borderId="67" xfId="0" applyNumberFormat="1" applyFont="1" applyFill="1" applyBorder="1" applyAlignment="1">
      <alignment horizontal="center" vertical="center" wrapText="1"/>
    </xf>
    <xf numFmtId="0" fontId="7" fillId="28" borderId="70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202" fontId="67" fillId="0" borderId="0" xfId="0" applyNumberFormat="1" applyFont="1" applyBorder="1" applyAlignment="1">
      <alignment horizontal="center" vertical="center"/>
    </xf>
    <xf numFmtId="194" fontId="67" fillId="0" borderId="68" xfId="0" applyNumberFormat="1" applyFont="1" applyBorder="1" applyAlignment="1">
      <alignment vertical="center"/>
    </xf>
    <xf numFmtId="0" fontId="67" fillId="0" borderId="39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right" vertical="center"/>
    </xf>
    <xf numFmtId="0" fontId="67" fillId="32" borderId="78" xfId="0" applyFont="1" applyFill="1" applyBorder="1" applyAlignment="1">
      <alignment horizontal="center" vertical="center" wrapText="1"/>
    </xf>
    <xf numFmtId="0" fontId="67" fillId="32" borderId="79" xfId="0" applyFont="1" applyFill="1" applyBorder="1" applyAlignment="1">
      <alignment horizontal="center" vertical="center" wrapText="1"/>
    </xf>
    <xf numFmtId="0" fontId="67" fillId="32" borderId="80" xfId="0" applyFont="1" applyFill="1" applyBorder="1" applyAlignment="1">
      <alignment horizontal="center" vertical="center" wrapText="1"/>
    </xf>
    <xf numFmtId="0" fontId="67" fillId="0" borderId="44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0" fontId="67" fillId="0" borderId="45" xfId="0" applyNumberFormat="1" applyFont="1" applyBorder="1" applyAlignment="1">
      <alignment horizontal="center" vertical="center"/>
    </xf>
    <xf numFmtId="0" fontId="67" fillId="0" borderId="69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32" xfId="0" applyNumberFormat="1" applyFont="1" applyBorder="1" applyAlignment="1">
      <alignment horizontal="center" vertical="center"/>
    </xf>
    <xf numFmtId="0" fontId="67" fillId="0" borderId="74" xfId="0" applyNumberFormat="1" applyFont="1" applyBorder="1" applyAlignment="1">
      <alignment horizontal="center" vertical="center"/>
    </xf>
    <xf numFmtId="0" fontId="67" fillId="0" borderId="77" xfId="0" applyNumberFormat="1" applyFont="1" applyBorder="1" applyAlignment="1">
      <alignment horizontal="center" vertical="center"/>
    </xf>
    <xf numFmtId="0" fontId="67" fillId="0" borderId="75" xfId="0" applyNumberFormat="1" applyFont="1" applyBorder="1" applyAlignment="1">
      <alignment horizontal="center" vertical="center"/>
    </xf>
    <xf numFmtId="0" fontId="67" fillId="0" borderId="44" xfId="0" applyNumberFormat="1" applyFont="1" applyBorder="1" applyAlignment="1">
      <alignment horizontal="center"/>
    </xf>
    <xf numFmtId="0" fontId="67" fillId="0" borderId="39" xfId="0" applyNumberFormat="1" applyFont="1" applyBorder="1" applyAlignment="1">
      <alignment horizontal="center"/>
    </xf>
    <xf numFmtId="0" fontId="67" fillId="0" borderId="45" xfId="0" applyNumberFormat="1" applyFont="1" applyBorder="1" applyAlignment="1">
      <alignment horizontal="center"/>
    </xf>
    <xf numFmtId="0" fontId="67" fillId="0" borderId="69" xfId="0" applyNumberFormat="1" applyFont="1" applyBorder="1" applyAlignment="1">
      <alignment horizontal="center"/>
    </xf>
    <xf numFmtId="0" fontId="67" fillId="0" borderId="0" xfId="0" applyNumberFormat="1" applyFont="1" applyBorder="1" applyAlignment="1">
      <alignment horizontal="center"/>
    </xf>
    <xf numFmtId="0" fontId="67" fillId="0" borderId="32" xfId="0" applyNumberFormat="1" applyFont="1" applyBorder="1" applyAlignment="1">
      <alignment horizontal="center"/>
    </xf>
    <xf numFmtId="0" fontId="67" fillId="0" borderId="69" xfId="0" applyNumberFormat="1" applyFont="1" applyBorder="1" applyAlignment="1">
      <alignment horizontal="center" vertical="top"/>
    </xf>
    <xf numFmtId="0" fontId="67" fillId="0" borderId="0" xfId="0" applyNumberFormat="1" applyFont="1" applyBorder="1" applyAlignment="1">
      <alignment horizontal="center" vertical="top"/>
    </xf>
    <xf numFmtId="0" fontId="67" fillId="0" borderId="32" xfId="0" applyNumberFormat="1" applyFont="1" applyBorder="1" applyAlignment="1">
      <alignment horizontal="center" vertical="top"/>
    </xf>
    <xf numFmtId="0" fontId="67" fillId="0" borderId="74" xfId="0" applyNumberFormat="1" applyFont="1" applyBorder="1" applyAlignment="1">
      <alignment horizontal="center" vertical="top"/>
    </xf>
    <xf numFmtId="0" fontId="67" fillId="0" borderId="77" xfId="0" applyNumberFormat="1" applyFont="1" applyBorder="1" applyAlignment="1">
      <alignment horizontal="center" vertical="top"/>
    </xf>
    <xf numFmtId="0" fontId="67" fillId="0" borderId="75" xfId="0" applyNumberFormat="1" applyFont="1" applyBorder="1" applyAlignment="1">
      <alignment horizontal="center" vertical="top"/>
    </xf>
    <xf numFmtId="0" fontId="67" fillId="0" borderId="0" xfId="0" applyFont="1" applyBorder="1" applyAlignment="1">
      <alignment horizontal="left" vertical="center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45" xfId="0" applyFont="1" applyFill="1" applyBorder="1" applyAlignment="1">
      <alignment horizontal="center" vertical="center" wrapText="1"/>
    </xf>
    <xf numFmtId="0" fontId="67" fillId="32" borderId="69" xfId="0" applyFont="1" applyFill="1" applyBorder="1" applyAlignment="1">
      <alignment horizontal="center" vertical="center" wrapText="1"/>
    </xf>
    <xf numFmtId="0" fontId="67" fillId="32" borderId="0" xfId="0" applyFont="1" applyFill="1" applyBorder="1" applyAlignment="1">
      <alignment horizontal="center" vertical="center" wrapText="1"/>
    </xf>
    <xf numFmtId="0" fontId="67" fillId="32" borderId="32" xfId="0" applyFont="1" applyFill="1" applyBorder="1" applyAlignment="1">
      <alignment horizontal="center" vertical="center" wrapText="1"/>
    </xf>
    <xf numFmtId="0" fontId="67" fillId="32" borderId="74" xfId="0" applyFont="1" applyFill="1" applyBorder="1" applyAlignment="1">
      <alignment horizontal="center" vertical="center" wrapText="1"/>
    </xf>
    <xf numFmtId="0" fontId="67" fillId="32" borderId="77" xfId="0" applyFont="1" applyFill="1" applyBorder="1" applyAlignment="1">
      <alignment horizontal="center" vertical="center" wrapText="1"/>
    </xf>
    <xf numFmtId="0" fontId="67" fillId="32" borderId="75" xfId="0" applyFont="1" applyFill="1" applyBorder="1" applyAlignment="1">
      <alignment horizontal="center" vertical="center" wrapText="1"/>
    </xf>
    <xf numFmtId="194" fontId="67" fillId="0" borderId="68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01" fontId="52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200" fontId="67" fillId="0" borderId="0" xfId="0" applyNumberFormat="1" applyFont="1" applyBorder="1" applyAlignment="1">
      <alignment horizontal="center" vertical="center"/>
    </xf>
    <xf numFmtId="0" fontId="67" fillId="0" borderId="68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14" fontId="67" fillId="0" borderId="0" xfId="0" applyNumberFormat="1" applyFont="1" applyBorder="1" applyAlignment="1">
      <alignment horizontal="center" vertical="center"/>
    </xf>
    <xf numFmtId="217" fontId="67" fillId="0" borderId="0" xfId="0" applyNumberFormat="1" applyFont="1" applyBorder="1" applyAlignment="1">
      <alignment vertical="center"/>
    </xf>
    <xf numFmtId="200" fontId="69" fillId="0" borderId="0" xfId="0" applyNumberFormat="1" applyFont="1" applyBorder="1" applyAlignment="1">
      <alignment horizontal="center" vertical="center"/>
    </xf>
    <xf numFmtId="201" fontId="65" fillId="0" borderId="68" xfId="0" applyNumberFormat="1" applyFont="1" applyBorder="1" applyAlignment="1">
      <alignment horizontal="center" vertical="center"/>
    </xf>
    <xf numFmtId="201" fontId="67" fillId="0" borderId="68" xfId="0" applyNumberFormat="1" applyFont="1" applyBorder="1" applyAlignment="1">
      <alignment horizontal="center" vertical="center"/>
    </xf>
    <xf numFmtId="185" fontId="67" fillId="0" borderId="0" xfId="0" applyNumberFormat="1" applyFont="1" applyBorder="1" applyAlignment="1">
      <alignment horizontal="left" vertical="center"/>
    </xf>
    <xf numFmtId="0" fontId="69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horizontal="center" vertical="center" shrinkToFit="1"/>
    </xf>
    <xf numFmtId="194" fontId="67" fillId="0" borderId="0" xfId="0" applyNumberFormat="1" applyFont="1" applyBorder="1" applyAlignment="1">
      <alignment vertical="center" shrinkToFit="1"/>
    </xf>
    <xf numFmtId="0" fontId="67" fillId="0" borderId="68" xfId="0" applyFont="1" applyBorder="1" applyAlignment="1">
      <alignment horizontal="center"/>
    </xf>
    <xf numFmtId="0" fontId="67" fillId="0" borderId="68" xfId="0" applyFont="1" applyBorder="1" applyAlignment="1">
      <alignment horizontal="right" vertical="center"/>
    </xf>
    <xf numFmtId="0" fontId="67" fillId="0" borderId="68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5" fillId="0" borderId="68" xfId="0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193" fontId="67" fillId="0" borderId="68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191" fontId="67" fillId="0" borderId="55" xfId="0" applyNumberFormat="1" applyFont="1" applyBorder="1" applyAlignment="1">
      <alignment vertical="center"/>
    </xf>
    <xf numFmtId="191" fontId="67" fillId="0" borderId="52" xfId="0" applyNumberFormat="1" applyFont="1" applyBorder="1" applyAlignment="1">
      <alignment vertical="center"/>
    </xf>
    <xf numFmtId="0" fontId="67" fillId="0" borderId="43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5" fillId="0" borderId="52" xfId="0" applyFont="1" applyBorder="1" applyAlignment="1">
      <alignment horizontal="center" vertical="center"/>
    </xf>
    <xf numFmtId="0" fontId="67" fillId="0" borderId="51" xfId="0" applyNumberFormat="1" applyFont="1" applyBorder="1" applyAlignment="1">
      <alignment horizontal="right" vertical="center"/>
    </xf>
    <xf numFmtId="0" fontId="67" fillId="0" borderId="55" xfId="0" applyNumberFormat="1" applyFont="1" applyBorder="1" applyAlignment="1">
      <alignment horizontal="right" vertical="center"/>
    </xf>
    <xf numFmtId="0" fontId="67" fillId="0" borderId="55" xfId="0" applyNumberFormat="1" applyFont="1" applyBorder="1" applyAlignment="1">
      <alignment vertical="center"/>
    </xf>
    <xf numFmtId="0" fontId="67" fillId="0" borderId="52" xfId="0" applyNumberFormat="1" applyFont="1" applyBorder="1" applyAlignment="1">
      <alignment vertical="center"/>
    </xf>
    <xf numFmtId="0" fontId="67" fillId="0" borderId="51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194" fontId="67" fillId="0" borderId="51" xfId="0" applyNumberFormat="1" applyFont="1" applyBorder="1" applyAlignment="1">
      <alignment vertical="center"/>
    </xf>
    <xf numFmtId="194" fontId="67" fillId="0" borderId="55" xfId="0" applyNumberFormat="1" applyFont="1" applyBorder="1" applyAlignment="1">
      <alignment vertical="center"/>
    </xf>
    <xf numFmtId="0" fontId="67" fillId="0" borderId="51" xfId="0" applyNumberFormat="1" applyFont="1" applyBorder="1" applyAlignment="1">
      <alignment vertical="center"/>
    </xf>
    <xf numFmtId="0" fontId="67" fillId="0" borderId="55" xfId="0" applyFont="1" applyBorder="1" applyAlignment="1">
      <alignment horizontal="left" vertical="center"/>
    </xf>
    <xf numFmtId="0" fontId="67" fillId="0" borderId="52" xfId="0" applyFont="1" applyBorder="1" applyAlignment="1">
      <alignment horizontal="left" vertical="center"/>
    </xf>
    <xf numFmtId="0" fontId="67" fillId="0" borderId="44" xfId="0" applyFont="1" applyBorder="1" applyAlignment="1">
      <alignment horizontal="center" vertical="center"/>
    </xf>
    <xf numFmtId="0" fontId="67" fillId="0" borderId="45" xfId="0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0" fontId="69" fillId="0" borderId="54" xfId="0" applyFont="1" applyBorder="1" applyAlignment="1">
      <alignment horizontal="center" vertical="center"/>
    </xf>
    <xf numFmtId="0" fontId="69" fillId="0" borderId="36" xfId="0" applyFont="1" applyBorder="1" applyAlignment="1">
      <alignment horizontal="center" vertical="center"/>
    </xf>
    <xf numFmtId="0" fontId="69" fillId="0" borderId="68" xfId="0" applyFont="1" applyBorder="1" applyAlignment="1">
      <alignment horizontal="center" vertical="center"/>
    </xf>
    <xf numFmtId="0" fontId="69" fillId="0" borderId="46" xfId="0" applyFont="1" applyBorder="1" applyAlignment="1">
      <alignment horizontal="center" vertical="center"/>
    </xf>
    <xf numFmtId="0" fontId="67" fillId="0" borderId="69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6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65" fillId="0" borderId="36" xfId="0" applyFont="1" applyBorder="1" applyAlignment="1">
      <alignment horizontal="center" vertical="center"/>
    </xf>
    <xf numFmtId="0" fontId="65" fillId="0" borderId="46" xfId="0" applyFont="1" applyBorder="1" applyAlignment="1">
      <alignment horizontal="center" vertical="center"/>
    </xf>
    <xf numFmtId="0" fontId="67" fillId="0" borderId="78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67" fillId="0" borderId="80" xfId="0" applyNumberFormat="1" applyFont="1" applyBorder="1" applyAlignment="1">
      <alignment horizontal="center" vertical="center"/>
    </xf>
    <xf numFmtId="0" fontId="67" fillId="32" borderId="55" xfId="0" applyFont="1" applyFill="1" applyBorder="1" applyAlignment="1">
      <alignment horizontal="center" vertical="center" wrapText="1"/>
    </xf>
    <xf numFmtId="0" fontId="52" fillId="32" borderId="43" xfId="0" applyNumberFormat="1" applyFont="1" applyFill="1" applyBorder="1" applyAlignment="1">
      <alignment horizontal="center" vertical="center" shrinkToFit="1"/>
    </xf>
    <xf numFmtId="0" fontId="52" fillId="32" borderId="43" xfId="0" applyNumberFormat="1" applyFont="1" applyFill="1" applyBorder="1" applyAlignment="1">
      <alignment horizontal="center" vertical="center"/>
    </xf>
    <xf numFmtId="0" fontId="67" fillId="0" borderId="43" xfId="0" applyNumberFormat="1" applyFont="1" applyBorder="1" applyAlignment="1">
      <alignment horizontal="center" vertical="center" shrinkToFit="1"/>
    </xf>
    <xf numFmtId="0" fontId="52" fillId="29" borderId="43" xfId="0" applyNumberFormat="1" applyFont="1" applyFill="1" applyBorder="1" applyAlignment="1">
      <alignment horizontal="center" vertical="center"/>
    </xf>
    <xf numFmtId="0" fontId="81" fillId="28" borderId="40" xfId="0" applyNumberFormat="1" applyFont="1" applyFill="1" applyBorder="1" applyAlignment="1">
      <alignment horizontal="center" vertical="center"/>
    </xf>
    <xf numFmtId="0" fontId="81" fillId="28" borderId="42" xfId="0" applyNumberFormat="1" applyFont="1" applyFill="1" applyBorder="1" applyAlignment="1">
      <alignment horizontal="center" vertical="center"/>
    </xf>
    <xf numFmtId="0" fontId="81" fillId="28" borderId="40" xfId="0" applyNumberFormat="1" applyFont="1" applyFill="1" applyBorder="1" applyAlignment="1">
      <alignment horizontal="center" vertical="center" wrapText="1"/>
    </xf>
    <xf numFmtId="0" fontId="81" fillId="28" borderId="41" xfId="0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 wrapText="1"/>
    </xf>
    <xf numFmtId="0" fontId="81" fillId="28" borderId="57" xfId="0" applyNumberFormat="1" applyFont="1" applyFill="1" applyBorder="1" applyAlignment="1">
      <alignment horizontal="center" vertical="center" wrapText="1"/>
    </xf>
    <xf numFmtId="0" fontId="81" fillId="28" borderId="73" xfId="0" applyNumberFormat="1" applyFont="1" applyFill="1" applyBorder="1" applyAlignment="1">
      <alignment horizontal="center" vertical="center" wrapText="1"/>
    </xf>
    <xf numFmtId="0" fontId="81" fillId="28" borderId="81" xfId="0" applyNumberFormat="1" applyFont="1" applyFill="1" applyBorder="1" applyAlignment="1">
      <alignment horizontal="center" vertical="center" wrapText="1"/>
    </xf>
    <xf numFmtId="0" fontId="81" fillId="28" borderId="82" xfId="0" applyNumberFormat="1" applyFont="1" applyFill="1" applyBorder="1" applyAlignment="1">
      <alignment horizontal="center" vertical="center" wrapText="1"/>
    </xf>
    <xf numFmtId="0" fontId="81" fillId="28" borderId="83" xfId="0" applyNumberFormat="1" applyFont="1" applyFill="1" applyBorder="1" applyAlignment="1">
      <alignment horizontal="center" vertical="center" wrapText="1"/>
    </xf>
    <xf numFmtId="204" fontId="52" fillId="0" borderId="17" xfId="86" applyNumberFormat="1" applyFont="1" applyBorder="1" applyAlignment="1">
      <alignment horizontal="center" vertical="center"/>
    </xf>
    <xf numFmtId="188" fontId="80" fillId="0" borderId="62" xfId="0" applyNumberFormat="1" applyFont="1" applyFill="1" applyBorder="1" applyAlignment="1">
      <alignment horizontal="center" vertical="center"/>
    </xf>
    <xf numFmtId="211" fontId="80" fillId="32" borderId="57" xfId="112" applyNumberFormat="1" applyFont="1" applyFill="1" applyBorder="1" applyAlignment="1">
      <alignment horizontal="center" vertical="center" wrapText="1"/>
    </xf>
    <xf numFmtId="211" fontId="80" fillId="32" borderId="73" xfId="112" applyNumberFormat="1" applyFont="1" applyFill="1" applyBorder="1" applyAlignment="1">
      <alignment horizontal="center" vertical="center" wrapText="1"/>
    </xf>
    <xf numFmtId="192" fontId="80" fillId="0" borderId="40" xfId="0" applyNumberFormat="1" applyFont="1" applyFill="1" applyBorder="1" applyAlignment="1">
      <alignment horizontal="center" vertical="center"/>
    </xf>
    <xf numFmtId="192" fontId="80" fillId="0" borderId="41" xfId="0" applyNumberFormat="1" applyFont="1" applyFill="1" applyBorder="1" applyAlignment="1">
      <alignment horizontal="center" vertical="center"/>
    </xf>
    <xf numFmtId="192" fontId="80" fillId="0" borderId="42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189" fontId="81" fillId="28" borderId="40" xfId="0" applyNumberFormat="1" applyFont="1" applyFill="1" applyBorder="1" applyAlignment="1">
      <alignment horizontal="center" vertical="center" wrapText="1"/>
    </xf>
    <xf numFmtId="189" fontId="81" fillId="28" borderId="42" xfId="0" applyNumberFormat="1" applyFont="1" applyFill="1" applyBorder="1" applyAlignment="1">
      <alignment horizontal="center" vertical="center" wrapText="1"/>
    </xf>
    <xf numFmtId="189" fontId="81" fillId="28" borderId="62" xfId="0" applyNumberFormat="1" applyFont="1" applyFill="1" applyBorder="1" applyAlignment="1">
      <alignment horizontal="center" vertical="center" wrapText="1"/>
    </xf>
    <xf numFmtId="189" fontId="81" fillId="28" borderId="62" xfId="0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/>
    </xf>
    <xf numFmtId="0" fontId="81" fillId="28" borderId="73" xfId="0" applyNumberFormat="1" applyFont="1" applyFill="1" applyBorder="1" applyAlignment="1">
      <alignment horizontal="center" vertical="center"/>
    </xf>
    <xf numFmtId="0" fontId="81" fillId="28" borderId="71" xfId="0" applyNumberFormat="1" applyFont="1" applyFill="1" applyBorder="1" applyAlignment="1">
      <alignment horizontal="center" vertical="center" wrapText="1"/>
    </xf>
    <xf numFmtId="0" fontId="81" fillId="28" borderId="41" xfId="0" applyNumberFormat="1" applyFont="1" applyFill="1" applyBorder="1" applyAlignment="1">
      <alignment horizontal="center" vertical="center"/>
    </xf>
    <xf numFmtId="0" fontId="80" fillId="0" borderId="57" xfId="78" applyNumberFormat="1" applyFont="1" applyFill="1" applyBorder="1" applyAlignment="1">
      <alignment horizontal="center" vertical="center"/>
    </xf>
    <xf numFmtId="0" fontId="80" fillId="0" borderId="67" xfId="78" applyNumberFormat="1" applyFont="1" applyFill="1" applyBorder="1" applyAlignment="1">
      <alignment horizontal="center" vertical="center"/>
    </xf>
    <xf numFmtId="0" fontId="80" fillId="0" borderId="73" xfId="78" applyNumberFormat="1" applyFont="1" applyFill="1" applyBorder="1" applyAlignment="1">
      <alignment horizontal="center" vertical="center"/>
    </xf>
    <xf numFmtId="0" fontId="52" fillId="0" borderId="85" xfId="86" applyNumberFormat="1" applyFont="1" applyBorder="1" applyAlignment="1">
      <alignment horizontal="center" vertical="center" wrapText="1"/>
    </xf>
    <xf numFmtId="0" fontId="52" fillId="29" borderId="17" xfId="86" applyNumberFormat="1" applyFont="1" applyFill="1" applyBorder="1" applyAlignment="1">
      <alignment horizontal="center" vertical="center" wrapText="1"/>
    </xf>
    <xf numFmtId="0" fontId="52" fillId="0" borderId="17" xfId="86" applyNumberFormat="1" applyFont="1" applyBorder="1" applyAlignment="1">
      <alignment horizontal="center" vertical="center" wrapText="1"/>
    </xf>
    <xf numFmtId="9" fontId="52" fillId="29" borderId="17" xfId="112" applyFont="1" applyFill="1" applyBorder="1" applyAlignment="1">
      <alignment horizontal="center" vertical="center" wrapText="1"/>
    </xf>
    <xf numFmtId="0" fontId="52" fillId="0" borderId="86" xfId="86" applyNumberFormat="1" applyFont="1" applyBorder="1" applyAlignment="1">
      <alignment horizontal="center" vertical="center" wrapText="1"/>
    </xf>
    <xf numFmtId="0" fontId="52" fillId="29" borderId="78" xfId="0" applyNumberFormat="1" applyFont="1" applyFill="1" applyBorder="1" applyAlignment="1">
      <alignment vertical="center"/>
    </xf>
    <xf numFmtId="0" fontId="52" fillId="0" borderId="80" xfId="0" applyNumberFormat="1" applyFont="1" applyBorder="1" applyAlignment="1">
      <alignment vertical="center"/>
    </xf>
    <xf numFmtId="0" fontId="52" fillId="0" borderId="78" xfId="0" applyNumberFormat="1" applyFont="1" applyBorder="1" applyAlignment="1">
      <alignment horizontal="center" vertical="center"/>
    </xf>
    <xf numFmtId="0" fontId="52" fillId="0" borderId="80" xfId="0" applyNumberFormat="1" applyFont="1" applyBorder="1" applyAlignment="1">
      <alignment horizontal="center" vertical="center"/>
    </xf>
    <xf numFmtId="0" fontId="52" fillId="0" borderId="63" xfId="0" applyNumberFormat="1" applyFont="1" applyBorder="1" applyAlignment="1">
      <alignment horizontal="center" vertical="center"/>
    </xf>
    <xf numFmtId="0" fontId="52" fillId="0" borderId="63" xfId="0" applyNumberFormat="1" applyFont="1" applyBorder="1" applyAlignment="1">
      <alignment horizontal="center" vertical="center" shrinkToFit="1"/>
    </xf>
    <xf numFmtId="41" fontId="52" fillId="0" borderId="63" xfId="86" applyFont="1" applyBorder="1" applyAlignment="1">
      <alignment horizontal="center" vertical="center"/>
    </xf>
    <xf numFmtId="41" fontId="52" fillId="0" borderId="63" xfId="0" applyNumberFormat="1" applyFont="1" applyBorder="1" applyAlignment="1">
      <alignment horizontal="center" vertical="center"/>
    </xf>
    <xf numFmtId="204" fontId="52" fillId="0" borderId="63" xfId="86" applyNumberFormat="1" applyFont="1" applyBorder="1" applyAlignment="1">
      <alignment horizontal="center" vertical="center"/>
    </xf>
    <xf numFmtId="204" fontId="52" fillId="0" borderId="85" xfId="86" applyNumberFormat="1" applyFont="1" applyBorder="1" applyAlignment="1">
      <alignment horizontal="center" vertical="center"/>
    </xf>
    <xf numFmtId="41" fontId="52" fillId="0" borderId="63" xfId="86" applyNumberFormat="1" applyFont="1" applyBorder="1" applyAlignment="1">
      <alignment horizontal="center" vertical="center"/>
    </xf>
    <xf numFmtId="204" fontId="52" fillId="0" borderId="86" xfId="86" applyNumberFormat="1" applyFont="1" applyBorder="1" applyAlignment="1">
      <alignment horizontal="center" vertical="center"/>
    </xf>
  </cellXfs>
  <cellStyles count="115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03"/>
    <cellStyle name="Input [yellow] 3" xfId="96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4"/>
    <cellStyle name="계산 3" xfId="97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5"/>
    <cellStyle name="메모 3" xfId="98"/>
    <cellStyle name="백분율" xfId="112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2 2 2" xfId="111"/>
    <cellStyle name="쉼표 [0] 2 3" xfId="109"/>
    <cellStyle name="쉼표 [0] 3" xfId="94"/>
    <cellStyle name="쉼표 [0] 3 2" xfId="110"/>
    <cellStyle name="쉼표 [0] 4" xfId="102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6"/>
    <cellStyle name="요약 3" xfId="99"/>
    <cellStyle name="입력" xfId="59" builtinId="20" customBuiltin="1"/>
    <cellStyle name="입력 2" xfId="91"/>
    <cellStyle name="입력 2 2" xfId="107"/>
    <cellStyle name="입력 3" xfId="100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08"/>
    <cellStyle name="출력 3" xfId="101"/>
    <cellStyle name="콤마 [0]_  갑 지  " xfId="67"/>
    <cellStyle name="콤마_  갑 지  " xfId="68"/>
    <cellStyle name="통화 [0]" xfId="114" builtinId="7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33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2</xdr:col>
      <xdr:colOff>190500</xdr:colOff>
      <xdr:row>9</xdr:row>
      <xdr:rowOff>28575</xdr:rowOff>
    </xdr:from>
    <xdr:to>
      <xdr:col>8</xdr:col>
      <xdr:colOff>466725</xdr:colOff>
      <xdr:row>17</xdr:row>
      <xdr:rowOff>161925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2152650"/>
          <a:ext cx="47910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34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47900" y="6329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47900" y="6329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2</xdr:col>
      <xdr:colOff>190500</xdr:colOff>
      <xdr:row>9</xdr:row>
      <xdr:rowOff>28575</xdr:rowOff>
    </xdr:from>
    <xdr:to>
      <xdr:col>8</xdr:col>
      <xdr:colOff>467394</xdr:colOff>
      <xdr:row>17</xdr:row>
      <xdr:rowOff>162156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23925" y="2152650"/>
          <a:ext cx="4791744" cy="1657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24</xdr:row>
      <xdr:rowOff>9525</xdr:rowOff>
    </xdr:from>
    <xdr:to>
      <xdr:col>7</xdr:col>
      <xdr:colOff>267929</xdr:colOff>
      <xdr:row>24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77</xdr:row>
      <xdr:rowOff>57150</xdr:rowOff>
    </xdr:from>
    <xdr:ext cx="719299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4"/>
            <xdr:cNvSpPr txBox="1"/>
          </xdr:nvSpPr>
          <xdr:spPr>
            <a:xfrm>
              <a:off x="1247775" y="90944700"/>
              <a:ext cx="71929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" name="TextBox 4"/>
            <xdr:cNvSpPr txBox="1"/>
          </xdr:nvSpPr>
          <xdr:spPr>
            <a:xfrm>
              <a:off x="1247775" y="90944700"/>
              <a:ext cx="71929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𝑐_(𝑙_𝑏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22</xdr:row>
      <xdr:rowOff>80961</xdr:rowOff>
    </xdr:from>
    <xdr:to>
      <xdr:col>34</xdr:col>
      <xdr:colOff>0</xdr:colOff>
      <xdr:row>23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>
              <a:spLocks noChangeAspect="1"/>
            </xdr:cNvSpPr>
          </xdr:nvSpPr>
          <xdr:spPr>
            <a:xfrm>
              <a:off x="161925" y="77157261"/>
              <a:ext cx="50196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𝑐𝑑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8" name="TextBox 27"/>
            <xdr:cNvSpPr txBox="1">
              <a:spLocks noChangeAspect="1"/>
            </xdr:cNvSpPr>
          </xdr:nvSpPr>
          <xdr:spPr>
            <a:xfrm>
              <a:off x="161925" y="77157261"/>
              <a:ext cx="50196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𝑙_𝑥=𝑙_𝑠+𝑙_𝑏−(¯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𝑙_0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+𝑙_𝑐𝑑+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𝑙_𝑔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16</xdr:col>
      <xdr:colOff>47624</xdr:colOff>
      <xdr:row>73</xdr:row>
      <xdr:rowOff>0</xdr:rowOff>
    </xdr:from>
    <xdr:ext cx="1524001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6"/>
            <xdr:cNvSpPr txBox="1"/>
          </xdr:nvSpPr>
          <xdr:spPr>
            <a:xfrm>
              <a:off x="2486024" y="8993505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" name="TextBox 6"/>
            <xdr:cNvSpPr txBox="1"/>
          </xdr:nvSpPr>
          <xdr:spPr>
            <a:xfrm>
              <a:off x="2486024" y="8993505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47624</xdr:colOff>
      <xdr:row>73</xdr:row>
      <xdr:rowOff>0</xdr:rowOff>
    </xdr:from>
    <xdr:ext cx="215265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6"/>
            <xdr:cNvSpPr txBox="1"/>
          </xdr:nvSpPr>
          <xdr:spPr>
            <a:xfrm>
              <a:off x="4467224" y="8993505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" name="TextBox 6"/>
            <xdr:cNvSpPr txBox="1"/>
          </xdr:nvSpPr>
          <xdr:spPr>
            <a:xfrm>
              <a:off x="4467224" y="8993505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63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5"/>
            <xdr:cNvSpPr txBox="1"/>
          </xdr:nvSpPr>
          <xdr:spPr>
            <a:xfrm>
              <a:off x="2171700" y="868584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5"/>
            <xdr:cNvSpPr txBox="1"/>
          </xdr:nvSpPr>
          <xdr:spPr>
            <a:xfrm>
              <a:off x="2171700" y="868584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63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5"/>
            <xdr:cNvSpPr txBox="1"/>
          </xdr:nvSpPr>
          <xdr:spPr>
            <a:xfrm>
              <a:off x="2867025" y="868584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" name="TextBox 5"/>
            <xdr:cNvSpPr txBox="1"/>
          </xdr:nvSpPr>
          <xdr:spPr>
            <a:xfrm>
              <a:off x="2867025" y="868584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65</xdr:row>
      <xdr:rowOff>57150</xdr:rowOff>
    </xdr:from>
    <xdr:ext cx="706027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4"/>
            <xdr:cNvSpPr txBox="1"/>
          </xdr:nvSpPr>
          <xdr:spPr>
            <a:xfrm>
              <a:off x="1228725" y="88087200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" name="TextBox 4"/>
            <xdr:cNvSpPr txBox="1"/>
          </xdr:nvSpPr>
          <xdr:spPr>
            <a:xfrm>
              <a:off x="1228725" y="88087200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151</xdr:row>
      <xdr:rowOff>57150</xdr:rowOff>
    </xdr:from>
    <xdr:ext cx="8572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228726" y="108565950"/>
              <a:ext cx="8572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228726" y="108565950"/>
              <a:ext cx="8572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𝑐_(𝑙_𝑐𝑑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𝑙_𝑐𝑑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149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5"/>
            <xdr:cNvSpPr txBox="1"/>
          </xdr:nvSpPr>
          <xdr:spPr>
            <a:xfrm>
              <a:off x="2276474" y="1080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5"/>
            <xdr:cNvSpPr txBox="1"/>
          </xdr:nvSpPr>
          <xdr:spPr>
            <a:xfrm>
              <a:off x="2276474" y="1080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76199</xdr:colOff>
      <xdr:row>149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5"/>
            <xdr:cNvSpPr txBox="1"/>
          </xdr:nvSpPr>
          <xdr:spPr>
            <a:xfrm>
              <a:off x="3124199" y="1080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" name="TextBox 5"/>
            <xdr:cNvSpPr txBox="1"/>
          </xdr:nvSpPr>
          <xdr:spPr>
            <a:xfrm>
              <a:off x="3124199" y="10805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154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5"/>
            <xdr:cNvSpPr txBox="1"/>
          </xdr:nvSpPr>
          <xdr:spPr>
            <a:xfrm>
              <a:off x="1076325" y="10923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" name="TextBox 5"/>
            <xdr:cNvSpPr txBox="1"/>
          </xdr:nvSpPr>
          <xdr:spPr>
            <a:xfrm>
              <a:off x="1076325" y="10923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ν(𝑙_𝑐𝑑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4</xdr:col>
      <xdr:colOff>142875</xdr:colOff>
      <xdr:row>172</xdr:row>
      <xdr:rowOff>38101</xdr:rowOff>
    </xdr:from>
    <xdr:to>
      <xdr:col>10</xdr:col>
      <xdr:colOff>104775</xdr:colOff>
      <xdr:row>173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2"/>
            <xdr:cNvSpPr txBox="1">
              <a:spLocks/>
            </xdr:cNvSpPr>
          </xdr:nvSpPr>
          <xdr:spPr>
            <a:xfrm>
              <a:off x="7524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" name="TextBox 2"/>
            <xdr:cNvSpPr txBox="1">
              <a:spLocks/>
            </xdr:cNvSpPr>
          </xdr:nvSpPr>
          <xdr:spPr>
            <a:xfrm>
              <a:off x="7524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172</xdr:row>
      <xdr:rowOff>38101</xdr:rowOff>
    </xdr:from>
    <xdr:to>
      <xdr:col>17</xdr:col>
      <xdr:colOff>104775</xdr:colOff>
      <xdr:row>173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2"/>
            <xdr:cNvSpPr txBox="1">
              <a:spLocks/>
            </xdr:cNvSpPr>
          </xdr:nvSpPr>
          <xdr:spPr>
            <a:xfrm>
              <a:off x="18192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" name="TextBox 2"/>
            <xdr:cNvSpPr txBox="1">
              <a:spLocks/>
            </xdr:cNvSpPr>
          </xdr:nvSpPr>
          <xdr:spPr>
            <a:xfrm>
              <a:off x="18192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172</xdr:row>
      <xdr:rowOff>38101</xdr:rowOff>
    </xdr:from>
    <xdr:to>
      <xdr:col>24</xdr:col>
      <xdr:colOff>104775</xdr:colOff>
      <xdr:row>173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2"/>
            <xdr:cNvSpPr txBox="1">
              <a:spLocks/>
            </xdr:cNvSpPr>
          </xdr:nvSpPr>
          <xdr:spPr>
            <a:xfrm>
              <a:off x="28860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" name="TextBox 2"/>
            <xdr:cNvSpPr txBox="1">
              <a:spLocks/>
            </xdr:cNvSpPr>
          </xdr:nvSpPr>
          <xdr:spPr>
            <a:xfrm>
              <a:off x="28860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174</xdr:row>
      <xdr:rowOff>38101</xdr:rowOff>
    </xdr:from>
    <xdr:to>
      <xdr:col>10</xdr:col>
      <xdr:colOff>104775</xdr:colOff>
      <xdr:row>175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2"/>
            <xdr:cNvSpPr txBox="1">
              <a:spLocks/>
            </xdr:cNvSpPr>
          </xdr:nvSpPr>
          <xdr:spPr>
            <a:xfrm>
              <a:off x="752475" y="114023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2"/>
            <xdr:cNvSpPr txBox="1">
              <a:spLocks/>
            </xdr:cNvSpPr>
          </xdr:nvSpPr>
          <xdr:spPr>
            <a:xfrm>
              <a:off x="752475" y="114023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3</xdr:col>
      <xdr:colOff>28575</xdr:colOff>
      <xdr:row>28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"/>
            <xdr:cNvSpPr txBox="1"/>
          </xdr:nvSpPr>
          <xdr:spPr>
            <a:xfrm>
              <a:off x="485775" y="785336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"/>
            <xdr:cNvSpPr txBox="1"/>
          </xdr:nvSpPr>
          <xdr:spPr>
            <a:xfrm>
              <a:off x="485775" y="785336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36</xdr:row>
      <xdr:rowOff>28575</xdr:rowOff>
    </xdr:from>
    <xdr:to>
      <xdr:col>48</xdr:col>
      <xdr:colOff>0</xdr:colOff>
      <xdr:row>37</xdr:row>
      <xdr:rowOff>23814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2"/>
            <xdr:cNvSpPr txBox="1">
              <a:spLocks/>
            </xdr:cNvSpPr>
          </xdr:nvSpPr>
          <xdr:spPr>
            <a:xfrm>
              <a:off x="161925" y="80438625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" name="TextBox 2"/>
            <xdr:cNvSpPr txBox="1">
              <a:spLocks/>
            </xdr:cNvSpPr>
          </xdr:nvSpPr>
          <xdr:spPr>
            <a:xfrm>
              <a:off x="161925" y="80438625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(𝑙〗_𝑐𝑑)+𝑢^2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2</xdr:col>
      <xdr:colOff>0</xdr:colOff>
      <xdr:row>38</xdr:row>
      <xdr:rowOff>0</xdr:rowOff>
    </xdr:from>
    <xdr:ext cx="5467779" cy="781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304800" y="80886300"/>
              <a:ext cx="5467779" cy="781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304800" y="80886300"/>
              <a:ext cx="5467779" cy="781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𝑙_𝑏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𝑐_(𝑙_𝑐𝑑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𝑙_𝑐𝑑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48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"/>
            <xdr:cNvSpPr txBox="1"/>
          </xdr:nvSpPr>
          <xdr:spPr>
            <a:xfrm>
              <a:off x="704850" y="832961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"/>
            <xdr:cNvSpPr txBox="1"/>
          </xdr:nvSpPr>
          <xdr:spPr>
            <a:xfrm>
              <a:off x="704850" y="832961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82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"/>
            <xdr:cNvSpPr txBox="1"/>
          </xdr:nvSpPr>
          <xdr:spPr>
            <a:xfrm>
              <a:off x="4124325" y="9210675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" name="TextBox 4"/>
            <xdr:cNvSpPr txBox="1"/>
          </xdr:nvSpPr>
          <xdr:spPr>
            <a:xfrm>
              <a:off x="4124325" y="9210675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</xdr:colOff>
      <xdr:row>83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"/>
            <xdr:cNvSpPr txBox="1"/>
          </xdr:nvSpPr>
          <xdr:spPr>
            <a:xfrm>
              <a:off x="3209925" y="92354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" name="TextBox 4"/>
            <xdr:cNvSpPr txBox="1"/>
          </xdr:nvSpPr>
          <xdr:spPr>
            <a:xfrm>
              <a:off x="3209925" y="92354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85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"/>
            <xdr:cNvSpPr txBox="1"/>
          </xdr:nvSpPr>
          <xdr:spPr>
            <a:xfrm>
              <a:off x="3514725" y="92862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" name="TextBox 4"/>
            <xdr:cNvSpPr txBox="1"/>
          </xdr:nvSpPr>
          <xdr:spPr>
            <a:xfrm>
              <a:off x="3514725" y="92862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88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"/>
            <xdr:cNvSpPr txBox="1"/>
          </xdr:nvSpPr>
          <xdr:spPr>
            <a:xfrm>
              <a:off x="4181474" y="93525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1" name="TextBox 5"/>
            <xdr:cNvSpPr txBox="1"/>
          </xdr:nvSpPr>
          <xdr:spPr>
            <a:xfrm>
              <a:off x="4181474" y="93525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89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4"/>
            <xdr:cNvSpPr txBox="1"/>
          </xdr:nvSpPr>
          <xdr:spPr>
            <a:xfrm>
              <a:off x="1533524" y="93948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2" name="TextBox 4"/>
            <xdr:cNvSpPr txBox="1"/>
          </xdr:nvSpPr>
          <xdr:spPr>
            <a:xfrm>
              <a:off x="1533524" y="93948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93</xdr:row>
      <xdr:rowOff>57150</xdr:rowOff>
    </xdr:from>
    <xdr:ext cx="133434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1228725" y="94754700"/>
              <a:ext cx="13343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1228725" y="94754700"/>
              <a:ext cx="13343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96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"/>
            <xdr:cNvSpPr txBox="1"/>
          </xdr:nvSpPr>
          <xdr:spPr>
            <a:xfrm>
              <a:off x="1076324" y="95421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4" name="TextBox 5"/>
            <xdr:cNvSpPr txBox="1"/>
          </xdr:nvSpPr>
          <xdr:spPr>
            <a:xfrm>
              <a:off x="1076324" y="95421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123</xdr:row>
      <xdr:rowOff>57150</xdr:rowOff>
    </xdr:from>
    <xdr:ext cx="148361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1323975" y="101898450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1323975" y="101898450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109</xdr:row>
      <xdr:rowOff>57150</xdr:rowOff>
    </xdr:from>
    <xdr:ext cx="135274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1228725" y="98564700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1228725" y="98564700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139</xdr:row>
      <xdr:rowOff>57150</xdr:rowOff>
    </xdr:from>
    <xdr:ext cx="142507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1333500" y="10570845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1333500" y="105708450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98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"/>
            <xdr:cNvSpPr txBox="1"/>
          </xdr:nvSpPr>
          <xdr:spPr>
            <a:xfrm>
              <a:off x="1076324" y="95935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8" name="TextBox 5"/>
            <xdr:cNvSpPr txBox="1"/>
          </xdr:nvSpPr>
          <xdr:spPr>
            <a:xfrm>
              <a:off x="1076324" y="95935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121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4"/>
            <xdr:cNvSpPr txBox="1"/>
          </xdr:nvSpPr>
          <xdr:spPr>
            <a:xfrm>
              <a:off x="1533524" y="101377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4"/>
            <xdr:cNvSpPr txBox="1"/>
          </xdr:nvSpPr>
          <xdr:spPr>
            <a:xfrm>
              <a:off x="1533524" y="101377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107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"/>
            <xdr:cNvSpPr txBox="1"/>
          </xdr:nvSpPr>
          <xdr:spPr>
            <a:xfrm>
              <a:off x="2124074" y="9805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"/>
            <xdr:cNvSpPr txBox="1"/>
          </xdr:nvSpPr>
          <xdr:spPr>
            <a:xfrm>
              <a:off x="2124074" y="9805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126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5"/>
            <xdr:cNvSpPr txBox="1"/>
          </xdr:nvSpPr>
          <xdr:spPr>
            <a:xfrm>
              <a:off x="1076324" y="102565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3" name="TextBox 5"/>
            <xdr:cNvSpPr txBox="1"/>
          </xdr:nvSpPr>
          <xdr:spPr>
            <a:xfrm>
              <a:off x="1076324" y="102565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128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5"/>
            <xdr:cNvSpPr txBox="1"/>
          </xdr:nvSpPr>
          <xdr:spPr>
            <a:xfrm>
              <a:off x="1076325" y="103079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5" name="TextBox 5"/>
            <xdr:cNvSpPr txBox="1"/>
          </xdr:nvSpPr>
          <xdr:spPr>
            <a:xfrm>
              <a:off x="1076325" y="103079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152399</xdr:colOff>
      <xdr:row>137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5"/>
            <xdr:cNvSpPr txBox="1"/>
          </xdr:nvSpPr>
          <xdr:spPr>
            <a:xfrm>
              <a:off x="2133599" y="10520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5"/>
            <xdr:cNvSpPr txBox="1"/>
          </xdr:nvSpPr>
          <xdr:spPr>
            <a:xfrm>
              <a:off x="2133599" y="10520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112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1076325" y="99231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1076325" y="99231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142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5"/>
            <xdr:cNvSpPr txBox="1"/>
          </xdr:nvSpPr>
          <xdr:spPr>
            <a:xfrm>
              <a:off x="1076325" y="106375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5"/>
            <xdr:cNvSpPr txBox="1"/>
          </xdr:nvSpPr>
          <xdr:spPr>
            <a:xfrm>
              <a:off x="1076325" y="106375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19050</xdr:colOff>
      <xdr:row>162</xdr:row>
      <xdr:rowOff>23812</xdr:rowOff>
    </xdr:from>
    <xdr:ext cx="242246" cy="19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2152650" y="111151987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2152650" y="111151987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164</xdr:row>
      <xdr:rowOff>61912</xdr:rowOff>
    </xdr:from>
    <xdr:ext cx="981551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1228725" y="111666337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1228725" y="111666337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𝑙〗_𝑔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𝑙〗_𝑔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167</xdr:row>
      <xdr:rowOff>9524</xdr:rowOff>
    </xdr:from>
    <xdr:ext cx="2266950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1076325" y="112328324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1076325" y="112328324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𝑙〗_𝑔)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=1/2 (100/𝑅)^2=1/2 (100/20)^2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76200</xdr:colOff>
      <xdr:row>171</xdr:row>
      <xdr:rowOff>28575</xdr:rowOff>
    </xdr:from>
    <xdr:ext cx="5099794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228600" y="113299875"/>
              <a:ext cx="509979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228600" y="113299875"/>
              <a:ext cx="5099794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(𝑙_𝑐𝑑 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𝑙〗_𝑔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142875</xdr:colOff>
      <xdr:row>172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2"/>
            <xdr:cNvSpPr txBox="1">
              <a:spLocks/>
            </xdr:cNvSpPr>
          </xdr:nvSpPr>
          <xdr:spPr>
            <a:xfrm>
              <a:off x="39528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2"/>
            <xdr:cNvSpPr txBox="1">
              <a:spLocks/>
            </xdr:cNvSpPr>
          </xdr:nvSpPr>
          <xdr:spPr>
            <a:xfrm>
              <a:off x="39528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142875</xdr:colOff>
      <xdr:row>172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2"/>
            <xdr:cNvSpPr txBox="1">
              <a:spLocks/>
            </xdr:cNvSpPr>
          </xdr:nvSpPr>
          <xdr:spPr>
            <a:xfrm>
              <a:off x="50196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2"/>
            <xdr:cNvSpPr txBox="1">
              <a:spLocks/>
            </xdr:cNvSpPr>
          </xdr:nvSpPr>
          <xdr:spPr>
            <a:xfrm>
              <a:off x="50196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39</xdr:col>
      <xdr:colOff>142875</xdr:colOff>
      <xdr:row>172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2"/>
            <xdr:cNvSpPr txBox="1">
              <a:spLocks/>
            </xdr:cNvSpPr>
          </xdr:nvSpPr>
          <xdr:spPr>
            <a:xfrm>
              <a:off x="60864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2"/>
            <xdr:cNvSpPr txBox="1">
              <a:spLocks/>
            </xdr:cNvSpPr>
          </xdr:nvSpPr>
          <xdr:spPr>
            <a:xfrm>
              <a:off x="6086475" y="11354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142875</xdr:colOff>
      <xdr:row>173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1057275" y="11378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1057275" y="11378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142875</xdr:colOff>
      <xdr:row>173</xdr:row>
      <xdr:rowOff>38101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2124075" y="11378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2124075" y="113785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180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1838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1838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19050</xdr:colOff>
      <xdr:row>179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3371850" y="11520963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3371850" y="11520963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180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/>
            <xdr:cNvSpPr txBox="1"/>
          </xdr:nvSpPr>
          <xdr:spPr>
            <a:xfrm>
              <a:off x="2600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101"/>
            <xdr:cNvSpPr txBox="1"/>
          </xdr:nvSpPr>
          <xdr:spPr>
            <a:xfrm>
              <a:off x="2600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180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/>
            <xdr:cNvSpPr txBox="1"/>
          </xdr:nvSpPr>
          <xdr:spPr>
            <a:xfrm>
              <a:off x="3362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102"/>
            <xdr:cNvSpPr txBox="1"/>
          </xdr:nvSpPr>
          <xdr:spPr>
            <a:xfrm>
              <a:off x="3362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180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/>
            <xdr:cNvSpPr txBox="1"/>
          </xdr:nvSpPr>
          <xdr:spPr>
            <a:xfrm>
              <a:off x="4124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103"/>
            <xdr:cNvSpPr txBox="1"/>
          </xdr:nvSpPr>
          <xdr:spPr>
            <a:xfrm>
              <a:off x="4124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</xdr:colOff>
      <xdr:row>180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4886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4886325" y="11544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179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161925" y="11522392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161925" y="11522392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180</xdr:row>
      <xdr:rowOff>52387</xdr:rowOff>
    </xdr:from>
    <xdr:ext cx="3952876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/>
            <xdr:cNvSpPr txBox="1"/>
          </xdr:nvSpPr>
          <xdr:spPr>
            <a:xfrm>
              <a:off x="1685924" y="115466812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7" name="TextBox 106"/>
            <xdr:cNvSpPr txBox="1"/>
          </xdr:nvSpPr>
          <xdr:spPr>
            <a:xfrm>
              <a:off x="1685924" y="115466812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9525</xdr:colOff>
      <xdr:row>182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990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990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182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2752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2752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182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/>
            <xdr:cNvSpPr txBox="1"/>
          </xdr:nvSpPr>
          <xdr:spPr>
            <a:xfrm>
              <a:off x="3514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109"/>
            <xdr:cNvSpPr txBox="1"/>
          </xdr:nvSpPr>
          <xdr:spPr>
            <a:xfrm>
              <a:off x="3514725" y="1159240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70" t="s">
        <v>0</v>
      </c>
      <c r="B1" s="271"/>
      <c r="C1" s="271"/>
      <c r="D1" s="271"/>
      <c r="E1" s="271"/>
      <c r="F1" s="271"/>
      <c r="G1" s="271"/>
      <c r="H1" s="272"/>
      <c r="I1" s="273"/>
      <c r="J1" s="274"/>
    </row>
    <row r="2" spans="1:13" ht="12.95" customHeight="1">
      <c r="A2" s="275" t="s">
        <v>1</v>
      </c>
      <c r="B2" s="275"/>
      <c r="C2" s="275"/>
      <c r="D2" s="275"/>
      <c r="E2" s="275"/>
      <c r="F2" s="275"/>
      <c r="G2" s="275"/>
      <c r="H2" s="275"/>
      <c r="I2" s="275"/>
      <c r="J2" s="275"/>
    </row>
    <row r="3" spans="1:13" ht="12.95" customHeight="1">
      <c r="A3" s="267" t="s">
        <v>2</v>
      </c>
      <c r="B3" s="264"/>
      <c r="C3" s="276"/>
      <c r="D3" s="276"/>
      <c r="E3" s="276"/>
      <c r="F3" s="264" t="s">
        <v>3</v>
      </c>
      <c r="G3" s="264"/>
      <c r="H3" s="277"/>
      <c r="I3" s="266"/>
      <c r="J3" s="266"/>
    </row>
    <row r="4" spans="1:13" ht="12.95" customHeight="1">
      <c r="A4" s="264" t="s">
        <v>4</v>
      </c>
      <c r="B4" s="264"/>
      <c r="C4" s="265"/>
      <c r="D4" s="264"/>
      <c r="E4" s="264"/>
      <c r="F4" s="264" t="s">
        <v>5</v>
      </c>
      <c r="G4" s="264"/>
      <c r="H4" s="264"/>
      <c r="I4" s="266"/>
      <c r="J4" s="266"/>
    </row>
    <row r="5" spans="1:13" ht="12.95" customHeight="1">
      <c r="A5" s="264" t="s">
        <v>6</v>
      </c>
      <c r="B5" s="264"/>
      <c r="C5" s="264"/>
      <c r="D5" s="266"/>
      <c r="E5" s="266"/>
      <c r="F5" s="267" t="s">
        <v>7</v>
      </c>
      <c r="G5" s="264"/>
      <c r="H5" s="268"/>
      <c r="I5" s="269"/>
      <c r="J5" s="269"/>
    </row>
    <row r="6" spans="1:13" ht="12.95" customHeight="1">
      <c r="A6" s="264" t="s">
        <v>8</v>
      </c>
      <c r="B6" s="264"/>
      <c r="C6" s="264"/>
      <c r="D6" s="266"/>
      <c r="E6" s="266"/>
      <c r="F6" s="267" t="s">
        <v>9</v>
      </c>
      <c r="G6" s="264"/>
      <c r="H6" s="268"/>
      <c r="I6" s="269"/>
      <c r="J6" s="269"/>
    </row>
    <row r="7" spans="1:13" ht="12.95" customHeight="1">
      <c r="A7" s="264" t="s">
        <v>10</v>
      </c>
      <c r="B7" s="264"/>
      <c r="C7" s="279"/>
      <c r="D7" s="266"/>
      <c r="E7" s="266"/>
      <c r="F7" s="267" t="s">
        <v>11</v>
      </c>
      <c r="G7" s="264"/>
      <c r="H7" s="264"/>
      <c r="I7" s="266"/>
      <c r="J7" s="266"/>
    </row>
    <row r="8" spans="1:13" ht="12.95" customHeight="1">
      <c r="A8" s="264" t="s">
        <v>12</v>
      </c>
      <c r="B8" s="264"/>
      <c r="C8" s="277"/>
      <c r="D8" s="278"/>
      <c r="E8" s="278"/>
      <c r="F8" s="267" t="s">
        <v>13</v>
      </c>
      <c r="G8" s="264"/>
      <c r="H8" s="264"/>
      <c r="I8" s="266"/>
      <c r="J8" s="266"/>
    </row>
    <row r="9" spans="1:13" ht="12.95" customHeight="1">
      <c r="A9" s="267" t="s">
        <v>35</v>
      </c>
      <c r="B9" s="264"/>
      <c r="C9" s="268"/>
      <c r="D9" s="269"/>
      <c r="E9" s="269"/>
      <c r="F9" s="280" t="s">
        <v>14</v>
      </c>
      <c r="G9" s="280"/>
      <c r="H9" s="268"/>
      <c r="I9" s="269"/>
      <c r="J9" s="269"/>
    </row>
    <row r="10" spans="1:13" ht="23.25" customHeight="1">
      <c r="A10" s="264" t="s">
        <v>15</v>
      </c>
      <c r="B10" s="264"/>
      <c r="C10" s="268"/>
      <c r="D10" s="269"/>
      <c r="E10" s="269"/>
      <c r="F10" s="264" t="s">
        <v>16</v>
      </c>
      <c r="G10" s="264"/>
      <c r="H10" s="34"/>
      <c r="I10" s="288" t="s">
        <v>17</v>
      </c>
      <c r="J10" s="289"/>
      <c r="K10" s="4"/>
    </row>
    <row r="11" spans="1:13" ht="12.95" customHeight="1">
      <c r="A11" s="275" t="s">
        <v>18</v>
      </c>
      <c r="B11" s="275"/>
      <c r="C11" s="275"/>
      <c r="D11" s="275"/>
      <c r="E11" s="275"/>
      <c r="F11" s="275"/>
      <c r="G11" s="275"/>
      <c r="H11" s="275"/>
      <c r="I11" s="275"/>
      <c r="J11" s="275"/>
      <c r="K11" s="5"/>
    </row>
    <row r="12" spans="1:13" ht="17.25" customHeight="1">
      <c r="A12" s="3" t="s">
        <v>19</v>
      </c>
      <c r="B12" s="82"/>
      <c r="C12" s="6" t="s">
        <v>20</v>
      </c>
      <c r="D12" s="83"/>
      <c r="E12" s="6" t="s">
        <v>21</v>
      </c>
      <c r="F12" s="84"/>
      <c r="G12" s="290" t="s">
        <v>22</v>
      </c>
      <c r="H12" s="286"/>
      <c r="I12" s="292" t="s">
        <v>23</v>
      </c>
      <c r="J12" s="293"/>
      <c r="K12" s="4"/>
      <c r="L12" s="7"/>
      <c r="M12" s="7"/>
    </row>
    <row r="13" spans="1:13" ht="17.25" customHeight="1">
      <c r="A13" s="8" t="s">
        <v>24</v>
      </c>
      <c r="B13" s="82"/>
      <c r="C13" s="8" t="s">
        <v>25</v>
      </c>
      <c r="D13" s="83"/>
      <c r="E13" s="6" t="s">
        <v>26</v>
      </c>
      <c r="F13" s="84"/>
      <c r="G13" s="291"/>
      <c r="H13" s="287"/>
      <c r="I13" s="294"/>
      <c r="J13" s="295"/>
      <c r="K13" s="5"/>
    </row>
    <row r="14" spans="1:13" ht="12.95" customHeight="1">
      <c r="A14" s="275" t="s">
        <v>27</v>
      </c>
      <c r="B14" s="275"/>
      <c r="C14" s="275"/>
      <c r="D14" s="275"/>
      <c r="E14" s="275"/>
      <c r="F14" s="275"/>
      <c r="G14" s="275"/>
      <c r="H14" s="275"/>
      <c r="I14" s="275"/>
      <c r="J14" s="275"/>
      <c r="K14" s="5"/>
    </row>
    <row r="15" spans="1:13" ht="39" customHeight="1">
      <c r="A15" s="283"/>
      <c r="B15" s="284"/>
      <c r="C15" s="284"/>
      <c r="D15" s="284"/>
      <c r="E15" s="284"/>
      <c r="F15" s="284"/>
      <c r="G15" s="284"/>
      <c r="H15" s="284"/>
      <c r="I15" s="284"/>
      <c r="J15" s="285"/>
    </row>
    <row r="16" spans="1:13" ht="12.95" customHeight="1">
      <c r="A16" s="275" t="s">
        <v>28</v>
      </c>
      <c r="B16" s="275"/>
      <c r="C16" s="275"/>
      <c r="D16" s="275"/>
      <c r="E16" s="275"/>
      <c r="F16" s="275"/>
      <c r="G16" s="275"/>
      <c r="H16" s="275"/>
      <c r="I16" s="275"/>
      <c r="J16" s="275"/>
    </row>
    <row r="17" spans="1:12" ht="12.95" customHeight="1">
      <c r="A17" s="3" t="s">
        <v>29</v>
      </c>
      <c r="B17" s="267" t="s">
        <v>30</v>
      </c>
      <c r="C17" s="264"/>
      <c r="D17" s="264"/>
      <c r="E17" s="264"/>
      <c r="F17" s="267" t="s">
        <v>31</v>
      </c>
      <c r="G17" s="264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81"/>
      <c r="C18" s="282"/>
      <c r="D18" s="282"/>
      <c r="E18" s="282"/>
      <c r="F18" s="281"/>
      <c r="G18" s="282"/>
      <c r="H18" s="40"/>
      <c r="I18" s="18"/>
      <c r="J18" s="81"/>
      <c r="L18" s="5"/>
    </row>
    <row r="19" spans="1:12" ht="12.95" customHeight="1">
      <c r="A19" s="35"/>
      <c r="B19" s="281"/>
      <c r="C19" s="282"/>
      <c r="D19" s="282"/>
      <c r="E19" s="282"/>
      <c r="F19" s="281"/>
      <c r="G19" s="282"/>
      <c r="H19" s="21"/>
      <c r="I19" s="21"/>
      <c r="J19" s="81"/>
      <c r="L19" s="5"/>
    </row>
    <row r="20" spans="1:12" ht="12.95" customHeight="1">
      <c r="A20" s="35"/>
      <c r="B20" s="281"/>
      <c r="C20" s="282"/>
      <c r="D20" s="282"/>
      <c r="E20" s="282"/>
      <c r="F20" s="281"/>
      <c r="G20" s="282"/>
      <c r="H20" s="32"/>
      <c r="I20" s="32"/>
      <c r="J20" s="81"/>
      <c r="L20" s="5"/>
    </row>
    <row r="21" spans="1:12" ht="12.95" customHeight="1">
      <c r="A21" s="35"/>
      <c r="B21" s="281"/>
      <c r="C21" s="282"/>
      <c r="D21" s="282"/>
      <c r="E21" s="282"/>
      <c r="F21" s="281"/>
      <c r="G21" s="282"/>
      <c r="H21" s="32"/>
      <c r="I21" s="9"/>
      <c r="J21" s="81"/>
      <c r="L21" s="5"/>
    </row>
    <row r="22" spans="1:12" ht="12.95" customHeight="1">
      <c r="A22" s="35"/>
      <c r="B22" s="281"/>
      <c r="C22" s="282"/>
      <c r="D22" s="282"/>
      <c r="E22" s="282"/>
      <c r="F22" s="281"/>
      <c r="G22" s="282"/>
      <c r="H22" s="20"/>
      <c r="I22" s="11"/>
      <c r="J22" s="81"/>
      <c r="L22" s="5"/>
    </row>
    <row r="23" spans="1:12" ht="12.95" customHeight="1">
      <c r="A23" s="35"/>
      <c r="B23" s="281"/>
      <c r="C23" s="282"/>
      <c r="D23" s="282"/>
      <c r="E23" s="282"/>
      <c r="F23" s="281"/>
      <c r="G23" s="282"/>
      <c r="H23" s="11"/>
      <c r="I23" s="9"/>
      <c r="J23" s="81"/>
      <c r="L23" s="5"/>
    </row>
    <row r="24" spans="1:12" ht="12.95" customHeight="1">
      <c r="A24" s="35"/>
      <c r="B24" s="281"/>
      <c r="C24" s="282"/>
      <c r="D24" s="282"/>
      <c r="E24" s="282"/>
      <c r="F24" s="281"/>
      <c r="G24" s="282"/>
      <c r="H24" s="16"/>
      <c r="I24" s="9"/>
      <c r="J24" s="81"/>
      <c r="L24" s="5"/>
    </row>
    <row r="25" spans="1:12" ht="12.95" customHeight="1">
      <c r="A25" s="35"/>
      <c r="B25" s="281"/>
      <c r="C25" s="282"/>
      <c r="D25" s="282"/>
      <c r="E25" s="282"/>
      <c r="F25" s="281"/>
      <c r="G25" s="282"/>
      <c r="H25" s="16"/>
      <c r="I25" s="9"/>
      <c r="J25" s="81"/>
      <c r="L25" s="5"/>
    </row>
    <row r="26" spans="1:12" ht="12.95" customHeight="1">
      <c r="A26" s="35"/>
      <c r="B26" s="281"/>
      <c r="C26" s="282"/>
      <c r="D26" s="282"/>
      <c r="E26" s="282"/>
      <c r="F26" s="281"/>
      <c r="G26" s="282"/>
      <c r="H26" s="16"/>
      <c r="I26" s="9"/>
      <c r="J26" s="81"/>
      <c r="L26" s="5"/>
    </row>
    <row r="27" spans="1:12" ht="12.95" customHeight="1">
      <c r="A27" s="35"/>
      <c r="B27" s="281"/>
      <c r="C27" s="282"/>
      <c r="D27" s="282"/>
      <c r="E27" s="282"/>
      <c r="F27" s="281"/>
      <c r="G27" s="282"/>
      <c r="H27" s="9"/>
      <c r="I27" s="9"/>
      <c r="J27" s="81"/>
    </row>
    <row r="28" spans="1:12" ht="12.95" customHeight="1">
      <c r="A28" s="35"/>
      <c r="B28" s="281"/>
      <c r="C28" s="282"/>
      <c r="D28" s="282"/>
      <c r="E28" s="282"/>
      <c r="F28" s="281"/>
      <c r="G28" s="282"/>
      <c r="H28" s="9"/>
      <c r="I28" s="9"/>
      <c r="J28" s="81"/>
    </row>
    <row r="29" spans="1:12" ht="12.95" customHeight="1">
      <c r="A29" s="35"/>
      <c r="B29" s="281"/>
      <c r="C29" s="282"/>
      <c r="D29" s="282"/>
      <c r="E29" s="282"/>
      <c r="F29" s="281"/>
      <c r="G29" s="282"/>
      <c r="H29" s="9"/>
      <c r="I29" s="9"/>
      <c r="J29" s="81"/>
    </row>
    <row r="30" spans="1:12" ht="12.95" customHeight="1">
      <c r="A30" s="35"/>
      <c r="B30" s="281"/>
      <c r="C30" s="282"/>
      <c r="D30" s="282"/>
      <c r="E30" s="282"/>
      <c r="F30" s="281"/>
      <c r="G30" s="282"/>
      <c r="H30" s="9"/>
      <c r="I30" s="9"/>
      <c r="J30" s="81"/>
    </row>
    <row r="31" spans="1:12" ht="12.95" customHeight="1">
      <c r="A31" s="35"/>
      <c r="B31" s="281"/>
      <c r="C31" s="282"/>
      <c r="D31" s="282"/>
      <c r="E31" s="282"/>
      <c r="F31" s="281"/>
      <c r="G31" s="282"/>
      <c r="H31" s="9"/>
      <c r="I31" s="9"/>
      <c r="J31" s="81"/>
    </row>
    <row r="32" spans="1:12" ht="12.95" customHeight="1">
      <c r="A32" s="35"/>
      <c r="B32" s="281"/>
      <c r="C32" s="282"/>
      <c r="D32" s="282"/>
      <c r="E32" s="282"/>
      <c r="F32" s="281"/>
      <c r="G32" s="282"/>
      <c r="H32" s="9"/>
      <c r="I32" s="9"/>
      <c r="J32" s="81"/>
    </row>
    <row r="33" spans="1:10" ht="12.95" customHeight="1">
      <c r="A33" s="35"/>
      <c r="B33" s="281"/>
      <c r="C33" s="282"/>
      <c r="D33" s="282"/>
      <c r="E33" s="282"/>
      <c r="F33" s="281"/>
      <c r="G33" s="282"/>
      <c r="H33" s="9"/>
      <c r="I33" s="9"/>
      <c r="J33" s="81"/>
    </row>
    <row r="34" spans="1:10" ht="12.95" customHeight="1">
      <c r="A34" s="35"/>
      <c r="B34" s="281"/>
      <c r="C34" s="282"/>
      <c r="D34" s="282"/>
      <c r="E34" s="282"/>
      <c r="F34" s="281"/>
      <c r="G34" s="282"/>
      <c r="H34" s="9"/>
      <c r="I34" s="9"/>
      <c r="J34" s="81"/>
    </row>
    <row r="35" spans="1:10" ht="12.95" customHeight="1">
      <c r="A35" s="35"/>
      <c r="B35" s="281"/>
      <c r="C35" s="282"/>
      <c r="D35" s="282"/>
      <c r="E35" s="282"/>
      <c r="F35" s="281"/>
      <c r="G35" s="282"/>
      <c r="H35" s="9"/>
      <c r="I35" s="9"/>
      <c r="J35" s="81"/>
    </row>
    <row r="36" spans="1:10" ht="12.95" customHeight="1">
      <c r="A36" s="35"/>
      <c r="B36" s="281"/>
      <c r="C36" s="282"/>
      <c r="D36" s="282"/>
      <c r="E36" s="282"/>
      <c r="F36" s="281"/>
      <c r="G36" s="282"/>
      <c r="H36" s="9"/>
      <c r="I36" s="9"/>
      <c r="J36" s="81"/>
    </row>
    <row r="37" spans="1:10" ht="12.95" customHeight="1">
      <c r="A37" s="35"/>
      <c r="B37" s="281"/>
      <c r="C37" s="282"/>
      <c r="D37" s="282"/>
      <c r="E37" s="282"/>
      <c r="F37" s="281"/>
      <c r="G37" s="282"/>
      <c r="H37" s="9"/>
      <c r="I37" s="9"/>
      <c r="J37" s="81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05" t="s">
        <v>37</v>
      </c>
      <c r="B39" s="305"/>
      <c r="C39" s="305"/>
      <c r="D39" s="305"/>
      <c r="E39" s="305"/>
      <c r="F39" s="308" t="s">
        <v>38</v>
      </c>
      <c r="G39" s="296"/>
      <c r="H39" s="297"/>
      <c r="I39" s="297"/>
      <c r="J39" s="298"/>
    </row>
    <row r="40" spans="1:10" ht="12.95" customHeight="1">
      <c r="A40" s="305" t="s">
        <v>39</v>
      </c>
      <c r="B40" s="305"/>
      <c r="C40" s="305"/>
      <c r="D40" s="305"/>
      <c r="E40" s="305"/>
      <c r="F40" s="309"/>
      <c r="G40" s="299"/>
      <c r="H40" s="300"/>
      <c r="I40" s="300"/>
      <c r="J40" s="301"/>
    </row>
    <row r="41" spans="1:10" ht="12.95" customHeight="1">
      <c r="A41" s="305" t="s">
        <v>40</v>
      </c>
      <c r="B41" s="305"/>
      <c r="C41" s="305"/>
      <c r="D41" s="305"/>
      <c r="E41" s="305"/>
      <c r="F41" s="309"/>
      <c r="G41" s="299"/>
      <c r="H41" s="300"/>
      <c r="I41" s="300"/>
      <c r="J41" s="301"/>
    </row>
    <row r="42" spans="1:10" ht="12.95" customHeight="1">
      <c r="A42" s="305" t="s">
        <v>41</v>
      </c>
      <c r="B42" s="305"/>
      <c r="C42" s="306" t="s">
        <v>42</v>
      </c>
      <c r="D42" s="306"/>
      <c r="E42" s="306"/>
      <c r="F42" s="310"/>
      <c r="G42" s="302"/>
      <c r="H42" s="303"/>
      <c r="I42" s="303"/>
      <c r="J42" s="304"/>
    </row>
    <row r="43" spans="1:10" ht="12.95" customHeight="1">
      <c r="A43" s="307" t="s">
        <v>52</v>
      </c>
      <c r="B43" s="307"/>
      <c r="C43" s="307" t="e">
        <f ca="1">Calcu!Y3</f>
        <v>#DIV/0!</v>
      </c>
      <c r="D43" s="307"/>
      <c r="E43" s="307"/>
    </row>
    <row r="46" spans="1:10" ht="12.95" customHeight="1">
      <c r="B46" s="1" t="s">
        <v>102</v>
      </c>
    </row>
    <row r="47" spans="1:10" ht="12.95" customHeight="1">
      <c r="B47" s="1" t="s">
        <v>103</v>
      </c>
    </row>
    <row r="48" spans="1:10" ht="12.95" customHeight="1">
      <c r="A48" s="1">
        <f>Calcu!O55</f>
        <v>13200</v>
      </c>
      <c r="B48" s="1" t="s">
        <v>106</v>
      </c>
    </row>
    <row r="49" spans="1:2" ht="12.95" customHeight="1">
      <c r="A49" s="104"/>
    </row>
    <row r="50" spans="1:2" ht="12.95" customHeight="1">
      <c r="A50" s="1" t="str">
        <f>Calcu!Z3</f>
        <v>PASS</v>
      </c>
      <c r="B50" s="1" t="s">
        <v>107</v>
      </c>
    </row>
    <row r="52" spans="1:2" ht="12.95" customHeight="1">
      <c r="B52" s="1" t="s">
        <v>315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0" bestFit="1" customWidth="1"/>
    <col min="2" max="2" width="6.6640625" style="90" bestFit="1" customWidth="1"/>
    <col min="3" max="3" width="8.88671875" style="90"/>
    <col min="4" max="4" width="6.6640625" style="90" bestFit="1" customWidth="1"/>
    <col min="5" max="13" width="1.77734375" style="90" customWidth="1"/>
    <col min="14" max="15" width="6" style="90" bestFit="1" customWidth="1"/>
    <col min="16" max="16" width="7.5546875" style="90" bestFit="1" customWidth="1"/>
    <col min="17" max="17" width="4" style="90" bestFit="1" customWidth="1"/>
    <col min="18" max="18" width="5.33203125" style="90" bestFit="1" customWidth="1"/>
    <col min="19" max="19" width="4" style="90" bestFit="1" customWidth="1"/>
    <col min="20" max="21" width="6.5546875" style="90" bestFit="1" customWidth="1"/>
    <col min="22" max="22" width="8.44140625" style="90" bestFit="1" customWidth="1"/>
    <col min="23" max="23" width="6.6640625" style="90" bestFit="1" customWidth="1"/>
    <col min="24" max="24" width="5.33203125" style="90" bestFit="1" customWidth="1"/>
    <col min="25" max="25" width="6.6640625" style="90" bestFit="1" customWidth="1"/>
    <col min="26" max="26" width="5.33203125" style="90" bestFit="1" customWidth="1"/>
    <col min="27" max="34" width="1.77734375" style="90" customWidth="1"/>
    <col min="35" max="35" width="7.5546875" style="90" bestFit="1" customWidth="1"/>
    <col min="36" max="16384" width="8.88671875" style="90"/>
  </cols>
  <sheetData>
    <row r="1" spans="1:36">
      <c r="A1" s="110" t="s">
        <v>87</v>
      </c>
      <c r="B1" s="110" t="s">
        <v>63</v>
      </c>
      <c r="C1" s="110" t="s">
        <v>64</v>
      </c>
      <c r="D1" s="110" t="s">
        <v>88</v>
      </c>
      <c r="E1" s="110"/>
      <c r="F1" s="110"/>
      <c r="G1" s="110"/>
      <c r="H1" s="110"/>
      <c r="I1" s="110"/>
      <c r="J1" s="110"/>
      <c r="K1" s="110"/>
      <c r="L1" s="110"/>
      <c r="M1" s="110"/>
      <c r="N1" s="110" t="s">
        <v>89</v>
      </c>
      <c r="O1" s="110" t="s">
        <v>90</v>
      </c>
      <c r="P1" s="110" t="s">
        <v>65</v>
      </c>
      <c r="Q1" s="110" t="s">
        <v>91</v>
      </c>
      <c r="R1" s="110" t="s">
        <v>67</v>
      </c>
      <c r="S1" s="110" t="s">
        <v>66</v>
      </c>
      <c r="T1" s="110" t="s">
        <v>68</v>
      </c>
      <c r="U1" s="110" t="s">
        <v>92</v>
      </c>
      <c r="V1" s="110" t="s">
        <v>69</v>
      </c>
      <c r="W1" s="110" t="s">
        <v>70</v>
      </c>
      <c r="X1" s="110" t="s">
        <v>93</v>
      </c>
      <c r="Y1" s="110" t="s">
        <v>116</v>
      </c>
      <c r="Z1" s="110" t="s">
        <v>117</v>
      </c>
      <c r="AA1" s="110"/>
      <c r="AB1" s="110"/>
      <c r="AC1" s="110"/>
      <c r="AD1" s="110"/>
      <c r="AE1" s="110"/>
      <c r="AF1" s="110"/>
      <c r="AG1" s="110"/>
      <c r="AH1" s="110"/>
      <c r="AI1" s="110" t="s">
        <v>94</v>
      </c>
      <c r="AJ1" s="148" t="s">
        <v>101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30"/>
  <sheetViews>
    <sheetView zoomScaleNormal="100" workbookViewId="0"/>
  </sheetViews>
  <sheetFormatPr defaultColWidth="9" defaultRowHeight="17.100000000000001" customHeight="1"/>
  <cols>
    <col min="1" max="33" width="10.44140625" style="33" customWidth="1"/>
    <col min="34" max="16384" width="9" style="33"/>
  </cols>
  <sheetData>
    <row r="1" spans="1:18" s="12" customFormat="1" ht="33" customHeight="1">
      <c r="A1" s="15" t="s">
        <v>84</v>
      </c>
    </row>
    <row r="2" spans="1:18" s="12" customFormat="1" ht="17.100000000000001" customHeight="1">
      <c r="A2" s="17" t="s">
        <v>43</v>
      </c>
      <c r="F2" s="91" t="s">
        <v>62</v>
      </c>
      <c r="I2" s="91" t="s">
        <v>72</v>
      </c>
      <c r="M2" s="17" t="s">
        <v>44</v>
      </c>
      <c r="P2" s="17" t="s">
        <v>45</v>
      </c>
    </row>
    <row r="3" spans="1:18" s="12" customFormat="1" ht="13.5">
      <c r="A3" s="14" t="s">
        <v>319</v>
      </c>
      <c r="B3" s="14" t="s">
        <v>320</v>
      </c>
      <c r="C3" s="14" t="s">
        <v>321</v>
      </c>
      <c r="D3" s="14" t="s">
        <v>85</v>
      </c>
      <c r="E3" s="14" t="s">
        <v>60</v>
      </c>
      <c r="F3" s="14" t="s">
        <v>55</v>
      </c>
      <c r="G3" s="14" t="s">
        <v>56</v>
      </c>
      <c r="H3" s="14" t="s">
        <v>51</v>
      </c>
      <c r="I3" s="13" t="s">
        <v>46</v>
      </c>
      <c r="J3" s="14" t="s">
        <v>61</v>
      </c>
      <c r="K3" s="14" t="s">
        <v>73</v>
      </c>
      <c r="L3" s="14" t="s">
        <v>47</v>
      </c>
      <c r="M3" s="14" t="s">
        <v>48</v>
      </c>
      <c r="N3" s="41" t="s">
        <v>49</v>
      </c>
      <c r="O3" s="41" t="s">
        <v>50</v>
      </c>
      <c r="P3" s="41" t="s">
        <v>316</v>
      </c>
      <c r="Q3" s="41" t="s">
        <v>317</v>
      </c>
      <c r="R3" s="106" t="s">
        <v>318</v>
      </c>
    </row>
    <row r="4" spans="1:18" s="12" customFormat="1" ht="17.100000000000001" customHeight="1">
      <c r="A4" s="105"/>
      <c r="B4" s="105"/>
      <c r="C4" s="105"/>
      <c r="D4" s="105"/>
      <c r="E4" s="23"/>
      <c r="F4" s="23"/>
      <c r="G4" s="55"/>
      <c r="H4" s="42"/>
      <c r="I4" s="23"/>
      <c r="J4" s="23"/>
      <c r="K4" s="92"/>
      <c r="L4" s="42"/>
      <c r="M4" s="23"/>
      <c r="N4" s="23"/>
      <c r="O4" s="23"/>
      <c r="P4" s="23"/>
      <c r="Q4" s="23"/>
      <c r="R4" s="107"/>
    </row>
    <row r="5" spans="1:18" s="12" customFormat="1" ht="17.100000000000001" customHeight="1">
      <c r="A5" s="105"/>
      <c r="B5" s="105"/>
      <c r="C5" s="105"/>
      <c r="D5" s="105"/>
      <c r="E5" s="23"/>
      <c r="F5" s="23"/>
      <c r="G5" s="55"/>
      <c r="H5" s="42"/>
      <c r="I5" s="23"/>
      <c r="J5" s="23"/>
      <c r="K5" s="92"/>
      <c r="L5" s="42"/>
      <c r="M5" s="23"/>
      <c r="N5" s="24"/>
      <c r="O5" s="24"/>
      <c r="P5" s="24"/>
      <c r="Q5" s="24"/>
      <c r="R5" s="108"/>
    </row>
    <row r="6" spans="1:18" s="12" customFormat="1" ht="17.100000000000001" customHeight="1">
      <c r="A6" s="105"/>
      <c r="B6" s="105"/>
      <c r="C6" s="105"/>
      <c r="D6" s="105"/>
      <c r="E6" s="23"/>
      <c r="F6" s="23"/>
      <c r="G6" s="55"/>
      <c r="H6" s="42"/>
      <c r="I6" s="23"/>
      <c r="J6" s="23"/>
      <c r="K6" s="92"/>
      <c r="L6" s="42"/>
      <c r="M6" s="23"/>
      <c r="N6" s="24"/>
      <c r="O6" s="24"/>
      <c r="P6" s="24"/>
      <c r="Q6" s="24"/>
      <c r="R6" s="108"/>
    </row>
    <row r="7" spans="1:18" s="12" customFormat="1" ht="17.100000000000001" customHeight="1">
      <c r="A7" s="105"/>
      <c r="B7" s="105"/>
      <c r="C7" s="105"/>
      <c r="D7" s="105"/>
      <c r="E7" s="23"/>
      <c r="F7" s="23"/>
      <c r="G7" s="55"/>
      <c r="H7" s="42"/>
      <c r="I7" s="23"/>
      <c r="J7" s="23"/>
      <c r="K7" s="92"/>
      <c r="L7" s="42"/>
      <c r="M7" s="23"/>
      <c r="N7" s="24"/>
      <c r="O7" s="24"/>
      <c r="P7" s="24"/>
      <c r="Q7" s="24"/>
      <c r="R7" s="108"/>
    </row>
    <row r="8" spans="1:18" s="12" customFormat="1" ht="17.100000000000001" customHeight="1">
      <c r="A8" s="105"/>
      <c r="B8" s="105"/>
      <c r="C8" s="105"/>
      <c r="D8" s="105"/>
      <c r="E8" s="23"/>
      <c r="F8" s="23"/>
      <c r="G8" s="55"/>
      <c r="H8" s="42"/>
      <c r="I8" s="23"/>
      <c r="J8" s="23"/>
      <c r="K8" s="92"/>
      <c r="L8" s="42"/>
      <c r="M8" s="23"/>
      <c r="N8" s="24"/>
      <c r="O8" s="24"/>
      <c r="P8" s="24"/>
      <c r="Q8" s="24"/>
      <c r="R8" s="108"/>
    </row>
    <row r="9" spans="1:18" s="12" customFormat="1" ht="17.100000000000001" customHeight="1">
      <c r="A9" s="105"/>
      <c r="B9" s="105"/>
      <c r="C9" s="105"/>
      <c r="D9" s="105"/>
      <c r="E9" s="23"/>
      <c r="F9" s="23"/>
      <c r="G9" s="55"/>
      <c r="H9" s="42"/>
      <c r="I9" s="23"/>
      <c r="J9" s="23"/>
      <c r="K9" s="92"/>
      <c r="L9" s="42"/>
      <c r="M9" s="23"/>
      <c r="N9" s="24"/>
      <c r="O9" s="24"/>
      <c r="P9" s="24"/>
      <c r="Q9" s="24"/>
      <c r="R9" s="108"/>
    </row>
    <row r="10" spans="1:18" s="12" customFormat="1" ht="17.100000000000001" customHeight="1">
      <c r="A10" s="105"/>
      <c r="B10" s="105"/>
      <c r="C10" s="105"/>
      <c r="D10" s="105"/>
      <c r="E10" s="23"/>
      <c r="F10" s="23"/>
      <c r="G10" s="55"/>
      <c r="H10" s="42"/>
      <c r="I10" s="23"/>
      <c r="J10" s="23"/>
      <c r="K10" s="92"/>
      <c r="L10" s="42"/>
      <c r="M10" s="23"/>
      <c r="N10" s="24"/>
      <c r="O10" s="24"/>
      <c r="P10" s="24"/>
      <c r="Q10" s="24"/>
      <c r="R10" s="108"/>
    </row>
    <row r="11" spans="1:18" s="12" customFormat="1" ht="17.100000000000001" customHeight="1">
      <c r="A11" s="105"/>
      <c r="B11" s="105"/>
      <c r="C11" s="105"/>
      <c r="D11" s="105"/>
      <c r="E11" s="23"/>
      <c r="F11" s="23"/>
      <c r="G11" s="55"/>
      <c r="H11" s="42"/>
      <c r="I11" s="23"/>
      <c r="J11" s="23"/>
      <c r="K11" s="92"/>
      <c r="L11" s="42"/>
      <c r="M11" s="23"/>
      <c r="N11" s="24"/>
      <c r="O11" s="24"/>
      <c r="P11" s="24"/>
      <c r="Q11" s="24"/>
      <c r="R11" s="108"/>
    </row>
    <row r="12" spans="1:18" s="12" customFormat="1" ht="17.100000000000001" customHeight="1">
      <c r="A12" s="105"/>
      <c r="B12" s="105"/>
      <c r="C12" s="105"/>
      <c r="D12" s="105"/>
      <c r="E12" s="23"/>
      <c r="F12" s="23"/>
      <c r="G12" s="55"/>
      <c r="H12" s="42"/>
      <c r="I12" s="23"/>
      <c r="J12" s="23"/>
      <c r="K12" s="92"/>
      <c r="L12" s="42"/>
      <c r="M12" s="23"/>
      <c r="N12" s="24"/>
      <c r="O12" s="24"/>
      <c r="P12" s="24"/>
      <c r="Q12" s="24"/>
      <c r="R12" s="108"/>
    </row>
    <row r="13" spans="1:18" s="12" customFormat="1" ht="17.100000000000001" customHeight="1">
      <c r="A13" s="105"/>
      <c r="B13" s="105"/>
      <c r="C13" s="105"/>
      <c r="D13" s="105"/>
      <c r="E13" s="23"/>
      <c r="F13" s="23"/>
      <c r="G13" s="55"/>
      <c r="H13" s="42"/>
      <c r="I13" s="23"/>
      <c r="J13" s="23"/>
      <c r="K13" s="92"/>
      <c r="L13" s="42"/>
      <c r="M13" s="23"/>
      <c r="N13" s="24"/>
      <c r="O13" s="24"/>
      <c r="P13" s="24"/>
      <c r="Q13" s="24"/>
      <c r="R13" s="108"/>
    </row>
    <row r="14" spans="1:18" s="12" customFormat="1" ht="17.100000000000001" customHeight="1">
      <c r="A14" s="105"/>
      <c r="B14" s="105"/>
      <c r="C14" s="105"/>
      <c r="D14" s="105"/>
      <c r="E14" s="23"/>
      <c r="F14" s="23"/>
      <c r="G14" s="55"/>
      <c r="H14" s="42"/>
      <c r="I14" s="23"/>
      <c r="J14" s="23"/>
      <c r="K14" s="92"/>
      <c r="L14" s="42"/>
      <c r="M14" s="23"/>
      <c r="N14" s="24"/>
      <c r="O14" s="24"/>
      <c r="P14" s="24"/>
      <c r="Q14" s="24"/>
      <c r="R14" s="108"/>
    </row>
    <row r="15" spans="1:18" s="12" customFormat="1" ht="17.100000000000001" customHeight="1">
      <c r="A15" s="105"/>
      <c r="B15" s="105"/>
      <c r="C15" s="105"/>
      <c r="D15" s="105"/>
      <c r="E15" s="23"/>
      <c r="F15" s="23"/>
      <c r="G15" s="55"/>
      <c r="H15" s="42"/>
      <c r="I15" s="23"/>
      <c r="J15" s="23"/>
      <c r="K15" s="92"/>
      <c r="L15" s="42"/>
      <c r="M15" s="24"/>
      <c r="N15" s="24"/>
      <c r="O15" s="24"/>
      <c r="P15" s="24"/>
      <c r="Q15" s="24"/>
      <c r="R15" s="108"/>
    </row>
    <row r="16" spans="1:18" s="12" customFormat="1" ht="17.100000000000001" customHeight="1"/>
    <row r="17" spans="1:13" s="12" customFormat="1" ht="17.100000000000001" customHeight="1">
      <c r="A17" s="17" t="s">
        <v>86</v>
      </c>
    </row>
    <row r="18" spans="1:13" s="19" customFormat="1" ht="18" customHeight="1">
      <c r="A18" s="156" t="s">
        <v>2</v>
      </c>
      <c r="B18" s="156" t="s">
        <v>104</v>
      </c>
      <c r="C18" s="156" t="s">
        <v>105</v>
      </c>
      <c r="D18" s="156" t="s">
        <v>109</v>
      </c>
      <c r="E18" s="156" t="s">
        <v>110</v>
      </c>
      <c r="F18" s="156" t="s">
        <v>111</v>
      </c>
      <c r="G18" s="156" t="s">
        <v>111</v>
      </c>
      <c r="H18" s="156" t="s">
        <v>112</v>
      </c>
      <c r="I18" s="156" t="s">
        <v>78</v>
      </c>
      <c r="J18" s="156" t="s">
        <v>113</v>
      </c>
      <c r="K18" s="156" t="s">
        <v>322</v>
      </c>
      <c r="L18" s="156" t="s">
        <v>61</v>
      </c>
      <c r="M18" s="156" t="s">
        <v>114</v>
      </c>
    </row>
    <row r="19" spans="1:13" ht="17.100000000000001" customHeight="1">
      <c r="A19" s="109"/>
      <c r="B19" s="109"/>
      <c r="C19" s="109"/>
      <c r="D19" s="109"/>
      <c r="E19" s="109"/>
      <c r="F19" s="109"/>
      <c r="G19" s="109"/>
      <c r="H19" s="109"/>
      <c r="I19" s="109"/>
      <c r="J19" s="123"/>
      <c r="K19" s="123"/>
      <c r="L19" s="109"/>
      <c r="M19" s="109"/>
    </row>
    <row r="20" spans="1:13" ht="17.100000000000001" customHeight="1">
      <c r="A20" s="109"/>
      <c r="B20" s="109"/>
      <c r="C20" s="109"/>
      <c r="D20" s="109"/>
      <c r="E20" s="109"/>
      <c r="F20" s="109"/>
      <c r="G20" s="109"/>
      <c r="H20" s="109"/>
      <c r="I20" s="109"/>
      <c r="J20" s="123"/>
      <c r="K20" s="123"/>
      <c r="L20" s="109"/>
      <c r="M20" s="109"/>
    </row>
    <row r="21" spans="1:13" ht="17.100000000000001" customHeight="1">
      <c r="A21" s="109"/>
      <c r="B21" s="109"/>
      <c r="C21" s="109"/>
      <c r="D21" s="109"/>
      <c r="E21" s="109"/>
      <c r="F21" s="109"/>
      <c r="G21" s="109"/>
      <c r="H21" s="109"/>
      <c r="I21" s="109"/>
      <c r="J21" s="123"/>
      <c r="K21" s="123"/>
      <c r="L21" s="109"/>
      <c r="M21" s="109"/>
    </row>
    <row r="22" spans="1:13" ht="17.100000000000001" customHeight="1">
      <c r="A22" s="109"/>
      <c r="B22" s="109"/>
      <c r="C22" s="109"/>
      <c r="D22" s="109"/>
      <c r="E22" s="109"/>
      <c r="F22" s="109"/>
      <c r="G22" s="109"/>
      <c r="H22" s="109"/>
      <c r="I22" s="109"/>
      <c r="J22" s="123"/>
      <c r="K22" s="123"/>
      <c r="L22" s="109"/>
      <c r="M22" s="109"/>
    </row>
    <row r="23" spans="1:13" ht="17.100000000000001" customHeight="1">
      <c r="A23" s="109"/>
      <c r="B23" s="109"/>
      <c r="C23" s="109"/>
      <c r="D23" s="109"/>
      <c r="E23" s="109"/>
      <c r="F23" s="109"/>
      <c r="G23" s="109"/>
      <c r="H23" s="109"/>
      <c r="I23" s="109"/>
      <c r="J23" s="123"/>
      <c r="K23" s="123"/>
      <c r="L23" s="109"/>
      <c r="M23" s="109"/>
    </row>
    <row r="24" spans="1:13" ht="17.100000000000001" customHeight="1">
      <c r="A24" s="109"/>
      <c r="B24" s="109"/>
      <c r="C24" s="109"/>
      <c r="D24" s="109"/>
      <c r="E24" s="109"/>
      <c r="F24" s="109"/>
      <c r="G24" s="109"/>
      <c r="H24" s="109"/>
      <c r="I24" s="109"/>
      <c r="J24" s="123"/>
      <c r="K24" s="123"/>
      <c r="L24" s="109"/>
      <c r="M24" s="109"/>
    </row>
    <row r="25" spans="1:13" ht="17.100000000000001" customHeight="1">
      <c r="A25" s="109"/>
      <c r="B25" s="109"/>
      <c r="C25" s="109"/>
      <c r="D25" s="109"/>
      <c r="E25" s="109"/>
      <c r="F25" s="109"/>
      <c r="G25" s="109"/>
      <c r="H25" s="109"/>
      <c r="I25" s="109"/>
      <c r="J25" s="123"/>
      <c r="K25" s="123"/>
      <c r="L25" s="109"/>
      <c r="M25" s="109"/>
    </row>
    <row r="26" spans="1:13" ht="17.100000000000001" customHeight="1">
      <c r="A26" s="109"/>
      <c r="B26" s="109"/>
      <c r="C26" s="109"/>
      <c r="D26" s="109"/>
      <c r="E26" s="109"/>
      <c r="F26" s="109"/>
      <c r="G26" s="109"/>
      <c r="H26" s="109"/>
      <c r="I26" s="109"/>
      <c r="J26" s="123"/>
      <c r="K26" s="123"/>
      <c r="L26" s="109"/>
      <c r="M26" s="109"/>
    </row>
    <row r="27" spans="1:13" ht="17.100000000000001" customHeight="1">
      <c r="A27" s="109"/>
      <c r="B27" s="109"/>
      <c r="C27" s="109"/>
      <c r="D27" s="109"/>
      <c r="E27" s="109"/>
      <c r="F27" s="109"/>
      <c r="G27" s="109"/>
      <c r="H27" s="109"/>
      <c r="I27" s="109"/>
      <c r="J27" s="123"/>
      <c r="K27" s="123"/>
      <c r="L27" s="109"/>
      <c r="M27" s="109"/>
    </row>
    <row r="28" spans="1:13" ht="17.100000000000001" customHeight="1">
      <c r="A28" s="109"/>
      <c r="B28" s="109"/>
      <c r="C28" s="109"/>
      <c r="D28" s="109"/>
      <c r="E28" s="109"/>
      <c r="F28" s="109"/>
      <c r="G28" s="109"/>
      <c r="H28" s="109"/>
      <c r="I28" s="109"/>
      <c r="J28" s="123"/>
      <c r="K28" s="123"/>
      <c r="L28" s="109"/>
      <c r="M28" s="109"/>
    </row>
    <row r="29" spans="1:13" ht="17.100000000000001" customHeight="1">
      <c r="A29" s="109"/>
      <c r="B29" s="109"/>
      <c r="C29" s="109"/>
      <c r="D29" s="109"/>
      <c r="E29" s="109"/>
      <c r="F29" s="109"/>
      <c r="G29" s="109"/>
      <c r="H29" s="109"/>
      <c r="I29" s="109"/>
      <c r="J29" s="123"/>
      <c r="K29" s="123"/>
      <c r="L29" s="109"/>
      <c r="M29" s="109"/>
    </row>
    <row r="30" spans="1:13" ht="17.100000000000001" customHeight="1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1" width="3.77734375" style="37" customWidth="1"/>
    <col min="2" max="2" width="4.77734375" style="37" customWidth="1"/>
    <col min="3" max="9" width="8.77734375" style="37" customWidth="1"/>
    <col min="10" max="10" width="4.77734375" style="37" customWidth="1"/>
    <col min="11" max="11" width="3.77734375" style="37" customWidth="1"/>
    <col min="12" max="16384" width="10.77734375" style="37"/>
  </cols>
  <sheetData>
    <row r="1" spans="1:11" s="47" customFormat="1" ht="33" customHeight="1">
      <c r="A1" s="319" t="s">
        <v>34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</row>
    <row r="2" spans="1:11" s="47" customFormat="1" ht="33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</row>
    <row r="3" spans="1:11" s="47" customFormat="1" ht="12.75" customHeight="1">
      <c r="A3" s="48" t="s">
        <v>79</v>
      </c>
      <c r="B3" s="48"/>
      <c r="C3" s="22"/>
      <c r="D3" s="22"/>
      <c r="E3" s="22"/>
      <c r="F3" s="22"/>
      <c r="G3" s="22"/>
      <c r="H3" s="22"/>
      <c r="I3" s="22"/>
      <c r="J3" s="48"/>
      <c r="K3" s="22"/>
    </row>
    <row r="4" spans="1:11" s="49" customFormat="1" ht="13.5" customHeight="1">
      <c r="A4" s="85" t="str">
        <f>" 교   정   번   호(Calibration No) : "&amp;기본정보!H3</f>
        <v xml:space="preserve"> 교   정   번   호(Calibration No) : </v>
      </c>
      <c r="B4" s="206"/>
      <c r="C4" s="86"/>
      <c r="D4" s="86"/>
      <c r="E4" s="94"/>
      <c r="F4" s="86"/>
      <c r="G4" s="95"/>
      <c r="H4" s="87"/>
      <c r="I4" s="205"/>
      <c r="J4" s="206"/>
      <c r="K4" s="94"/>
    </row>
    <row r="5" spans="1:11" s="36" customFormat="1" ht="15" customHeight="1"/>
    <row r="6" spans="1:11" ht="15" customHeight="1">
      <c r="C6" s="54" t="str">
        <f>"○ 품명 : "&amp;기본정보!C$5</f>
        <v xml:space="preserve">○ 품명 : </v>
      </c>
      <c r="D6" s="54"/>
    </row>
    <row r="7" spans="1:11" ht="15" customHeight="1">
      <c r="C7" s="54" t="str">
        <f>"○ 제작회사 : "&amp;기본정보!C$6</f>
        <v xml:space="preserve">○ 제작회사 : </v>
      </c>
      <c r="D7" s="54"/>
    </row>
    <row r="8" spans="1:11" ht="15" customHeight="1">
      <c r="C8" s="54" t="str">
        <f>"○ 형식 : "&amp;기본정보!C$7</f>
        <v xml:space="preserve">○ 형식 : </v>
      </c>
      <c r="D8" s="54"/>
    </row>
    <row r="9" spans="1:11" ht="15" customHeight="1">
      <c r="C9" s="54" t="str">
        <f>"○ 기기번호 : "&amp;기본정보!C$8</f>
        <v xml:space="preserve">○ 기기번호 : </v>
      </c>
      <c r="D9" s="54"/>
    </row>
    <row r="19" spans="1:10" ht="15" customHeight="1">
      <c r="E19" s="37" t="s">
        <v>592</v>
      </c>
      <c r="H19" s="318" t="s">
        <v>593</v>
      </c>
      <c r="I19" s="318"/>
    </row>
    <row r="21" spans="1:10" ht="15" customHeight="1">
      <c r="C21" s="38" t="s">
        <v>338</v>
      </c>
      <c r="D21" s="38"/>
    </row>
    <row r="22" spans="1:10" ht="15" customHeight="1">
      <c r="A22" s="44"/>
      <c r="B22" s="44"/>
      <c r="C22" s="315" t="s">
        <v>527</v>
      </c>
      <c r="D22" s="311" t="s">
        <v>528</v>
      </c>
      <c r="E22" s="312"/>
      <c r="F22" s="311" t="s">
        <v>367</v>
      </c>
      <c r="G22" s="312"/>
      <c r="H22" s="246" t="s">
        <v>529</v>
      </c>
      <c r="I22" s="246" t="s">
        <v>468</v>
      </c>
      <c r="J22" s="44"/>
    </row>
    <row r="23" spans="1:10" ht="15" customHeight="1">
      <c r="A23" s="44"/>
      <c r="B23" s="44"/>
      <c r="C23" s="320"/>
      <c r="D23" s="313" t="s">
        <v>97</v>
      </c>
      <c r="E23" s="314"/>
      <c r="F23" s="313"/>
      <c r="G23" s="314"/>
      <c r="H23" s="257" t="s">
        <v>530</v>
      </c>
      <c r="I23" s="257" t="s">
        <v>531</v>
      </c>
      <c r="J23" s="44"/>
    </row>
    <row r="24" spans="1:10" ht="15" customHeight="1">
      <c r="A24" s="44"/>
      <c r="B24" s="44"/>
      <c r="C24" s="315" t="s">
        <v>532</v>
      </c>
      <c r="D24" s="315" t="str">
        <f>Calcu!AH9</f>
        <v>-</v>
      </c>
      <c r="E24" s="321" t="str">
        <f>Calcu!AL9</f>
        <v>-</v>
      </c>
      <c r="F24" s="315" t="s">
        <v>533</v>
      </c>
      <c r="G24" s="128" t="s">
        <v>142</v>
      </c>
      <c r="H24" s="128" t="str">
        <f>Calcu!AI9</f>
        <v>-</v>
      </c>
      <c r="I24" s="315" t="e">
        <f ca="1">Calcu!S37</f>
        <v>#DIV/0!</v>
      </c>
      <c r="J24" s="44"/>
    </row>
    <row r="25" spans="1:10" ht="15" customHeight="1">
      <c r="A25" s="44"/>
      <c r="B25" s="44"/>
      <c r="C25" s="316"/>
      <c r="D25" s="316"/>
      <c r="E25" s="322"/>
      <c r="F25" s="316"/>
      <c r="G25" s="128" t="s">
        <v>534</v>
      </c>
      <c r="H25" s="128" t="str">
        <f>Calcu!AI11</f>
        <v>-</v>
      </c>
      <c r="I25" s="316"/>
      <c r="J25" s="44"/>
    </row>
    <row r="26" spans="1:10" ht="15" customHeight="1">
      <c r="A26" s="44"/>
      <c r="B26" s="44"/>
      <c r="C26" s="316"/>
      <c r="D26" s="316"/>
      <c r="E26" s="322"/>
      <c r="F26" s="317"/>
      <c r="G26" s="128" t="s">
        <v>535</v>
      </c>
      <c r="H26" s="128" t="str">
        <f>Calcu!AI13</f>
        <v>-</v>
      </c>
      <c r="I26" s="316"/>
      <c r="J26" s="44"/>
    </row>
    <row r="27" spans="1:10" ht="15" customHeight="1">
      <c r="A27" s="44"/>
      <c r="B27" s="44"/>
      <c r="C27" s="316"/>
      <c r="D27" s="316"/>
      <c r="E27" s="323" t="str">
        <f>Calcu!AK9</f>
        <v>-</v>
      </c>
      <c r="F27" s="315" t="s">
        <v>536</v>
      </c>
      <c r="G27" s="128" t="s">
        <v>537</v>
      </c>
      <c r="H27" s="128" t="str">
        <f>Calcu!AI10</f>
        <v>-</v>
      </c>
      <c r="I27" s="316"/>
      <c r="J27" s="44"/>
    </row>
    <row r="28" spans="1:10" ht="15" customHeight="1">
      <c r="A28" s="44"/>
      <c r="B28" s="44"/>
      <c r="C28" s="316"/>
      <c r="D28" s="316"/>
      <c r="E28" s="323"/>
      <c r="F28" s="316"/>
      <c r="G28" s="128" t="s">
        <v>538</v>
      </c>
      <c r="H28" s="128" t="str">
        <f>Calcu!AI12</f>
        <v>-</v>
      </c>
      <c r="I28" s="316"/>
      <c r="J28" s="44"/>
    </row>
    <row r="29" spans="1:10" ht="15" customHeight="1">
      <c r="A29" s="44"/>
      <c r="B29" s="44"/>
      <c r="C29" s="317"/>
      <c r="D29" s="317"/>
      <c r="E29" s="324"/>
      <c r="F29" s="317"/>
      <c r="G29" s="128" t="s">
        <v>539</v>
      </c>
      <c r="H29" s="128" t="str">
        <f>Calcu!AI14</f>
        <v>-</v>
      </c>
      <c r="I29" s="317"/>
      <c r="J29" s="44"/>
    </row>
    <row r="30" spans="1:10" ht="15" customHeight="1">
      <c r="A30" s="44"/>
      <c r="B30" s="44"/>
      <c r="C30" s="315" t="s">
        <v>540</v>
      </c>
      <c r="D30" s="315" t="str">
        <f>Calcu!AH15</f>
        <v>-</v>
      </c>
      <c r="E30" s="321" t="str">
        <f>Calcu!AL15</f>
        <v>-</v>
      </c>
      <c r="F30" s="315" t="s">
        <v>541</v>
      </c>
      <c r="G30" s="128" t="s">
        <v>537</v>
      </c>
      <c r="H30" s="128" t="str">
        <f>Calcu!AI15</f>
        <v>-</v>
      </c>
      <c r="I30" s="315" t="e">
        <f ca="1">Calcu!S37</f>
        <v>#DIV/0!</v>
      </c>
      <c r="J30" s="44"/>
    </row>
    <row r="31" spans="1:10" ht="15" customHeight="1">
      <c r="A31" s="44"/>
      <c r="B31" s="44"/>
      <c r="C31" s="316"/>
      <c r="D31" s="316"/>
      <c r="E31" s="322"/>
      <c r="F31" s="317"/>
      <c r="G31" s="128" t="s">
        <v>538</v>
      </c>
      <c r="H31" s="128" t="str">
        <f>Calcu!AI17</f>
        <v>-</v>
      </c>
      <c r="I31" s="316"/>
      <c r="J31" s="44"/>
    </row>
    <row r="32" spans="1:10" ht="15" customHeight="1">
      <c r="A32" s="44"/>
      <c r="B32" s="44"/>
      <c r="C32" s="316"/>
      <c r="D32" s="316"/>
      <c r="E32" s="325" t="str">
        <f>Calcu!AK15</f>
        <v>-</v>
      </c>
      <c r="F32" s="315" t="s">
        <v>542</v>
      </c>
      <c r="G32" s="128" t="s">
        <v>537</v>
      </c>
      <c r="H32" s="128" t="str">
        <f>Calcu!AI16</f>
        <v>-</v>
      </c>
      <c r="I32" s="316"/>
      <c r="J32" s="44"/>
    </row>
    <row r="33" spans="1:10" ht="15" customHeight="1">
      <c r="A33" s="44"/>
      <c r="B33" s="44"/>
      <c r="C33" s="317"/>
      <c r="D33" s="317"/>
      <c r="E33" s="326"/>
      <c r="F33" s="317"/>
      <c r="G33" s="128" t="s">
        <v>538</v>
      </c>
      <c r="H33" s="128" t="str">
        <f>Calcu!AI18</f>
        <v>-</v>
      </c>
      <c r="I33" s="317"/>
      <c r="J33" s="44"/>
    </row>
    <row r="34" spans="1:10" ht="15" customHeight="1">
      <c r="A34" s="44"/>
      <c r="B34" s="44"/>
      <c r="D34" s="53" t="e">
        <f ca="1">IF(Calcu!E47="사다리꼴","※ 신뢰수준 95 %,","※ 신뢰수준 약 95 %,")</f>
        <v>#DIV/0!</v>
      </c>
      <c r="E34" s="157" t="e">
        <f ca="1">Calcu!E48&amp;IF(Calcu!E47="사다리꼴",", 사다리꼴 확률분포.","")</f>
        <v>#DIV/0!</v>
      </c>
      <c r="J34" s="38"/>
    </row>
    <row r="35" spans="1:10" ht="15" customHeight="1">
      <c r="C35" s="73"/>
      <c r="D35" s="73"/>
      <c r="E35" s="73"/>
      <c r="F35" s="73"/>
      <c r="G35" s="73"/>
      <c r="H35" s="73"/>
      <c r="I35" s="73"/>
      <c r="J35" s="73"/>
    </row>
  </sheetData>
  <mergeCells count="20">
    <mergeCell ref="A1:K2"/>
    <mergeCell ref="C24:C29"/>
    <mergeCell ref="C30:C33"/>
    <mergeCell ref="D23:E23"/>
    <mergeCell ref="D22:E22"/>
    <mergeCell ref="D24:D29"/>
    <mergeCell ref="D30:D33"/>
    <mergeCell ref="C22:C23"/>
    <mergeCell ref="E24:E26"/>
    <mergeCell ref="E27:E29"/>
    <mergeCell ref="E30:E31"/>
    <mergeCell ref="E32:E33"/>
    <mergeCell ref="F22:G23"/>
    <mergeCell ref="F24:F26"/>
    <mergeCell ref="F27:F29"/>
    <mergeCell ref="F32:F33"/>
    <mergeCell ref="H19:I19"/>
    <mergeCell ref="F30:F31"/>
    <mergeCell ref="I24:I29"/>
    <mergeCell ref="I30:I3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6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1" width="3.77734375" style="37" customWidth="1"/>
    <col min="2" max="2" width="4.77734375" style="37" customWidth="1"/>
    <col min="3" max="9" width="8.77734375" style="37" customWidth="1"/>
    <col min="10" max="10" width="4.77734375" style="37" customWidth="1"/>
    <col min="11" max="12" width="3.77734375" style="37" customWidth="1"/>
    <col min="13" max="16384" width="10.77734375" style="37"/>
  </cols>
  <sheetData>
    <row r="1" spans="1:12" s="75" customFormat="1" ht="33" customHeight="1">
      <c r="A1" s="327" t="s">
        <v>58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258"/>
    </row>
    <row r="2" spans="1:12" s="75" customFormat="1" ht="33" customHeight="1">
      <c r="A2" s="327"/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258"/>
    </row>
    <row r="3" spans="1:12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  <c r="J3" s="48"/>
      <c r="K3" s="22"/>
      <c r="L3" s="48"/>
    </row>
    <row r="4" spans="1:12" s="49" customFormat="1" ht="13.5" customHeight="1">
      <c r="A4" s="85" t="str">
        <f>" 교   정   번   호(Calibration No) : "&amp;기본정보!H3</f>
        <v xml:space="preserve"> 교   정   번   호(Calibration No) : </v>
      </c>
      <c r="B4" s="206"/>
      <c r="C4" s="86"/>
      <c r="D4" s="86"/>
      <c r="E4" s="94"/>
      <c r="F4" s="86"/>
      <c r="G4" s="95"/>
      <c r="H4" s="87"/>
      <c r="I4" s="205"/>
      <c r="J4" s="206"/>
      <c r="K4" s="94"/>
      <c r="L4" s="85"/>
    </row>
    <row r="5" spans="1:12" s="36" customFormat="1" ht="15" customHeight="1"/>
    <row r="6" spans="1:12" ht="15" customHeight="1">
      <c r="C6" s="54" t="str">
        <f>"○ Description : "&amp;기본정보!C$5</f>
        <v xml:space="preserve">○ Description : </v>
      </c>
      <c r="D6" s="54"/>
    </row>
    <row r="7" spans="1:12" ht="15" customHeight="1">
      <c r="C7" s="54" t="str">
        <f>"○ Manufacturer  : "&amp;기본정보!C$6</f>
        <v xml:space="preserve">○ Manufacturer  : </v>
      </c>
      <c r="D7" s="54"/>
    </row>
    <row r="8" spans="1:12" ht="15" customHeight="1">
      <c r="C8" s="54" t="str">
        <f>"○ Model Name : "&amp;기본정보!C$7</f>
        <v xml:space="preserve">○ Model Name : </v>
      </c>
      <c r="D8" s="54"/>
    </row>
    <row r="9" spans="1:12" ht="15" customHeight="1">
      <c r="C9" s="54" t="str">
        <f>"○ Serial Number : "&amp;기본정보!C$8</f>
        <v xml:space="preserve">○ Serial Number : </v>
      </c>
      <c r="D9" s="54"/>
    </row>
    <row r="13" spans="1:12" ht="15" customHeight="1">
      <c r="L13" s="44"/>
    </row>
    <row r="14" spans="1:12" ht="15" customHeight="1">
      <c r="L14" s="44"/>
    </row>
    <row r="15" spans="1:12" ht="15" customHeight="1">
      <c r="L15" s="44"/>
    </row>
    <row r="16" spans="1:12" ht="15" customHeight="1">
      <c r="L16" s="44"/>
    </row>
    <row r="17" spans="1:12" ht="15" customHeight="1">
      <c r="L17" s="44"/>
    </row>
    <row r="18" spans="1:12" ht="15" customHeight="1">
      <c r="L18" s="44"/>
    </row>
    <row r="19" spans="1:12" ht="15" customHeight="1">
      <c r="E19" s="37" t="s">
        <v>594</v>
      </c>
      <c r="H19" s="318" t="s">
        <v>595</v>
      </c>
      <c r="I19" s="318"/>
      <c r="L19" s="44"/>
    </row>
    <row r="20" spans="1:12" ht="15" customHeight="1">
      <c r="L20" s="44"/>
    </row>
    <row r="21" spans="1:12" ht="15" customHeight="1">
      <c r="C21" s="38" t="s">
        <v>543</v>
      </c>
      <c r="D21" s="38"/>
      <c r="L21" s="44"/>
    </row>
    <row r="22" spans="1:12" ht="15" customHeight="1">
      <c r="A22" s="44"/>
      <c r="B22" s="44"/>
      <c r="C22" s="328" t="s">
        <v>544</v>
      </c>
      <c r="D22" s="311" t="s">
        <v>545</v>
      </c>
      <c r="E22" s="312"/>
      <c r="F22" s="311" t="s">
        <v>548</v>
      </c>
      <c r="G22" s="312"/>
      <c r="H22" s="328" t="s">
        <v>546</v>
      </c>
      <c r="I22" s="328" t="s">
        <v>547</v>
      </c>
      <c r="J22" s="44"/>
      <c r="L22" s="44"/>
    </row>
    <row r="23" spans="1:12" ht="15" customHeight="1">
      <c r="A23" s="44"/>
      <c r="B23" s="44"/>
      <c r="C23" s="329"/>
      <c r="D23" s="331"/>
      <c r="E23" s="332"/>
      <c r="F23" s="331"/>
      <c r="G23" s="332"/>
      <c r="H23" s="329"/>
      <c r="I23" s="329"/>
      <c r="J23" s="44"/>
      <c r="L23" s="44"/>
    </row>
    <row r="24" spans="1:12" ht="15" customHeight="1">
      <c r="A24" s="44"/>
      <c r="B24" s="44"/>
      <c r="C24" s="330"/>
      <c r="D24" s="313" t="s">
        <v>97</v>
      </c>
      <c r="E24" s="314"/>
      <c r="F24" s="313"/>
      <c r="G24" s="314"/>
      <c r="H24" s="257" t="s">
        <v>530</v>
      </c>
      <c r="I24" s="257" t="s">
        <v>531</v>
      </c>
      <c r="J24" s="44"/>
      <c r="L24" s="44"/>
    </row>
    <row r="25" spans="1:12" ht="15" customHeight="1">
      <c r="A25" s="44"/>
      <c r="B25" s="44"/>
      <c r="C25" s="315" t="s">
        <v>553</v>
      </c>
      <c r="D25" s="315" t="str">
        <f>Calcu!AH9</f>
        <v>-</v>
      </c>
      <c r="E25" s="321" t="str">
        <f>Calcu!AL9</f>
        <v>-</v>
      </c>
      <c r="F25" s="315" t="s">
        <v>549</v>
      </c>
      <c r="G25" s="128" t="s">
        <v>142</v>
      </c>
      <c r="H25" s="128" t="str">
        <f>Calcu!AI9</f>
        <v>-</v>
      </c>
      <c r="I25" s="315" t="e">
        <f ca="1">Calcu!S37</f>
        <v>#DIV/0!</v>
      </c>
      <c r="J25" s="44"/>
      <c r="L25" s="44"/>
    </row>
    <row r="26" spans="1:12" ht="15" customHeight="1">
      <c r="A26" s="44"/>
      <c r="B26" s="44"/>
      <c r="C26" s="316"/>
      <c r="D26" s="316"/>
      <c r="E26" s="322"/>
      <c r="F26" s="316"/>
      <c r="G26" s="128" t="s">
        <v>534</v>
      </c>
      <c r="H26" s="128" t="str">
        <f>Calcu!AI11</f>
        <v>-</v>
      </c>
      <c r="I26" s="316"/>
      <c r="J26" s="44"/>
      <c r="L26" s="44"/>
    </row>
    <row r="27" spans="1:12" ht="15" customHeight="1">
      <c r="A27" s="44"/>
      <c r="B27" s="44"/>
      <c r="C27" s="316"/>
      <c r="D27" s="316"/>
      <c r="E27" s="322"/>
      <c r="F27" s="317"/>
      <c r="G27" s="128" t="s">
        <v>535</v>
      </c>
      <c r="H27" s="128" t="str">
        <f>Calcu!AI13</f>
        <v>-</v>
      </c>
      <c r="I27" s="316"/>
      <c r="J27" s="44"/>
      <c r="L27" s="44"/>
    </row>
    <row r="28" spans="1:12" ht="15" customHeight="1">
      <c r="A28" s="44"/>
      <c r="B28" s="44"/>
      <c r="C28" s="316"/>
      <c r="D28" s="316"/>
      <c r="E28" s="323" t="str">
        <f>Calcu!AK9</f>
        <v>-</v>
      </c>
      <c r="F28" s="315" t="s">
        <v>550</v>
      </c>
      <c r="G28" s="128" t="s">
        <v>537</v>
      </c>
      <c r="H28" s="128" t="str">
        <f>Calcu!AI10</f>
        <v>-</v>
      </c>
      <c r="I28" s="316"/>
      <c r="J28" s="44"/>
      <c r="L28" s="44"/>
    </row>
    <row r="29" spans="1:12" ht="15" customHeight="1">
      <c r="A29" s="44"/>
      <c r="B29" s="44"/>
      <c r="C29" s="316"/>
      <c r="D29" s="316"/>
      <c r="E29" s="323"/>
      <c r="F29" s="316"/>
      <c r="G29" s="128" t="s">
        <v>538</v>
      </c>
      <c r="H29" s="128" t="str">
        <f>Calcu!AI12</f>
        <v>-</v>
      </c>
      <c r="I29" s="316"/>
      <c r="J29" s="44"/>
      <c r="L29" s="44"/>
    </row>
    <row r="30" spans="1:12" ht="15" customHeight="1">
      <c r="A30" s="44"/>
      <c r="B30" s="44"/>
      <c r="C30" s="317"/>
      <c r="D30" s="317"/>
      <c r="E30" s="324"/>
      <c r="F30" s="317"/>
      <c r="G30" s="128" t="s">
        <v>539</v>
      </c>
      <c r="H30" s="128" t="str">
        <f>Calcu!AI14</f>
        <v>-</v>
      </c>
      <c r="I30" s="317"/>
      <c r="J30" s="44"/>
      <c r="L30" s="44"/>
    </row>
    <row r="31" spans="1:12" ht="15" customHeight="1">
      <c r="A31" s="44"/>
      <c r="B31" s="44"/>
      <c r="C31" s="315" t="s">
        <v>554</v>
      </c>
      <c r="D31" s="315" t="str">
        <f>Calcu!AH15</f>
        <v>-</v>
      </c>
      <c r="E31" s="321" t="str">
        <f>Calcu!AL15</f>
        <v>-</v>
      </c>
      <c r="F31" s="315" t="s">
        <v>551</v>
      </c>
      <c r="G31" s="128" t="s">
        <v>537</v>
      </c>
      <c r="H31" s="128" t="str">
        <f>Calcu!AI15</f>
        <v>-</v>
      </c>
      <c r="I31" s="315" t="e">
        <f ca="1">Calcu!S37</f>
        <v>#DIV/0!</v>
      </c>
      <c r="J31" s="44"/>
      <c r="L31" s="44"/>
    </row>
    <row r="32" spans="1:12" ht="15" customHeight="1">
      <c r="A32" s="44"/>
      <c r="B32" s="44"/>
      <c r="C32" s="316"/>
      <c r="D32" s="316"/>
      <c r="E32" s="322"/>
      <c r="F32" s="317"/>
      <c r="G32" s="128" t="s">
        <v>538</v>
      </c>
      <c r="H32" s="128" t="str">
        <f>Calcu!AI17</f>
        <v>-</v>
      </c>
      <c r="I32" s="316"/>
      <c r="J32" s="44"/>
      <c r="L32" s="44"/>
    </row>
    <row r="33" spans="1:10" ht="15" customHeight="1">
      <c r="A33" s="44"/>
      <c r="B33" s="44"/>
      <c r="C33" s="316"/>
      <c r="D33" s="316"/>
      <c r="E33" s="325" t="str">
        <f>Calcu!AK15</f>
        <v>-</v>
      </c>
      <c r="F33" s="315" t="s">
        <v>552</v>
      </c>
      <c r="G33" s="128" t="s">
        <v>537</v>
      </c>
      <c r="H33" s="128" t="str">
        <f>Calcu!AI16</f>
        <v>-</v>
      </c>
      <c r="I33" s="316"/>
      <c r="J33" s="44"/>
    </row>
    <row r="34" spans="1:10" ht="15" customHeight="1">
      <c r="A34" s="44"/>
      <c r="B34" s="44"/>
      <c r="C34" s="317"/>
      <c r="D34" s="317"/>
      <c r="E34" s="326"/>
      <c r="F34" s="317"/>
      <c r="G34" s="128" t="s">
        <v>538</v>
      </c>
      <c r="H34" s="128" t="str">
        <f>Calcu!AI18</f>
        <v>-</v>
      </c>
      <c r="I34" s="317"/>
      <c r="J34" s="44"/>
    </row>
    <row r="35" spans="1:10" ht="15" customHeight="1">
      <c r="A35" s="44"/>
      <c r="B35" s="44"/>
      <c r="E35" s="53" t="e">
        <f ca="1">IF(Calcu!E47="사다리꼴","※ Confidence level 95 %,","※ Confidence level about 95 %,")</f>
        <v>#DIV/0!</v>
      </c>
      <c r="F35" s="157" t="e">
        <f ca="1">Calcu!E48&amp;IF(Calcu!E47="사다리꼴",", 사다리꼴 확률분포.","")</f>
        <v>#DIV/0!</v>
      </c>
      <c r="J35" s="38"/>
    </row>
    <row r="36" spans="1:10" ht="15" customHeight="1">
      <c r="C36" s="73"/>
      <c r="D36" s="73"/>
      <c r="E36" s="73"/>
      <c r="F36" s="73"/>
      <c r="G36" s="73"/>
      <c r="H36" s="73"/>
      <c r="I36" s="73"/>
      <c r="J36" s="74"/>
    </row>
  </sheetData>
  <mergeCells count="22">
    <mergeCell ref="C31:C34"/>
    <mergeCell ref="D31:D34"/>
    <mergeCell ref="E31:E32"/>
    <mergeCell ref="F31:F32"/>
    <mergeCell ref="I31:I34"/>
    <mergeCell ref="E33:E34"/>
    <mergeCell ref="F33:F34"/>
    <mergeCell ref="C25:C30"/>
    <mergeCell ref="D25:D30"/>
    <mergeCell ref="E25:E27"/>
    <mergeCell ref="F25:F27"/>
    <mergeCell ref="I25:I30"/>
    <mergeCell ref="E28:E30"/>
    <mergeCell ref="F28:F30"/>
    <mergeCell ref="A1:K2"/>
    <mergeCell ref="C22:C24"/>
    <mergeCell ref="F22:G24"/>
    <mergeCell ref="D24:E24"/>
    <mergeCell ref="H22:H23"/>
    <mergeCell ref="I22:I23"/>
    <mergeCell ref="D22:E23"/>
    <mergeCell ref="H19:I19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2" width="1.77734375" style="37" customWidth="1"/>
    <col min="3" max="3" width="6.6640625" style="37" bestFit="1" customWidth="1"/>
    <col min="4" max="4" width="5.33203125" style="37" bestFit="1" customWidth="1"/>
    <col min="5" max="5" width="6.6640625" style="37" bestFit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19" t="s">
        <v>302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17" s="47" customFormat="1" ht="33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17" s="47" customFormat="1" ht="12.75" customHeight="1">
      <c r="A3" s="48" t="s">
        <v>79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06" t="str">
        <f>" 교   정   번   호(Calibration No) : "&amp;기본정보!H3</f>
        <v xml:space="preserve"> 교   정   번   호(Calibration No) : </v>
      </c>
      <c r="B4" s="206"/>
      <c r="C4" s="206"/>
      <c r="D4" s="206"/>
      <c r="E4" s="206"/>
      <c r="F4" s="239"/>
      <c r="G4" s="239"/>
      <c r="H4" s="239"/>
      <c r="I4" s="239"/>
      <c r="J4" s="239"/>
      <c r="K4" s="208"/>
      <c r="L4" s="205"/>
      <c r="M4" s="207"/>
      <c r="N4" s="207"/>
      <c r="O4" s="207"/>
      <c r="P4" s="207"/>
      <c r="Q4" s="207"/>
    </row>
    <row r="5" spans="1:17" s="36" customFormat="1" ht="15" customHeight="1"/>
    <row r="6" spans="1:17" ht="15" customHeight="1">
      <c r="C6" s="54" t="str">
        <f>"○ 품명 : "&amp;기본정보!C$5</f>
        <v xml:space="preserve">○ 품명 : </v>
      </c>
      <c r="G6" s="54"/>
    </row>
    <row r="7" spans="1:17" ht="15" customHeight="1">
      <c r="C7" s="54" t="str">
        <f>"○ 제작회사 : "&amp;기본정보!C$6</f>
        <v xml:space="preserve">○ 제작회사 : </v>
      </c>
      <c r="G7" s="54"/>
    </row>
    <row r="8" spans="1:17" ht="15" customHeight="1">
      <c r="C8" s="54" t="str">
        <f>"○ 형식 : "&amp;기본정보!C$7</f>
        <v xml:space="preserve">○ 형식 : </v>
      </c>
      <c r="G8" s="54"/>
    </row>
    <row r="9" spans="1:17" ht="15" customHeight="1">
      <c r="C9" s="54" t="str">
        <f>"○ 기기번호 : "&amp;기본정보!C$8</f>
        <v xml:space="preserve">○ 기기번호 : </v>
      </c>
      <c r="G9" s="54"/>
    </row>
    <row r="11" spans="1:17" ht="15" customHeight="1">
      <c r="C11" s="38" t="s">
        <v>80</v>
      </c>
      <c r="G11" s="38"/>
    </row>
    <row r="12" spans="1:17" s="240" customFormat="1" ht="15" customHeight="1">
      <c r="B12" s="338"/>
      <c r="C12" s="340" t="s">
        <v>555</v>
      </c>
      <c r="D12" s="340" t="s">
        <v>556</v>
      </c>
      <c r="E12" s="340" t="s">
        <v>557</v>
      </c>
      <c r="F12" s="342" t="s">
        <v>303</v>
      </c>
      <c r="G12" s="344" t="s">
        <v>304</v>
      </c>
      <c r="H12" s="346" t="s">
        <v>81</v>
      </c>
      <c r="I12" s="348"/>
      <c r="J12" s="350" t="s">
        <v>305</v>
      </c>
      <c r="K12" s="350"/>
      <c r="L12" s="350"/>
      <c r="M12" s="333" t="s">
        <v>306</v>
      </c>
      <c r="N12" s="333"/>
      <c r="O12" s="333"/>
      <c r="P12" s="334"/>
      <c r="Q12" s="336" t="s">
        <v>307</v>
      </c>
    </row>
    <row r="13" spans="1:17" s="241" customFormat="1" ht="22.5">
      <c r="B13" s="339"/>
      <c r="C13" s="341"/>
      <c r="D13" s="341"/>
      <c r="E13" s="341"/>
      <c r="F13" s="343"/>
      <c r="G13" s="345"/>
      <c r="H13" s="347"/>
      <c r="I13" s="349"/>
      <c r="J13" s="242" t="s">
        <v>311</v>
      </c>
      <c r="K13" s="243" t="s">
        <v>312</v>
      </c>
      <c r="L13" s="243" t="s">
        <v>313</v>
      </c>
      <c r="M13" s="242" t="s">
        <v>311</v>
      </c>
      <c r="N13" s="243" t="s">
        <v>312</v>
      </c>
      <c r="O13" s="243" t="s">
        <v>313</v>
      </c>
      <c r="P13" s="335"/>
      <c r="Q13" s="337"/>
    </row>
    <row r="14" spans="1:17" ht="15" customHeight="1">
      <c r="A14" s="44"/>
      <c r="B14" s="43"/>
      <c r="C14" s="37" t="s">
        <v>558</v>
      </c>
      <c r="D14" s="37" t="s">
        <v>560</v>
      </c>
      <c r="E14" s="37" t="s">
        <v>563</v>
      </c>
      <c r="F14" s="51" t="str">
        <f>Calcu!AH9</f>
        <v>-</v>
      </c>
      <c r="G14" s="51" t="s">
        <v>308</v>
      </c>
      <c r="H14" s="51" t="str">
        <f>Calcu!AL9&amp;"/"&amp;Calcu!AK9</f>
        <v>-/-</v>
      </c>
      <c r="J14" s="37" t="str">
        <f>Calcu!AI9</f>
        <v>-</v>
      </c>
      <c r="K14" s="37" t="str">
        <f>Calcu!AJ9</f>
        <v>-</v>
      </c>
      <c r="L14" s="37" t="str">
        <f>LEFT(Calcu!AM9,1)</f>
        <v/>
      </c>
      <c r="M14" s="37" t="s">
        <v>309</v>
      </c>
      <c r="N14" s="37" t="s">
        <v>309</v>
      </c>
      <c r="O14" s="37" t="s">
        <v>310</v>
      </c>
      <c r="Q14" s="37" t="e">
        <f ca="1">Calcu!AN9</f>
        <v>#DIV/0!</v>
      </c>
    </row>
    <row r="15" spans="1:17" ht="15" customHeight="1">
      <c r="A15" s="44"/>
      <c r="B15" s="43"/>
      <c r="C15" s="37" t="s">
        <v>558</v>
      </c>
      <c r="D15" s="37" t="s">
        <v>560</v>
      </c>
      <c r="E15" s="37" t="s">
        <v>564</v>
      </c>
      <c r="F15" s="51" t="str">
        <f>Calcu!AH10</f>
        <v>-</v>
      </c>
      <c r="G15" s="51" t="s">
        <v>308</v>
      </c>
      <c r="H15" s="51" t="str">
        <f>Calcu!AL10&amp;"/"&amp;Calcu!AK10</f>
        <v>-/-</v>
      </c>
      <c r="J15" s="37" t="str">
        <f>Calcu!AI10</f>
        <v>-</v>
      </c>
      <c r="K15" s="37" t="str">
        <f>Calcu!AJ10</f>
        <v>-</v>
      </c>
      <c r="L15" s="37" t="str">
        <f>LEFT(Calcu!AM10,1)</f>
        <v/>
      </c>
      <c r="M15" s="37" t="s">
        <v>309</v>
      </c>
      <c r="N15" s="37" t="s">
        <v>309</v>
      </c>
      <c r="O15" s="37" t="s">
        <v>310</v>
      </c>
      <c r="Q15" s="37" t="e">
        <f ca="1">Calcu!AN10</f>
        <v>#DIV/0!</v>
      </c>
    </row>
    <row r="16" spans="1:17" ht="15" customHeight="1">
      <c r="A16" s="44"/>
      <c r="B16" s="43"/>
      <c r="C16" s="37" t="s">
        <v>558</v>
      </c>
      <c r="D16" s="37" t="s">
        <v>561</v>
      </c>
      <c r="E16" s="37" t="s">
        <v>563</v>
      </c>
      <c r="F16" s="51" t="str">
        <f>Calcu!AH11</f>
        <v>-</v>
      </c>
      <c r="G16" s="51" t="s">
        <v>308</v>
      </c>
      <c r="H16" s="51" t="str">
        <f>Calcu!AL11&amp;"/"&amp;Calcu!AK11</f>
        <v>-/-</v>
      </c>
      <c r="J16" s="37" t="str">
        <f>Calcu!AI11</f>
        <v>-</v>
      </c>
      <c r="K16" s="37" t="str">
        <f>Calcu!AJ11</f>
        <v>-</v>
      </c>
      <c r="L16" s="37" t="str">
        <f>LEFT(Calcu!AM11,1)</f>
        <v/>
      </c>
      <c r="M16" s="37" t="s">
        <v>309</v>
      </c>
      <c r="N16" s="37" t="s">
        <v>309</v>
      </c>
      <c r="O16" s="37" t="s">
        <v>310</v>
      </c>
      <c r="Q16" s="37" t="e">
        <f ca="1">Calcu!AN11</f>
        <v>#DIV/0!</v>
      </c>
    </row>
    <row r="17" spans="1:17" ht="15" customHeight="1">
      <c r="A17" s="44"/>
      <c r="B17" s="43"/>
      <c r="C17" s="37" t="s">
        <v>558</v>
      </c>
      <c r="D17" s="37" t="s">
        <v>561</v>
      </c>
      <c r="E17" s="37" t="s">
        <v>564</v>
      </c>
      <c r="F17" s="51" t="str">
        <f>Calcu!AH12</f>
        <v>-</v>
      </c>
      <c r="G17" s="51" t="s">
        <v>308</v>
      </c>
      <c r="H17" s="51" t="str">
        <f>Calcu!AL12&amp;"/"&amp;Calcu!AK12</f>
        <v>-/-</v>
      </c>
      <c r="J17" s="37" t="str">
        <f>Calcu!AI12</f>
        <v>-</v>
      </c>
      <c r="K17" s="37" t="str">
        <f>Calcu!AJ12</f>
        <v>-</v>
      </c>
      <c r="L17" s="37" t="str">
        <f>LEFT(Calcu!AM12,1)</f>
        <v/>
      </c>
      <c r="M17" s="37" t="s">
        <v>309</v>
      </c>
      <c r="N17" s="37" t="s">
        <v>309</v>
      </c>
      <c r="O17" s="37" t="s">
        <v>310</v>
      </c>
      <c r="Q17" s="37" t="e">
        <f ca="1">Calcu!AN12</f>
        <v>#DIV/0!</v>
      </c>
    </row>
    <row r="18" spans="1:17" ht="15" customHeight="1">
      <c r="A18" s="44"/>
      <c r="B18" s="43"/>
      <c r="C18" s="37" t="s">
        <v>558</v>
      </c>
      <c r="D18" s="37" t="s">
        <v>562</v>
      </c>
      <c r="E18" s="37" t="s">
        <v>563</v>
      </c>
      <c r="F18" s="51" t="str">
        <f>Calcu!AH13</f>
        <v>-</v>
      </c>
      <c r="G18" s="51" t="s">
        <v>308</v>
      </c>
      <c r="H18" s="51" t="str">
        <f>Calcu!AL13&amp;"/"&amp;Calcu!AK13</f>
        <v>-/-</v>
      </c>
      <c r="J18" s="37" t="str">
        <f>Calcu!AI13</f>
        <v>-</v>
      </c>
      <c r="K18" s="37" t="str">
        <f>Calcu!AJ13</f>
        <v>-</v>
      </c>
      <c r="L18" s="37" t="str">
        <f>LEFT(Calcu!AM13,1)</f>
        <v/>
      </c>
      <c r="M18" s="37" t="s">
        <v>309</v>
      </c>
      <c r="N18" s="37" t="s">
        <v>309</v>
      </c>
      <c r="O18" s="37" t="s">
        <v>310</v>
      </c>
      <c r="Q18" s="37" t="e">
        <f ca="1">Calcu!AN13</f>
        <v>#DIV/0!</v>
      </c>
    </row>
    <row r="19" spans="1:17" ht="15" customHeight="1">
      <c r="A19" s="44"/>
      <c r="B19" s="43"/>
      <c r="C19" s="37" t="s">
        <v>558</v>
      </c>
      <c r="D19" s="37" t="s">
        <v>562</v>
      </c>
      <c r="E19" s="37" t="s">
        <v>564</v>
      </c>
      <c r="F19" s="51" t="str">
        <f>Calcu!AH14</f>
        <v>-</v>
      </c>
      <c r="G19" s="51" t="s">
        <v>308</v>
      </c>
      <c r="H19" s="51" t="str">
        <f>Calcu!AL14&amp;"/"&amp;Calcu!AK14</f>
        <v>-/-</v>
      </c>
      <c r="J19" s="37" t="str">
        <f>Calcu!AI14</f>
        <v>-</v>
      </c>
      <c r="K19" s="37" t="str">
        <f>Calcu!AJ14</f>
        <v>-</v>
      </c>
      <c r="L19" s="37" t="str">
        <f>LEFT(Calcu!AM14,1)</f>
        <v/>
      </c>
      <c r="M19" s="37" t="s">
        <v>309</v>
      </c>
      <c r="N19" s="37" t="s">
        <v>309</v>
      </c>
      <c r="O19" s="37" t="s">
        <v>310</v>
      </c>
      <c r="Q19" s="37" t="e">
        <f ca="1">Calcu!AN14</f>
        <v>#DIV/0!</v>
      </c>
    </row>
    <row r="20" spans="1:17" ht="15" customHeight="1">
      <c r="A20" s="44"/>
      <c r="B20" s="43"/>
      <c r="C20" s="37" t="s">
        <v>559</v>
      </c>
      <c r="D20" s="37" t="s">
        <v>560</v>
      </c>
      <c r="E20" s="37" t="s">
        <v>563</v>
      </c>
      <c r="F20" s="51" t="str">
        <f>Calcu!AH15</f>
        <v>-</v>
      </c>
      <c r="G20" s="51" t="s">
        <v>308</v>
      </c>
      <c r="H20" s="51" t="str">
        <f>Calcu!AL15&amp;"/"&amp;Calcu!AK15</f>
        <v>-/-</v>
      </c>
      <c r="J20" s="37" t="str">
        <f>Calcu!AI15</f>
        <v>-</v>
      </c>
      <c r="K20" s="37" t="str">
        <f>Calcu!AJ15</f>
        <v>-</v>
      </c>
      <c r="L20" s="37" t="str">
        <f>LEFT(Calcu!AM15,1)</f>
        <v/>
      </c>
      <c r="M20" s="37" t="s">
        <v>309</v>
      </c>
      <c r="N20" s="37" t="s">
        <v>309</v>
      </c>
      <c r="O20" s="37" t="s">
        <v>310</v>
      </c>
      <c r="Q20" s="37" t="e">
        <f ca="1">Calcu!AN15</f>
        <v>#DIV/0!</v>
      </c>
    </row>
    <row r="21" spans="1:17" ht="15" customHeight="1">
      <c r="A21" s="44"/>
      <c r="B21" s="43"/>
      <c r="C21" s="37" t="s">
        <v>559</v>
      </c>
      <c r="D21" s="37" t="s">
        <v>560</v>
      </c>
      <c r="E21" s="37" t="s">
        <v>564</v>
      </c>
      <c r="F21" s="51" t="str">
        <f>Calcu!AH16</f>
        <v>-</v>
      </c>
      <c r="G21" s="51" t="s">
        <v>308</v>
      </c>
      <c r="H21" s="51" t="str">
        <f>Calcu!AL16&amp;"/"&amp;Calcu!AK16</f>
        <v>-/-</v>
      </c>
      <c r="J21" s="37" t="str">
        <f>Calcu!AI16</f>
        <v>-</v>
      </c>
      <c r="K21" s="37" t="str">
        <f>Calcu!AJ16</f>
        <v>-</v>
      </c>
      <c r="L21" s="37" t="str">
        <f>LEFT(Calcu!AM16,1)</f>
        <v/>
      </c>
      <c r="M21" s="37" t="s">
        <v>309</v>
      </c>
      <c r="N21" s="37" t="s">
        <v>309</v>
      </c>
      <c r="O21" s="37" t="s">
        <v>310</v>
      </c>
      <c r="Q21" s="37" t="e">
        <f ca="1">Calcu!AN16</f>
        <v>#DIV/0!</v>
      </c>
    </row>
    <row r="22" spans="1:17" ht="15" customHeight="1">
      <c r="A22" s="44"/>
      <c r="B22" s="43"/>
      <c r="C22" s="37" t="s">
        <v>559</v>
      </c>
      <c r="D22" s="37" t="s">
        <v>561</v>
      </c>
      <c r="E22" s="37" t="s">
        <v>563</v>
      </c>
      <c r="F22" s="51" t="str">
        <f>Calcu!AH17</f>
        <v>-</v>
      </c>
      <c r="G22" s="51" t="s">
        <v>308</v>
      </c>
      <c r="H22" s="51" t="str">
        <f>Calcu!AL17&amp;"/"&amp;Calcu!AK17</f>
        <v>-/-</v>
      </c>
      <c r="J22" s="37" t="str">
        <f>Calcu!AI17</f>
        <v>-</v>
      </c>
      <c r="K22" s="37" t="str">
        <f>Calcu!AJ17</f>
        <v>-</v>
      </c>
      <c r="L22" s="37" t="str">
        <f>LEFT(Calcu!AM17,1)</f>
        <v/>
      </c>
      <c r="M22" s="37" t="s">
        <v>309</v>
      </c>
      <c r="N22" s="37" t="s">
        <v>309</v>
      </c>
      <c r="O22" s="37" t="s">
        <v>310</v>
      </c>
      <c r="Q22" s="37" t="e">
        <f ca="1">Calcu!AN17</f>
        <v>#DIV/0!</v>
      </c>
    </row>
    <row r="23" spans="1:17" ht="15" customHeight="1">
      <c r="A23" s="44"/>
      <c r="B23" s="43"/>
      <c r="C23" s="37" t="s">
        <v>559</v>
      </c>
      <c r="D23" s="37" t="s">
        <v>561</v>
      </c>
      <c r="E23" s="37" t="s">
        <v>564</v>
      </c>
      <c r="F23" s="51" t="str">
        <f>Calcu!AH18</f>
        <v>-</v>
      </c>
      <c r="G23" s="51" t="s">
        <v>308</v>
      </c>
      <c r="H23" s="51" t="str">
        <f>Calcu!AL18&amp;"/"&amp;Calcu!AK18</f>
        <v>-/-</v>
      </c>
      <c r="J23" s="37" t="str">
        <f>Calcu!AI18</f>
        <v>-</v>
      </c>
      <c r="K23" s="37" t="str">
        <f>Calcu!AJ18</f>
        <v>-</v>
      </c>
      <c r="L23" s="37" t="str">
        <f>LEFT(Calcu!AM18,1)</f>
        <v/>
      </c>
      <c r="M23" s="37" t="s">
        <v>309</v>
      </c>
      <c r="N23" s="37" t="s">
        <v>309</v>
      </c>
      <c r="O23" s="37" t="s">
        <v>310</v>
      </c>
      <c r="Q23" s="37" t="e">
        <f ca="1">Calcu!AN18</f>
        <v>#DIV/0!</v>
      </c>
    </row>
    <row r="24" spans="1:17" ht="15" customHeight="1">
      <c r="A24" s="44"/>
      <c r="F24" s="51"/>
      <c r="G24" s="51"/>
      <c r="H24" s="51"/>
    </row>
    <row r="25" spans="1:17" ht="15" customHeight="1">
      <c r="A25" s="44"/>
      <c r="G25" s="53" t="e">
        <f ca="1">IF(Calcu!E47="사다리꼴","※ 신뢰수준 95 %,","※ 신뢰수준 약 95 %,")</f>
        <v>#DIV/0!</v>
      </c>
      <c r="H25" s="157" t="e">
        <f ca="1">Calcu!E48&amp;IF(Calcu!E47="사다리꼴",", 사다리꼴 확률분포","")</f>
        <v>#DIV/0!</v>
      </c>
      <c r="K25" s="50"/>
      <c r="Q25" s="53"/>
    </row>
    <row r="26" spans="1:17" ht="15" customHeight="1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4"/>
    </row>
  </sheetData>
  <mergeCells count="13">
    <mergeCell ref="M12:O12"/>
    <mergeCell ref="P12:P13"/>
    <mergeCell ref="Q12:Q13"/>
    <mergeCell ref="A1:Q2"/>
    <mergeCell ref="B12:B13"/>
    <mergeCell ref="C12:C13"/>
    <mergeCell ref="D12:D13"/>
    <mergeCell ref="E12:E13"/>
    <mergeCell ref="F12:F13"/>
    <mergeCell ref="G12:G13"/>
    <mergeCell ref="H12:H13"/>
    <mergeCell ref="I12:I13"/>
    <mergeCell ref="J12:L12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1" width="3.77734375" style="37" customWidth="1"/>
    <col min="2" max="2" width="4.77734375" style="37" customWidth="1"/>
    <col min="3" max="9" width="8.77734375" style="37" customWidth="1"/>
    <col min="10" max="10" width="4.77734375" style="37" customWidth="1"/>
    <col min="11" max="11" width="3.77734375" style="88" customWidth="1"/>
    <col min="12" max="12" width="8.77734375" style="99" customWidth="1"/>
    <col min="13" max="13" width="8.77734375" style="88" customWidth="1"/>
    <col min="14" max="16384" width="10.77734375" style="88"/>
  </cols>
  <sheetData>
    <row r="1" spans="1:12" s="75" customFormat="1" ht="33" customHeight="1">
      <c r="A1" s="352" t="s">
        <v>71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77"/>
    </row>
    <row r="2" spans="1:12" s="75" customFormat="1" ht="33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77"/>
    </row>
    <row r="3" spans="1:12" s="75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76"/>
      <c r="L3" s="98"/>
    </row>
    <row r="4" spans="1:12" s="77" customFormat="1" ht="13.5" customHeight="1">
      <c r="A4" s="85"/>
      <c r="B4" s="260"/>
      <c r="C4" s="86"/>
      <c r="D4" s="259"/>
      <c r="E4" s="259"/>
      <c r="F4" s="94"/>
      <c r="G4" s="86"/>
      <c r="H4" s="259"/>
      <c r="I4" s="86"/>
      <c r="J4" s="95"/>
      <c r="K4" s="85"/>
      <c r="L4" s="36"/>
    </row>
    <row r="5" spans="1:12" s="78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2" s="80" customFormat="1" ht="15" customHeight="1">
      <c r="A6" s="43"/>
      <c r="B6" s="43"/>
      <c r="C6" s="38" t="s">
        <v>98</v>
      </c>
      <c r="D6" s="38"/>
      <c r="E6" s="38"/>
      <c r="F6" s="37"/>
      <c r="G6" s="52"/>
      <c r="H6" s="52"/>
      <c r="I6" s="52"/>
      <c r="J6" s="52"/>
      <c r="K6" s="89"/>
    </row>
    <row r="7" spans="1:12" s="80" customFormat="1" ht="15" customHeight="1">
      <c r="A7" s="43"/>
      <c r="B7" s="43"/>
      <c r="C7" s="315" t="s">
        <v>565</v>
      </c>
      <c r="D7" s="311" t="s">
        <v>566</v>
      </c>
      <c r="E7" s="312"/>
      <c r="F7" s="127" t="s">
        <v>115</v>
      </c>
      <c r="G7" s="127" t="s">
        <v>82</v>
      </c>
      <c r="H7" s="149" t="s">
        <v>81</v>
      </c>
      <c r="I7" s="315" t="s">
        <v>83</v>
      </c>
      <c r="J7" s="51"/>
    </row>
    <row r="8" spans="1:12" s="80" customFormat="1" ht="15" customHeight="1">
      <c r="A8" s="43"/>
      <c r="B8" s="43"/>
      <c r="C8" s="320"/>
      <c r="D8" s="313"/>
      <c r="E8" s="314"/>
      <c r="F8" s="126" t="s">
        <v>99</v>
      </c>
      <c r="G8" s="126" t="s">
        <v>99</v>
      </c>
      <c r="H8" s="126" t="s">
        <v>97</v>
      </c>
      <c r="I8" s="351"/>
      <c r="J8" s="51"/>
    </row>
    <row r="9" spans="1:12" s="80" customFormat="1" ht="15" customHeight="1">
      <c r="A9" s="43"/>
      <c r="B9" s="43"/>
      <c r="C9" s="315" t="s">
        <v>558</v>
      </c>
      <c r="D9" s="315" t="s">
        <v>568</v>
      </c>
      <c r="E9" s="159" t="s">
        <v>570</v>
      </c>
      <c r="F9" s="159" t="str">
        <f>Calcu!AH9</f>
        <v>-</v>
      </c>
      <c r="G9" s="159" t="str">
        <f>Calcu!AI9</f>
        <v>-</v>
      </c>
      <c r="H9" s="159" t="str">
        <f>Calcu!AL9&amp;"/"&amp;Calcu!AK9</f>
        <v>-/-</v>
      </c>
      <c r="I9" s="159" t="str">
        <f>Calcu!AM9</f>
        <v/>
      </c>
    </row>
    <row r="10" spans="1:12" s="80" customFormat="1" ht="15" customHeight="1">
      <c r="A10" s="43"/>
      <c r="B10" s="43"/>
      <c r="C10" s="316"/>
      <c r="D10" s="316"/>
      <c r="E10" s="159" t="s">
        <v>571</v>
      </c>
      <c r="F10" s="159" t="str">
        <f>Calcu!AH11</f>
        <v>-</v>
      </c>
      <c r="G10" s="159" t="str">
        <f>Calcu!AI11</f>
        <v>-</v>
      </c>
      <c r="H10" s="159" t="str">
        <f>Calcu!AL11&amp;"/"&amp;Calcu!AK11</f>
        <v>-/-</v>
      </c>
      <c r="I10" s="159" t="str">
        <f>Calcu!AM11</f>
        <v/>
      </c>
    </row>
    <row r="11" spans="1:12" s="80" customFormat="1" ht="15" customHeight="1">
      <c r="A11" s="43"/>
      <c r="B11" s="43"/>
      <c r="C11" s="316"/>
      <c r="D11" s="320"/>
      <c r="E11" s="159" t="s">
        <v>572</v>
      </c>
      <c r="F11" s="159" t="str">
        <f>Calcu!AH13</f>
        <v>-</v>
      </c>
      <c r="G11" s="159" t="str">
        <f>Calcu!AI13</f>
        <v>-</v>
      </c>
      <c r="H11" s="159" t="str">
        <f>Calcu!AL13&amp;"/"&amp;Calcu!AK13</f>
        <v>-/-</v>
      </c>
      <c r="I11" s="159" t="str">
        <f>Calcu!AM13</f>
        <v/>
      </c>
    </row>
    <row r="12" spans="1:12" s="80" customFormat="1" ht="15" customHeight="1">
      <c r="A12" s="43"/>
      <c r="B12" s="43"/>
      <c r="C12" s="316"/>
      <c r="D12" s="315" t="s">
        <v>569</v>
      </c>
      <c r="E12" s="159" t="s">
        <v>570</v>
      </c>
      <c r="F12" s="159" t="str">
        <f>Calcu!AH10</f>
        <v>-</v>
      </c>
      <c r="G12" s="159" t="str">
        <f>Calcu!AI10</f>
        <v>-</v>
      </c>
      <c r="H12" s="159" t="str">
        <f>Calcu!AL10&amp;"/"&amp;Calcu!AK10</f>
        <v>-/-</v>
      </c>
      <c r="I12" s="159" t="str">
        <f>Calcu!AM10</f>
        <v/>
      </c>
    </row>
    <row r="13" spans="1:12" s="80" customFormat="1" ht="15" customHeight="1">
      <c r="A13" s="43"/>
      <c r="B13" s="43"/>
      <c r="C13" s="316"/>
      <c r="D13" s="316"/>
      <c r="E13" s="159" t="s">
        <v>571</v>
      </c>
      <c r="F13" s="159" t="str">
        <f>Calcu!AH12</f>
        <v>-</v>
      </c>
      <c r="G13" s="159" t="str">
        <f>Calcu!AI12</f>
        <v>-</v>
      </c>
      <c r="H13" s="159" t="str">
        <f>Calcu!AL12&amp;"/"&amp;Calcu!AK12</f>
        <v>-/-</v>
      </c>
      <c r="I13" s="159" t="str">
        <f>Calcu!AM12</f>
        <v/>
      </c>
    </row>
    <row r="14" spans="1:12" s="80" customFormat="1" ht="15" customHeight="1">
      <c r="A14" s="43"/>
      <c r="B14" s="43"/>
      <c r="C14" s="320"/>
      <c r="D14" s="320"/>
      <c r="E14" s="159" t="s">
        <v>573</v>
      </c>
      <c r="F14" s="159" t="str">
        <f>Calcu!AH14</f>
        <v>-</v>
      </c>
      <c r="G14" s="159" t="str">
        <f>Calcu!AI14</f>
        <v>-</v>
      </c>
      <c r="H14" s="159" t="str">
        <f>Calcu!AL14&amp;"/"&amp;Calcu!AK14</f>
        <v>-/-</v>
      </c>
      <c r="I14" s="159" t="str">
        <f>Calcu!AM14</f>
        <v/>
      </c>
    </row>
    <row r="15" spans="1:12" s="80" customFormat="1" ht="15" customHeight="1">
      <c r="A15" s="43"/>
      <c r="B15" s="43"/>
      <c r="C15" s="315" t="s">
        <v>567</v>
      </c>
      <c r="D15" s="315" t="s">
        <v>568</v>
      </c>
      <c r="E15" s="159" t="s">
        <v>570</v>
      </c>
      <c r="F15" s="159" t="str">
        <f>Calcu!AH15</f>
        <v>-</v>
      </c>
      <c r="G15" s="159" t="str">
        <f>Calcu!AI15</f>
        <v>-</v>
      </c>
      <c r="H15" s="159" t="str">
        <f>Calcu!AL15&amp;"/"&amp;Calcu!AK15</f>
        <v>-/-</v>
      </c>
      <c r="I15" s="159" t="str">
        <f>Calcu!AM15</f>
        <v/>
      </c>
    </row>
    <row r="16" spans="1:12" s="80" customFormat="1" ht="15" customHeight="1">
      <c r="A16" s="43"/>
      <c r="B16" s="43"/>
      <c r="C16" s="316"/>
      <c r="D16" s="320"/>
      <c r="E16" s="159" t="s">
        <v>574</v>
      </c>
      <c r="F16" s="159" t="str">
        <f>Calcu!AH17</f>
        <v>-</v>
      </c>
      <c r="G16" s="159" t="str">
        <f>Calcu!AI17</f>
        <v>-</v>
      </c>
      <c r="H16" s="159" t="str">
        <f>Calcu!AL17&amp;"/"&amp;Calcu!AK17</f>
        <v>-/-</v>
      </c>
      <c r="I16" s="159" t="str">
        <f>Calcu!AM17</f>
        <v/>
      </c>
    </row>
    <row r="17" spans="1:12" s="80" customFormat="1" ht="15" customHeight="1">
      <c r="A17" s="43"/>
      <c r="B17" s="43"/>
      <c r="C17" s="316"/>
      <c r="D17" s="315" t="s">
        <v>569</v>
      </c>
      <c r="E17" s="159" t="s">
        <v>575</v>
      </c>
      <c r="F17" s="159" t="str">
        <f>Calcu!AH16</f>
        <v>-</v>
      </c>
      <c r="G17" s="159" t="str">
        <f>Calcu!AI16</f>
        <v>-</v>
      </c>
      <c r="H17" s="159" t="str">
        <f>Calcu!AL16&amp;"/"&amp;Calcu!AK16</f>
        <v>-/-</v>
      </c>
      <c r="I17" s="159" t="str">
        <f>Calcu!AM16</f>
        <v/>
      </c>
    </row>
    <row r="18" spans="1:12" s="80" customFormat="1" ht="15" customHeight="1">
      <c r="A18" s="43"/>
      <c r="B18" s="43"/>
      <c r="C18" s="320"/>
      <c r="D18" s="320"/>
      <c r="E18" s="159" t="s">
        <v>576</v>
      </c>
      <c r="F18" s="159" t="str">
        <f>Calcu!AH18</f>
        <v>-</v>
      </c>
      <c r="G18" s="159" t="str">
        <f>Calcu!AI18</f>
        <v>-</v>
      </c>
      <c r="H18" s="159" t="str">
        <f>Calcu!AL18&amp;"/"&amp;Calcu!AK18</f>
        <v>-/-</v>
      </c>
      <c r="I18" s="159" t="str">
        <f>Calcu!AM18</f>
        <v/>
      </c>
    </row>
    <row r="19" spans="1:12" ht="15" customHeight="1">
      <c r="C19" s="100"/>
      <c r="D19" s="100"/>
      <c r="E19" s="100"/>
      <c r="F19" s="100"/>
      <c r="G19" s="100"/>
      <c r="H19" s="100"/>
      <c r="I19" s="100"/>
      <c r="J19" s="73"/>
      <c r="L19" s="88"/>
    </row>
    <row r="20" spans="1:12" ht="15" customHeight="1">
      <c r="L20" s="88"/>
    </row>
    <row r="21" spans="1:12" ht="15" customHeight="1">
      <c r="L21" s="88"/>
    </row>
  </sheetData>
  <mergeCells count="10">
    <mergeCell ref="I7:I8"/>
    <mergeCell ref="A1:K2"/>
    <mergeCell ref="C7:C8"/>
    <mergeCell ref="C15:C18"/>
    <mergeCell ref="C9:C14"/>
    <mergeCell ref="D7:E8"/>
    <mergeCell ref="D9:D11"/>
    <mergeCell ref="D12:D14"/>
    <mergeCell ref="D15:D16"/>
    <mergeCell ref="D17:D1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88" customWidth="1"/>
    <col min="13" max="16384" width="10.77734375" style="80"/>
  </cols>
  <sheetData>
    <row r="1" spans="1:12" s="75" customFormat="1" ht="33" customHeight="1">
      <c r="A1" s="352" t="s">
        <v>59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s="75" customFormat="1" ht="33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</row>
    <row r="3" spans="1:12" s="75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76"/>
    </row>
    <row r="4" spans="1:12" s="77" customFormat="1" ht="13.5" customHeight="1">
      <c r="A4" s="85"/>
      <c r="B4" s="85"/>
      <c r="C4" s="86"/>
      <c r="D4" s="86"/>
      <c r="E4" s="94"/>
      <c r="F4" s="86"/>
      <c r="G4" s="86"/>
      <c r="H4" s="95"/>
      <c r="I4" s="87"/>
      <c r="J4" s="94"/>
      <c r="K4" s="94"/>
      <c r="L4" s="85"/>
    </row>
    <row r="5" spans="1:12" s="79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78"/>
    </row>
    <row r="6" spans="1:12" s="37" customFormat="1" ht="15" customHeight="1">
      <c r="C6" s="54" t="str">
        <f>"○ 품명 : "&amp;기본정보!C$5</f>
        <v xml:space="preserve">○ 품명 : </v>
      </c>
      <c r="L6" s="88"/>
    </row>
    <row r="7" spans="1:12" s="37" customFormat="1" ht="15" customHeight="1">
      <c r="C7" s="54" t="str">
        <f>"○ 제작회사 : "&amp;기본정보!C$6</f>
        <v xml:space="preserve">○ 제작회사 : </v>
      </c>
      <c r="L7" s="88"/>
    </row>
    <row r="8" spans="1:12" s="37" customFormat="1" ht="15" customHeight="1">
      <c r="C8" s="54" t="str">
        <f>"○ 형식 : "&amp;기본정보!C$7</f>
        <v xml:space="preserve">○ 형식 : </v>
      </c>
      <c r="L8" s="88"/>
    </row>
    <row r="9" spans="1:12" s="37" customFormat="1" ht="15" customHeight="1">
      <c r="C9" s="54" t="str">
        <f>"○ 기기번호 : "&amp;기본정보!C$8</f>
        <v xml:space="preserve">○ 기기번호 : </v>
      </c>
      <c r="L9" s="88"/>
    </row>
    <row r="10" spans="1:12" s="37" customFormat="1" ht="15" customHeight="1">
      <c r="L10" s="88"/>
    </row>
    <row r="11" spans="1:12" ht="15" customHeight="1">
      <c r="B11" s="73"/>
      <c r="C11" s="100"/>
      <c r="D11" s="100"/>
      <c r="E11" s="100"/>
      <c r="F11" s="100"/>
      <c r="G11" s="100"/>
      <c r="H11" s="101"/>
      <c r="I11" s="101"/>
      <c r="J11" s="100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2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6" customFormat="1" ht="25.5">
      <c r="A1" s="62" t="s">
        <v>330</v>
      </c>
      <c r="B1" s="31"/>
      <c r="C1" s="31"/>
      <c r="D1" s="31"/>
      <c r="E1" s="63"/>
      <c r="F1" s="27"/>
      <c r="G1" s="27"/>
      <c r="H1" s="27"/>
      <c r="I1" s="27"/>
      <c r="J1" s="27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81" t="s">
        <v>2</v>
      </c>
      <c r="C3" s="182">
        <f>기본정보!C3</f>
        <v>0</v>
      </c>
      <c r="D3" s="181" t="s">
        <v>331</v>
      </c>
      <c r="E3" s="364">
        <f>기본정보!H3</f>
        <v>0</v>
      </c>
      <c r="F3" s="365"/>
      <c r="G3" s="181" t="s">
        <v>332</v>
      </c>
      <c r="H3" s="203">
        <f>기본정보!H8</f>
        <v>0</v>
      </c>
      <c r="I3" s="25"/>
    </row>
    <row r="4" spans="1:30" s="28" customFormat="1" ht="15" customHeight="1">
      <c r="A4" s="46"/>
      <c r="B4" s="181" t="s">
        <v>32</v>
      </c>
      <c r="C4" s="204">
        <f>기본정보!C8</f>
        <v>0</v>
      </c>
      <c r="D4" s="181" t="s">
        <v>129</v>
      </c>
      <c r="E4" s="362">
        <f>기본정보!H4</f>
        <v>0</v>
      </c>
      <c r="F4" s="363"/>
      <c r="G4" s="181" t="s">
        <v>333</v>
      </c>
      <c r="H4" s="203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96" t="s">
        <v>334</v>
      </c>
      <c r="C6" s="25"/>
      <c r="D6" s="25"/>
      <c r="E6" s="25"/>
      <c r="F6" s="25"/>
      <c r="G6" s="25"/>
      <c r="H6" s="25"/>
      <c r="I6" s="25"/>
    </row>
    <row r="7" spans="1:30" ht="15" customHeight="1">
      <c r="A7" s="29"/>
      <c r="B7" s="97" t="s">
        <v>335</v>
      </c>
      <c r="F7" s="25"/>
      <c r="G7" s="25"/>
      <c r="H7" s="25"/>
      <c r="I7" s="25"/>
      <c r="J7" s="28"/>
      <c r="K7" s="28"/>
      <c r="L7" s="28"/>
      <c r="M7" s="28"/>
    </row>
    <row r="8" spans="1:30" ht="15" customHeight="1">
      <c r="B8" s="366" t="s">
        <v>323</v>
      </c>
      <c r="C8" s="366" t="s">
        <v>320</v>
      </c>
      <c r="D8" s="366" t="s">
        <v>321</v>
      </c>
      <c r="E8" s="366" t="s">
        <v>85</v>
      </c>
      <c r="F8" s="366" t="s">
        <v>336</v>
      </c>
      <c r="G8" s="353" t="str">
        <f>Calcu!H6</f>
        <v>표준 측장기 지시값</v>
      </c>
      <c r="H8" s="354"/>
      <c r="I8" s="354"/>
      <c r="J8" s="28"/>
      <c r="K8" s="28"/>
      <c r="L8" s="28"/>
      <c r="M8" s="28"/>
    </row>
    <row r="9" spans="1:30" ht="15" customHeight="1">
      <c r="B9" s="367"/>
      <c r="C9" s="367"/>
      <c r="D9" s="367"/>
      <c r="E9" s="368"/>
      <c r="F9" s="368"/>
      <c r="G9" s="164" t="s">
        <v>324</v>
      </c>
      <c r="H9" s="186" t="s">
        <v>325</v>
      </c>
      <c r="I9" s="164" t="s">
        <v>337</v>
      </c>
      <c r="J9" s="28"/>
      <c r="K9" s="28"/>
      <c r="L9" s="28"/>
      <c r="M9" s="28"/>
    </row>
    <row r="10" spans="1:30" ht="15" customHeight="1">
      <c r="B10" s="368"/>
      <c r="C10" s="368"/>
      <c r="D10" s="368"/>
      <c r="E10" s="181" t="str">
        <f>Calcu!G9</f>
        <v/>
      </c>
      <c r="F10" s="181" t="str">
        <f>E10</f>
        <v/>
      </c>
      <c r="G10" s="181">
        <f>Calcu!H8</f>
        <v>0</v>
      </c>
      <c r="H10" s="181">
        <f t="shared" ref="H10:I10" si="0">G10</f>
        <v>0</v>
      </c>
      <c r="I10" s="181">
        <f t="shared" si="0"/>
        <v>0</v>
      </c>
      <c r="J10" s="28"/>
      <c r="K10" s="28"/>
      <c r="L10" s="28"/>
      <c r="M10" s="28"/>
    </row>
    <row r="11" spans="1:30" ht="13.5" customHeight="1">
      <c r="B11" s="355" t="str">
        <f>Calcu!C9</f>
        <v>통과측</v>
      </c>
      <c r="C11" s="355" t="str">
        <f>Calcu!D9</f>
        <v>A면</v>
      </c>
      <c r="D11" s="182" t="str">
        <f>Calcu!E9</f>
        <v>X방향</v>
      </c>
      <c r="E11" s="355" t="str">
        <f>Calcu!F9</f>
        <v/>
      </c>
      <c r="F11" s="358" t="e">
        <f>Length_16!N4-E11</f>
        <v>#VALUE!</v>
      </c>
      <c r="G11" s="182" t="str">
        <f>IF(Calcu!$B9=FALSE,"",TEXT(Calcu!H9,Calcu!$Q$37))</f>
        <v/>
      </c>
      <c r="H11" s="182" t="str">
        <f>IF(Calcu!$B9=FALSE,"",TEXT(Calcu!I9,Calcu!$Q$37))</f>
        <v/>
      </c>
      <c r="I11" s="182" t="str">
        <f>IF(Calcu!$B9=FALSE,"",TEXT(Calcu!J9,Calcu!$Q$37))</f>
        <v/>
      </c>
      <c r="J11" s="28"/>
      <c r="K11" s="28"/>
      <c r="L11" s="28"/>
      <c r="M11" s="28"/>
    </row>
    <row r="12" spans="1:30" ht="13.5" customHeight="1">
      <c r="B12" s="356"/>
      <c r="C12" s="357"/>
      <c r="D12" s="182" t="str">
        <f>Calcu!E10</f>
        <v>Y방향</v>
      </c>
      <c r="E12" s="356"/>
      <c r="F12" s="359"/>
      <c r="G12" s="182" t="str">
        <f>IF(Calcu!$B10=FALSE,"",TEXT(Calcu!H10,Calcu!$Q$37))</f>
        <v/>
      </c>
      <c r="H12" s="182" t="str">
        <f>IF(Calcu!$B10=FALSE,"",TEXT(Calcu!I10,Calcu!$Q$37))</f>
        <v/>
      </c>
      <c r="I12" s="182" t="str">
        <f>IF(Calcu!$B10=FALSE,"",TEXT(Calcu!J10,Calcu!$Q$37))</f>
        <v/>
      </c>
      <c r="J12" s="28"/>
      <c r="K12" s="28"/>
      <c r="L12" s="28"/>
      <c r="M12" s="28"/>
    </row>
    <row r="13" spans="1:30" ht="13.5" customHeight="1">
      <c r="B13" s="356"/>
      <c r="C13" s="355" t="str">
        <f>Calcu!D11</f>
        <v>B면</v>
      </c>
      <c r="D13" s="182" t="str">
        <f>Calcu!E11</f>
        <v>X방향</v>
      </c>
      <c r="E13" s="356"/>
      <c r="F13" s="359"/>
      <c r="G13" s="182" t="str">
        <f>IF(Calcu!$B11=FALSE,"",TEXT(Calcu!H11,Calcu!$Q$37))</f>
        <v/>
      </c>
      <c r="H13" s="182" t="str">
        <f>IF(Calcu!$B11=FALSE,"",TEXT(Calcu!I11,Calcu!$Q$37))</f>
        <v/>
      </c>
      <c r="I13" s="182" t="str">
        <f>IF(Calcu!$B11=FALSE,"",TEXT(Calcu!J11,Calcu!$Q$37))</f>
        <v/>
      </c>
      <c r="J13" s="28"/>
      <c r="K13" s="28"/>
      <c r="L13" s="28"/>
      <c r="M13" s="28"/>
    </row>
    <row r="14" spans="1:30" ht="13.5" customHeight="1">
      <c r="B14" s="356"/>
      <c r="C14" s="357"/>
      <c r="D14" s="182" t="str">
        <f>Calcu!E12</f>
        <v>Y방향</v>
      </c>
      <c r="E14" s="356"/>
      <c r="F14" s="360" t="e">
        <f>Length_16!M4-E11</f>
        <v>#VALUE!</v>
      </c>
      <c r="G14" s="182" t="str">
        <f>IF(Calcu!$B12=FALSE,"",TEXT(Calcu!H12,Calcu!$Q$37))</f>
        <v/>
      </c>
      <c r="H14" s="182" t="str">
        <f>IF(Calcu!$B12=FALSE,"",TEXT(Calcu!I12,Calcu!$Q$37))</f>
        <v/>
      </c>
      <c r="I14" s="182" t="str">
        <f>IF(Calcu!$B12=FALSE,"",TEXT(Calcu!J12,Calcu!$Q$37))</f>
        <v/>
      </c>
      <c r="J14" s="28"/>
      <c r="K14" s="28"/>
      <c r="L14" s="28"/>
      <c r="M14" s="28"/>
    </row>
    <row r="15" spans="1:30" ht="13.5" customHeight="1">
      <c r="B15" s="356"/>
      <c r="C15" s="355" t="str">
        <f>Calcu!D13</f>
        <v>C면</v>
      </c>
      <c r="D15" s="182" t="str">
        <f>Calcu!E13</f>
        <v>X방향</v>
      </c>
      <c r="E15" s="356"/>
      <c r="F15" s="360"/>
      <c r="G15" s="182" t="str">
        <f>IF(Calcu!$B13=FALSE,"",TEXT(Calcu!H13,Calcu!$Q$37))</f>
        <v/>
      </c>
      <c r="H15" s="182" t="str">
        <f>IF(Calcu!$B13=FALSE,"",TEXT(Calcu!I13,Calcu!$Q$37))</f>
        <v/>
      </c>
      <c r="I15" s="182" t="str">
        <f>IF(Calcu!$B13=FALSE,"",TEXT(Calcu!J13,Calcu!$Q$37))</f>
        <v/>
      </c>
      <c r="J15" s="28"/>
      <c r="K15" s="28"/>
      <c r="L15" s="28"/>
      <c r="M15" s="28"/>
    </row>
    <row r="16" spans="1:30" ht="13.5" customHeight="1">
      <c r="B16" s="357"/>
      <c r="C16" s="357"/>
      <c r="D16" s="182" t="str">
        <f>Calcu!E14</f>
        <v>Y방향</v>
      </c>
      <c r="E16" s="357"/>
      <c r="F16" s="361"/>
      <c r="G16" s="182" t="str">
        <f>IF(Calcu!$B14=FALSE,"",TEXT(Calcu!H14,Calcu!$Q$37))</f>
        <v/>
      </c>
      <c r="H16" s="182" t="str">
        <f>IF(Calcu!$B14=FALSE,"",TEXT(Calcu!I14,Calcu!$Q$37))</f>
        <v/>
      </c>
      <c r="I16" s="182" t="str">
        <f>IF(Calcu!$B14=FALSE,"",TEXT(Calcu!J14,Calcu!$Q$37))</f>
        <v/>
      </c>
      <c r="J16" s="28"/>
      <c r="K16" s="28"/>
      <c r="L16" s="28"/>
      <c r="M16" s="28"/>
    </row>
    <row r="17" spans="2:13" ht="13.5" customHeight="1">
      <c r="B17" s="355" t="str">
        <f>Calcu!C15</f>
        <v>정지측</v>
      </c>
      <c r="C17" s="355" t="str">
        <f>Calcu!D15</f>
        <v>A면</v>
      </c>
      <c r="D17" s="182" t="str">
        <f>Calcu!E15</f>
        <v>X방향</v>
      </c>
      <c r="E17" s="355" t="str">
        <f>Calcu!F15</f>
        <v/>
      </c>
      <c r="F17" s="358" t="e">
        <f>Length_16!N10-E17</f>
        <v>#VALUE!</v>
      </c>
      <c r="G17" s="182" t="str">
        <f>IF(Calcu!$B15=FALSE,"",TEXT(Calcu!H15,Calcu!$Q$37))</f>
        <v/>
      </c>
      <c r="H17" s="182" t="str">
        <f>IF(Calcu!$B15=FALSE,"",TEXT(Calcu!I15,Calcu!$Q$37))</f>
        <v/>
      </c>
      <c r="I17" s="182" t="str">
        <f>IF(Calcu!$B15=FALSE,"",TEXT(Calcu!J15,Calcu!$Q$37))</f>
        <v/>
      </c>
      <c r="J17" s="28"/>
      <c r="K17" s="28"/>
      <c r="L17" s="28"/>
      <c r="M17" s="28"/>
    </row>
    <row r="18" spans="2:13" ht="13.5" customHeight="1">
      <c r="B18" s="356"/>
      <c r="C18" s="357"/>
      <c r="D18" s="182" t="str">
        <f>Calcu!E16</f>
        <v>Y방향</v>
      </c>
      <c r="E18" s="356"/>
      <c r="F18" s="359"/>
      <c r="G18" s="182" t="str">
        <f>IF(Calcu!$B16=FALSE,"",TEXT(Calcu!H16,Calcu!$Q$37))</f>
        <v/>
      </c>
      <c r="H18" s="182" t="str">
        <f>IF(Calcu!$B16=FALSE,"",TEXT(Calcu!I16,Calcu!$Q$37))</f>
        <v/>
      </c>
      <c r="I18" s="182" t="str">
        <f>IF(Calcu!$B16=FALSE,"",TEXT(Calcu!J16,Calcu!$Q$37))</f>
        <v/>
      </c>
      <c r="J18" s="28"/>
      <c r="K18" s="28"/>
      <c r="L18" s="28"/>
      <c r="M18" s="28"/>
    </row>
    <row r="19" spans="2:13" ht="13.5" customHeight="1">
      <c r="B19" s="356"/>
      <c r="C19" s="355" t="str">
        <f>Calcu!D17</f>
        <v>B면</v>
      </c>
      <c r="D19" s="182" t="str">
        <f>Calcu!E17</f>
        <v>X방향</v>
      </c>
      <c r="E19" s="356"/>
      <c r="F19" s="359"/>
      <c r="G19" s="182" t="str">
        <f>IF(Calcu!$B17=FALSE,"",TEXT(Calcu!H17,Calcu!$Q$37))</f>
        <v/>
      </c>
      <c r="H19" s="182" t="str">
        <f>IF(Calcu!$B17=FALSE,"",TEXT(Calcu!I17,Calcu!$Q$37))</f>
        <v/>
      </c>
      <c r="I19" s="182" t="str">
        <f>IF(Calcu!$B17=FALSE,"",TEXT(Calcu!J17,Calcu!$Q$37))</f>
        <v/>
      </c>
      <c r="J19" s="28"/>
      <c r="K19" s="28"/>
      <c r="L19" s="28"/>
      <c r="M19" s="28"/>
    </row>
    <row r="20" spans="2:13" ht="13.5" customHeight="1">
      <c r="B20" s="356"/>
      <c r="C20" s="357"/>
      <c r="D20" s="182" t="str">
        <f>Calcu!E18</f>
        <v>Y방향</v>
      </c>
      <c r="E20" s="356"/>
      <c r="F20" s="360" t="e">
        <f>Length_16!M10-E17</f>
        <v>#VALUE!</v>
      </c>
      <c r="G20" s="182" t="str">
        <f>IF(Calcu!$B18=FALSE,"",TEXT(Calcu!H18,Calcu!$Q$37))</f>
        <v/>
      </c>
      <c r="H20" s="182" t="str">
        <f>IF(Calcu!$B18=FALSE,"",TEXT(Calcu!I18,Calcu!$Q$37))</f>
        <v/>
      </c>
      <c r="I20" s="182" t="str">
        <f>IF(Calcu!$B18=FALSE,"",TEXT(Calcu!J18,Calcu!$Q$37))</f>
        <v/>
      </c>
      <c r="J20" s="28"/>
      <c r="K20" s="28"/>
      <c r="L20" s="28"/>
      <c r="M20" s="28"/>
    </row>
    <row r="21" spans="2:13" ht="13.5" customHeight="1">
      <c r="B21" s="356"/>
      <c r="C21" s="355" t="str">
        <f>Calcu!D19</f>
        <v>C면</v>
      </c>
      <c r="D21" s="182" t="str">
        <f>Calcu!E19</f>
        <v>X방향</v>
      </c>
      <c r="E21" s="356"/>
      <c r="F21" s="360"/>
      <c r="G21" s="182" t="str">
        <f>IF(Calcu!$B19=FALSE,"",TEXT(Calcu!H19,Calcu!$Q$37))</f>
        <v/>
      </c>
      <c r="H21" s="182" t="str">
        <f>IF(Calcu!$B19=FALSE,"",TEXT(Calcu!I19,Calcu!$Q$37))</f>
        <v/>
      </c>
      <c r="I21" s="182" t="str">
        <f>IF(Calcu!$B19=FALSE,"",TEXT(Calcu!J19,Calcu!$Q$37))</f>
        <v/>
      </c>
      <c r="J21" s="28"/>
      <c r="K21" s="28"/>
      <c r="L21" s="28"/>
      <c r="M21" s="28"/>
    </row>
    <row r="22" spans="2:13" ht="13.5" customHeight="1">
      <c r="B22" s="357"/>
      <c r="C22" s="357"/>
      <c r="D22" s="182" t="str">
        <f>Calcu!E20</f>
        <v>Y방향</v>
      </c>
      <c r="E22" s="357"/>
      <c r="F22" s="361"/>
      <c r="G22" s="182" t="str">
        <f>IF(Calcu!$B20=FALSE,"",TEXT(Calcu!H20,Calcu!$Q$37))</f>
        <v/>
      </c>
      <c r="H22" s="182" t="str">
        <f>IF(Calcu!$B20=FALSE,"",TEXT(Calcu!I20,Calcu!$Q$37))</f>
        <v/>
      </c>
      <c r="I22" s="182" t="str">
        <f>IF(Calcu!$B20=FALSE,"",TEXT(Calcu!J20,Calcu!$Q$37))</f>
        <v/>
      </c>
      <c r="J22" s="28"/>
      <c r="K22" s="28"/>
      <c r="L22" s="28"/>
      <c r="M22" s="28"/>
    </row>
  </sheetData>
  <sortState ref="T5:U14">
    <sortCondition descending="1" ref="T5"/>
  </sortState>
  <mergeCells count="22">
    <mergeCell ref="B17:B22"/>
    <mergeCell ref="C17:C18"/>
    <mergeCell ref="E17:E22"/>
    <mergeCell ref="F17:F19"/>
    <mergeCell ref="C19:C20"/>
    <mergeCell ref="F20:F22"/>
    <mergeCell ref="C21:C22"/>
    <mergeCell ref="E4:F4"/>
    <mergeCell ref="E3:F3"/>
    <mergeCell ref="B8:B10"/>
    <mergeCell ref="C8:C10"/>
    <mergeCell ref="D8:D10"/>
    <mergeCell ref="E8:E9"/>
    <mergeCell ref="F8:F9"/>
    <mergeCell ref="G8:I8"/>
    <mergeCell ref="B11:B16"/>
    <mergeCell ref="C11:C12"/>
    <mergeCell ref="E11:E16"/>
    <mergeCell ref="F11:F13"/>
    <mergeCell ref="C13:C14"/>
    <mergeCell ref="F14:F16"/>
    <mergeCell ref="C15:C16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92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71" s="68" customFormat="1" ht="31.5">
      <c r="A1" s="67" t="s">
        <v>74</v>
      </c>
    </row>
    <row r="2" spans="1:71" s="68" customFormat="1" ht="18.75" customHeight="1"/>
    <row r="3" spans="1:71" s="68" customFormat="1" ht="18.75" customHeight="1">
      <c r="A3" s="69" t="s">
        <v>130</v>
      </c>
    </row>
    <row r="4" spans="1:71" s="68" customFormat="1" ht="18.75" customHeight="1">
      <c r="B4" s="475" t="s">
        <v>131</v>
      </c>
      <c r="C4" s="475"/>
      <c r="D4" s="475"/>
      <c r="E4" s="475"/>
      <c r="F4" s="475"/>
      <c r="G4" s="475"/>
      <c r="H4" s="476" t="s">
        <v>132</v>
      </c>
      <c r="I4" s="476"/>
      <c r="J4" s="476"/>
      <c r="K4" s="476"/>
      <c r="L4" s="476"/>
      <c r="M4" s="476"/>
      <c r="N4" s="475" t="s">
        <v>133</v>
      </c>
      <c r="O4" s="475"/>
      <c r="P4" s="475"/>
      <c r="Q4" s="475"/>
      <c r="R4" s="475"/>
      <c r="S4" s="475"/>
      <c r="T4" s="475" t="s">
        <v>134</v>
      </c>
      <c r="U4" s="475"/>
      <c r="V4" s="475"/>
      <c r="W4" s="475"/>
      <c r="X4" s="475"/>
      <c r="Y4" s="475"/>
    </row>
    <row r="5" spans="1:71" s="68" customFormat="1" ht="18.75" customHeight="1">
      <c r="B5" s="477" t="str">
        <f>Calcu!I3</f>
        <v/>
      </c>
      <c r="C5" s="477"/>
      <c r="D5" s="477"/>
      <c r="E5" s="477"/>
      <c r="F5" s="477"/>
      <c r="G5" s="477"/>
      <c r="H5" s="478">
        <f>Calcu!J3</f>
        <v>1</v>
      </c>
      <c r="I5" s="478"/>
      <c r="J5" s="478"/>
      <c r="K5" s="478"/>
      <c r="L5" s="478"/>
      <c r="M5" s="478"/>
      <c r="N5" s="477" t="s">
        <v>135</v>
      </c>
      <c r="O5" s="477"/>
      <c r="P5" s="477"/>
      <c r="Q5" s="477"/>
      <c r="R5" s="477"/>
      <c r="S5" s="477"/>
      <c r="T5" s="477" t="str">
        <f>Calcu!F3</f>
        <v>표준 측장기</v>
      </c>
      <c r="U5" s="477"/>
      <c r="V5" s="477"/>
      <c r="W5" s="477"/>
      <c r="X5" s="477"/>
      <c r="Y5" s="477"/>
    </row>
    <row r="6" spans="1:71" s="68" customFormat="1" ht="18.75" customHeight="1"/>
    <row r="7" spans="1:71" ht="18.75" customHeight="1">
      <c r="A7" s="57" t="s">
        <v>136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</row>
    <row r="8" spans="1:71" ht="18.75" customHeight="1">
      <c r="A8" s="57"/>
      <c r="B8" s="401" t="s">
        <v>527</v>
      </c>
      <c r="C8" s="402"/>
      <c r="D8" s="402"/>
      <c r="E8" s="402"/>
      <c r="F8" s="403"/>
      <c r="G8" s="401" t="s">
        <v>580</v>
      </c>
      <c r="H8" s="402"/>
      <c r="I8" s="402"/>
      <c r="J8" s="402"/>
      <c r="K8" s="403"/>
      <c r="L8" s="401" t="s">
        <v>321</v>
      </c>
      <c r="M8" s="402"/>
      <c r="N8" s="402"/>
      <c r="O8" s="402"/>
      <c r="P8" s="403"/>
      <c r="Q8" s="401" t="s">
        <v>528</v>
      </c>
      <c r="R8" s="402"/>
      <c r="S8" s="402"/>
      <c r="T8" s="402"/>
      <c r="U8" s="403"/>
      <c r="V8" s="401" t="s">
        <v>581</v>
      </c>
      <c r="W8" s="402"/>
      <c r="X8" s="402"/>
      <c r="Y8" s="402"/>
      <c r="Z8" s="403"/>
      <c r="AA8" s="376" t="str">
        <f>$T$5&amp;" 지시값"</f>
        <v>표준 측장기 지시값</v>
      </c>
      <c r="AB8" s="377"/>
      <c r="AC8" s="377"/>
      <c r="AD8" s="377"/>
      <c r="AE8" s="377"/>
      <c r="AF8" s="377"/>
      <c r="AG8" s="377"/>
      <c r="AH8" s="377"/>
      <c r="AI8" s="377"/>
      <c r="AJ8" s="377"/>
      <c r="AK8" s="377"/>
      <c r="AL8" s="377"/>
      <c r="AM8" s="377"/>
      <c r="AN8" s="377"/>
      <c r="AO8" s="378"/>
      <c r="AP8" s="401" t="s">
        <v>137</v>
      </c>
      <c r="AQ8" s="402"/>
      <c r="AR8" s="402"/>
      <c r="AS8" s="402"/>
      <c r="AT8" s="403"/>
      <c r="AU8" s="401" t="s">
        <v>138</v>
      </c>
      <c r="AV8" s="402"/>
      <c r="AW8" s="402"/>
      <c r="AX8" s="402"/>
      <c r="AY8" s="403"/>
      <c r="AZ8" s="401" t="str">
        <f>$T$5&amp;" 보정값"</f>
        <v>표준 측장기 보정값</v>
      </c>
      <c r="BA8" s="402"/>
      <c r="BB8" s="402"/>
      <c r="BC8" s="402"/>
      <c r="BD8" s="403"/>
      <c r="BE8" s="401" t="s">
        <v>139</v>
      </c>
      <c r="BF8" s="402"/>
      <c r="BG8" s="402"/>
      <c r="BH8" s="402"/>
      <c r="BI8" s="403"/>
      <c r="BJ8" s="401" t="s">
        <v>140</v>
      </c>
      <c r="BK8" s="402"/>
      <c r="BL8" s="402"/>
      <c r="BM8" s="402"/>
      <c r="BN8" s="403"/>
      <c r="BO8" s="401" t="s">
        <v>141</v>
      </c>
      <c r="BP8" s="402"/>
      <c r="BQ8" s="402"/>
      <c r="BR8" s="402"/>
      <c r="BS8" s="403"/>
    </row>
    <row r="9" spans="1:71" ht="18.75" customHeight="1">
      <c r="A9" s="57"/>
      <c r="B9" s="404"/>
      <c r="C9" s="405"/>
      <c r="D9" s="405"/>
      <c r="E9" s="405"/>
      <c r="F9" s="406"/>
      <c r="G9" s="404"/>
      <c r="H9" s="405"/>
      <c r="I9" s="405"/>
      <c r="J9" s="405"/>
      <c r="K9" s="406"/>
      <c r="L9" s="404"/>
      <c r="M9" s="405"/>
      <c r="N9" s="405"/>
      <c r="O9" s="405"/>
      <c r="P9" s="406"/>
      <c r="Q9" s="407"/>
      <c r="R9" s="408"/>
      <c r="S9" s="408"/>
      <c r="T9" s="408"/>
      <c r="U9" s="409"/>
      <c r="V9" s="407"/>
      <c r="W9" s="408"/>
      <c r="X9" s="408"/>
      <c r="Y9" s="408"/>
      <c r="Z9" s="409"/>
      <c r="AA9" s="376" t="s">
        <v>324</v>
      </c>
      <c r="AB9" s="474"/>
      <c r="AC9" s="474"/>
      <c r="AD9" s="474"/>
      <c r="AE9" s="378"/>
      <c r="AF9" s="376" t="s">
        <v>325</v>
      </c>
      <c r="AG9" s="474"/>
      <c r="AH9" s="474"/>
      <c r="AI9" s="474"/>
      <c r="AJ9" s="378"/>
      <c r="AK9" s="376" t="s">
        <v>582</v>
      </c>
      <c r="AL9" s="474"/>
      <c r="AM9" s="474"/>
      <c r="AN9" s="474"/>
      <c r="AO9" s="378"/>
      <c r="AP9" s="407"/>
      <c r="AQ9" s="408"/>
      <c r="AR9" s="408"/>
      <c r="AS9" s="408"/>
      <c r="AT9" s="409"/>
      <c r="AU9" s="407"/>
      <c r="AV9" s="408"/>
      <c r="AW9" s="408"/>
      <c r="AX9" s="408"/>
      <c r="AY9" s="409"/>
      <c r="AZ9" s="407"/>
      <c r="BA9" s="408"/>
      <c r="BB9" s="408"/>
      <c r="BC9" s="408"/>
      <c r="BD9" s="409"/>
      <c r="BE9" s="407"/>
      <c r="BF9" s="408"/>
      <c r="BG9" s="408"/>
      <c r="BH9" s="408"/>
      <c r="BI9" s="409"/>
      <c r="BJ9" s="407"/>
      <c r="BK9" s="408"/>
      <c r="BL9" s="408"/>
      <c r="BM9" s="408"/>
      <c r="BN9" s="409"/>
      <c r="BO9" s="407"/>
      <c r="BP9" s="408"/>
      <c r="BQ9" s="408"/>
      <c r="BR9" s="408"/>
      <c r="BS9" s="409"/>
    </row>
    <row r="10" spans="1:71" ht="18.75" customHeight="1">
      <c r="A10" s="57"/>
      <c r="B10" s="407"/>
      <c r="C10" s="408"/>
      <c r="D10" s="408"/>
      <c r="E10" s="408"/>
      <c r="F10" s="409"/>
      <c r="G10" s="407"/>
      <c r="H10" s="408"/>
      <c r="I10" s="408"/>
      <c r="J10" s="408"/>
      <c r="K10" s="409"/>
      <c r="L10" s="407"/>
      <c r="M10" s="408"/>
      <c r="N10" s="408"/>
      <c r="O10" s="408"/>
      <c r="P10" s="409"/>
      <c r="Q10" s="376" t="str">
        <f>B5</f>
        <v/>
      </c>
      <c r="R10" s="474"/>
      <c r="S10" s="474"/>
      <c r="T10" s="474"/>
      <c r="U10" s="378"/>
      <c r="V10" s="376" t="str">
        <f>Calcu!AG8</f>
        <v>mm</v>
      </c>
      <c r="W10" s="474"/>
      <c r="X10" s="474"/>
      <c r="Y10" s="474"/>
      <c r="Z10" s="378"/>
      <c r="AA10" s="376">
        <f>Calcu!H8</f>
        <v>0</v>
      </c>
      <c r="AB10" s="474"/>
      <c r="AC10" s="474"/>
      <c r="AD10" s="474"/>
      <c r="AE10" s="378"/>
      <c r="AF10" s="376">
        <f>Calcu!I8</f>
        <v>0</v>
      </c>
      <c r="AG10" s="474"/>
      <c r="AH10" s="474"/>
      <c r="AI10" s="474"/>
      <c r="AJ10" s="378"/>
      <c r="AK10" s="376">
        <f>Calcu!J8</f>
        <v>0</v>
      </c>
      <c r="AL10" s="474"/>
      <c r="AM10" s="474"/>
      <c r="AN10" s="474"/>
      <c r="AO10" s="378"/>
      <c r="AP10" s="376">
        <f>Calcu!K8</f>
        <v>0</v>
      </c>
      <c r="AQ10" s="474"/>
      <c r="AR10" s="474"/>
      <c r="AS10" s="474"/>
      <c r="AT10" s="378"/>
      <c r="AU10" s="376" t="str">
        <f>Calcu!L8</f>
        <v>mm</v>
      </c>
      <c r="AV10" s="474"/>
      <c r="AW10" s="474"/>
      <c r="AX10" s="474"/>
      <c r="AY10" s="378"/>
      <c r="AZ10" s="376" t="str">
        <f>Calcu!N8</f>
        <v>mm</v>
      </c>
      <c r="BA10" s="474"/>
      <c r="BB10" s="474"/>
      <c r="BC10" s="474"/>
      <c r="BD10" s="378"/>
      <c r="BE10" s="376" t="str">
        <f>AZ10</f>
        <v>mm</v>
      </c>
      <c r="BF10" s="474"/>
      <c r="BG10" s="474"/>
      <c r="BH10" s="474"/>
      <c r="BI10" s="378"/>
      <c r="BJ10" s="376" t="str">
        <f>Calcu!AA8</f>
        <v>mm</v>
      </c>
      <c r="BK10" s="474"/>
      <c r="BL10" s="474"/>
      <c r="BM10" s="474"/>
      <c r="BN10" s="378"/>
      <c r="BO10" s="376" t="str">
        <f>Calcu!AB8</f>
        <v>mm</v>
      </c>
      <c r="BP10" s="474"/>
      <c r="BQ10" s="474"/>
      <c r="BR10" s="474"/>
      <c r="BS10" s="378"/>
    </row>
    <row r="11" spans="1:71" ht="18.75" customHeight="1">
      <c r="A11" s="57"/>
      <c r="B11" s="379" t="s">
        <v>583</v>
      </c>
      <c r="C11" s="380"/>
      <c r="D11" s="380"/>
      <c r="E11" s="380"/>
      <c r="F11" s="381"/>
      <c r="G11" s="471" t="s">
        <v>584</v>
      </c>
      <c r="H11" s="472"/>
      <c r="I11" s="472"/>
      <c r="J11" s="472"/>
      <c r="K11" s="473"/>
      <c r="L11" s="471" t="s">
        <v>585</v>
      </c>
      <c r="M11" s="472"/>
      <c r="N11" s="472"/>
      <c r="O11" s="472"/>
      <c r="P11" s="473"/>
      <c r="Q11" s="379" t="str">
        <f>Calcu!F9</f>
        <v/>
      </c>
      <c r="R11" s="380"/>
      <c r="S11" s="380"/>
      <c r="T11" s="380"/>
      <c r="U11" s="381"/>
      <c r="V11" s="388" t="e">
        <f>Length_16!N4-Q11</f>
        <v>#VALUE!</v>
      </c>
      <c r="W11" s="389"/>
      <c r="X11" s="389"/>
      <c r="Y11" s="389"/>
      <c r="Z11" s="390"/>
      <c r="AA11" s="471" t="str">
        <f>Calcu!H9</f>
        <v/>
      </c>
      <c r="AB11" s="472"/>
      <c r="AC11" s="472"/>
      <c r="AD11" s="472"/>
      <c r="AE11" s="473"/>
      <c r="AF11" s="471" t="str">
        <f>Calcu!I9</f>
        <v/>
      </c>
      <c r="AG11" s="472"/>
      <c r="AH11" s="472"/>
      <c r="AI11" s="472"/>
      <c r="AJ11" s="473"/>
      <c r="AK11" s="471" t="str">
        <f>Calcu!J9</f>
        <v/>
      </c>
      <c r="AL11" s="472"/>
      <c r="AM11" s="472"/>
      <c r="AN11" s="472"/>
      <c r="AO11" s="473"/>
      <c r="AP11" s="471" t="str">
        <f>Calcu!K9</f>
        <v/>
      </c>
      <c r="AQ11" s="472"/>
      <c r="AR11" s="472"/>
      <c r="AS11" s="472"/>
      <c r="AT11" s="473"/>
      <c r="AU11" s="471" t="str">
        <f>Calcu!L9</f>
        <v/>
      </c>
      <c r="AV11" s="472"/>
      <c r="AW11" s="472"/>
      <c r="AX11" s="472"/>
      <c r="AY11" s="473"/>
      <c r="AZ11" s="471" t="str">
        <f>Calcu!N9</f>
        <v/>
      </c>
      <c r="BA11" s="472"/>
      <c r="BB11" s="472"/>
      <c r="BC11" s="472"/>
      <c r="BD11" s="473"/>
      <c r="BE11" s="471" t="str">
        <f>Calcu!T9</f>
        <v/>
      </c>
      <c r="BF11" s="472"/>
      <c r="BG11" s="472"/>
      <c r="BH11" s="472"/>
      <c r="BI11" s="473"/>
      <c r="BJ11" s="471" t="str">
        <f>Calcu!AA9</f>
        <v/>
      </c>
      <c r="BK11" s="472"/>
      <c r="BL11" s="472"/>
      <c r="BM11" s="472"/>
      <c r="BN11" s="473"/>
      <c r="BO11" s="471" t="str">
        <f>Calcu!AB9</f>
        <v/>
      </c>
      <c r="BP11" s="472"/>
      <c r="BQ11" s="472"/>
      <c r="BR11" s="472"/>
      <c r="BS11" s="473"/>
    </row>
    <row r="12" spans="1:71" ht="18.75" customHeight="1">
      <c r="A12" s="57"/>
      <c r="B12" s="382"/>
      <c r="C12" s="383"/>
      <c r="D12" s="383"/>
      <c r="E12" s="383"/>
      <c r="F12" s="384"/>
      <c r="G12" s="471" t="s">
        <v>586</v>
      </c>
      <c r="H12" s="472"/>
      <c r="I12" s="472"/>
      <c r="J12" s="472"/>
      <c r="K12" s="473"/>
      <c r="L12" s="471" t="s">
        <v>587</v>
      </c>
      <c r="M12" s="472"/>
      <c r="N12" s="472"/>
      <c r="O12" s="472"/>
      <c r="P12" s="473"/>
      <c r="Q12" s="382"/>
      <c r="R12" s="383"/>
      <c r="S12" s="383"/>
      <c r="T12" s="383"/>
      <c r="U12" s="384"/>
      <c r="V12" s="391"/>
      <c r="W12" s="392"/>
      <c r="X12" s="392"/>
      <c r="Y12" s="392"/>
      <c r="Z12" s="393"/>
      <c r="AA12" s="471" t="str">
        <f>Calcu!H10</f>
        <v/>
      </c>
      <c r="AB12" s="472"/>
      <c r="AC12" s="472"/>
      <c r="AD12" s="472"/>
      <c r="AE12" s="473"/>
      <c r="AF12" s="471" t="str">
        <f>Calcu!I10</f>
        <v/>
      </c>
      <c r="AG12" s="472"/>
      <c r="AH12" s="472"/>
      <c r="AI12" s="472"/>
      <c r="AJ12" s="473"/>
      <c r="AK12" s="471" t="str">
        <f>Calcu!J10</f>
        <v/>
      </c>
      <c r="AL12" s="472"/>
      <c r="AM12" s="472"/>
      <c r="AN12" s="472"/>
      <c r="AO12" s="473"/>
      <c r="AP12" s="471" t="str">
        <f>Calcu!K10</f>
        <v/>
      </c>
      <c r="AQ12" s="472"/>
      <c r="AR12" s="472"/>
      <c r="AS12" s="472"/>
      <c r="AT12" s="473"/>
      <c r="AU12" s="471" t="str">
        <f>Calcu!L10</f>
        <v/>
      </c>
      <c r="AV12" s="472"/>
      <c r="AW12" s="472"/>
      <c r="AX12" s="472"/>
      <c r="AY12" s="473"/>
      <c r="AZ12" s="471" t="str">
        <f>Calcu!N10</f>
        <v/>
      </c>
      <c r="BA12" s="472"/>
      <c r="BB12" s="472"/>
      <c r="BC12" s="472"/>
      <c r="BD12" s="473"/>
      <c r="BE12" s="471" t="str">
        <f>Calcu!T10</f>
        <v/>
      </c>
      <c r="BF12" s="472"/>
      <c r="BG12" s="472"/>
      <c r="BH12" s="472"/>
      <c r="BI12" s="473"/>
      <c r="BJ12" s="471" t="str">
        <f>Calcu!AA10</f>
        <v/>
      </c>
      <c r="BK12" s="472"/>
      <c r="BL12" s="472"/>
      <c r="BM12" s="472"/>
      <c r="BN12" s="473"/>
      <c r="BO12" s="471" t="str">
        <f>Calcu!AB10</f>
        <v/>
      </c>
      <c r="BP12" s="472"/>
      <c r="BQ12" s="472"/>
      <c r="BR12" s="472"/>
      <c r="BS12" s="473"/>
    </row>
    <row r="13" spans="1:71" ht="18.75" customHeight="1">
      <c r="A13" s="57"/>
      <c r="B13" s="382"/>
      <c r="C13" s="383"/>
      <c r="D13" s="383"/>
      <c r="E13" s="383"/>
      <c r="F13" s="384"/>
      <c r="G13" s="471" t="s">
        <v>588</v>
      </c>
      <c r="H13" s="472"/>
      <c r="I13" s="472"/>
      <c r="J13" s="472"/>
      <c r="K13" s="473"/>
      <c r="L13" s="471" t="s">
        <v>589</v>
      </c>
      <c r="M13" s="472"/>
      <c r="N13" s="472"/>
      <c r="O13" s="472"/>
      <c r="P13" s="473"/>
      <c r="Q13" s="382"/>
      <c r="R13" s="383"/>
      <c r="S13" s="383"/>
      <c r="T13" s="383"/>
      <c r="U13" s="384"/>
      <c r="V13" s="391"/>
      <c r="W13" s="392"/>
      <c r="X13" s="392"/>
      <c r="Y13" s="392"/>
      <c r="Z13" s="393"/>
      <c r="AA13" s="471" t="str">
        <f>Calcu!H11</f>
        <v/>
      </c>
      <c r="AB13" s="472"/>
      <c r="AC13" s="472"/>
      <c r="AD13" s="472"/>
      <c r="AE13" s="473"/>
      <c r="AF13" s="471" t="str">
        <f>Calcu!I11</f>
        <v/>
      </c>
      <c r="AG13" s="472"/>
      <c r="AH13" s="472"/>
      <c r="AI13" s="472"/>
      <c r="AJ13" s="473"/>
      <c r="AK13" s="471" t="str">
        <f>Calcu!J11</f>
        <v/>
      </c>
      <c r="AL13" s="472"/>
      <c r="AM13" s="472"/>
      <c r="AN13" s="472"/>
      <c r="AO13" s="473"/>
      <c r="AP13" s="471" t="str">
        <f>Calcu!K11</f>
        <v/>
      </c>
      <c r="AQ13" s="472"/>
      <c r="AR13" s="472"/>
      <c r="AS13" s="472"/>
      <c r="AT13" s="473"/>
      <c r="AU13" s="471" t="str">
        <f>Calcu!L11</f>
        <v/>
      </c>
      <c r="AV13" s="472"/>
      <c r="AW13" s="472"/>
      <c r="AX13" s="472"/>
      <c r="AY13" s="473"/>
      <c r="AZ13" s="471" t="str">
        <f>Calcu!N11</f>
        <v/>
      </c>
      <c r="BA13" s="472"/>
      <c r="BB13" s="472"/>
      <c r="BC13" s="472"/>
      <c r="BD13" s="473"/>
      <c r="BE13" s="471" t="str">
        <f>Calcu!T11</f>
        <v/>
      </c>
      <c r="BF13" s="472"/>
      <c r="BG13" s="472"/>
      <c r="BH13" s="472"/>
      <c r="BI13" s="473"/>
      <c r="BJ13" s="471" t="str">
        <f>Calcu!AA11</f>
        <v/>
      </c>
      <c r="BK13" s="472"/>
      <c r="BL13" s="472"/>
      <c r="BM13" s="472"/>
      <c r="BN13" s="473"/>
      <c r="BO13" s="471" t="str">
        <f>Calcu!AB11</f>
        <v/>
      </c>
      <c r="BP13" s="472"/>
      <c r="BQ13" s="472"/>
      <c r="BR13" s="472"/>
      <c r="BS13" s="473"/>
    </row>
    <row r="14" spans="1:71" ht="18.75" customHeight="1">
      <c r="A14" s="57"/>
      <c r="B14" s="382"/>
      <c r="C14" s="383"/>
      <c r="D14" s="383"/>
      <c r="E14" s="383"/>
      <c r="F14" s="384"/>
      <c r="G14" s="471" t="s">
        <v>588</v>
      </c>
      <c r="H14" s="472"/>
      <c r="I14" s="472"/>
      <c r="J14" s="472"/>
      <c r="K14" s="473"/>
      <c r="L14" s="471" t="s">
        <v>587</v>
      </c>
      <c r="M14" s="472"/>
      <c r="N14" s="472"/>
      <c r="O14" s="472"/>
      <c r="P14" s="473"/>
      <c r="Q14" s="382"/>
      <c r="R14" s="383"/>
      <c r="S14" s="383"/>
      <c r="T14" s="383"/>
      <c r="U14" s="384"/>
      <c r="V14" s="394" t="e">
        <f>Length_16!M4-Q11</f>
        <v>#VALUE!</v>
      </c>
      <c r="W14" s="395"/>
      <c r="X14" s="395"/>
      <c r="Y14" s="395"/>
      <c r="Z14" s="396"/>
      <c r="AA14" s="471" t="str">
        <f>Calcu!H12</f>
        <v/>
      </c>
      <c r="AB14" s="472"/>
      <c r="AC14" s="472"/>
      <c r="AD14" s="472"/>
      <c r="AE14" s="473"/>
      <c r="AF14" s="471" t="str">
        <f>Calcu!I12</f>
        <v/>
      </c>
      <c r="AG14" s="472"/>
      <c r="AH14" s="472"/>
      <c r="AI14" s="472"/>
      <c r="AJ14" s="473"/>
      <c r="AK14" s="471" t="str">
        <f>Calcu!J12</f>
        <v/>
      </c>
      <c r="AL14" s="472"/>
      <c r="AM14" s="472"/>
      <c r="AN14" s="472"/>
      <c r="AO14" s="473"/>
      <c r="AP14" s="471" t="str">
        <f>Calcu!K12</f>
        <v/>
      </c>
      <c r="AQ14" s="472"/>
      <c r="AR14" s="472"/>
      <c r="AS14" s="472"/>
      <c r="AT14" s="473"/>
      <c r="AU14" s="471" t="str">
        <f>Calcu!L12</f>
        <v/>
      </c>
      <c r="AV14" s="472"/>
      <c r="AW14" s="472"/>
      <c r="AX14" s="472"/>
      <c r="AY14" s="473"/>
      <c r="AZ14" s="471" t="str">
        <f>Calcu!N12</f>
        <v/>
      </c>
      <c r="BA14" s="472"/>
      <c r="BB14" s="472"/>
      <c r="BC14" s="472"/>
      <c r="BD14" s="473"/>
      <c r="BE14" s="471" t="str">
        <f>Calcu!T12</f>
        <v/>
      </c>
      <c r="BF14" s="472"/>
      <c r="BG14" s="472"/>
      <c r="BH14" s="472"/>
      <c r="BI14" s="473"/>
      <c r="BJ14" s="471" t="str">
        <f>Calcu!AA12</f>
        <v/>
      </c>
      <c r="BK14" s="472"/>
      <c r="BL14" s="472"/>
      <c r="BM14" s="472"/>
      <c r="BN14" s="473"/>
      <c r="BO14" s="471" t="str">
        <f>Calcu!AB12</f>
        <v/>
      </c>
      <c r="BP14" s="472"/>
      <c r="BQ14" s="472"/>
      <c r="BR14" s="472"/>
      <c r="BS14" s="473"/>
    </row>
    <row r="15" spans="1:71" ht="18.75" customHeight="1">
      <c r="A15" s="57"/>
      <c r="B15" s="382"/>
      <c r="C15" s="383"/>
      <c r="D15" s="383"/>
      <c r="E15" s="383"/>
      <c r="F15" s="384"/>
      <c r="G15" s="471" t="s">
        <v>590</v>
      </c>
      <c r="H15" s="472"/>
      <c r="I15" s="472"/>
      <c r="J15" s="472"/>
      <c r="K15" s="473"/>
      <c r="L15" s="471" t="s">
        <v>589</v>
      </c>
      <c r="M15" s="472"/>
      <c r="N15" s="472"/>
      <c r="O15" s="472"/>
      <c r="P15" s="473"/>
      <c r="Q15" s="382"/>
      <c r="R15" s="383"/>
      <c r="S15" s="383"/>
      <c r="T15" s="383"/>
      <c r="U15" s="384"/>
      <c r="V15" s="394"/>
      <c r="W15" s="395"/>
      <c r="X15" s="395"/>
      <c r="Y15" s="395"/>
      <c r="Z15" s="396"/>
      <c r="AA15" s="471" t="str">
        <f>Calcu!H13</f>
        <v/>
      </c>
      <c r="AB15" s="472"/>
      <c r="AC15" s="472"/>
      <c r="AD15" s="472"/>
      <c r="AE15" s="473"/>
      <c r="AF15" s="471" t="str">
        <f>Calcu!I13</f>
        <v/>
      </c>
      <c r="AG15" s="472"/>
      <c r="AH15" s="472"/>
      <c r="AI15" s="472"/>
      <c r="AJ15" s="473"/>
      <c r="AK15" s="471" t="str">
        <f>Calcu!J13</f>
        <v/>
      </c>
      <c r="AL15" s="472"/>
      <c r="AM15" s="472"/>
      <c r="AN15" s="472"/>
      <c r="AO15" s="473"/>
      <c r="AP15" s="471" t="str">
        <f>Calcu!K13</f>
        <v/>
      </c>
      <c r="AQ15" s="472"/>
      <c r="AR15" s="472"/>
      <c r="AS15" s="472"/>
      <c r="AT15" s="473"/>
      <c r="AU15" s="471" t="str">
        <f>Calcu!L13</f>
        <v/>
      </c>
      <c r="AV15" s="472"/>
      <c r="AW15" s="472"/>
      <c r="AX15" s="472"/>
      <c r="AY15" s="473"/>
      <c r="AZ15" s="471" t="str">
        <f>Calcu!N13</f>
        <v/>
      </c>
      <c r="BA15" s="472"/>
      <c r="BB15" s="472"/>
      <c r="BC15" s="472"/>
      <c r="BD15" s="473"/>
      <c r="BE15" s="471" t="str">
        <f>Calcu!T13</f>
        <v/>
      </c>
      <c r="BF15" s="472"/>
      <c r="BG15" s="472"/>
      <c r="BH15" s="472"/>
      <c r="BI15" s="473"/>
      <c r="BJ15" s="471" t="str">
        <f>Calcu!AA13</f>
        <v/>
      </c>
      <c r="BK15" s="472"/>
      <c r="BL15" s="472"/>
      <c r="BM15" s="472"/>
      <c r="BN15" s="473"/>
      <c r="BO15" s="471" t="str">
        <f>Calcu!AB13</f>
        <v/>
      </c>
      <c r="BP15" s="472"/>
      <c r="BQ15" s="472"/>
      <c r="BR15" s="472"/>
      <c r="BS15" s="473"/>
    </row>
    <row r="16" spans="1:71" ht="18.75" customHeight="1">
      <c r="A16" s="57"/>
      <c r="B16" s="385"/>
      <c r="C16" s="386"/>
      <c r="D16" s="386"/>
      <c r="E16" s="386"/>
      <c r="F16" s="387"/>
      <c r="G16" s="471" t="s">
        <v>590</v>
      </c>
      <c r="H16" s="472"/>
      <c r="I16" s="472"/>
      <c r="J16" s="472"/>
      <c r="K16" s="473"/>
      <c r="L16" s="471" t="s">
        <v>587</v>
      </c>
      <c r="M16" s="472"/>
      <c r="N16" s="472"/>
      <c r="O16" s="472"/>
      <c r="P16" s="473"/>
      <c r="Q16" s="385"/>
      <c r="R16" s="386"/>
      <c r="S16" s="386"/>
      <c r="T16" s="386"/>
      <c r="U16" s="387"/>
      <c r="V16" s="397"/>
      <c r="W16" s="398"/>
      <c r="X16" s="398"/>
      <c r="Y16" s="398"/>
      <c r="Z16" s="399"/>
      <c r="AA16" s="471" t="str">
        <f>Calcu!H14</f>
        <v/>
      </c>
      <c r="AB16" s="472"/>
      <c r="AC16" s="472"/>
      <c r="AD16" s="472"/>
      <c r="AE16" s="473"/>
      <c r="AF16" s="471" t="str">
        <f>Calcu!I14</f>
        <v/>
      </c>
      <c r="AG16" s="472"/>
      <c r="AH16" s="472"/>
      <c r="AI16" s="472"/>
      <c r="AJ16" s="473"/>
      <c r="AK16" s="471" t="str">
        <f>Calcu!J14</f>
        <v/>
      </c>
      <c r="AL16" s="472"/>
      <c r="AM16" s="472"/>
      <c r="AN16" s="472"/>
      <c r="AO16" s="473"/>
      <c r="AP16" s="471" t="str">
        <f>Calcu!K14</f>
        <v/>
      </c>
      <c r="AQ16" s="472"/>
      <c r="AR16" s="472"/>
      <c r="AS16" s="472"/>
      <c r="AT16" s="473"/>
      <c r="AU16" s="471" t="str">
        <f>Calcu!L14</f>
        <v/>
      </c>
      <c r="AV16" s="472"/>
      <c r="AW16" s="472"/>
      <c r="AX16" s="472"/>
      <c r="AY16" s="473"/>
      <c r="AZ16" s="471" t="str">
        <f>Calcu!N14</f>
        <v/>
      </c>
      <c r="BA16" s="472"/>
      <c r="BB16" s="472"/>
      <c r="BC16" s="472"/>
      <c r="BD16" s="473"/>
      <c r="BE16" s="471" t="str">
        <f>Calcu!T14</f>
        <v/>
      </c>
      <c r="BF16" s="472"/>
      <c r="BG16" s="472"/>
      <c r="BH16" s="472"/>
      <c r="BI16" s="473"/>
      <c r="BJ16" s="471" t="str">
        <f>Calcu!AA14</f>
        <v/>
      </c>
      <c r="BK16" s="472"/>
      <c r="BL16" s="472"/>
      <c r="BM16" s="472"/>
      <c r="BN16" s="473"/>
      <c r="BO16" s="471" t="str">
        <f>Calcu!AB14</f>
        <v/>
      </c>
      <c r="BP16" s="472"/>
      <c r="BQ16" s="472"/>
      <c r="BR16" s="472"/>
      <c r="BS16" s="473"/>
    </row>
    <row r="17" spans="1:71" ht="18.75" customHeight="1">
      <c r="A17" s="57"/>
      <c r="B17" s="379" t="s">
        <v>591</v>
      </c>
      <c r="C17" s="380"/>
      <c r="D17" s="380"/>
      <c r="E17" s="380"/>
      <c r="F17" s="381"/>
      <c r="G17" s="471" t="s">
        <v>586</v>
      </c>
      <c r="H17" s="472"/>
      <c r="I17" s="472"/>
      <c r="J17" s="472"/>
      <c r="K17" s="473"/>
      <c r="L17" s="471" t="s">
        <v>589</v>
      </c>
      <c r="M17" s="472"/>
      <c r="N17" s="472"/>
      <c r="O17" s="472"/>
      <c r="P17" s="473"/>
      <c r="Q17" s="379" t="str">
        <f>Calcu!F15</f>
        <v/>
      </c>
      <c r="R17" s="380"/>
      <c r="S17" s="380"/>
      <c r="T17" s="380"/>
      <c r="U17" s="381"/>
      <c r="V17" s="388" t="e">
        <f>Length_16!N10-Q17</f>
        <v>#VALUE!</v>
      </c>
      <c r="W17" s="389"/>
      <c r="X17" s="389"/>
      <c r="Y17" s="389"/>
      <c r="Z17" s="390"/>
      <c r="AA17" s="471" t="str">
        <f>Calcu!H15</f>
        <v/>
      </c>
      <c r="AB17" s="472"/>
      <c r="AC17" s="472"/>
      <c r="AD17" s="472"/>
      <c r="AE17" s="473"/>
      <c r="AF17" s="471" t="str">
        <f>Calcu!I15</f>
        <v/>
      </c>
      <c r="AG17" s="472"/>
      <c r="AH17" s="472"/>
      <c r="AI17" s="472"/>
      <c r="AJ17" s="473"/>
      <c r="AK17" s="471" t="str">
        <f>Calcu!J15</f>
        <v/>
      </c>
      <c r="AL17" s="472"/>
      <c r="AM17" s="472"/>
      <c r="AN17" s="472"/>
      <c r="AO17" s="473"/>
      <c r="AP17" s="471" t="str">
        <f>Calcu!K15</f>
        <v/>
      </c>
      <c r="AQ17" s="472"/>
      <c r="AR17" s="472"/>
      <c r="AS17" s="472"/>
      <c r="AT17" s="473"/>
      <c r="AU17" s="471" t="str">
        <f>Calcu!L15</f>
        <v/>
      </c>
      <c r="AV17" s="472"/>
      <c r="AW17" s="472"/>
      <c r="AX17" s="472"/>
      <c r="AY17" s="473"/>
      <c r="AZ17" s="471" t="str">
        <f>Calcu!N15</f>
        <v/>
      </c>
      <c r="BA17" s="472"/>
      <c r="BB17" s="472"/>
      <c r="BC17" s="472"/>
      <c r="BD17" s="473"/>
      <c r="BE17" s="471" t="str">
        <f>Calcu!T15</f>
        <v/>
      </c>
      <c r="BF17" s="472"/>
      <c r="BG17" s="472"/>
      <c r="BH17" s="472"/>
      <c r="BI17" s="473"/>
      <c r="BJ17" s="471" t="str">
        <f>Calcu!AA15</f>
        <v/>
      </c>
      <c r="BK17" s="472"/>
      <c r="BL17" s="472"/>
      <c r="BM17" s="472"/>
      <c r="BN17" s="473"/>
      <c r="BO17" s="471" t="str">
        <f>Calcu!AB15</f>
        <v/>
      </c>
      <c r="BP17" s="472"/>
      <c r="BQ17" s="472"/>
      <c r="BR17" s="472"/>
      <c r="BS17" s="473"/>
    </row>
    <row r="18" spans="1:71" ht="18.75" customHeight="1">
      <c r="A18" s="57"/>
      <c r="B18" s="382"/>
      <c r="C18" s="383"/>
      <c r="D18" s="383"/>
      <c r="E18" s="383"/>
      <c r="F18" s="384"/>
      <c r="G18" s="471" t="s">
        <v>586</v>
      </c>
      <c r="H18" s="472"/>
      <c r="I18" s="472"/>
      <c r="J18" s="472"/>
      <c r="K18" s="473"/>
      <c r="L18" s="471" t="s">
        <v>587</v>
      </c>
      <c r="M18" s="472"/>
      <c r="N18" s="472"/>
      <c r="O18" s="472"/>
      <c r="P18" s="473"/>
      <c r="Q18" s="382"/>
      <c r="R18" s="383"/>
      <c r="S18" s="383"/>
      <c r="T18" s="383"/>
      <c r="U18" s="384"/>
      <c r="V18" s="391"/>
      <c r="W18" s="392"/>
      <c r="X18" s="392"/>
      <c r="Y18" s="392"/>
      <c r="Z18" s="393"/>
      <c r="AA18" s="471" t="str">
        <f>Calcu!H16</f>
        <v/>
      </c>
      <c r="AB18" s="472"/>
      <c r="AC18" s="472"/>
      <c r="AD18" s="472"/>
      <c r="AE18" s="473"/>
      <c r="AF18" s="471" t="str">
        <f>Calcu!I16</f>
        <v/>
      </c>
      <c r="AG18" s="472"/>
      <c r="AH18" s="472"/>
      <c r="AI18" s="472"/>
      <c r="AJ18" s="473"/>
      <c r="AK18" s="471" t="str">
        <f>Calcu!J16</f>
        <v/>
      </c>
      <c r="AL18" s="472"/>
      <c r="AM18" s="472"/>
      <c r="AN18" s="472"/>
      <c r="AO18" s="473"/>
      <c r="AP18" s="471" t="str">
        <f>Calcu!K16</f>
        <v/>
      </c>
      <c r="AQ18" s="472"/>
      <c r="AR18" s="472"/>
      <c r="AS18" s="472"/>
      <c r="AT18" s="473"/>
      <c r="AU18" s="471" t="str">
        <f>Calcu!L16</f>
        <v/>
      </c>
      <c r="AV18" s="472"/>
      <c r="AW18" s="472"/>
      <c r="AX18" s="472"/>
      <c r="AY18" s="473"/>
      <c r="AZ18" s="471" t="str">
        <f>Calcu!N16</f>
        <v/>
      </c>
      <c r="BA18" s="472"/>
      <c r="BB18" s="472"/>
      <c r="BC18" s="472"/>
      <c r="BD18" s="473"/>
      <c r="BE18" s="471" t="str">
        <f>Calcu!T16</f>
        <v/>
      </c>
      <c r="BF18" s="472"/>
      <c r="BG18" s="472"/>
      <c r="BH18" s="472"/>
      <c r="BI18" s="473"/>
      <c r="BJ18" s="471" t="str">
        <f>Calcu!AA16</f>
        <v/>
      </c>
      <c r="BK18" s="472"/>
      <c r="BL18" s="472"/>
      <c r="BM18" s="472"/>
      <c r="BN18" s="473"/>
      <c r="BO18" s="471" t="str">
        <f>Calcu!AB16</f>
        <v/>
      </c>
      <c r="BP18" s="472"/>
      <c r="BQ18" s="472"/>
      <c r="BR18" s="472"/>
      <c r="BS18" s="473"/>
    </row>
    <row r="19" spans="1:71" ht="18.75" customHeight="1">
      <c r="A19" s="57"/>
      <c r="B19" s="382"/>
      <c r="C19" s="383"/>
      <c r="D19" s="383"/>
      <c r="E19" s="383"/>
      <c r="F19" s="384"/>
      <c r="G19" s="471" t="s">
        <v>588</v>
      </c>
      <c r="H19" s="472"/>
      <c r="I19" s="472"/>
      <c r="J19" s="472"/>
      <c r="K19" s="473"/>
      <c r="L19" s="471" t="s">
        <v>589</v>
      </c>
      <c r="M19" s="472"/>
      <c r="N19" s="472"/>
      <c r="O19" s="472"/>
      <c r="P19" s="473"/>
      <c r="Q19" s="382"/>
      <c r="R19" s="383"/>
      <c r="S19" s="383"/>
      <c r="T19" s="383"/>
      <c r="U19" s="384"/>
      <c r="V19" s="394" t="e">
        <f>Length_16!M10-Q17</f>
        <v>#VALUE!</v>
      </c>
      <c r="W19" s="395"/>
      <c r="X19" s="395"/>
      <c r="Y19" s="395"/>
      <c r="Z19" s="396"/>
      <c r="AA19" s="471" t="str">
        <f>Calcu!H17</f>
        <v/>
      </c>
      <c r="AB19" s="472"/>
      <c r="AC19" s="472"/>
      <c r="AD19" s="472"/>
      <c r="AE19" s="473"/>
      <c r="AF19" s="471" t="str">
        <f>Calcu!I17</f>
        <v/>
      </c>
      <c r="AG19" s="472"/>
      <c r="AH19" s="472"/>
      <c r="AI19" s="472"/>
      <c r="AJ19" s="473"/>
      <c r="AK19" s="471" t="str">
        <f>Calcu!J17</f>
        <v/>
      </c>
      <c r="AL19" s="472"/>
      <c r="AM19" s="472"/>
      <c r="AN19" s="472"/>
      <c r="AO19" s="473"/>
      <c r="AP19" s="471" t="str">
        <f>Calcu!K17</f>
        <v/>
      </c>
      <c r="AQ19" s="472"/>
      <c r="AR19" s="472"/>
      <c r="AS19" s="472"/>
      <c r="AT19" s="473"/>
      <c r="AU19" s="471" t="str">
        <f>Calcu!L17</f>
        <v/>
      </c>
      <c r="AV19" s="472"/>
      <c r="AW19" s="472"/>
      <c r="AX19" s="472"/>
      <c r="AY19" s="473"/>
      <c r="AZ19" s="471" t="str">
        <f>Calcu!N17</f>
        <v/>
      </c>
      <c r="BA19" s="472"/>
      <c r="BB19" s="472"/>
      <c r="BC19" s="472"/>
      <c r="BD19" s="473"/>
      <c r="BE19" s="471" t="str">
        <f>Calcu!T17</f>
        <v/>
      </c>
      <c r="BF19" s="472"/>
      <c r="BG19" s="472"/>
      <c r="BH19" s="472"/>
      <c r="BI19" s="473"/>
      <c r="BJ19" s="471" t="str">
        <f>Calcu!AA17</f>
        <v/>
      </c>
      <c r="BK19" s="472"/>
      <c r="BL19" s="472"/>
      <c r="BM19" s="472"/>
      <c r="BN19" s="473"/>
      <c r="BO19" s="471" t="str">
        <f>Calcu!AB17</f>
        <v/>
      </c>
      <c r="BP19" s="472"/>
      <c r="BQ19" s="472"/>
      <c r="BR19" s="472"/>
      <c r="BS19" s="473"/>
    </row>
    <row r="20" spans="1:71" ht="18.75" customHeight="1">
      <c r="A20" s="57"/>
      <c r="B20" s="385"/>
      <c r="C20" s="386"/>
      <c r="D20" s="386"/>
      <c r="E20" s="386"/>
      <c r="F20" s="387"/>
      <c r="G20" s="471" t="s">
        <v>588</v>
      </c>
      <c r="H20" s="472"/>
      <c r="I20" s="472"/>
      <c r="J20" s="472"/>
      <c r="K20" s="473"/>
      <c r="L20" s="471" t="s">
        <v>587</v>
      </c>
      <c r="M20" s="472"/>
      <c r="N20" s="472"/>
      <c r="O20" s="472"/>
      <c r="P20" s="473"/>
      <c r="Q20" s="385"/>
      <c r="R20" s="386"/>
      <c r="S20" s="386"/>
      <c r="T20" s="386"/>
      <c r="U20" s="387"/>
      <c r="V20" s="397"/>
      <c r="W20" s="398"/>
      <c r="X20" s="398"/>
      <c r="Y20" s="398"/>
      <c r="Z20" s="399"/>
      <c r="AA20" s="471" t="str">
        <f>Calcu!H18</f>
        <v/>
      </c>
      <c r="AB20" s="472"/>
      <c r="AC20" s="472"/>
      <c r="AD20" s="472"/>
      <c r="AE20" s="473"/>
      <c r="AF20" s="471" t="str">
        <f>Calcu!I18</f>
        <v/>
      </c>
      <c r="AG20" s="472"/>
      <c r="AH20" s="472"/>
      <c r="AI20" s="472"/>
      <c r="AJ20" s="473"/>
      <c r="AK20" s="471" t="str">
        <f>Calcu!J18</f>
        <v/>
      </c>
      <c r="AL20" s="472"/>
      <c r="AM20" s="472"/>
      <c r="AN20" s="472"/>
      <c r="AO20" s="473"/>
      <c r="AP20" s="471" t="str">
        <f>Calcu!K18</f>
        <v/>
      </c>
      <c r="AQ20" s="472"/>
      <c r="AR20" s="472"/>
      <c r="AS20" s="472"/>
      <c r="AT20" s="473"/>
      <c r="AU20" s="471" t="str">
        <f>Calcu!L18</f>
        <v/>
      </c>
      <c r="AV20" s="472"/>
      <c r="AW20" s="472"/>
      <c r="AX20" s="472"/>
      <c r="AY20" s="473"/>
      <c r="AZ20" s="471" t="str">
        <f>Calcu!N18</f>
        <v/>
      </c>
      <c r="BA20" s="472"/>
      <c r="BB20" s="472"/>
      <c r="BC20" s="472"/>
      <c r="BD20" s="473"/>
      <c r="BE20" s="471" t="str">
        <f>Calcu!T18</f>
        <v/>
      </c>
      <c r="BF20" s="472"/>
      <c r="BG20" s="472"/>
      <c r="BH20" s="472"/>
      <c r="BI20" s="473"/>
      <c r="BJ20" s="471" t="str">
        <f>Calcu!AA18</f>
        <v/>
      </c>
      <c r="BK20" s="472"/>
      <c r="BL20" s="472"/>
      <c r="BM20" s="472"/>
      <c r="BN20" s="473"/>
      <c r="BO20" s="471" t="str">
        <f>Calcu!AB18</f>
        <v/>
      </c>
      <c r="BP20" s="472"/>
      <c r="BQ20" s="472"/>
      <c r="BR20" s="472"/>
      <c r="BS20" s="473"/>
    </row>
    <row r="21" spans="1:71" ht="18.75" customHeight="1">
      <c r="A21" s="57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</row>
    <row r="22" spans="1:71" ht="18.75" customHeight="1">
      <c r="A22" s="57" t="s">
        <v>147</v>
      </c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</row>
    <row r="23" spans="1:71" ht="18.75" customHeight="1">
      <c r="A23" s="70"/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</row>
    <row r="24" spans="1:71" ht="18.75" customHeight="1">
      <c r="A24" s="70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</row>
    <row r="25" spans="1:71" ht="18.75" customHeight="1">
      <c r="A25" s="70"/>
      <c r="B25" s="218"/>
      <c r="C25" s="413" t="s">
        <v>148</v>
      </c>
      <c r="D25" s="413"/>
      <c r="E25" s="413"/>
      <c r="F25" s="210" t="s">
        <v>149</v>
      </c>
      <c r="G25" s="218" t="str">
        <f>"표준온도에서 "&amp;$N$5&amp;"의 교정값"</f>
        <v>표준온도에서 핀 게이지의 교정값</v>
      </c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W25" s="59"/>
      <c r="X25" s="59"/>
      <c r="Y25" s="59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</row>
    <row r="26" spans="1:71" ht="18.75" customHeight="1">
      <c r="A26" s="70"/>
      <c r="B26" s="218"/>
      <c r="C26" s="413" t="s">
        <v>150</v>
      </c>
      <c r="D26" s="413"/>
      <c r="E26" s="413"/>
      <c r="F26" s="210" t="s">
        <v>149</v>
      </c>
      <c r="G26" s="218" t="str">
        <f>$T$5&amp;"의 지시값"</f>
        <v>표준 측장기의 지시값</v>
      </c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</row>
    <row r="27" spans="1:71" ht="18.75" customHeight="1">
      <c r="A27" s="70"/>
      <c r="B27" s="218"/>
      <c r="C27" s="413" t="s">
        <v>151</v>
      </c>
      <c r="D27" s="413"/>
      <c r="E27" s="413"/>
      <c r="F27" s="210" t="s">
        <v>152</v>
      </c>
      <c r="G27" s="218" t="str">
        <f>$T$5&amp;"의 보정값"</f>
        <v>표준 측장기의 보정값</v>
      </c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</row>
    <row r="28" spans="1:71" ht="18.75" customHeight="1">
      <c r="A28" s="70"/>
      <c r="B28" s="218"/>
      <c r="C28" s="413" t="s">
        <v>153</v>
      </c>
      <c r="D28" s="413"/>
      <c r="E28" s="413"/>
      <c r="F28" s="210" t="s">
        <v>149</v>
      </c>
      <c r="G28" s="218" t="str">
        <f>$N$5&amp;"의 명목값"</f>
        <v>핀 게이지의 명목값</v>
      </c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</row>
    <row r="29" spans="1:71" ht="18.75" customHeight="1">
      <c r="A29" s="70"/>
      <c r="B29" s="218"/>
      <c r="C29" s="413"/>
      <c r="D29" s="413"/>
      <c r="E29" s="413"/>
      <c r="F29" s="210" t="s">
        <v>149</v>
      </c>
      <c r="G29" s="218" t="str">
        <f>$N$5&amp;"와 "&amp;$T$5&amp;"의 평균열팽창계수"</f>
        <v>핀 게이지와 표준 측장기의 평균열팽창계수</v>
      </c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</row>
    <row r="30" spans="1:71" ht="18.75" customHeight="1">
      <c r="A30" s="70"/>
      <c r="B30" s="218"/>
      <c r="C30" s="413" t="s">
        <v>154</v>
      </c>
      <c r="D30" s="413"/>
      <c r="E30" s="413"/>
      <c r="F30" s="210" t="s">
        <v>149</v>
      </c>
      <c r="G30" s="218" t="str">
        <f>$N$5&amp;"와 "&amp;$T$5&amp;"의 온도차이"</f>
        <v>핀 게이지와 표준 측장기의 온도차이</v>
      </c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</row>
    <row r="31" spans="1:71" ht="18.75" customHeight="1">
      <c r="A31" s="70"/>
      <c r="B31" s="218"/>
      <c r="C31" s="413" t="s">
        <v>155</v>
      </c>
      <c r="D31" s="413"/>
      <c r="E31" s="413"/>
      <c r="F31" s="210" t="s">
        <v>152</v>
      </c>
      <c r="G31" s="218" t="str">
        <f>$N$5&amp;"와 "&amp;$T$5&amp;"의 열팽창계수 차이"</f>
        <v>핀 게이지와 표준 측장기의 열팽창계수 차이</v>
      </c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</row>
    <row r="32" spans="1:71" ht="18.75" customHeight="1">
      <c r="A32" s="70"/>
      <c r="B32" s="218"/>
      <c r="C32" s="413" t="s">
        <v>156</v>
      </c>
      <c r="D32" s="413"/>
      <c r="E32" s="413"/>
      <c r="F32" s="210" t="s">
        <v>152</v>
      </c>
      <c r="G32" s="218" t="str">
        <f>$N$5&amp;"와 "&amp;$T$5&amp;"의 평균 온도값과 기준온도와의 차"</f>
        <v>핀 게이지와 표준 측장기의 평균 온도값과 기준온도와의 차</v>
      </c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</row>
    <row r="33" spans="1:69" ht="18.75" customHeight="1">
      <c r="A33" s="70"/>
      <c r="B33" s="218"/>
      <c r="C33" s="413" t="s">
        <v>157</v>
      </c>
      <c r="D33" s="413"/>
      <c r="E33" s="413"/>
      <c r="F33" s="210" t="s">
        <v>149</v>
      </c>
      <c r="G33" s="218" t="s">
        <v>158</v>
      </c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</row>
    <row r="34" spans="1:69" ht="18.75" customHeight="1">
      <c r="A34" s="70"/>
      <c r="B34" s="218"/>
      <c r="C34" s="413" t="s">
        <v>159</v>
      </c>
      <c r="D34" s="413"/>
      <c r="E34" s="413"/>
      <c r="F34" s="210" t="s">
        <v>152</v>
      </c>
      <c r="G34" s="218" t="s">
        <v>160</v>
      </c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</row>
    <row r="35" spans="1:69" ht="18.75" customHeight="1">
      <c r="A35" s="70"/>
      <c r="B35" s="218"/>
      <c r="C35" s="413"/>
      <c r="D35" s="413"/>
      <c r="E35" s="413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</row>
    <row r="36" spans="1:69" ht="18.75" customHeight="1">
      <c r="A36" s="57" t="s">
        <v>161</v>
      </c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</row>
    <row r="37" spans="1:69" ht="18.75" customHeight="1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</row>
    <row r="38" spans="1:69" ht="18.75" customHeight="1">
      <c r="A38" s="218"/>
      <c r="B38" s="218"/>
      <c r="C38" s="218" t="s">
        <v>162</v>
      </c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</row>
    <row r="39" spans="1:69" ht="18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</row>
    <row r="40" spans="1:69" ht="18.75" customHeight="1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</row>
    <row r="41" spans="1:69" ht="18.75" customHeight="1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</row>
    <row r="42" spans="1:69" ht="18.75" customHeight="1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</row>
    <row r="43" spans="1:69" ht="18.75" customHeight="1">
      <c r="A43" s="60" t="s">
        <v>163</v>
      </c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</row>
    <row r="44" spans="1:69" ht="18.75" customHeight="1">
      <c r="A44" s="218"/>
      <c r="B44" s="458"/>
      <c r="C44" s="459"/>
      <c r="D44" s="450"/>
      <c r="E44" s="451"/>
      <c r="F44" s="451"/>
      <c r="G44" s="452"/>
      <c r="H44" s="442">
        <v>1</v>
      </c>
      <c r="I44" s="442"/>
      <c r="J44" s="442"/>
      <c r="K44" s="442"/>
      <c r="L44" s="442"/>
      <c r="M44" s="442"/>
      <c r="N44" s="442"/>
      <c r="O44" s="442">
        <v>2</v>
      </c>
      <c r="P44" s="442"/>
      <c r="Q44" s="442"/>
      <c r="R44" s="442"/>
      <c r="S44" s="442"/>
      <c r="T44" s="442"/>
      <c r="U44" s="442"/>
      <c r="V44" s="442">
        <v>3</v>
      </c>
      <c r="W44" s="442"/>
      <c r="X44" s="442"/>
      <c r="Y44" s="442"/>
      <c r="Z44" s="442"/>
      <c r="AA44" s="450">
        <v>4</v>
      </c>
      <c r="AB44" s="451"/>
      <c r="AC44" s="451"/>
      <c r="AD44" s="451"/>
      <c r="AE44" s="451"/>
      <c r="AF44" s="451"/>
      <c r="AG44" s="452"/>
      <c r="AH44" s="442">
        <v>5</v>
      </c>
      <c r="AI44" s="442"/>
      <c r="AJ44" s="442"/>
      <c r="AK44" s="442"/>
      <c r="AL44" s="442"/>
      <c r="AM44" s="442"/>
      <c r="AN44" s="442"/>
      <c r="AO44" s="442"/>
      <c r="AP44" s="442">
        <v>6</v>
      </c>
      <c r="AQ44" s="442"/>
      <c r="AR44" s="442"/>
      <c r="AS44" s="442"/>
      <c r="AT44" s="218"/>
    </row>
    <row r="45" spans="1:69" ht="18.75" customHeight="1">
      <c r="A45" s="218"/>
      <c r="B45" s="465"/>
      <c r="C45" s="466"/>
      <c r="D45" s="458" t="s">
        <v>164</v>
      </c>
      <c r="E45" s="374"/>
      <c r="F45" s="374"/>
      <c r="G45" s="459"/>
      <c r="H45" s="460" t="s">
        <v>165</v>
      </c>
      <c r="I45" s="460"/>
      <c r="J45" s="460"/>
      <c r="K45" s="460"/>
      <c r="L45" s="460"/>
      <c r="M45" s="460"/>
      <c r="N45" s="460"/>
      <c r="O45" s="460" t="s">
        <v>166</v>
      </c>
      <c r="P45" s="460"/>
      <c r="Q45" s="460"/>
      <c r="R45" s="460"/>
      <c r="S45" s="460"/>
      <c r="T45" s="460"/>
      <c r="U45" s="460"/>
      <c r="V45" s="460" t="s">
        <v>167</v>
      </c>
      <c r="W45" s="460"/>
      <c r="X45" s="460"/>
      <c r="Y45" s="460"/>
      <c r="Z45" s="460"/>
      <c r="AA45" s="458" t="s">
        <v>168</v>
      </c>
      <c r="AB45" s="374"/>
      <c r="AC45" s="374"/>
      <c r="AD45" s="374"/>
      <c r="AE45" s="374"/>
      <c r="AF45" s="374"/>
      <c r="AG45" s="459"/>
      <c r="AH45" s="460" t="s">
        <v>169</v>
      </c>
      <c r="AI45" s="460"/>
      <c r="AJ45" s="460"/>
      <c r="AK45" s="460"/>
      <c r="AL45" s="460"/>
      <c r="AM45" s="460"/>
      <c r="AN45" s="460"/>
      <c r="AO45" s="460"/>
      <c r="AP45" s="460" t="s">
        <v>170</v>
      </c>
      <c r="AQ45" s="460"/>
      <c r="AR45" s="460"/>
      <c r="AS45" s="460"/>
      <c r="AT45" s="218"/>
    </row>
    <row r="46" spans="1:69" ht="18.75" customHeight="1">
      <c r="A46" s="218"/>
      <c r="B46" s="467"/>
      <c r="C46" s="468"/>
      <c r="D46" s="469" t="s">
        <v>171</v>
      </c>
      <c r="E46" s="436"/>
      <c r="F46" s="436"/>
      <c r="G46" s="470"/>
      <c r="H46" s="461" t="s">
        <v>172</v>
      </c>
      <c r="I46" s="461"/>
      <c r="J46" s="461"/>
      <c r="K46" s="461"/>
      <c r="L46" s="461"/>
      <c r="M46" s="461"/>
      <c r="N46" s="461"/>
      <c r="O46" s="461" t="s">
        <v>173</v>
      </c>
      <c r="P46" s="461"/>
      <c r="Q46" s="461"/>
      <c r="R46" s="461"/>
      <c r="S46" s="461"/>
      <c r="T46" s="461"/>
      <c r="U46" s="461"/>
      <c r="V46" s="461"/>
      <c r="W46" s="461"/>
      <c r="X46" s="461"/>
      <c r="Y46" s="461"/>
      <c r="Z46" s="461"/>
      <c r="AA46" s="462" t="s">
        <v>174</v>
      </c>
      <c r="AB46" s="463"/>
      <c r="AC46" s="463"/>
      <c r="AD46" s="463"/>
      <c r="AE46" s="463"/>
      <c r="AF46" s="463"/>
      <c r="AG46" s="464"/>
      <c r="AH46" s="461" t="s">
        <v>175</v>
      </c>
      <c r="AI46" s="461"/>
      <c r="AJ46" s="461"/>
      <c r="AK46" s="461"/>
      <c r="AL46" s="461"/>
      <c r="AM46" s="461"/>
      <c r="AN46" s="461"/>
      <c r="AO46" s="461"/>
      <c r="AP46" s="461"/>
      <c r="AQ46" s="461"/>
      <c r="AR46" s="461"/>
      <c r="AS46" s="461"/>
      <c r="AT46" s="218"/>
    </row>
    <row r="47" spans="1:69" ht="18.75" customHeight="1">
      <c r="A47" s="218"/>
      <c r="B47" s="442" t="s">
        <v>146</v>
      </c>
      <c r="C47" s="442"/>
      <c r="D47" s="443" t="s">
        <v>176</v>
      </c>
      <c r="E47" s="444"/>
      <c r="F47" s="444"/>
      <c r="G47" s="445"/>
      <c r="H47" s="446" t="e">
        <f ca="1">Calcu!E25</f>
        <v>#N/A</v>
      </c>
      <c r="I47" s="447"/>
      <c r="J47" s="447"/>
      <c r="K47" s="447"/>
      <c r="L47" s="447"/>
      <c r="M47" s="448" t="str">
        <f>Calcu!F25</f>
        <v>mm</v>
      </c>
      <c r="N47" s="449"/>
      <c r="O47" s="453">
        <f>Calcu!J25</f>
        <v>0</v>
      </c>
      <c r="P47" s="454"/>
      <c r="Q47" s="454"/>
      <c r="R47" s="454"/>
      <c r="S47" s="440" t="str">
        <f>Calcu!K25</f>
        <v>μm</v>
      </c>
      <c r="T47" s="448"/>
      <c r="U47" s="449"/>
      <c r="V47" s="442" t="str">
        <f>Calcu!L25</f>
        <v>t</v>
      </c>
      <c r="W47" s="442"/>
      <c r="X47" s="442"/>
      <c r="Y47" s="442"/>
      <c r="Z47" s="442"/>
      <c r="AA47" s="450">
        <f>Calcu!O25</f>
        <v>1</v>
      </c>
      <c r="AB47" s="451"/>
      <c r="AC47" s="451"/>
      <c r="AD47" s="451"/>
      <c r="AE47" s="451"/>
      <c r="AF47" s="451"/>
      <c r="AG47" s="452"/>
      <c r="AH47" s="453">
        <f>Calcu!Q25</f>
        <v>0</v>
      </c>
      <c r="AI47" s="454"/>
      <c r="AJ47" s="454"/>
      <c r="AK47" s="454"/>
      <c r="AL47" s="454"/>
      <c r="AM47" s="440" t="str">
        <f>Calcu!R25</f>
        <v>μm</v>
      </c>
      <c r="AN47" s="440"/>
      <c r="AO47" s="441"/>
      <c r="AP47" s="442">
        <f>Calcu!S25</f>
        <v>5</v>
      </c>
      <c r="AQ47" s="442"/>
      <c r="AR47" s="442"/>
      <c r="AS47" s="442"/>
      <c r="AT47" s="218"/>
    </row>
    <row r="48" spans="1:69" ht="18.75" customHeight="1">
      <c r="A48" s="218"/>
      <c r="B48" s="442" t="s">
        <v>143</v>
      </c>
      <c r="C48" s="442"/>
      <c r="D48" s="443" t="s">
        <v>151</v>
      </c>
      <c r="E48" s="444"/>
      <c r="F48" s="444"/>
      <c r="G48" s="445"/>
      <c r="H48" s="446" t="e">
        <f ca="1">Calcu!E26</f>
        <v>#N/A</v>
      </c>
      <c r="I48" s="447"/>
      <c r="J48" s="447"/>
      <c r="K48" s="447"/>
      <c r="L48" s="447"/>
      <c r="M48" s="448" t="str">
        <f>Calcu!F26</f>
        <v>mm</v>
      </c>
      <c r="N48" s="449"/>
      <c r="O48" s="453" t="e">
        <f>Calcu!J26</f>
        <v>#DIV/0!</v>
      </c>
      <c r="P48" s="454"/>
      <c r="Q48" s="454"/>
      <c r="R48" s="454"/>
      <c r="S48" s="440" t="str">
        <f>Calcu!K26</f>
        <v>μm</v>
      </c>
      <c r="T48" s="448"/>
      <c r="U48" s="449"/>
      <c r="V48" s="442" t="str">
        <f>Calcu!L26</f>
        <v>정규</v>
      </c>
      <c r="W48" s="442"/>
      <c r="X48" s="442"/>
      <c r="Y48" s="442"/>
      <c r="Z48" s="442"/>
      <c r="AA48" s="450">
        <f>Calcu!O26</f>
        <v>1</v>
      </c>
      <c r="AB48" s="451"/>
      <c r="AC48" s="451"/>
      <c r="AD48" s="451"/>
      <c r="AE48" s="451"/>
      <c r="AF48" s="451"/>
      <c r="AG48" s="452"/>
      <c r="AH48" s="453" t="e">
        <f>Calcu!Q26</f>
        <v>#DIV/0!</v>
      </c>
      <c r="AI48" s="454"/>
      <c r="AJ48" s="454"/>
      <c r="AK48" s="454"/>
      <c r="AL48" s="454"/>
      <c r="AM48" s="440" t="str">
        <f>Calcu!R26</f>
        <v>μm</v>
      </c>
      <c r="AN48" s="440"/>
      <c r="AO48" s="441"/>
      <c r="AP48" s="442" t="str">
        <f>Calcu!S26</f>
        <v>∞</v>
      </c>
      <c r="AQ48" s="442"/>
      <c r="AR48" s="442"/>
      <c r="AS48" s="442"/>
      <c r="AT48" s="218"/>
    </row>
    <row r="49" spans="1:49" ht="18.75" customHeight="1">
      <c r="A49" s="218"/>
      <c r="B49" s="442" t="s">
        <v>144</v>
      </c>
      <c r="C49" s="442"/>
      <c r="D49" s="443"/>
      <c r="E49" s="444"/>
      <c r="F49" s="444"/>
      <c r="G49" s="445"/>
      <c r="H49" s="446" t="e">
        <f ca="1">Calcu!E27</f>
        <v>#N/A</v>
      </c>
      <c r="I49" s="447"/>
      <c r="J49" s="447"/>
      <c r="K49" s="447"/>
      <c r="L49" s="447"/>
      <c r="M49" s="448" t="str">
        <f>Calcu!F27</f>
        <v>/℃</v>
      </c>
      <c r="N49" s="449"/>
      <c r="O49" s="455">
        <f>Calcu!J27</f>
        <v>4.0824829046386305E-7</v>
      </c>
      <c r="P49" s="448"/>
      <c r="Q49" s="448"/>
      <c r="R49" s="448"/>
      <c r="S49" s="440" t="str">
        <f>Calcu!K27</f>
        <v>/℃</v>
      </c>
      <c r="T49" s="448"/>
      <c r="U49" s="449"/>
      <c r="V49" s="442" t="str">
        <f>Calcu!L27</f>
        <v>삼각형</v>
      </c>
      <c r="W49" s="442"/>
      <c r="X49" s="442"/>
      <c r="Y49" s="442"/>
      <c r="Z49" s="442"/>
      <c r="AA49" s="455" t="e">
        <f ca="1">Calcu!O27</f>
        <v>#N/A</v>
      </c>
      <c r="AB49" s="448"/>
      <c r="AC49" s="448"/>
      <c r="AD49" s="448"/>
      <c r="AE49" s="456" t="str">
        <f>Calcu!P27</f>
        <v>℃·μm</v>
      </c>
      <c r="AF49" s="456"/>
      <c r="AG49" s="457"/>
      <c r="AH49" s="453" t="e">
        <f ca="1">Calcu!Q27</f>
        <v>#N/A</v>
      </c>
      <c r="AI49" s="454"/>
      <c r="AJ49" s="454"/>
      <c r="AK49" s="454"/>
      <c r="AL49" s="454"/>
      <c r="AM49" s="440" t="str">
        <f>Calcu!R27</f>
        <v>μm</v>
      </c>
      <c r="AN49" s="440"/>
      <c r="AO49" s="441"/>
      <c r="AP49" s="442">
        <f>Calcu!S27</f>
        <v>100.00000000000004</v>
      </c>
      <c r="AQ49" s="442"/>
      <c r="AR49" s="442"/>
      <c r="AS49" s="442"/>
      <c r="AT49" s="218"/>
    </row>
    <row r="50" spans="1:49" ht="18.75" customHeight="1">
      <c r="A50" s="218"/>
      <c r="B50" s="442" t="s">
        <v>177</v>
      </c>
      <c r="C50" s="442"/>
      <c r="D50" s="443" t="s">
        <v>178</v>
      </c>
      <c r="E50" s="444"/>
      <c r="F50" s="444"/>
      <c r="G50" s="445"/>
      <c r="H50" s="446" t="e">
        <f ca="1">Calcu!E28</f>
        <v>#N/A</v>
      </c>
      <c r="I50" s="447"/>
      <c r="J50" s="447"/>
      <c r="K50" s="447"/>
      <c r="L50" s="447"/>
      <c r="M50" s="448" t="str">
        <f>Calcu!F28</f>
        <v>℃</v>
      </c>
      <c r="N50" s="449"/>
      <c r="O50" s="453" t="e">
        <f ca="1">Calcu!J28</f>
        <v>#N/A</v>
      </c>
      <c r="P50" s="454"/>
      <c r="Q50" s="454"/>
      <c r="R50" s="454"/>
      <c r="S50" s="440" t="str">
        <f>Calcu!K28</f>
        <v>℃</v>
      </c>
      <c r="T50" s="448"/>
      <c r="U50" s="449"/>
      <c r="V50" s="442" t="str">
        <f>Calcu!L28</f>
        <v>직사각형</v>
      </c>
      <c r="W50" s="442"/>
      <c r="X50" s="442"/>
      <c r="Y50" s="442"/>
      <c r="Z50" s="442"/>
      <c r="AA50" s="455" t="e">
        <f ca="1">Calcu!O28</f>
        <v>#N/A</v>
      </c>
      <c r="AB50" s="448"/>
      <c r="AC50" s="448"/>
      <c r="AD50" s="448"/>
      <c r="AE50" s="456" t="str">
        <f>Calcu!P28</f>
        <v>/℃·μm</v>
      </c>
      <c r="AF50" s="456"/>
      <c r="AG50" s="457"/>
      <c r="AH50" s="453" t="e">
        <f ca="1">Calcu!Q28</f>
        <v>#N/A</v>
      </c>
      <c r="AI50" s="454"/>
      <c r="AJ50" s="454"/>
      <c r="AK50" s="454"/>
      <c r="AL50" s="454"/>
      <c r="AM50" s="440" t="str">
        <f>Calcu!R28</f>
        <v>μm</v>
      </c>
      <c r="AN50" s="440"/>
      <c r="AO50" s="441"/>
      <c r="AP50" s="442">
        <f>Calcu!S28</f>
        <v>12</v>
      </c>
      <c r="AQ50" s="442"/>
      <c r="AR50" s="442"/>
      <c r="AS50" s="442"/>
      <c r="AT50" s="218"/>
    </row>
    <row r="51" spans="1:49" ht="18.75" customHeight="1">
      <c r="A51" s="218"/>
      <c r="B51" s="442" t="s">
        <v>179</v>
      </c>
      <c r="C51" s="442"/>
      <c r="D51" s="443" t="s">
        <v>155</v>
      </c>
      <c r="E51" s="444"/>
      <c r="F51" s="444"/>
      <c r="G51" s="445"/>
      <c r="H51" s="446" t="e">
        <f ca="1">Calcu!E29</f>
        <v>#N/A</v>
      </c>
      <c r="I51" s="447"/>
      <c r="J51" s="447"/>
      <c r="K51" s="447"/>
      <c r="L51" s="447"/>
      <c r="M51" s="448" t="str">
        <f>Calcu!F29</f>
        <v>/℃</v>
      </c>
      <c r="N51" s="449"/>
      <c r="O51" s="455">
        <f>Calcu!J29</f>
        <v>8.1649658092772609E-7</v>
      </c>
      <c r="P51" s="448"/>
      <c r="Q51" s="448"/>
      <c r="R51" s="448"/>
      <c r="S51" s="440" t="str">
        <f>Calcu!K29</f>
        <v>/℃</v>
      </c>
      <c r="T51" s="448"/>
      <c r="U51" s="449"/>
      <c r="V51" s="442" t="str">
        <f>Calcu!L29</f>
        <v>삼각형</v>
      </c>
      <c r="W51" s="442"/>
      <c r="X51" s="442"/>
      <c r="Y51" s="442"/>
      <c r="Z51" s="442"/>
      <c r="AA51" s="455" t="e">
        <f ca="1">Calcu!O29</f>
        <v>#N/A</v>
      </c>
      <c r="AB51" s="448"/>
      <c r="AC51" s="448"/>
      <c r="AD51" s="448"/>
      <c r="AE51" s="456" t="str">
        <f>Calcu!P29</f>
        <v>℃·μm</v>
      </c>
      <c r="AF51" s="456"/>
      <c r="AG51" s="457"/>
      <c r="AH51" s="453" t="e">
        <f ca="1">Calcu!Q29</f>
        <v>#N/A</v>
      </c>
      <c r="AI51" s="454"/>
      <c r="AJ51" s="454"/>
      <c r="AK51" s="454"/>
      <c r="AL51" s="454"/>
      <c r="AM51" s="440" t="str">
        <f>Calcu!R29</f>
        <v>μm</v>
      </c>
      <c r="AN51" s="440"/>
      <c r="AO51" s="441"/>
      <c r="AP51" s="442">
        <f>Calcu!S29</f>
        <v>100.00000000000004</v>
      </c>
      <c r="AQ51" s="442"/>
      <c r="AR51" s="442"/>
      <c r="AS51" s="442"/>
      <c r="AT51" s="218"/>
    </row>
    <row r="52" spans="1:49" ht="18.75" customHeight="1">
      <c r="A52" s="218"/>
      <c r="B52" s="442" t="s">
        <v>180</v>
      </c>
      <c r="C52" s="442"/>
      <c r="D52" s="443" t="s">
        <v>181</v>
      </c>
      <c r="E52" s="444"/>
      <c r="F52" s="444"/>
      <c r="G52" s="445"/>
      <c r="H52" s="446" t="e">
        <f ca="1">Calcu!E30</f>
        <v>#N/A</v>
      </c>
      <c r="I52" s="447"/>
      <c r="J52" s="447"/>
      <c r="K52" s="447"/>
      <c r="L52" s="447"/>
      <c r="M52" s="448" t="str">
        <f>Calcu!F30</f>
        <v>℃</v>
      </c>
      <c r="N52" s="449"/>
      <c r="O52" s="453">
        <f>Calcu!J30</f>
        <v>0.57735026918962584</v>
      </c>
      <c r="P52" s="454"/>
      <c r="Q52" s="454"/>
      <c r="R52" s="454"/>
      <c r="S52" s="440" t="str">
        <f>Calcu!K30</f>
        <v>℃</v>
      </c>
      <c r="T52" s="448"/>
      <c r="U52" s="449"/>
      <c r="V52" s="442" t="str">
        <f>Calcu!L30</f>
        <v>직사각형</v>
      </c>
      <c r="W52" s="442"/>
      <c r="X52" s="442"/>
      <c r="Y52" s="442"/>
      <c r="Z52" s="442"/>
      <c r="AA52" s="455" t="e">
        <f ca="1">Calcu!O30</f>
        <v>#N/A</v>
      </c>
      <c r="AB52" s="448"/>
      <c r="AC52" s="448"/>
      <c r="AD52" s="448"/>
      <c r="AE52" s="456" t="str">
        <f>Calcu!P30</f>
        <v>/℃·μm</v>
      </c>
      <c r="AF52" s="456"/>
      <c r="AG52" s="457"/>
      <c r="AH52" s="453" t="e">
        <f ca="1">Calcu!Q30</f>
        <v>#N/A</v>
      </c>
      <c r="AI52" s="454"/>
      <c r="AJ52" s="454"/>
      <c r="AK52" s="454"/>
      <c r="AL52" s="454"/>
      <c r="AM52" s="440" t="str">
        <f>Calcu!R30</f>
        <v>μm</v>
      </c>
      <c r="AN52" s="440"/>
      <c r="AO52" s="441"/>
      <c r="AP52" s="442">
        <f>Calcu!S30</f>
        <v>12</v>
      </c>
      <c r="AQ52" s="442"/>
      <c r="AR52" s="442"/>
      <c r="AS52" s="442"/>
      <c r="AT52" s="218"/>
    </row>
    <row r="53" spans="1:49" ht="18.75" customHeight="1">
      <c r="A53" s="218"/>
      <c r="B53" s="442" t="s">
        <v>182</v>
      </c>
      <c r="C53" s="442"/>
      <c r="D53" s="443" t="s">
        <v>183</v>
      </c>
      <c r="E53" s="444"/>
      <c r="F53" s="444"/>
      <c r="G53" s="445"/>
      <c r="H53" s="446" t="e">
        <f ca="1">Calcu!E31</f>
        <v>#N/A</v>
      </c>
      <c r="I53" s="447"/>
      <c r="J53" s="447"/>
      <c r="K53" s="447"/>
      <c r="L53" s="447"/>
      <c r="M53" s="448" t="str">
        <f>Calcu!F31</f>
        <v>mm</v>
      </c>
      <c r="N53" s="449"/>
      <c r="O53" s="453" t="e">
        <f ca="1">Calcu!J31</f>
        <v>#N/A</v>
      </c>
      <c r="P53" s="454"/>
      <c r="Q53" s="454"/>
      <c r="R53" s="454"/>
      <c r="S53" s="440" t="str">
        <f>Calcu!K31</f>
        <v>μm</v>
      </c>
      <c r="T53" s="448"/>
      <c r="U53" s="449"/>
      <c r="V53" s="442" t="str">
        <f>Calcu!L31</f>
        <v>직사각형</v>
      </c>
      <c r="W53" s="442"/>
      <c r="X53" s="442"/>
      <c r="Y53" s="442"/>
      <c r="Z53" s="442"/>
      <c r="AA53" s="450">
        <f>Calcu!O31</f>
        <v>1</v>
      </c>
      <c r="AB53" s="451"/>
      <c r="AC53" s="451"/>
      <c r="AD53" s="451"/>
      <c r="AE53" s="451"/>
      <c r="AF53" s="451"/>
      <c r="AG53" s="452"/>
      <c r="AH53" s="453" t="e">
        <f ca="1">Calcu!Q31</f>
        <v>#N/A</v>
      </c>
      <c r="AI53" s="454"/>
      <c r="AJ53" s="454"/>
      <c r="AK53" s="454"/>
      <c r="AL53" s="454"/>
      <c r="AM53" s="440" t="str">
        <f>Calcu!R31</f>
        <v>μm</v>
      </c>
      <c r="AN53" s="440"/>
      <c r="AO53" s="441"/>
      <c r="AP53" s="442" t="str">
        <f>Calcu!S31</f>
        <v>∞</v>
      </c>
      <c r="AQ53" s="442"/>
      <c r="AR53" s="442"/>
      <c r="AS53" s="442"/>
      <c r="AT53" s="218"/>
    </row>
    <row r="54" spans="1:49" ht="18.75" customHeight="1">
      <c r="A54" s="218"/>
      <c r="B54" s="442" t="s">
        <v>184</v>
      </c>
      <c r="C54" s="442"/>
      <c r="D54" s="443" t="s">
        <v>185</v>
      </c>
      <c r="E54" s="444"/>
      <c r="F54" s="444"/>
      <c r="G54" s="445"/>
      <c r="H54" s="446">
        <f>Calcu!E32</f>
        <v>0</v>
      </c>
      <c r="I54" s="447"/>
      <c r="J54" s="447"/>
      <c r="K54" s="447"/>
      <c r="L54" s="447"/>
      <c r="M54" s="448" t="str">
        <f>Calcu!F32</f>
        <v>mm</v>
      </c>
      <c r="N54" s="449"/>
      <c r="O54" s="453">
        <f>Calcu!J32</f>
        <v>0</v>
      </c>
      <c r="P54" s="454"/>
      <c r="Q54" s="454"/>
      <c r="R54" s="454"/>
      <c r="S54" s="440" t="str">
        <f>Calcu!K32</f>
        <v>μm</v>
      </c>
      <c r="T54" s="448"/>
      <c r="U54" s="449"/>
      <c r="V54" s="442" t="str">
        <f>Calcu!L32</f>
        <v>직사각형</v>
      </c>
      <c r="W54" s="442"/>
      <c r="X54" s="442"/>
      <c r="Y54" s="442"/>
      <c r="Z54" s="442"/>
      <c r="AA54" s="450">
        <f>Calcu!O32</f>
        <v>1</v>
      </c>
      <c r="AB54" s="451"/>
      <c r="AC54" s="451"/>
      <c r="AD54" s="451"/>
      <c r="AE54" s="451"/>
      <c r="AF54" s="451"/>
      <c r="AG54" s="452"/>
      <c r="AH54" s="453">
        <f>Calcu!Q32</f>
        <v>0</v>
      </c>
      <c r="AI54" s="454"/>
      <c r="AJ54" s="454"/>
      <c r="AK54" s="454"/>
      <c r="AL54" s="454"/>
      <c r="AM54" s="440" t="str">
        <f>Calcu!R32</f>
        <v>μm</v>
      </c>
      <c r="AN54" s="440"/>
      <c r="AO54" s="441"/>
      <c r="AP54" s="442">
        <f>Calcu!S32</f>
        <v>12</v>
      </c>
      <c r="AQ54" s="442"/>
      <c r="AR54" s="442"/>
      <c r="AS54" s="442"/>
      <c r="AT54" s="218"/>
    </row>
    <row r="55" spans="1:49" ht="18.75" customHeight="1">
      <c r="A55" s="218"/>
      <c r="B55" s="442" t="s">
        <v>186</v>
      </c>
      <c r="C55" s="442"/>
      <c r="D55" s="443" t="s">
        <v>314</v>
      </c>
      <c r="E55" s="444"/>
      <c r="F55" s="444"/>
      <c r="G55" s="445"/>
      <c r="H55" s="446" t="e">
        <f ca="1">Calcu!E33</f>
        <v>#N/A</v>
      </c>
      <c r="I55" s="447"/>
      <c r="J55" s="447"/>
      <c r="K55" s="447"/>
      <c r="L55" s="447"/>
      <c r="M55" s="448" t="str">
        <f>Calcu!F33</f>
        <v>mm</v>
      </c>
      <c r="N55" s="449"/>
      <c r="O55" s="450"/>
      <c r="P55" s="451"/>
      <c r="Q55" s="451"/>
      <c r="R55" s="451"/>
      <c r="S55" s="451"/>
      <c r="T55" s="451"/>
      <c r="U55" s="452"/>
      <c r="V55" s="442"/>
      <c r="W55" s="442"/>
      <c r="X55" s="442"/>
      <c r="Y55" s="442"/>
      <c r="Z55" s="442"/>
      <c r="AA55" s="450"/>
      <c r="AB55" s="451"/>
      <c r="AC55" s="451"/>
      <c r="AD55" s="451"/>
      <c r="AE55" s="451"/>
      <c r="AF55" s="451"/>
      <c r="AG55" s="452"/>
      <c r="AH55" s="453" t="e">
        <f>Calcu!Q33</f>
        <v>#DIV/0!</v>
      </c>
      <c r="AI55" s="454"/>
      <c r="AJ55" s="454"/>
      <c r="AK55" s="454"/>
      <c r="AL55" s="454"/>
      <c r="AM55" s="440" t="str">
        <f>Calcu!R33</f>
        <v>μm</v>
      </c>
      <c r="AN55" s="440"/>
      <c r="AO55" s="441"/>
      <c r="AP55" s="442" t="e">
        <f ca="1">Calcu!S33</f>
        <v>#N/A</v>
      </c>
      <c r="AQ55" s="442"/>
      <c r="AR55" s="442"/>
      <c r="AS55" s="442"/>
      <c r="AT55" s="218"/>
    </row>
    <row r="56" spans="1:49" ht="18.75" customHeight="1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</row>
    <row r="57" spans="1:49" ht="18.75" customHeight="1">
      <c r="A57" s="57" t="s">
        <v>187</v>
      </c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</row>
    <row r="58" spans="1:49" ht="18.75" customHeight="1">
      <c r="A58" s="218"/>
      <c r="B58" s="60" t="str">
        <f>"1. "&amp;$T$5&amp;" 지시값의 표준불확도,"</f>
        <v>1. 표준 측장기 지시값의 표준불확도,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P58" s="218"/>
      <c r="Q58" s="161" t="s">
        <v>188</v>
      </c>
      <c r="R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</row>
    <row r="59" spans="1:49" ht="18.75" customHeight="1">
      <c r="A59" s="218"/>
      <c r="C59" s="218" t="s">
        <v>189</v>
      </c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</row>
    <row r="60" spans="1:49" ht="18.75" customHeight="1">
      <c r="A60" s="218"/>
      <c r="C60" s="60"/>
      <c r="D60" s="218" t="s">
        <v>190</v>
      </c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</row>
    <row r="61" spans="1:49" ht="18.75" customHeight="1">
      <c r="B61" s="218"/>
      <c r="C61" s="218" t="s">
        <v>191</v>
      </c>
      <c r="D61" s="218"/>
      <c r="E61" s="218"/>
      <c r="F61" s="218"/>
      <c r="G61" s="218"/>
      <c r="H61" s="218"/>
      <c r="I61" s="417" t="e">
        <f ca="1">H47</f>
        <v>#N/A</v>
      </c>
      <c r="J61" s="417"/>
      <c r="K61" s="417"/>
      <c r="L61" s="417"/>
      <c r="M61" s="417"/>
      <c r="N61" s="417" t="str">
        <f>M47</f>
        <v>mm</v>
      </c>
      <c r="O61" s="417"/>
      <c r="P61" s="212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</row>
    <row r="62" spans="1:49" ht="18.75" customHeight="1">
      <c r="B62" s="218"/>
      <c r="C62" s="218" t="s">
        <v>192</v>
      </c>
      <c r="D62" s="218"/>
      <c r="E62" s="218"/>
      <c r="F62" s="218"/>
      <c r="G62" s="218"/>
      <c r="H62" s="218"/>
      <c r="I62" s="218"/>
      <c r="J62" s="61" t="s">
        <v>193</v>
      </c>
      <c r="K62" s="218"/>
      <c r="L62" s="218"/>
      <c r="M62" s="218"/>
      <c r="N62" s="218"/>
      <c r="O62" s="218"/>
      <c r="P62" s="218"/>
      <c r="Q62" s="417">
        <f>Calcu!G25</f>
        <v>0</v>
      </c>
      <c r="R62" s="417"/>
      <c r="S62" s="417"/>
      <c r="T62" s="437" t="s">
        <v>194</v>
      </c>
      <c r="U62" s="437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</row>
    <row r="63" spans="1:49" ht="18.75" customHeight="1">
      <c r="B63" s="218"/>
      <c r="C63" s="218"/>
      <c r="D63" s="218"/>
      <c r="E63" s="218"/>
      <c r="F63" s="218"/>
      <c r="G63" s="218"/>
      <c r="H63" s="218"/>
      <c r="I63" s="218"/>
      <c r="J63" s="218"/>
      <c r="K63" s="413" t="s">
        <v>195</v>
      </c>
      <c r="L63" s="413"/>
      <c r="M63" s="413"/>
      <c r="N63" s="413" t="s">
        <v>196</v>
      </c>
      <c r="O63" s="436" t="s">
        <v>197</v>
      </c>
      <c r="P63" s="436"/>
      <c r="Q63" s="413" t="s">
        <v>196</v>
      </c>
      <c r="R63" s="415">
        <f>Q62</f>
        <v>0</v>
      </c>
      <c r="S63" s="415"/>
      <c r="T63" s="415"/>
      <c r="U63" s="438" t="str">
        <f>T62</f>
        <v>μm</v>
      </c>
      <c r="V63" s="438"/>
      <c r="W63" s="413" t="s">
        <v>196</v>
      </c>
      <c r="X63" s="416">
        <f>R63/SQRT(5)</f>
        <v>0</v>
      </c>
      <c r="Y63" s="416"/>
      <c r="Z63" s="416"/>
      <c r="AA63" s="419" t="str">
        <f>T62</f>
        <v>μm</v>
      </c>
      <c r="AB63" s="419"/>
      <c r="AC63" s="214"/>
      <c r="AD63" s="214"/>
      <c r="AE63" s="214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</row>
    <row r="64" spans="1:49" ht="18.75" customHeight="1">
      <c r="B64" s="218"/>
      <c r="C64" s="218"/>
      <c r="D64" s="218"/>
      <c r="E64" s="218"/>
      <c r="F64" s="218"/>
      <c r="G64" s="218"/>
      <c r="H64" s="218"/>
      <c r="I64" s="218"/>
      <c r="J64" s="218"/>
      <c r="K64" s="413"/>
      <c r="L64" s="413"/>
      <c r="M64" s="413"/>
      <c r="N64" s="413"/>
      <c r="O64" s="434"/>
      <c r="P64" s="434"/>
      <c r="Q64" s="413"/>
      <c r="R64" s="374"/>
      <c r="S64" s="374"/>
      <c r="T64" s="374"/>
      <c r="U64" s="374"/>
      <c r="V64" s="374"/>
      <c r="W64" s="413"/>
      <c r="X64" s="416"/>
      <c r="Y64" s="416"/>
      <c r="Z64" s="416"/>
      <c r="AA64" s="419"/>
      <c r="AB64" s="419"/>
      <c r="AC64" s="214"/>
      <c r="AD64" s="214"/>
      <c r="AE64" s="214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</row>
    <row r="65" spans="1:48" ht="18.75" customHeight="1">
      <c r="B65" s="218"/>
      <c r="C65" s="218" t="s">
        <v>199</v>
      </c>
      <c r="D65" s="218"/>
      <c r="E65" s="218"/>
      <c r="F65" s="218"/>
      <c r="G65" s="218"/>
      <c r="H65" s="218"/>
      <c r="I65" s="400" t="str">
        <f>V47</f>
        <v>t</v>
      </c>
      <c r="J65" s="400"/>
      <c r="K65" s="400"/>
      <c r="L65" s="400"/>
      <c r="M65" s="400"/>
      <c r="N65" s="400"/>
      <c r="O65" s="400"/>
      <c r="P65" s="400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</row>
    <row r="66" spans="1:48" ht="18.75" customHeight="1">
      <c r="B66" s="218"/>
      <c r="C66" s="418" t="s">
        <v>200</v>
      </c>
      <c r="D66" s="418"/>
      <c r="E66" s="418"/>
      <c r="F66" s="418"/>
      <c r="G66" s="418"/>
      <c r="H66" s="418"/>
      <c r="I66" s="215"/>
      <c r="J66" s="215"/>
      <c r="K66" s="218"/>
      <c r="L66" s="218"/>
      <c r="N66" s="400">
        <f>AA47</f>
        <v>1</v>
      </c>
      <c r="O66" s="400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</row>
    <row r="67" spans="1:48" ht="18.75" customHeight="1">
      <c r="B67" s="218"/>
      <c r="C67" s="418"/>
      <c r="D67" s="418"/>
      <c r="E67" s="418"/>
      <c r="F67" s="418"/>
      <c r="G67" s="418"/>
      <c r="H67" s="418"/>
      <c r="I67" s="216"/>
      <c r="J67" s="216"/>
      <c r="K67" s="218"/>
      <c r="L67" s="218"/>
      <c r="N67" s="400"/>
      <c r="O67" s="400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</row>
    <row r="68" spans="1:48" ht="18.75" customHeight="1">
      <c r="B68" s="218"/>
      <c r="C68" s="218" t="s">
        <v>201</v>
      </c>
      <c r="D68" s="218"/>
      <c r="E68" s="218"/>
      <c r="F68" s="218"/>
      <c r="G68" s="218"/>
      <c r="H68" s="218"/>
      <c r="I68" s="218"/>
      <c r="J68" s="218"/>
      <c r="K68" s="217" t="s">
        <v>75</v>
      </c>
      <c r="L68" s="383">
        <f>N66</f>
        <v>1</v>
      </c>
      <c r="M68" s="383"/>
      <c r="N68" s="210" t="s">
        <v>202</v>
      </c>
      <c r="O68" s="416">
        <f>AH47</f>
        <v>0</v>
      </c>
      <c r="P68" s="416"/>
      <c r="Q68" s="416"/>
      <c r="R68" s="419" t="str">
        <f>AA63</f>
        <v>μm</v>
      </c>
      <c r="S68" s="417"/>
      <c r="T68" s="217" t="s">
        <v>75</v>
      </c>
      <c r="U68" s="72" t="s">
        <v>198</v>
      </c>
      <c r="V68" s="416">
        <f>O68</f>
        <v>0</v>
      </c>
      <c r="W68" s="416"/>
      <c r="X68" s="416"/>
      <c r="Y68" s="419" t="str">
        <f>R68</f>
        <v>μm</v>
      </c>
      <c r="Z68" s="417"/>
      <c r="AA68" s="212"/>
      <c r="AB68" s="218"/>
      <c r="AC68" s="218"/>
      <c r="AD68" s="218"/>
      <c r="AE68" s="218"/>
      <c r="AF68" s="218"/>
      <c r="AP68" s="218"/>
      <c r="AQ68" s="218"/>
      <c r="AR68" s="218"/>
      <c r="AS68" s="218"/>
      <c r="AT68" s="218"/>
      <c r="AU68" s="218"/>
      <c r="AV68" s="218"/>
    </row>
    <row r="69" spans="1:48" ht="18.75" customHeight="1">
      <c r="B69" s="218"/>
      <c r="C69" s="218" t="s">
        <v>77</v>
      </c>
      <c r="D69" s="218"/>
      <c r="E69" s="218"/>
      <c r="F69" s="218"/>
      <c r="G69" s="218"/>
      <c r="H69" s="218"/>
      <c r="I69" s="102" t="s">
        <v>203</v>
      </c>
      <c r="J69" s="102"/>
      <c r="K69" s="102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218"/>
      <c r="AB69" s="218"/>
      <c r="AC69" s="218"/>
      <c r="AD69" s="218"/>
      <c r="AE69" s="218"/>
      <c r="AF69" s="218"/>
    </row>
    <row r="70" spans="1:48" ht="18.75" customHeight="1">
      <c r="B70" s="218"/>
      <c r="C70" s="218"/>
      <c r="D70" s="218"/>
      <c r="E70" s="218"/>
      <c r="F70" s="218"/>
      <c r="G70" s="218"/>
      <c r="H70" s="218"/>
      <c r="I70" s="102"/>
      <c r="J70" s="93"/>
      <c r="K70" s="102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218"/>
      <c r="AB70" s="218"/>
      <c r="AC70" s="218"/>
      <c r="AD70" s="218"/>
      <c r="AE70" s="218"/>
      <c r="AF70" s="218"/>
    </row>
    <row r="71" spans="1:48" ht="18.75" customHeight="1">
      <c r="A71" s="218"/>
      <c r="B71" s="60" t="str">
        <f>"2. "&amp;T5&amp;" 보정값의 표준불확도,"</f>
        <v>2. 표준 측장기 보정값의 표준불확도,</v>
      </c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161" t="s">
        <v>204</v>
      </c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</row>
    <row r="72" spans="1:48" ht="18.75" customHeight="1">
      <c r="A72" s="218"/>
      <c r="B72" s="60"/>
      <c r="C72" s="218" t="str">
        <f>"※ 교정성적서에 주어진 "&amp;T5&amp;"의 측정불확도를 포함인자로 나누어 구한다."</f>
        <v>※ 교정성적서에 주어진 표준 측장기의 측정불확도를 포함인자로 나누어 구한다.</v>
      </c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</row>
    <row r="73" spans="1:48" ht="18.75" customHeight="1">
      <c r="A73" s="218"/>
      <c r="B73" s="218"/>
      <c r="C73" s="218" t="s">
        <v>205</v>
      </c>
      <c r="D73" s="218"/>
      <c r="E73" s="218"/>
      <c r="F73" s="218"/>
      <c r="G73" s="218"/>
      <c r="H73" s="218"/>
      <c r="I73" s="439" t="e">
        <f ca="1">H48</f>
        <v>#N/A</v>
      </c>
      <c r="J73" s="439"/>
      <c r="K73" s="439"/>
      <c r="L73" s="439"/>
      <c r="M73" s="439"/>
      <c r="N73" s="417" t="str">
        <f>M48</f>
        <v>mm</v>
      </c>
      <c r="O73" s="417"/>
      <c r="P73" s="212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  <c r="AS73" s="218"/>
      <c r="AT73" s="218"/>
    </row>
    <row r="74" spans="1:48" ht="18.75" customHeight="1">
      <c r="A74" s="218"/>
      <c r="B74" s="60"/>
      <c r="C74" s="435" t="s">
        <v>206</v>
      </c>
      <c r="D74" s="435"/>
      <c r="E74" s="435"/>
      <c r="F74" s="435"/>
      <c r="G74" s="435"/>
      <c r="H74" s="435"/>
      <c r="I74" s="435"/>
      <c r="J74" s="413" t="s">
        <v>195</v>
      </c>
      <c r="K74" s="413"/>
      <c r="L74" s="413"/>
      <c r="M74" s="413" t="s">
        <v>196</v>
      </c>
      <c r="N74" s="436" t="s">
        <v>207</v>
      </c>
      <c r="O74" s="436"/>
      <c r="P74" s="413" t="s">
        <v>198</v>
      </c>
      <c r="Q74" s="432">
        <f>Calcu!G26</f>
        <v>0</v>
      </c>
      <c r="R74" s="432"/>
      <c r="S74" s="432"/>
      <c r="T74" s="220"/>
      <c r="U74" s="433">
        <f>Calcu!H26</f>
        <v>0</v>
      </c>
      <c r="V74" s="433"/>
      <c r="W74" s="433"/>
      <c r="X74" s="433"/>
      <c r="Y74" s="220"/>
      <c r="Z74" s="220"/>
      <c r="AA74" s="432" t="s">
        <v>194</v>
      </c>
      <c r="AB74" s="432"/>
      <c r="AC74" s="369" t="s">
        <v>196</v>
      </c>
      <c r="AD74" s="432">
        <f>Q74</f>
        <v>0</v>
      </c>
      <c r="AE74" s="432"/>
      <c r="AF74" s="432"/>
      <c r="AG74" s="220"/>
      <c r="AH74" s="433">
        <f>U74</f>
        <v>0</v>
      </c>
      <c r="AI74" s="433"/>
      <c r="AJ74" s="433"/>
      <c r="AK74" s="433"/>
      <c r="AL74" s="433">
        <f>Calcu!L3</f>
        <v>0</v>
      </c>
      <c r="AM74" s="433"/>
      <c r="AN74" s="433"/>
      <c r="AO74" s="220" t="s">
        <v>208</v>
      </c>
      <c r="AP74" s="220"/>
      <c r="AQ74" s="220"/>
      <c r="AS74" s="432" t="str">
        <f>AA74</f>
        <v>μm</v>
      </c>
      <c r="AT74" s="432"/>
    </row>
    <row r="75" spans="1:48" ht="18.75" customHeight="1">
      <c r="A75" s="218"/>
      <c r="B75" s="60"/>
      <c r="C75" s="435"/>
      <c r="D75" s="435"/>
      <c r="E75" s="435"/>
      <c r="F75" s="435"/>
      <c r="G75" s="435"/>
      <c r="H75" s="435"/>
      <c r="I75" s="435"/>
      <c r="J75" s="413"/>
      <c r="K75" s="413"/>
      <c r="L75" s="413"/>
      <c r="M75" s="413"/>
      <c r="N75" s="434" t="s">
        <v>209</v>
      </c>
      <c r="O75" s="434"/>
      <c r="P75" s="413"/>
      <c r="Q75" s="374">
        <f>Calcu!I26</f>
        <v>0</v>
      </c>
      <c r="R75" s="374"/>
      <c r="S75" s="374"/>
      <c r="T75" s="374"/>
      <c r="U75" s="374"/>
      <c r="V75" s="374"/>
      <c r="W75" s="374"/>
      <c r="X75" s="374"/>
      <c r="Y75" s="374"/>
      <c r="Z75" s="374"/>
      <c r="AA75" s="374"/>
      <c r="AB75" s="374"/>
      <c r="AC75" s="369"/>
      <c r="AD75" s="374">
        <f>Q75</f>
        <v>0</v>
      </c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</row>
    <row r="76" spans="1:48" ht="18.75" customHeight="1">
      <c r="A76" s="218"/>
      <c r="B76" s="60"/>
      <c r="C76" s="154"/>
      <c r="D76" s="218"/>
      <c r="E76" s="218"/>
      <c r="F76" s="218"/>
      <c r="G76" s="218"/>
      <c r="H76" s="218"/>
      <c r="I76" s="218"/>
      <c r="J76" s="184"/>
      <c r="K76" s="184"/>
      <c r="L76" s="184"/>
      <c r="M76" s="213" t="s">
        <v>198</v>
      </c>
      <c r="N76" s="416">
        <f>SQRT(SUMSQ(AD74,AH74*AL74))/2</f>
        <v>0</v>
      </c>
      <c r="O76" s="416"/>
      <c r="P76" s="416"/>
      <c r="Q76" s="215" t="str">
        <f>AS74</f>
        <v>μm</v>
      </c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O76" s="210"/>
      <c r="AP76" s="210"/>
      <c r="AQ76" s="210"/>
      <c r="AR76" s="210"/>
      <c r="AS76" s="218"/>
      <c r="AT76" s="218"/>
    </row>
    <row r="77" spans="1:48" ht="18.75" customHeight="1">
      <c r="A77" s="218"/>
      <c r="B77" s="218"/>
      <c r="C77" s="218" t="s">
        <v>210</v>
      </c>
      <c r="D77" s="218"/>
      <c r="E77" s="218"/>
      <c r="F77" s="218"/>
      <c r="G77" s="218"/>
      <c r="H77" s="218"/>
      <c r="I77" s="400" t="str">
        <f>V48</f>
        <v>정규</v>
      </c>
      <c r="J77" s="400"/>
      <c r="K77" s="400"/>
      <c r="L77" s="400"/>
      <c r="M77" s="400"/>
      <c r="N77" s="400"/>
      <c r="O77" s="400"/>
      <c r="P77" s="400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</row>
    <row r="78" spans="1:48" ht="18.75" customHeight="1">
      <c r="A78" s="218"/>
      <c r="B78" s="218"/>
      <c r="C78" s="418" t="s">
        <v>211</v>
      </c>
      <c r="D78" s="418"/>
      <c r="E78" s="418"/>
      <c r="F78" s="418"/>
      <c r="G78" s="418"/>
      <c r="H78" s="418"/>
      <c r="I78" s="215"/>
      <c r="J78" s="215"/>
      <c r="K78" s="218"/>
      <c r="L78" s="218"/>
      <c r="N78" s="400">
        <f>AA48</f>
        <v>1</v>
      </c>
      <c r="O78" s="400"/>
      <c r="P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</row>
    <row r="79" spans="1:48" ht="18.75" customHeight="1">
      <c r="A79" s="218"/>
      <c r="B79" s="218"/>
      <c r="C79" s="418"/>
      <c r="D79" s="418"/>
      <c r="E79" s="418"/>
      <c r="F79" s="418"/>
      <c r="G79" s="418"/>
      <c r="H79" s="418"/>
      <c r="I79" s="216"/>
      <c r="J79" s="216"/>
      <c r="K79" s="218"/>
      <c r="L79" s="218"/>
      <c r="N79" s="400"/>
      <c r="O79" s="400"/>
      <c r="P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</row>
    <row r="80" spans="1:48" s="218" customFormat="1" ht="18.75" customHeight="1">
      <c r="C80" s="218" t="s">
        <v>212</v>
      </c>
      <c r="K80" s="217" t="s">
        <v>75</v>
      </c>
      <c r="L80" s="383">
        <f>N78</f>
        <v>1</v>
      </c>
      <c r="M80" s="383"/>
      <c r="N80" s="210" t="s">
        <v>76</v>
      </c>
      <c r="O80" s="416">
        <f>N76</f>
        <v>0</v>
      </c>
      <c r="P80" s="416"/>
      <c r="Q80" s="416"/>
      <c r="R80" s="419" t="str">
        <f>Q76</f>
        <v>μm</v>
      </c>
      <c r="S80" s="417"/>
      <c r="T80" s="217" t="s">
        <v>75</v>
      </c>
      <c r="U80" s="72" t="s">
        <v>196</v>
      </c>
      <c r="V80" s="416">
        <f>O80</f>
        <v>0</v>
      </c>
      <c r="W80" s="416"/>
      <c r="X80" s="416"/>
      <c r="Y80" s="419" t="str">
        <f>R80</f>
        <v>μm</v>
      </c>
      <c r="Z80" s="417"/>
      <c r="AA80" s="212"/>
      <c r="AB80" s="215"/>
      <c r="AC80" s="215"/>
    </row>
    <row r="81" spans="1:83" ht="18.75" customHeight="1">
      <c r="A81" s="218"/>
      <c r="B81" s="218"/>
      <c r="C81" s="215" t="s">
        <v>213</v>
      </c>
      <c r="D81" s="215"/>
      <c r="E81" s="215"/>
      <c r="F81" s="215"/>
      <c r="G81" s="215"/>
      <c r="I81" s="102" t="s">
        <v>214</v>
      </c>
      <c r="J81" s="218"/>
      <c r="K81" s="218"/>
      <c r="L81" s="218"/>
      <c r="M81" s="218"/>
      <c r="N81" s="218"/>
      <c r="O81" s="218"/>
      <c r="P81" s="218"/>
      <c r="Q81" s="218"/>
      <c r="R81" s="218"/>
      <c r="U81" s="155"/>
      <c r="V81" s="155"/>
      <c r="W81" s="218"/>
      <c r="Y81" s="218"/>
      <c r="Z81" s="218"/>
      <c r="AA81" s="218"/>
      <c r="AB81" s="218"/>
      <c r="AC81" s="218"/>
      <c r="AD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</row>
    <row r="82" spans="1:83" ht="18.75" customHeight="1">
      <c r="A82" s="218"/>
      <c r="B82" s="218"/>
      <c r="C82" s="215"/>
      <c r="D82" s="215"/>
      <c r="E82" s="215"/>
      <c r="F82" s="215"/>
      <c r="G82" s="215"/>
      <c r="H82" s="61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U82" s="155"/>
      <c r="V82" s="155"/>
      <c r="W82" s="218"/>
      <c r="X82" s="218"/>
      <c r="Y82" s="218"/>
      <c r="Z82" s="218"/>
      <c r="AA82" s="218"/>
      <c r="AB82" s="218"/>
      <c r="AC82" s="218"/>
      <c r="AD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</row>
    <row r="83" spans="1:83" s="130" customFormat="1" ht="18.75" customHeight="1">
      <c r="A83" s="210"/>
      <c r="B83" s="57" t="str">
        <f>"3. "&amp;$N$5&amp;"과 "&amp;$T$5&amp;"의 평균 열팽창계수에 의한 표준불확도,"</f>
        <v>3. 핀 게이지과 표준 측장기의 평균 열팽창계수에 의한 표준불확도,</v>
      </c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0"/>
      <c r="AM83" s="210"/>
      <c r="AN83" s="210"/>
      <c r="AO83" s="210"/>
      <c r="AP83" s="210"/>
      <c r="AQ83" s="210"/>
      <c r="AR83" s="210"/>
      <c r="AS83" s="210"/>
      <c r="AT83" s="210"/>
      <c r="AU83" s="210"/>
      <c r="AV83" s="210"/>
      <c r="AW83" s="210"/>
      <c r="AX83" s="210"/>
      <c r="AY83" s="215"/>
      <c r="AZ83" s="215"/>
      <c r="BA83" s="215"/>
      <c r="BB83" s="215"/>
      <c r="BC83" s="215"/>
      <c r="BD83" s="215"/>
      <c r="BE83" s="215"/>
      <c r="BF83" s="215"/>
      <c r="BG83" s="58"/>
      <c r="BH83" s="58"/>
      <c r="BI83" s="58"/>
      <c r="BJ83" s="58"/>
      <c r="BK83" s="58"/>
      <c r="BL83" s="58"/>
      <c r="BM83" s="58"/>
    </row>
    <row r="84" spans="1:83" s="130" customFormat="1" ht="18.75" customHeight="1">
      <c r="A84" s="210"/>
      <c r="B84" s="57"/>
      <c r="C84" s="215" t="str">
        <f>"※ "&amp;$N$5&amp;"와 "&amp;$T$5&amp;"의 평균 열팽창계수 :"</f>
        <v>※ 핀 게이지와 표준 측장기의 평균 열팽창계수 :</v>
      </c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21"/>
      <c r="W84" s="59"/>
      <c r="X84" s="215"/>
      <c r="Y84" s="59"/>
      <c r="Z84" s="210"/>
      <c r="AA84" s="215"/>
      <c r="AB84" s="210"/>
      <c r="AC84" s="210"/>
      <c r="AD84" s="222"/>
      <c r="AE84" s="210"/>
      <c r="AF84" s="210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58"/>
      <c r="BH84" s="58"/>
      <c r="BI84" s="58"/>
      <c r="BJ84" s="58"/>
      <c r="BK84" s="58"/>
      <c r="BL84" s="58"/>
      <c r="BM84" s="58"/>
    </row>
    <row r="85" spans="1:83" s="130" customFormat="1" ht="18.75" customHeight="1">
      <c r="B85" s="210"/>
      <c r="C85" s="216" t="s">
        <v>215</v>
      </c>
      <c r="D85" s="210"/>
      <c r="E85" s="210"/>
      <c r="F85" s="210"/>
      <c r="G85" s="210"/>
      <c r="H85" s="428" t="e">
        <f ca="1">H49*10^6</f>
        <v>#N/A</v>
      </c>
      <c r="I85" s="428"/>
      <c r="J85" s="428"/>
      <c r="K85" s="212" t="s">
        <v>216</v>
      </c>
      <c r="L85" s="210"/>
      <c r="M85" s="210"/>
      <c r="N85" s="212"/>
      <c r="O85" s="212"/>
      <c r="P85" s="212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59"/>
      <c r="AG85" s="215"/>
      <c r="AH85" s="215"/>
      <c r="AI85" s="215"/>
      <c r="AJ85" s="215"/>
      <c r="AK85" s="215"/>
      <c r="AL85" s="215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5"/>
      <c r="BA85" s="215"/>
      <c r="BB85" s="215"/>
      <c r="BC85" s="215"/>
      <c r="BD85" s="215"/>
      <c r="BE85" s="215"/>
      <c r="BF85" s="215"/>
      <c r="BG85" s="215"/>
      <c r="BH85" s="58"/>
      <c r="BI85" s="58"/>
      <c r="BJ85" s="58"/>
      <c r="BK85" s="58"/>
      <c r="BL85" s="58"/>
      <c r="BM85" s="58"/>
    </row>
    <row r="86" spans="1:83" s="130" customFormat="1" ht="18.75" customHeight="1">
      <c r="B86" s="210"/>
      <c r="C86" s="418" t="s">
        <v>217</v>
      </c>
      <c r="D86" s="418"/>
      <c r="E86" s="418"/>
      <c r="F86" s="418"/>
      <c r="G86" s="418"/>
      <c r="H86" s="418"/>
      <c r="I86" s="418"/>
      <c r="J86" s="400" t="s">
        <v>218</v>
      </c>
      <c r="K86" s="400"/>
      <c r="L86" s="400"/>
      <c r="M86" s="400"/>
      <c r="N86" s="400"/>
      <c r="O86" s="400"/>
      <c r="P86" s="400"/>
      <c r="Q86" s="400"/>
      <c r="R86" s="400"/>
      <c r="S86" s="400"/>
      <c r="T86" s="400"/>
      <c r="U86" s="400"/>
      <c r="V86" s="400"/>
      <c r="W86" s="400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0"/>
      <c r="AL86" s="210"/>
      <c r="AM86" s="210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58"/>
      <c r="BI86" s="58"/>
      <c r="BJ86" s="58"/>
      <c r="BK86" s="58"/>
      <c r="BL86" s="58"/>
      <c r="BM86" s="58"/>
      <c r="BN86" s="58"/>
    </row>
    <row r="87" spans="1:83" s="130" customFormat="1" ht="18.75" customHeight="1">
      <c r="B87" s="210"/>
      <c r="C87" s="418"/>
      <c r="D87" s="418"/>
      <c r="E87" s="418"/>
      <c r="F87" s="418"/>
      <c r="G87" s="418"/>
      <c r="H87" s="418"/>
      <c r="I87" s="418"/>
      <c r="J87" s="400"/>
      <c r="K87" s="400"/>
      <c r="L87" s="400"/>
      <c r="M87" s="400"/>
      <c r="N87" s="400"/>
      <c r="O87" s="400"/>
      <c r="P87" s="400"/>
      <c r="Q87" s="400"/>
      <c r="R87" s="400"/>
      <c r="S87" s="400"/>
      <c r="T87" s="400"/>
      <c r="U87" s="400"/>
      <c r="V87" s="400"/>
      <c r="W87" s="400"/>
      <c r="X87" s="215"/>
      <c r="Y87" s="215"/>
      <c r="Z87" s="215"/>
      <c r="AA87" s="215"/>
      <c r="AB87" s="215"/>
      <c r="AC87" s="215"/>
      <c r="AD87" s="215"/>
      <c r="AE87" s="215"/>
      <c r="AF87" s="210"/>
      <c r="AG87" s="215"/>
      <c r="AH87" s="215"/>
      <c r="AI87" s="215"/>
      <c r="AJ87" s="215"/>
      <c r="AK87" s="210"/>
      <c r="AL87" s="210"/>
      <c r="AM87" s="210"/>
      <c r="AN87" s="215"/>
      <c r="AO87" s="215"/>
      <c r="AP87" s="215"/>
      <c r="AQ87" s="215"/>
      <c r="AR87" s="215"/>
      <c r="AS87" s="210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58"/>
      <c r="BI87" s="58"/>
      <c r="BJ87" s="58"/>
      <c r="BK87" s="58"/>
      <c r="BL87" s="58"/>
      <c r="BM87" s="58"/>
      <c r="BN87" s="58"/>
    </row>
    <row r="88" spans="1:83" s="130" customFormat="1" ht="18.75" customHeight="1">
      <c r="B88" s="210"/>
      <c r="C88" s="215"/>
      <c r="D88" s="215"/>
      <c r="E88" s="215"/>
      <c r="F88" s="215"/>
      <c r="G88" s="215"/>
      <c r="H88" s="215"/>
      <c r="I88" s="210"/>
      <c r="J88" s="400" t="s">
        <v>219</v>
      </c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400"/>
      <c r="AA88" s="431" t="s">
        <v>220</v>
      </c>
      <c r="AB88" s="431"/>
      <c r="AC88" s="431"/>
      <c r="AD88" s="431"/>
      <c r="AE88" s="431"/>
      <c r="AF88" s="369" t="s">
        <v>198</v>
      </c>
      <c r="AG88" s="400" t="s">
        <v>221</v>
      </c>
      <c r="AH88" s="400"/>
      <c r="AI88" s="400"/>
      <c r="AJ88" s="400"/>
      <c r="AK88" s="400"/>
      <c r="AL88" s="400"/>
      <c r="AM88" s="210"/>
      <c r="AN88" s="215"/>
      <c r="AO88" s="215"/>
      <c r="AP88" s="215"/>
      <c r="AQ88" s="215"/>
      <c r="AR88" s="215"/>
      <c r="AS88" s="210"/>
      <c r="AT88" s="215"/>
      <c r="AU88" s="215"/>
      <c r="AV88" s="215"/>
      <c r="AW88" s="215"/>
      <c r="AX88" s="215"/>
      <c r="AY88" s="215"/>
      <c r="AZ88" s="215"/>
      <c r="BA88" s="215"/>
      <c r="BB88" s="215"/>
      <c r="BC88" s="215"/>
      <c r="BD88" s="215"/>
      <c r="BE88" s="215"/>
      <c r="BF88" s="215"/>
      <c r="BG88" s="215"/>
      <c r="BH88" s="58"/>
      <c r="BI88" s="58"/>
      <c r="BJ88" s="58"/>
      <c r="BK88" s="58"/>
      <c r="BL88" s="58"/>
      <c r="BM88" s="58"/>
      <c r="BN88" s="58"/>
    </row>
    <row r="89" spans="1:83" s="130" customFormat="1" ht="18.75" customHeight="1">
      <c r="B89" s="210"/>
      <c r="C89" s="215"/>
      <c r="D89" s="215"/>
      <c r="E89" s="215"/>
      <c r="F89" s="215"/>
      <c r="G89" s="215"/>
      <c r="H89" s="215"/>
      <c r="I89" s="210"/>
      <c r="J89" s="400"/>
      <c r="K89" s="400"/>
      <c r="L89" s="400"/>
      <c r="M89" s="400"/>
      <c r="N89" s="400"/>
      <c r="O89" s="400"/>
      <c r="P89" s="400"/>
      <c r="Q89" s="400"/>
      <c r="R89" s="400"/>
      <c r="S89" s="400"/>
      <c r="T89" s="400"/>
      <c r="U89" s="400"/>
      <c r="V89" s="400"/>
      <c r="W89" s="400"/>
      <c r="X89" s="400"/>
      <c r="Y89" s="400"/>
      <c r="Z89" s="400"/>
      <c r="AA89" s="215"/>
      <c r="AB89" s="210"/>
      <c r="AC89" s="210"/>
      <c r="AD89" s="210"/>
      <c r="AE89" s="210"/>
      <c r="AF89" s="369"/>
      <c r="AG89" s="400"/>
      <c r="AH89" s="400"/>
      <c r="AI89" s="400"/>
      <c r="AJ89" s="400"/>
      <c r="AK89" s="400"/>
      <c r="AL89" s="400"/>
      <c r="AM89" s="210"/>
      <c r="AN89" s="215"/>
      <c r="AO89" s="215"/>
      <c r="AP89" s="215"/>
      <c r="AQ89" s="215"/>
      <c r="AR89" s="215"/>
      <c r="AS89" s="215"/>
      <c r="AT89" s="215"/>
      <c r="AU89" s="215"/>
      <c r="AV89" s="215"/>
      <c r="AW89" s="215"/>
      <c r="AX89" s="215"/>
      <c r="AY89" s="215"/>
      <c r="AZ89" s="215"/>
      <c r="BA89" s="215"/>
      <c r="BB89" s="215"/>
      <c r="BC89" s="215"/>
      <c r="BD89" s="215"/>
      <c r="BE89" s="215"/>
      <c r="BF89" s="215"/>
      <c r="BG89" s="215"/>
      <c r="BH89" s="58"/>
      <c r="BI89" s="58"/>
      <c r="BJ89" s="58"/>
      <c r="BK89" s="58"/>
      <c r="BL89" s="58"/>
      <c r="BM89" s="58"/>
      <c r="BN89" s="58"/>
    </row>
    <row r="90" spans="1:83" s="130" customFormat="1" ht="18.75" customHeight="1">
      <c r="B90" s="210"/>
      <c r="C90" s="215"/>
      <c r="D90" s="215"/>
      <c r="E90" s="215"/>
      <c r="F90" s="215"/>
      <c r="G90" s="215"/>
      <c r="H90" s="215"/>
      <c r="I90" s="215"/>
      <c r="J90" s="210"/>
      <c r="K90" s="216" t="s">
        <v>222</v>
      </c>
      <c r="L90" s="216"/>
      <c r="M90" s="216"/>
      <c r="N90" s="216"/>
      <c r="O90" s="216"/>
      <c r="P90" s="216"/>
      <c r="Q90" s="216"/>
      <c r="R90" s="216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0"/>
      <c r="AH90" s="215"/>
      <c r="AI90" s="215"/>
      <c r="AJ90" s="215"/>
      <c r="AK90" s="210"/>
      <c r="AL90" s="210"/>
      <c r="AM90" s="210"/>
      <c r="AN90" s="210"/>
      <c r="AO90" s="215"/>
      <c r="AP90" s="215"/>
      <c r="AQ90" s="215"/>
      <c r="AR90" s="215"/>
      <c r="AS90" s="215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5"/>
      <c r="BH90" s="210"/>
      <c r="BN90" s="58"/>
      <c r="BO90" s="58"/>
      <c r="BP90" s="58"/>
      <c r="BQ90" s="58"/>
      <c r="BR90" s="58"/>
      <c r="BS90" s="58"/>
      <c r="BX90" s="58"/>
      <c r="CE90" s="58"/>
    </row>
    <row r="91" spans="1:83" s="130" customFormat="1" ht="18.75" customHeight="1">
      <c r="B91" s="210"/>
      <c r="C91" s="215"/>
      <c r="D91" s="215"/>
      <c r="E91" s="215"/>
      <c r="F91" s="215"/>
      <c r="G91" s="215"/>
      <c r="H91" s="215"/>
      <c r="I91" s="215"/>
      <c r="J91" s="102"/>
      <c r="K91" s="102"/>
      <c r="L91" s="102"/>
      <c r="M91" s="210"/>
      <c r="N91" s="102"/>
      <c r="O91" s="102"/>
      <c r="P91" s="102"/>
      <c r="Q91" s="102"/>
      <c r="R91" s="102"/>
      <c r="S91" s="102"/>
      <c r="T91" s="102"/>
      <c r="U91" s="102"/>
      <c r="V91" s="210"/>
      <c r="W91" s="223"/>
      <c r="X91" s="223"/>
      <c r="Y91" s="223"/>
      <c r="Z91" s="210"/>
      <c r="AF91" s="210"/>
      <c r="AG91" s="400" t="s">
        <v>223</v>
      </c>
      <c r="AH91" s="400"/>
      <c r="AI91" s="400"/>
      <c r="AJ91" s="400"/>
      <c r="AK91" s="400"/>
      <c r="AL91" s="131"/>
      <c r="AM91" s="131"/>
      <c r="AN91" s="210"/>
      <c r="AO91" s="210"/>
      <c r="AP91" s="210"/>
      <c r="AQ91" s="210"/>
      <c r="AR91" s="210"/>
      <c r="AS91" s="215"/>
      <c r="AT91" s="215"/>
      <c r="AU91" s="210"/>
      <c r="AV91" s="210"/>
      <c r="AW91" s="210"/>
      <c r="AX91" s="210"/>
      <c r="AY91" s="210"/>
      <c r="AZ91" s="215"/>
      <c r="BA91" s="215"/>
      <c r="BB91" s="215"/>
      <c r="BC91" s="215"/>
      <c r="BD91" s="215"/>
      <c r="BE91" s="215"/>
      <c r="BF91" s="215"/>
      <c r="BG91" s="215"/>
      <c r="BH91" s="210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CE91" s="58"/>
    </row>
    <row r="92" spans="1:83" s="130" customFormat="1" ht="18.75" customHeight="1">
      <c r="B92" s="210"/>
      <c r="C92" s="215"/>
      <c r="D92" s="215"/>
      <c r="E92" s="215"/>
      <c r="F92" s="215"/>
      <c r="G92" s="215"/>
      <c r="H92" s="215"/>
      <c r="I92" s="215"/>
      <c r="J92" s="102"/>
      <c r="K92" s="102"/>
      <c r="L92" s="102"/>
      <c r="M92" s="210"/>
      <c r="N92" s="102"/>
      <c r="O92" s="102"/>
      <c r="P92" s="102"/>
      <c r="Q92" s="102"/>
      <c r="R92" s="102"/>
      <c r="S92" s="102"/>
      <c r="T92" s="102"/>
      <c r="U92" s="102"/>
      <c r="V92" s="210"/>
      <c r="W92" s="223"/>
      <c r="X92" s="223"/>
      <c r="Y92" s="223"/>
      <c r="Z92" s="210"/>
      <c r="AF92" s="210"/>
      <c r="AG92" s="400"/>
      <c r="AH92" s="400"/>
      <c r="AI92" s="400"/>
      <c r="AJ92" s="400"/>
      <c r="AK92" s="400"/>
      <c r="AL92" s="131"/>
      <c r="AM92" s="131"/>
      <c r="AN92" s="210"/>
      <c r="AO92" s="210"/>
      <c r="AP92" s="210"/>
      <c r="AQ92" s="210"/>
      <c r="AR92" s="210"/>
      <c r="AS92" s="215"/>
      <c r="AT92" s="215"/>
      <c r="AU92" s="210"/>
      <c r="AV92" s="210"/>
      <c r="AW92" s="210"/>
      <c r="AX92" s="210"/>
      <c r="AY92" s="210"/>
      <c r="AZ92" s="215"/>
      <c r="BA92" s="215"/>
      <c r="BB92" s="215"/>
      <c r="BC92" s="215"/>
      <c r="BD92" s="215"/>
      <c r="BE92" s="215"/>
      <c r="BF92" s="215"/>
      <c r="BG92" s="215"/>
      <c r="BH92" s="215"/>
      <c r="BI92" s="58"/>
      <c r="BJ92" s="58"/>
      <c r="BK92" s="58"/>
      <c r="BL92" s="58"/>
      <c r="BM92" s="58"/>
    </row>
    <row r="93" spans="1:83" s="130" customFormat="1" ht="18.75" customHeight="1">
      <c r="B93" s="210"/>
      <c r="C93" s="215" t="s">
        <v>225</v>
      </c>
      <c r="D93" s="215"/>
      <c r="E93" s="215"/>
      <c r="F93" s="215"/>
      <c r="G93" s="215"/>
      <c r="H93" s="215"/>
      <c r="I93" s="400" t="str">
        <f>V49</f>
        <v>삼각형</v>
      </c>
      <c r="J93" s="400"/>
      <c r="K93" s="400"/>
      <c r="L93" s="400"/>
      <c r="M93" s="400"/>
      <c r="N93" s="400"/>
      <c r="O93" s="400"/>
      <c r="P93" s="400"/>
      <c r="Q93" s="215"/>
      <c r="R93" s="215"/>
      <c r="S93" s="215"/>
      <c r="T93" s="215"/>
      <c r="U93" s="215"/>
      <c r="V93" s="215"/>
      <c r="W93" s="215"/>
      <c r="X93" s="215"/>
      <c r="Y93" s="215"/>
      <c r="Z93" s="210"/>
      <c r="AA93" s="210"/>
      <c r="AB93" s="210"/>
      <c r="AC93" s="210"/>
      <c r="AD93" s="210"/>
      <c r="AE93" s="210"/>
      <c r="AF93" s="210"/>
      <c r="AG93" s="210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5"/>
      <c r="AX93" s="215"/>
      <c r="AY93" s="215"/>
      <c r="AZ93" s="215"/>
      <c r="BA93" s="215"/>
      <c r="BB93" s="215"/>
      <c r="BC93" s="215"/>
      <c r="BD93" s="215"/>
      <c r="BE93" s="215"/>
      <c r="BF93" s="215"/>
      <c r="BG93" s="215"/>
      <c r="BH93" s="58"/>
      <c r="BI93" s="58"/>
      <c r="BJ93" s="58"/>
      <c r="BK93" s="58"/>
      <c r="BL93" s="58"/>
      <c r="BM93" s="58"/>
      <c r="BN93" s="58"/>
    </row>
    <row r="94" spans="1:83" s="130" customFormat="1" ht="18.75" customHeight="1">
      <c r="B94" s="210"/>
      <c r="C94" s="418" t="s">
        <v>226</v>
      </c>
      <c r="D94" s="418"/>
      <c r="E94" s="418"/>
      <c r="F94" s="418"/>
      <c r="G94" s="418"/>
      <c r="H94" s="418"/>
      <c r="I94" s="215" t="s">
        <v>227</v>
      </c>
      <c r="J94" s="215"/>
      <c r="K94" s="215"/>
      <c r="L94" s="215"/>
      <c r="M94" s="215"/>
      <c r="N94" s="215"/>
      <c r="O94" s="215"/>
      <c r="R94" s="420" t="e">
        <f ca="1">Calcu!M27</f>
        <v>#N/A</v>
      </c>
      <c r="S94" s="420"/>
      <c r="T94" s="418" t="s">
        <v>228</v>
      </c>
      <c r="U94" s="418"/>
      <c r="V94" s="429">
        <f>Calcu!N27</f>
        <v>0</v>
      </c>
      <c r="W94" s="429"/>
      <c r="X94" s="429"/>
      <c r="Y94" s="418" t="s">
        <v>229</v>
      </c>
      <c r="Z94" s="418"/>
      <c r="AA94" s="369" t="s">
        <v>196</v>
      </c>
      <c r="AB94" s="417" t="e">
        <f ca="1">R94*V94</f>
        <v>#N/A</v>
      </c>
      <c r="AC94" s="417"/>
      <c r="AD94" s="417"/>
      <c r="AE94" s="417"/>
      <c r="AF94" s="418" t="s">
        <v>230</v>
      </c>
      <c r="AG94" s="418"/>
      <c r="AH94" s="418"/>
      <c r="AI94" s="418"/>
      <c r="AJ94" s="418"/>
      <c r="AK94" s="418"/>
      <c r="AL94" s="418"/>
      <c r="AM94" s="215"/>
      <c r="AN94" s="215"/>
      <c r="AO94" s="215"/>
      <c r="AP94" s="215"/>
      <c r="AQ94" s="215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</row>
    <row r="95" spans="1:83" s="130" customFormat="1" ht="18.75" customHeight="1">
      <c r="B95" s="210"/>
      <c r="C95" s="418"/>
      <c r="D95" s="418"/>
      <c r="E95" s="418"/>
      <c r="F95" s="418"/>
      <c r="G95" s="418"/>
      <c r="H95" s="418"/>
      <c r="I95" s="215"/>
      <c r="J95" s="215"/>
      <c r="K95" s="215"/>
      <c r="L95" s="215"/>
      <c r="M95" s="215"/>
      <c r="N95" s="215"/>
      <c r="O95" s="215"/>
      <c r="R95" s="420"/>
      <c r="S95" s="420"/>
      <c r="T95" s="418"/>
      <c r="U95" s="418"/>
      <c r="V95" s="429"/>
      <c r="W95" s="429"/>
      <c r="X95" s="429"/>
      <c r="Y95" s="418"/>
      <c r="Z95" s="418"/>
      <c r="AA95" s="369"/>
      <c r="AB95" s="417"/>
      <c r="AC95" s="417"/>
      <c r="AD95" s="417"/>
      <c r="AE95" s="417"/>
      <c r="AF95" s="418"/>
      <c r="AG95" s="418"/>
      <c r="AH95" s="418"/>
      <c r="AI95" s="418"/>
      <c r="AJ95" s="418"/>
      <c r="AK95" s="418"/>
      <c r="AL95" s="418"/>
      <c r="AM95" s="215"/>
      <c r="AN95" s="215"/>
      <c r="AO95" s="215"/>
      <c r="AP95" s="215"/>
      <c r="AQ95" s="215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</row>
    <row r="96" spans="1:83" s="130" customFormat="1" ht="18.75" customHeight="1">
      <c r="B96" s="210"/>
      <c r="C96" s="215" t="s">
        <v>231</v>
      </c>
      <c r="D96" s="215"/>
      <c r="E96" s="215"/>
      <c r="F96" s="215"/>
      <c r="G96" s="215"/>
      <c r="H96" s="215"/>
      <c r="I96" s="215"/>
      <c r="J96" s="210"/>
      <c r="K96" s="218" t="s">
        <v>232</v>
      </c>
      <c r="L96" s="420" t="e">
        <f ca="1">AB94</f>
        <v>#N/A</v>
      </c>
      <c r="M96" s="420"/>
      <c r="N96" s="420"/>
      <c r="O96" s="420"/>
      <c r="P96" s="131" t="s">
        <v>233</v>
      </c>
      <c r="Q96" s="210"/>
      <c r="R96" s="210"/>
      <c r="S96" s="210"/>
      <c r="T96" s="210"/>
      <c r="U96" s="210"/>
      <c r="V96" s="210"/>
      <c r="W96" s="210"/>
      <c r="X96" s="210"/>
      <c r="Y96" s="218" t="s">
        <v>232</v>
      </c>
      <c r="Z96" s="210" t="s">
        <v>198</v>
      </c>
      <c r="AA96" s="416" t="e">
        <f ca="1">ABS(L96*O49)</f>
        <v>#N/A</v>
      </c>
      <c r="AB96" s="416"/>
      <c r="AC96" s="416"/>
      <c r="AD96" s="216" t="s">
        <v>194</v>
      </c>
      <c r="AE96" s="216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132"/>
      <c r="AV96" s="131"/>
      <c r="AW96" s="215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58"/>
      <c r="BI96" s="58"/>
      <c r="BP96" s="216"/>
      <c r="BQ96" s="209"/>
    </row>
    <row r="97" spans="2:68" s="130" customFormat="1" ht="18.75" customHeight="1">
      <c r="B97" s="210"/>
      <c r="C97" s="418" t="s">
        <v>234</v>
      </c>
      <c r="D97" s="418"/>
      <c r="E97" s="418"/>
      <c r="F97" s="418"/>
      <c r="G97" s="418"/>
      <c r="H97" s="215"/>
      <c r="J97" s="215"/>
      <c r="K97" s="215"/>
      <c r="L97" s="215"/>
      <c r="M97" s="215"/>
      <c r="N97" s="215"/>
      <c r="O97" s="215"/>
      <c r="P97" s="215"/>
      <c r="Q97" s="215"/>
      <c r="R97" s="131"/>
      <c r="S97" s="215"/>
      <c r="T97" s="215"/>
      <c r="U97" s="215"/>
      <c r="W97" s="215"/>
      <c r="X97" s="215"/>
      <c r="Y97" s="215"/>
      <c r="Z97" s="215"/>
      <c r="AA97" s="218" t="s">
        <v>236</v>
      </c>
      <c r="AB97" s="215"/>
      <c r="AC97" s="215"/>
      <c r="AD97" s="215"/>
      <c r="AE97" s="210"/>
      <c r="AF97" s="210"/>
      <c r="AH97" s="210"/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58"/>
      <c r="BI97" s="58"/>
      <c r="BJ97" s="58"/>
      <c r="BK97" s="58"/>
      <c r="BL97" s="58"/>
    </row>
    <row r="98" spans="2:68" s="130" customFormat="1" ht="18.75" customHeight="1">
      <c r="B98" s="210"/>
      <c r="C98" s="418"/>
      <c r="D98" s="418"/>
      <c r="E98" s="418"/>
      <c r="F98" s="418"/>
      <c r="G98" s="418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131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0"/>
      <c r="AF98" s="210"/>
      <c r="AG98" s="210"/>
      <c r="AH98" s="210"/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58"/>
      <c r="BI98" s="58"/>
      <c r="BJ98" s="58"/>
      <c r="BK98" s="58"/>
      <c r="BL98" s="58"/>
    </row>
    <row r="99" spans="2:68" s="130" customFormat="1" ht="18.75" customHeight="1">
      <c r="B99" s="210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131"/>
      <c r="S99" s="215"/>
      <c r="T99" s="215"/>
      <c r="U99" s="215"/>
      <c r="V99" s="215"/>
      <c r="W99" s="215"/>
      <c r="X99" s="215"/>
      <c r="Y99" s="215"/>
      <c r="Z99" s="215"/>
      <c r="AA99" s="215"/>
      <c r="AB99" s="400">
        <f>AP49</f>
        <v>100.00000000000004</v>
      </c>
      <c r="AC99" s="400"/>
      <c r="AD99" s="215"/>
      <c r="AE99" s="210"/>
      <c r="AF99" s="210"/>
      <c r="AG99" s="210"/>
      <c r="AH99" s="210"/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58"/>
      <c r="BI99" s="58"/>
      <c r="BJ99" s="58"/>
      <c r="BK99" s="58"/>
      <c r="BL99" s="58"/>
    </row>
    <row r="100" spans="2:68" s="130" customFormat="1" ht="18.75" customHeight="1">
      <c r="B100" s="210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131"/>
      <c r="S100" s="215"/>
      <c r="T100" s="215"/>
      <c r="U100" s="215"/>
      <c r="V100" s="215"/>
      <c r="W100" s="215"/>
      <c r="X100" s="215"/>
      <c r="Y100" s="215"/>
      <c r="Z100" s="215"/>
      <c r="AA100" s="215"/>
      <c r="AB100" s="400"/>
      <c r="AC100" s="400"/>
      <c r="AD100" s="215"/>
      <c r="AE100" s="210"/>
      <c r="AF100" s="210"/>
      <c r="AG100" s="210"/>
      <c r="AH100" s="210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58"/>
      <c r="BI100" s="58"/>
      <c r="BJ100" s="58"/>
      <c r="BK100" s="58"/>
      <c r="BL100" s="58"/>
    </row>
    <row r="101" spans="2:68" s="130" customFormat="1" ht="18.75" customHeight="1">
      <c r="B101" s="210"/>
      <c r="C101" s="215"/>
      <c r="D101" s="215"/>
      <c r="E101" s="215"/>
      <c r="F101" s="215"/>
      <c r="G101" s="215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131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0"/>
      <c r="AF101" s="210"/>
      <c r="AG101" s="210"/>
      <c r="AH101" s="210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58"/>
      <c r="BI101" s="58"/>
      <c r="BJ101" s="58"/>
      <c r="BK101" s="58"/>
      <c r="BL101" s="58"/>
    </row>
    <row r="102" spans="2:68" s="130" customFormat="1" ht="18.75" customHeight="1">
      <c r="B102" s="210"/>
      <c r="C102" s="215"/>
      <c r="D102" s="215"/>
      <c r="E102" s="215"/>
      <c r="F102" s="215"/>
      <c r="G102" s="215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131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0"/>
      <c r="AF102" s="210"/>
      <c r="AG102" s="210"/>
      <c r="AH102" s="210"/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5"/>
      <c r="BI102" s="215"/>
      <c r="BJ102" s="215"/>
      <c r="BK102" s="215"/>
    </row>
    <row r="103" spans="2:68" s="130" customFormat="1" ht="18.75" customHeight="1">
      <c r="B103" s="57" t="str">
        <f>"4. "&amp;$N$5&amp;"과 "&amp;$T$5&amp;"의 온도 차에 의한 표준불확도,"</f>
        <v>4. 핀 게이지과 표준 측장기의 온도 차에 의한 표준불확도,</v>
      </c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57" t="s">
        <v>237</v>
      </c>
      <c r="AA103" s="215"/>
      <c r="AC103" s="215"/>
      <c r="AD103" s="215"/>
      <c r="AE103" s="215"/>
      <c r="AF103" s="215"/>
      <c r="AG103" s="215"/>
      <c r="AH103" s="210"/>
      <c r="AI103" s="210"/>
      <c r="AJ103" s="210"/>
      <c r="AK103" s="210"/>
      <c r="AL103" s="210"/>
      <c r="AM103" s="210"/>
      <c r="AN103" s="210"/>
      <c r="AO103" s="215"/>
      <c r="AP103" s="215"/>
      <c r="AQ103" s="215"/>
      <c r="AR103" s="215"/>
      <c r="AS103" s="215"/>
      <c r="AT103" s="215"/>
      <c r="AU103" s="215"/>
      <c r="AV103" s="215"/>
      <c r="AW103" s="215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15"/>
      <c r="BH103" s="58"/>
      <c r="BI103" s="58"/>
      <c r="BJ103" s="58"/>
      <c r="BK103" s="58"/>
      <c r="BL103" s="58"/>
      <c r="BM103" s="58"/>
      <c r="BN103" s="58"/>
    </row>
    <row r="104" spans="2:68" s="130" customFormat="1" ht="18.75" customHeight="1">
      <c r="B104" s="57"/>
      <c r="C104" s="215" t="e">
        <f ca="1">"※ 열평형 상태에서 "&amp;$N$5&amp;"과 "&amp;$T$5&amp;"의 온도차가 ±"&amp;N107&amp;" ℃ 이내에서 일치한다고"</f>
        <v>#N/A</v>
      </c>
      <c r="D104" s="215"/>
      <c r="E104" s="215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0"/>
      <c r="AN104" s="210"/>
      <c r="AO104" s="215"/>
      <c r="AP104" s="215"/>
      <c r="AQ104" s="215"/>
      <c r="AR104" s="215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58"/>
      <c r="BI104" s="58"/>
      <c r="BJ104" s="58"/>
      <c r="BK104" s="58"/>
      <c r="BL104" s="58"/>
      <c r="BM104" s="58"/>
      <c r="BN104" s="58"/>
    </row>
    <row r="105" spans="2:68" s="130" customFormat="1" ht="18.75" customHeight="1">
      <c r="B105" s="57"/>
      <c r="C105" s="215"/>
      <c r="D105" s="215" t="s">
        <v>238</v>
      </c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0"/>
      <c r="AN105" s="210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58"/>
      <c r="BI105" s="58"/>
      <c r="BJ105" s="58"/>
      <c r="BK105" s="58"/>
      <c r="BL105" s="58"/>
      <c r="BM105" s="58"/>
      <c r="BN105" s="58"/>
    </row>
    <row r="106" spans="2:68" s="130" customFormat="1" ht="18.75" customHeight="1">
      <c r="B106" s="210"/>
      <c r="C106" s="216" t="s">
        <v>239</v>
      </c>
      <c r="D106" s="210"/>
      <c r="E106" s="210"/>
      <c r="F106" s="210"/>
      <c r="G106" s="210"/>
      <c r="H106" s="426" t="e">
        <f ca="1">H50</f>
        <v>#N/A</v>
      </c>
      <c r="I106" s="426"/>
      <c r="J106" s="426"/>
      <c r="K106" s="426"/>
      <c r="L106" s="426"/>
      <c r="M106" s="426"/>
      <c r="N106" s="426"/>
      <c r="O106" s="426"/>
      <c r="P106" s="212"/>
      <c r="Q106" s="215"/>
      <c r="R106" s="215"/>
      <c r="S106" s="215"/>
      <c r="T106" s="215"/>
      <c r="U106" s="215"/>
      <c r="V106" s="215"/>
      <c r="W106" s="210"/>
      <c r="X106" s="210"/>
      <c r="Y106" s="210"/>
      <c r="Z106" s="215"/>
      <c r="AA106" s="215"/>
      <c r="AB106" s="215"/>
      <c r="AC106" s="215"/>
      <c r="AD106" s="215"/>
      <c r="AE106" s="215"/>
      <c r="AF106" s="215"/>
      <c r="AG106" s="215"/>
      <c r="AH106" s="210"/>
      <c r="AI106" s="210"/>
      <c r="AJ106" s="210"/>
      <c r="AK106" s="210"/>
      <c r="AL106" s="210"/>
      <c r="AM106" s="210"/>
      <c r="AN106" s="210"/>
      <c r="AO106" s="215"/>
      <c r="AP106" s="215"/>
      <c r="AQ106" s="215"/>
      <c r="AR106" s="215"/>
      <c r="AS106" s="215"/>
      <c r="AT106" s="215"/>
      <c r="AU106" s="215"/>
      <c r="AV106" s="215"/>
      <c r="AW106" s="215"/>
      <c r="AX106" s="215"/>
      <c r="AY106" s="215"/>
      <c r="AZ106" s="215"/>
      <c r="BA106" s="215"/>
      <c r="BB106" s="215"/>
      <c r="BC106" s="215"/>
      <c r="BD106" s="215"/>
      <c r="BE106" s="215"/>
      <c r="BF106" s="215"/>
      <c r="BG106" s="215"/>
      <c r="BH106" s="58"/>
      <c r="BI106" s="58"/>
      <c r="BJ106" s="58"/>
      <c r="BK106" s="58"/>
      <c r="BL106" s="58"/>
      <c r="BM106" s="58"/>
    </row>
    <row r="107" spans="2:68" s="130" customFormat="1" ht="18.75" customHeight="1">
      <c r="B107" s="210"/>
      <c r="C107" s="418" t="s">
        <v>240</v>
      </c>
      <c r="D107" s="418"/>
      <c r="E107" s="418"/>
      <c r="F107" s="418"/>
      <c r="G107" s="418"/>
      <c r="H107" s="418"/>
      <c r="I107" s="418"/>
      <c r="J107" s="427" t="s">
        <v>241</v>
      </c>
      <c r="K107" s="427"/>
      <c r="L107" s="427"/>
      <c r="M107" s="369" t="s">
        <v>196</v>
      </c>
      <c r="N107" s="415" t="e">
        <f ca="1">Calcu!G28</f>
        <v>#N/A</v>
      </c>
      <c r="O107" s="415"/>
      <c r="P107" s="224" t="s">
        <v>242</v>
      </c>
      <c r="Q107" s="225"/>
      <c r="R107" s="369" t="s">
        <v>196</v>
      </c>
      <c r="S107" s="416" t="e">
        <f ca="1">N107/SQRT(3)</f>
        <v>#N/A</v>
      </c>
      <c r="T107" s="416"/>
      <c r="U107" s="416"/>
      <c r="V107" s="417" t="s">
        <v>242</v>
      </c>
      <c r="W107" s="417"/>
      <c r="X107" s="212"/>
      <c r="Y107" s="215"/>
      <c r="AX107" s="215"/>
      <c r="AY107" s="215"/>
      <c r="AZ107" s="215"/>
      <c r="BA107" s="215"/>
      <c r="BB107" s="215"/>
      <c r="BC107" s="215"/>
      <c r="BD107" s="215"/>
      <c r="BE107" s="215"/>
      <c r="BF107" s="215"/>
      <c r="BG107" s="215"/>
      <c r="BH107" s="215"/>
      <c r="BI107" s="215"/>
      <c r="BJ107" s="58"/>
      <c r="BK107" s="58"/>
      <c r="BL107" s="58"/>
      <c r="BM107" s="58"/>
      <c r="BN107" s="58"/>
      <c r="BO107" s="58"/>
      <c r="BP107" s="58"/>
    </row>
    <row r="108" spans="2:68" s="130" customFormat="1" ht="18.75" customHeight="1">
      <c r="B108" s="210"/>
      <c r="C108" s="418"/>
      <c r="D108" s="418"/>
      <c r="E108" s="418"/>
      <c r="F108" s="418"/>
      <c r="G108" s="418"/>
      <c r="H108" s="418"/>
      <c r="I108" s="418"/>
      <c r="J108" s="427"/>
      <c r="K108" s="427"/>
      <c r="L108" s="427"/>
      <c r="M108" s="369"/>
      <c r="N108" s="210"/>
      <c r="O108" s="210"/>
      <c r="P108" s="210"/>
      <c r="Q108" s="210"/>
      <c r="R108" s="369"/>
      <c r="S108" s="416"/>
      <c r="T108" s="416"/>
      <c r="U108" s="416"/>
      <c r="V108" s="417"/>
      <c r="W108" s="417"/>
      <c r="X108" s="212"/>
      <c r="Y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58"/>
      <c r="BK108" s="58"/>
      <c r="BL108" s="58"/>
      <c r="BM108" s="58"/>
      <c r="BN108" s="58"/>
      <c r="BO108" s="58"/>
      <c r="BP108" s="58"/>
    </row>
    <row r="109" spans="2:68" s="130" customFormat="1" ht="18.75" customHeight="1">
      <c r="B109" s="210"/>
      <c r="C109" s="215" t="s">
        <v>243</v>
      </c>
      <c r="D109" s="215"/>
      <c r="E109" s="215"/>
      <c r="F109" s="215"/>
      <c r="G109" s="215"/>
      <c r="H109" s="215"/>
      <c r="I109" s="400" t="str">
        <f>V50</f>
        <v>직사각형</v>
      </c>
      <c r="J109" s="400"/>
      <c r="K109" s="400"/>
      <c r="L109" s="400"/>
      <c r="M109" s="400"/>
      <c r="N109" s="400"/>
      <c r="O109" s="400"/>
      <c r="P109" s="400"/>
      <c r="Q109" s="215"/>
      <c r="R109" s="215"/>
      <c r="S109" s="215"/>
      <c r="T109" s="215"/>
      <c r="U109" s="215"/>
      <c r="V109" s="215"/>
      <c r="W109" s="215"/>
      <c r="X109" s="215"/>
      <c r="Y109" s="215"/>
      <c r="Z109" s="210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5"/>
      <c r="AQ109" s="215"/>
      <c r="AR109" s="215"/>
      <c r="AS109" s="215"/>
      <c r="AT109" s="215"/>
      <c r="AU109" s="215"/>
      <c r="AV109" s="215"/>
      <c r="AW109" s="215"/>
      <c r="AX109" s="215"/>
      <c r="AY109" s="215"/>
      <c r="AZ109" s="215"/>
      <c r="BA109" s="215"/>
      <c r="BB109" s="215"/>
      <c r="BC109" s="215"/>
      <c r="BD109" s="215"/>
      <c r="BE109" s="215"/>
      <c r="BF109" s="215"/>
      <c r="BG109" s="215"/>
      <c r="BH109" s="58"/>
      <c r="BI109" s="58"/>
      <c r="BJ109" s="58"/>
      <c r="BK109" s="58"/>
      <c r="BL109" s="58"/>
    </row>
    <row r="110" spans="2:68" s="130" customFormat="1" ht="18.75" customHeight="1">
      <c r="B110" s="210"/>
      <c r="C110" s="418" t="s">
        <v>244</v>
      </c>
      <c r="D110" s="418"/>
      <c r="E110" s="418"/>
      <c r="F110" s="418"/>
      <c r="G110" s="418"/>
      <c r="H110" s="418"/>
      <c r="I110" s="215"/>
      <c r="J110" s="215"/>
      <c r="K110" s="215"/>
      <c r="L110" s="215"/>
      <c r="M110" s="215"/>
      <c r="N110" s="215"/>
      <c r="O110" s="210"/>
      <c r="R110" s="418" t="e">
        <f ca="1">-H49*10^6</f>
        <v>#N/A</v>
      </c>
      <c r="S110" s="418"/>
      <c r="T110" s="418"/>
      <c r="U110" s="418" t="s">
        <v>245</v>
      </c>
      <c r="V110" s="418"/>
      <c r="W110" s="418"/>
      <c r="X110" s="418"/>
      <c r="Y110" s="369" t="s">
        <v>76</v>
      </c>
      <c r="Z110" s="429">
        <f>Calcu!N28</f>
        <v>0</v>
      </c>
      <c r="AA110" s="429"/>
      <c r="AB110" s="429"/>
      <c r="AC110" s="418" t="s">
        <v>194</v>
      </c>
      <c r="AD110" s="418"/>
      <c r="AE110" s="369" t="s">
        <v>196</v>
      </c>
      <c r="AF110" s="430" t="e">
        <f ca="1">R110*10^-6*Z110</f>
        <v>#N/A</v>
      </c>
      <c r="AG110" s="430"/>
      <c r="AH110" s="430"/>
      <c r="AI110" s="418" t="s">
        <v>246</v>
      </c>
      <c r="AJ110" s="418"/>
      <c r="AK110" s="418"/>
      <c r="AL110" s="418"/>
      <c r="AM110" s="418"/>
      <c r="AN110" s="418"/>
      <c r="AO110" s="418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0"/>
      <c r="BD110" s="210"/>
      <c r="BE110" s="210"/>
      <c r="BF110" s="210"/>
      <c r="BG110" s="210"/>
      <c r="BH110" s="210"/>
    </row>
    <row r="111" spans="2:68" s="130" customFormat="1" ht="18.75" customHeight="1">
      <c r="B111" s="210"/>
      <c r="C111" s="418"/>
      <c r="D111" s="418"/>
      <c r="E111" s="418"/>
      <c r="F111" s="418"/>
      <c r="G111" s="418"/>
      <c r="H111" s="418"/>
      <c r="I111" s="215"/>
      <c r="J111" s="215"/>
      <c r="K111" s="215"/>
      <c r="L111" s="215"/>
      <c r="M111" s="215"/>
      <c r="N111" s="215"/>
      <c r="O111" s="210"/>
      <c r="R111" s="418"/>
      <c r="S111" s="418"/>
      <c r="T111" s="418"/>
      <c r="U111" s="418"/>
      <c r="V111" s="418"/>
      <c r="W111" s="418"/>
      <c r="X111" s="418"/>
      <c r="Y111" s="369"/>
      <c r="Z111" s="429"/>
      <c r="AA111" s="429"/>
      <c r="AB111" s="429"/>
      <c r="AC111" s="418"/>
      <c r="AD111" s="418"/>
      <c r="AE111" s="369"/>
      <c r="AF111" s="430"/>
      <c r="AG111" s="430"/>
      <c r="AH111" s="430"/>
      <c r="AI111" s="418"/>
      <c r="AJ111" s="418"/>
      <c r="AK111" s="418"/>
      <c r="AL111" s="418"/>
      <c r="AM111" s="418"/>
      <c r="AN111" s="418"/>
      <c r="AO111" s="418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0"/>
      <c r="BD111" s="210"/>
      <c r="BE111" s="210"/>
      <c r="BF111" s="210"/>
      <c r="BG111" s="210"/>
      <c r="BH111" s="210"/>
    </row>
    <row r="112" spans="2:68" s="130" customFormat="1" ht="18.75" customHeight="1">
      <c r="B112" s="210"/>
      <c r="C112" s="215" t="s">
        <v>247</v>
      </c>
      <c r="D112" s="215"/>
      <c r="E112" s="215"/>
      <c r="F112" s="215"/>
      <c r="G112" s="215"/>
      <c r="H112" s="215"/>
      <c r="I112" s="215"/>
      <c r="J112" s="210"/>
      <c r="K112" s="218" t="s">
        <v>248</v>
      </c>
      <c r="L112" s="430" t="e">
        <f ca="1">AF110</f>
        <v>#N/A</v>
      </c>
      <c r="M112" s="430"/>
      <c r="N112" s="430"/>
      <c r="O112" s="131" t="s">
        <v>249</v>
      </c>
      <c r="P112" s="210"/>
      <c r="Q112" s="210"/>
      <c r="R112" s="210" t="s">
        <v>202</v>
      </c>
      <c r="S112" s="421" t="e">
        <f ca="1">S107</f>
        <v>#N/A</v>
      </c>
      <c r="T112" s="421"/>
      <c r="U112" s="421"/>
      <c r="V112" s="421"/>
      <c r="W112" s="218" t="s">
        <v>232</v>
      </c>
      <c r="X112" s="210" t="s">
        <v>196</v>
      </c>
      <c r="Y112" s="416" t="e">
        <f ca="1">ABS(L112*S112)</f>
        <v>#N/A</v>
      </c>
      <c r="Z112" s="416"/>
      <c r="AA112" s="416"/>
      <c r="AB112" s="216" t="s">
        <v>194</v>
      </c>
      <c r="AC112" s="216"/>
      <c r="AD112" s="210"/>
      <c r="AE112" s="210"/>
      <c r="AF112" s="226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27"/>
      <c r="AQ112" s="227"/>
      <c r="AR112" s="227"/>
      <c r="AS112" s="215"/>
      <c r="AT112" s="215"/>
      <c r="AU112" s="215"/>
      <c r="AV112" s="228"/>
      <c r="AW112" s="228"/>
      <c r="AX112" s="228"/>
      <c r="AY112" s="228"/>
      <c r="AZ112" s="228"/>
      <c r="BA112" s="228"/>
      <c r="BB112" s="210"/>
      <c r="BC112" s="210"/>
      <c r="BD112" s="210"/>
      <c r="BE112" s="210"/>
      <c r="BF112" s="210"/>
      <c r="BG112" s="210"/>
    </row>
    <row r="113" spans="2:67" s="130" customFormat="1" ht="18.75" customHeight="1">
      <c r="B113" s="210"/>
      <c r="C113" s="418" t="s">
        <v>250</v>
      </c>
      <c r="D113" s="418"/>
      <c r="E113" s="418"/>
      <c r="F113" s="418"/>
      <c r="G113" s="418"/>
      <c r="H113" s="215"/>
      <c r="J113" s="215"/>
      <c r="K113" s="215"/>
      <c r="L113" s="215"/>
      <c r="M113" s="215"/>
      <c r="N113" s="215"/>
      <c r="O113" s="215"/>
      <c r="P113" s="215"/>
      <c r="Q113" s="215"/>
      <c r="R113" s="131"/>
      <c r="S113" s="215"/>
      <c r="T113" s="215"/>
      <c r="U113" s="215"/>
      <c r="W113" s="218" t="s">
        <v>251</v>
      </c>
      <c r="X113" s="215"/>
      <c r="Y113" s="215"/>
      <c r="Z113" s="215"/>
      <c r="AA113" s="215"/>
      <c r="AB113" s="215"/>
      <c r="AC113" s="215"/>
      <c r="AD113" s="215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5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</row>
    <row r="114" spans="2:67" s="130" customFormat="1" ht="18.75" customHeight="1">
      <c r="B114" s="210"/>
      <c r="C114" s="418"/>
      <c r="D114" s="418"/>
      <c r="E114" s="418"/>
      <c r="F114" s="418"/>
      <c r="G114" s="418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131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</row>
    <row r="115" spans="2:67" s="130" customFormat="1" ht="18.75" customHeight="1">
      <c r="B115" s="210"/>
      <c r="C115" s="215"/>
      <c r="D115" s="215"/>
      <c r="E115" s="215"/>
      <c r="F115" s="215"/>
      <c r="G115" s="210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</row>
    <row r="116" spans="2:67" s="130" customFormat="1" ht="18.75" customHeight="1">
      <c r="B116" s="57" t="str">
        <f>"5. "&amp;$N$5&amp;"과 "&amp;$T$5&amp;"의 열팽창계수 차에 의한 표준불확도,"</f>
        <v>5. 핀 게이지과 표준 측장기의 열팽창계수 차에 의한 표준불확도,</v>
      </c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162" t="s">
        <v>252</v>
      </c>
      <c r="AC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0"/>
      <c r="BC116" s="210"/>
      <c r="BD116" s="210"/>
      <c r="BE116" s="210"/>
      <c r="BF116" s="210"/>
      <c r="BG116" s="210"/>
    </row>
    <row r="117" spans="2:67" s="130" customFormat="1" ht="18.75" customHeight="1">
      <c r="B117" s="57"/>
      <c r="C117" s="215" t="str">
        <f>"※ "&amp;$N$5&amp;"과 "&amp;$T$5&amp;"의 열팽창계수 차이 :"</f>
        <v>※ 핀 게이지과 표준 측장기의 열팽창계수 차이 :</v>
      </c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0"/>
      <c r="T117" s="215"/>
      <c r="U117" s="215"/>
      <c r="V117" s="215" t="s">
        <v>253</v>
      </c>
      <c r="Z117" s="215"/>
      <c r="AA117" s="215"/>
      <c r="AB117" s="215"/>
      <c r="AC117" s="215"/>
      <c r="AD117" s="210"/>
      <c r="AE117" s="210"/>
      <c r="AF117" s="210"/>
      <c r="AG117" s="210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0"/>
      <c r="BC117" s="210"/>
      <c r="BD117" s="210"/>
      <c r="BE117" s="210"/>
      <c r="BF117" s="210"/>
      <c r="BG117" s="210"/>
    </row>
    <row r="118" spans="2:67" s="130" customFormat="1" ht="18.75" customHeight="1">
      <c r="B118" s="210"/>
      <c r="C118" s="216" t="s">
        <v>254</v>
      </c>
      <c r="D118" s="210"/>
      <c r="E118" s="210"/>
      <c r="F118" s="210"/>
      <c r="G118" s="210"/>
      <c r="H118" s="428" t="e">
        <f ca="1">H51*10^6</f>
        <v>#N/A</v>
      </c>
      <c r="I118" s="428"/>
      <c r="J118" s="428"/>
      <c r="K118" s="212" t="s">
        <v>216</v>
      </c>
      <c r="L118" s="212"/>
      <c r="M118" s="212"/>
      <c r="N118" s="212"/>
      <c r="O118" s="212"/>
      <c r="P118" s="212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</row>
    <row r="119" spans="2:67" s="130" customFormat="1" ht="18.75" customHeight="1">
      <c r="B119" s="210"/>
      <c r="C119" s="215" t="s">
        <v>255</v>
      </c>
      <c r="D119" s="215"/>
      <c r="E119" s="215"/>
      <c r="F119" s="215"/>
      <c r="G119" s="215"/>
      <c r="H119" s="215"/>
      <c r="I119" s="210"/>
      <c r="J119" s="215" t="s">
        <v>256</v>
      </c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0"/>
      <c r="V119" s="210"/>
      <c r="W119" s="59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0"/>
      <c r="AM119" s="210"/>
      <c r="AN119" s="210"/>
      <c r="AO119" s="215"/>
      <c r="AP119" s="215"/>
      <c r="AQ119" s="215"/>
      <c r="AR119" s="215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  <c r="BH119" s="58"/>
      <c r="BI119" s="58"/>
      <c r="BJ119" s="58"/>
      <c r="BK119" s="58"/>
      <c r="BL119" s="58"/>
      <c r="BM119" s="58"/>
    </row>
    <row r="120" spans="2:67" s="130" customFormat="1" ht="18.75" customHeight="1">
      <c r="B120" s="210"/>
      <c r="C120" s="215"/>
      <c r="D120" s="215"/>
      <c r="E120" s="215"/>
      <c r="F120" s="215"/>
      <c r="G120" s="215"/>
      <c r="H120" s="215"/>
      <c r="I120" s="210"/>
      <c r="J120" s="215" t="s">
        <v>257</v>
      </c>
      <c r="K120" s="215"/>
      <c r="L120" s="215"/>
      <c r="M120" s="215"/>
      <c r="N120" s="215"/>
      <c r="O120" s="215"/>
      <c r="P120" s="215"/>
      <c r="Q120" s="215"/>
      <c r="R120" s="215"/>
      <c r="S120" s="215"/>
      <c r="T120" s="210"/>
      <c r="U120" s="215"/>
      <c r="V120" s="59"/>
      <c r="W120" s="215"/>
      <c r="X120" s="215"/>
      <c r="Y120" s="215"/>
      <c r="Z120" s="215"/>
      <c r="AA120" s="215"/>
      <c r="AB120" s="215"/>
      <c r="AC120" s="215"/>
      <c r="AD120" s="210"/>
      <c r="AE120" s="215"/>
      <c r="AF120" s="215"/>
      <c r="AG120" s="215"/>
      <c r="AH120" s="215"/>
      <c r="AI120" s="215"/>
      <c r="AJ120" s="215"/>
      <c r="AK120" s="210"/>
      <c r="AL120" s="210"/>
      <c r="AM120" s="210"/>
      <c r="AN120" s="210"/>
      <c r="AO120" s="215"/>
      <c r="AP120" s="215"/>
      <c r="AQ120" s="215"/>
      <c r="AR120" s="215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58"/>
      <c r="BI120" s="58"/>
      <c r="BJ120" s="58"/>
      <c r="BK120" s="58"/>
      <c r="BL120" s="58"/>
      <c r="BM120" s="58"/>
      <c r="BN120" s="58"/>
    </row>
    <row r="121" spans="2:67" s="130" customFormat="1" ht="18.75" customHeight="1">
      <c r="B121" s="210"/>
      <c r="C121" s="215"/>
      <c r="D121" s="215"/>
      <c r="E121" s="215"/>
      <c r="F121" s="215"/>
      <c r="G121" s="215"/>
      <c r="H121" s="215"/>
      <c r="I121" s="215"/>
      <c r="J121" s="210"/>
      <c r="K121" s="216" t="s">
        <v>222</v>
      </c>
      <c r="L121" s="216"/>
      <c r="M121" s="216"/>
      <c r="N121" s="216"/>
      <c r="O121" s="216"/>
      <c r="P121" s="216"/>
      <c r="Q121" s="216"/>
      <c r="R121" s="216"/>
      <c r="S121" s="216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23"/>
      <c r="AH121" s="215"/>
      <c r="AI121" s="215"/>
      <c r="AJ121" s="215"/>
      <c r="AK121" s="215"/>
      <c r="AL121" s="210"/>
      <c r="AM121" s="210"/>
      <c r="AN121" s="210"/>
      <c r="AO121" s="210"/>
      <c r="AP121" s="215"/>
      <c r="AQ121" s="215"/>
      <c r="AR121" s="215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  <c r="BI121" s="58"/>
      <c r="BJ121" s="58"/>
      <c r="BK121" s="58"/>
      <c r="BL121" s="58"/>
      <c r="BM121" s="58"/>
      <c r="BN121" s="58"/>
      <c r="BO121" s="58"/>
    </row>
    <row r="122" spans="2:67" s="130" customFormat="1" ht="18.75" customHeight="1">
      <c r="B122" s="210"/>
      <c r="C122" s="215"/>
      <c r="D122" s="215"/>
      <c r="E122" s="215"/>
      <c r="F122" s="215"/>
      <c r="G122" s="215"/>
      <c r="H122" s="215"/>
      <c r="I122" s="215"/>
      <c r="J122" s="210"/>
      <c r="K122" s="210"/>
      <c r="L122" s="102"/>
      <c r="M122" s="102"/>
      <c r="N122" s="210"/>
      <c r="O122" s="210"/>
      <c r="P122" s="210"/>
      <c r="Q122" s="210"/>
      <c r="R122" s="210"/>
      <c r="S122" s="210"/>
      <c r="T122" s="215"/>
      <c r="U122" s="215"/>
      <c r="V122" s="215"/>
      <c r="W122" s="215"/>
      <c r="X122" s="215"/>
      <c r="Y122" s="215"/>
      <c r="Z122" s="210"/>
      <c r="AA122" s="215"/>
      <c r="AB122" s="223"/>
      <c r="AC122" s="223"/>
      <c r="AD122" s="223"/>
      <c r="AE122" s="223"/>
      <c r="AF122" s="223"/>
      <c r="AG122" s="210"/>
      <c r="AH122" s="223"/>
      <c r="AI122" s="223"/>
      <c r="AJ122" s="223"/>
      <c r="AK122" s="223"/>
      <c r="AL122" s="210"/>
      <c r="AM122" s="131"/>
      <c r="AN122" s="131"/>
      <c r="AO122" s="131"/>
      <c r="AP122" s="131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58"/>
      <c r="BJ122" s="58"/>
      <c r="BK122" s="58"/>
      <c r="BL122" s="58"/>
      <c r="BM122" s="58"/>
    </row>
    <row r="123" spans="2:67" s="130" customFormat="1" ht="18.75" customHeight="1">
      <c r="B123" s="210"/>
      <c r="C123" s="215" t="s">
        <v>258</v>
      </c>
      <c r="D123" s="215"/>
      <c r="E123" s="215"/>
      <c r="F123" s="215"/>
      <c r="G123" s="215"/>
      <c r="H123" s="215"/>
      <c r="I123" s="400" t="str">
        <f>V51</f>
        <v>삼각형</v>
      </c>
      <c r="J123" s="400"/>
      <c r="K123" s="400"/>
      <c r="L123" s="400"/>
      <c r="M123" s="400"/>
      <c r="N123" s="400"/>
      <c r="O123" s="400"/>
      <c r="P123" s="400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0"/>
      <c r="AB123" s="210"/>
      <c r="AC123" s="210"/>
      <c r="AD123" s="210"/>
      <c r="AE123" s="210"/>
      <c r="AF123" s="103"/>
      <c r="AG123" s="210"/>
      <c r="AH123" s="210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  <c r="AU123" s="215"/>
      <c r="AV123" s="215"/>
      <c r="AW123" s="215"/>
      <c r="AX123" s="215"/>
      <c r="AY123" s="215"/>
      <c r="AZ123" s="215"/>
      <c r="BA123" s="215"/>
      <c r="BB123" s="215"/>
      <c r="BC123" s="215"/>
      <c r="BD123" s="215"/>
      <c r="BE123" s="215"/>
      <c r="BF123" s="215"/>
      <c r="BG123" s="215"/>
      <c r="BH123" s="58"/>
      <c r="BI123" s="58"/>
      <c r="BJ123" s="58"/>
      <c r="BK123" s="58"/>
      <c r="BL123" s="58"/>
      <c r="BM123" s="58"/>
      <c r="BN123" s="58"/>
    </row>
    <row r="124" spans="2:67" s="130" customFormat="1" ht="18.75" customHeight="1">
      <c r="B124" s="210"/>
      <c r="C124" s="418" t="s">
        <v>259</v>
      </c>
      <c r="D124" s="418"/>
      <c r="E124" s="418"/>
      <c r="F124" s="418"/>
      <c r="G124" s="418"/>
      <c r="H124" s="418"/>
      <c r="I124" s="215"/>
      <c r="J124" s="210"/>
      <c r="K124" s="215"/>
      <c r="L124" s="215"/>
      <c r="M124" s="215"/>
      <c r="N124" s="215"/>
      <c r="O124" s="215"/>
      <c r="P124" s="215"/>
      <c r="S124" s="417" t="e">
        <f ca="1">Calcu!M29</f>
        <v>#N/A</v>
      </c>
      <c r="T124" s="417"/>
      <c r="U124" s="418" t="s">
        <v>228</v>
      </c>
      <c r="V124" s="418"/>
      <c r="W124" s="429">
        <f>Calcu!N29</f>
        <v>0</v>
      </c>
      <c r="X124" s="429"/>
      <c r="Y124" s="429"/>
      <c r="Z124" s="418" t="s">
        <v>229</v>
      </c>
      <c r="AA124" s="418"/>
      <c r="AB124" s="369" t="s">
        <v>196</v>
      </c>
      <c r="AC124" s="420" t="e">
        <f ca="1">S124*W124</f>
        <v>#N/A</v>
      </c>
      <c r="AD124" s="420"/>
      <c r="AE124" s="420"/>
      <c r="AF124" s="420"/>
      <c r="AG124" s="418" t="s">
        <v>260</v>
      </c>
      <c r="AH124" s="418"/>
      <c r="AI124" s="418"/>
      <c r="AJ124" s="418"/>
      <c r="AK124" s="418"/>
      <c r="AL124" s="418"/>
      <c r="AM124" s="418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5"/>
      <c r="BB124" s="215"/>
      <c r="BC124" s="215"/>
    </row>
    <row r="125" spans="2:67" s="130" customFormat="1" ht="18.75" customHeight="1">
      <c r="B125" s="210"/>
      <c r="C125" s="418"/>
      <c r="D125" s="418"/>
      <c r="E125" s="418"/>
      <c r="F125" s="418"/>
      <c r="G125" s="418"/>
      <c r="H125" s="418"/>
      <c r="I125" s="215"/>
      <c r="J125" s="215"/>
      <c r="K125" s="215"/>
      <c r="L125" s="215"/>
      <c r="M125" s="215"/>
      <c r="N125" s="215"/>
      <c r="O125" s="215"/>
      <c r="P125" s="210"/>
      <c r="S125" s="417"/>
      <c r="T125" s="417"/>
      <c r="U125" s="418"/>
      <c r="V125" s="418"/>
      <c r="W125" s="429"/>
      <c r="X125" s="429"/>
      <c r="Y125" s="429"/>
      <c r="Z125" s="418"/>
      <c r="AA125" s="418"/>
      <c r="AB125" s="369"/>
      <c r="AC125" s="420"/>
      <c r="AD125" s="420"/>
      <c r="AE125" s="420"/>
      <c r="AF125" s="420"/>
      <c r="AG125" s="418"/>
      <c r="AH125" s="418"/>
      <c r="AI125" s="418"/>
      <c r="AJ125" s="418"/>
      <c r="AK125" s="418"/>
      <c r="AL125" s="418"/>
      <c r="AM125" s="418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5"/>
      <c r="BB125" s="215"/>
      <c r="BC125" s="215"/>
    </row>
    <row r="126" spans="2:67" s="130" customFormat="1" ht="18.75" customHeight="1">
      <c r="B126" s="210"/>
      <c r="C126" s="215" t="s">
        <v>261</v>
      </c>
      <c r="D126" s="215"/>
      <c r="E126" s="215"/>
      <c r="F126" s="215"/>
      <c r="G126" s="215"/>
      <c r="H126" s="215"/>
      <c r="I126" s="215"/>
      <c r="J126" s="210"/>
      <c r="K126" s="218" t="s">
        <v>248</v>
      </c>
      <c r="L126" s="420" t="e">
        <f ca="1">AC124</f>
        <v>#N/A</v>
      </c>
      <c r="M126" s="420"/>
      <c r="N126" s="420"/>
      <c r="O126" s="420"/>
      <c r="P126" s="131" t="s">
        <v>262</v>
      </c>
      <c r="Q126" s="210"/>
      <c r="R126" s="210"/>
      <c r="S126" s="210"/>
      <c r="T126" s="210"/>
      <c r="U126" s="210"/>
      <c r="V126" s="210"/>
      <c r="W126" s="210"/>
      <c r="X126" s="210"/>
      <c r="Y126" s="218" t="s">
        <v>232</v>
      </c>
      <c r="Z126" s="210" t="s">
        <v>198</v>
      </c>
      <c r="AA126" s="416" t="e">
        <f ca="1">ABS(L126*O51)</f>
        <v>#N/A</v>
      </c>
      <c r="AB126" s="416"/>
      <c r="AC126" s="416"/>
      <c r="AD126" s="216" t="s">
        <v>194</v>
      </c>
      <c r="AE126" s="216"/>
      <c r="AF126" s="210"/>
      <c r="AG126" s="210"/>
      <c r="AH126" s="210"/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131"/>
      <c r="AT126" s="215"/>
      <c r="AU126" s="215"/>
      <c r="AV126" s="215"/>
      <c r="AW126" s="132"/>
      <c r="AX126" s="131"/>
      <c r="AY126" s="215"/>
      <c r="AZ126" s="215"/>
      <c r="BA126" s="215"/>
      <c r="BB126" s="215"/>
      <c r="BC126" s="215"/>
      <c r="BD126" s="215"/>
      <c r="BE126" s="210"/>
      <c r="BF126" s="215"/>
      <c r="BG126" s="215"/>
      <c r="BH126" s="58"/>
      <c r="BI126" s="58"/>
      <c r="BJ126" s="58"/>
    </row>
    <row r="127" spans="2:67" s="130" customFormat="1" ht="18.75" customHeight="1">
      <c r="B127" s="210"/>
      <c r="C127" s="418" t="s">
        <v>263</v>
      </c>
      <c r="D127" s="418"/>
      <c r="E127" s="418"/>
      <c r="F127" s="418"/>
      <c r="G127" s="418"/>
      <c r="H127" s="215"/>
      <c r="J127" s="215"/>
      <c r="K127" s="215"/>
      <c r="L127" s="215"/>
      <c r="M127" s="215"/>
      <c r="N127" s="215"/>
      <c r="O127" s="215"/>
      <c r="P127" s="215"/>
      <c r="Q127" s="215"/>
      <c r="R127" s="131"/>
      <c r="S127" s="215"/>
      <c r="T127" s="215"/>
      <c r="U127" s="215"/>
      <c r="W127" s="215"/>
      <c r="X127" s="215"/>
      <c r="Y127" s="215"/>
      <c r="Z127" s="215"/>
      <c r="AA127" s="218" t="s">
        <v>235</v>
      </c>
      <c r="AB127" s="215"/>
      <c r="AC127" s="215"/>
      <c r="AD127" s="215"/>
      <c r="AE127" s="210"/>
      <c r="AF127" s="210"/>
      <c r="AH127" s="210"/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58"/>
      <c r="BI127" s="58"/>
      <c r="BJ127" s="58"/>
      <c r="BK127" s="58"/>
      <c r="BL127" s="58"/>
    </row>
    <row r="128" spans="2:67" s="130" customFormat="1" ht="18.75" customHeight="1">
      <c r="B128" s="210"/>
      <c r="C128" s="418"/>
      <c r="D128" s="418"/>
      <c r="E128" s="418"/>
      <c r="F128" s="418"/>
      <c r="G128" s="418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131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0"/>
      <c r="AF128" s="210"/>
      <c r="AG128" s="210"/>
      <c r="AH128" s="210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58"/>
      <c r="BI128" s="58"/>
      <c r="BJ128" s="58"/>
      <c r="BK128" s="58"/>
      <c r="BL128" s="58"/>
    </row>
    <row r="129" spans="2:74" s="130" customFormat="1" ht="18.75" customHeight="1">
      <c r="B129" s="210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131"/>
      <c r="S129" s="215"/>
      <c r="T129" s="215"/>
      <c r="U129" s="215"/>
      <c r="V129" s="215"/>
      <c r="W129" s="215"/>
      <c r="X129" s="215"/>
      <c r="Y129" s="215"/>
      <c r="Z129" s="400">
        <f>AP51</f>
        <v>100.00000000000004</v>
      </c>
      <c r="AA129" s="400"/>
      <c r="AD129" s="215"/>
      <c r="AE129" s="210"/>
      <c r="AF129" s="210"/>
      <c r="AG129" s="210"/>
      <c r="AH129" s="210"/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58"/>
      <c r="BI129" s="58"/>
      <c r="BJ129" s="58"/>
      <c r="BK129" s="58"/>
      <c r="BL129" s="58"/>
    </row>
    <row r="130" spans="2:74" s="130" customFormat="1" ht="18.75" customHeight="1">
      <c r="B130" s="210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131"/>
      <c r="S130" s="215"/>
      <c r="T130" s="215"/>
      <c r="U130" s="215"/>
      <c r="V130" s="215"/>
      <c r="W130" s="215"/>
      <c r="X130" s="215"/>
      <c r="Y130" s="215"/>
      <c r="Z130" s="400"/>
      <c r="AA130" s="400"/>
      <c r="AD130" s="215"/>
      <c r="AE130" s="210"/>
      <c r="AF130" s="210"/>
      <c r="AG130" s="210"/>
      <c r="AH130" s="210"/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58"/>
      <c r="BI130" s="58"/>
      <c r="BJ130" s="58"/>
      <c r="BK130" s="58"/>
      <c r="BL130" s="58"/>
    </row>
    <row r="131" spans="2:74" s="130" customFormat="1" ht="18.75" customHeight="1">
      <c r="B131" s="210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131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0"/>
      <c r="AF131" s="210"/>
      <c r="AG131" s="210"/>
      <c r="AH131" s="210"/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58"/>
      <c r="BI131" s="58"/>
      <c r="BJ131" s="58"/>
      <c r="BK131" s="58"/>
      <c r="BL131" s="58"/>
    </row>
    <row r="132" spans="2:74" s="130" customFormat="1" ht="18.75" customHeight="1">
      <c r="B132" s="210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131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0"/>
      <c r="AF132" s="210"/>
      <c r="AG132" s="210"/>
      <c r="AH132" s="210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5"/>
      <c r="BI132" s="215"/>
      <c r="BJ132" s="215"/>
      <c r="BK132" s="215"/>
    </row>
    <row r="133" spans="2:74" s="130" customFormat="1" ht="18.75" customHeight="1">
      <c r="B133" s="57" t="str">
        <f>"6. "&amp;$N$5&amp;"과 "&amp;$T$5&amp;"의 평균온도와 기준 온도와의 차이에 의한 표준불확도,"</f>
        <v>6. 핀 게이지과 표준 측장기의 평균온도와 기준 온도와의 차이에 의한 표준불확도,</v>
      </c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162" t="s">
        <v>264</v>
      </c>
      <c r="AI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58"/>
      <c r="BI133" s="58"/>
      <c r="BJ133" s="58"/>
      <c r="BK133" s="58"/>
      <c r="BL133" s="58"/>
      <c r="BM133" s="58"/>
      <c r="BN133" s="58"/>
    </row>
    <row r="134" spans="2:74" s="130" customFormat="1" ht="18.75" customHeight="1">
      <c r="B134" s="57"/>
      <c r="C134" s="215" t="str">
        <f>"※ 측정실 공기중의 온도를 측정하였고, 측정에 사용된 온도계의 불확도가 "&amp;N137&amp;" ℃를 넘지 않으므로,"</f>
        <v>※ 측정실 공기중의 온도를 측정하였고, 측정에 사용된 온도계의 불확도가 1 ℃를 넘지 않으므로,</v>
      </c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58"/>
      <c r="BI134" s="58"/>
      <c r="BJ134" s="58"/>
      <c r="BK134" s="58"/>
      <c r="BL134" s="58"/>
      <c r="BM134" s="58"/>
      <c r="BN134" s="58"/>
    </row>
    <row r="135" spans="2:74" s="130" customFormat="1" ht="18.75" customHeight="1">
      <c r="B135" s="57"/>
      <c r="C135" s="215"/>
      <c r="D135" s="215" t="s">
        <v>265</v>
      </c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58"/>
      <c r="BI135" s="58"/>
      <c r="BJ135" s="58"/>
      <c r="BK135" s="58"/>
      <c r="BL135" s="58"/>
      <c r="BM135" s="58"/>
      <c r="BN135" s="58"/>
    </row>
    <row r="136" spans="2:74" s="130" customFormat="1" ht="18.75" customHeight="1">
      <c r="B136" s="210"/>
      <c r="C136" s="216" t="s">
        <v>266</v>
      </c>
      <c r="D136" s="210"/>
      <c r="E136" s="210"/>
      <c r="F136" s="210"/>
      <c r="G136" s="210"/>
      <c r="H136" s="426" t="e">
        <f ca="1">H52</f>
        <v>#N/A</v>
      </c>
      <c r="I136" s="426"/>
      <c r="J136" s="426"/>
      <c r="K136" s="426"/>
      <c r="L136" s="426"/>
      <c r="M136" s="426"/>
      <c r="N136" s="426"/>
      <c r="O136" s="426"/>
      <c r="P136" s="212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58"/>
      <c r="BI136" s="58"/>
      <c r="BJ136" s="58"/>
      <c r="BK136" s="58"/>
      <c r="BL136" s="58"/>
      <c r="BM136" s="58"/>
    </row>
    <row r="137" spans="2:74" s="130" customFormat="1" ht="18.75" customHeight="1">
      <c r="B137" s="210"/>
      <c r="C137" s="418" t="s">
        <v>267</v>
      </c>
      <c r="D137" s="418"/>
      <c r="E137" s="418"/>
      <c r="F137" s="418"/>
      <c r="G137" s="418"/>
      <c r="H137" s="418"/>
      <c r="I137" s="418"/>
      <c r="J137" s="427" t="s">
        <v>268</v>
      </c>
      <c r="K137" s="427"/>
      <c r="L137" s="427"/>
      <c r="M137" s="369" t="s">
        <v>198</v>
      </c>
      <c r="N137" s="415">
        <f>Calcu!G30</f>
        <v>1</v>
      </c>
      <c r="O137" s="415"/>
      <c r="P137" s="224" t="s">
        <v>242</v>
      </c>
      <c r="Q137" s="229"/>
      <c r="R137" s="369" t="s">
        <v>196</v>
      </c>
      <c r="S137" s="416">
        <f>N137/SQRT(3)</f>
        <v>0.57735026918962584</v>
      </c>
      <c r="T137" s="416"/>
      <c r="U137" s="416"/>
      <c r="V137" s="417" t="s">
        <v>242</v>
      </c>
      <c r="W137" s="417"/>
      <c r="X137" s="212"/>
      <c r="Y137" s="230"/>
      <c r="Z137" s="231"/>
      <c r="AA137" s="231"/>
      <c r="AZ137" s="215"/>
      <c r="BA137" s="215"/>
      <c r="BB137" s="215"/>
      <c r="BC137" s="215"/>
      <c r="BD137" s="215"/>
      <c r="BE137" s="215"/>
      <c r="BF137" s="215"/>
      <c r="BG137" s="215"/>
      <c r="BH137" s="215"/>
      <c r="BI137" s="215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</row>
    <row r="138" spans="2:74" s="130" customFormat="1" ht="18.75" customHeight="1">
      <c r="B138" s="210"/>
      <c r="C138" s="418"/>
      <c r="D138" s="418"/>
      <c r="E138" s="418"/>
      <c r="F138" s="418"/>
      <c r="G138" s="418"/>
      <c r="H138" s="418"/>
      <c r="I138" s="418"/>
      <c r="J138" s="427"/>
      <c r="K138" s="427"/>
      <c r="L138" s="427"/>
      <c r="M138" s="369"/>
      <c r="N138" s="210"/>
      <c r="O138" s="210"/>
      <c r="P138" s="210"/>
      <c r="Q138" s="210"/>
      <c r="R138" s="369"/>
      <c r="S138" s="416"/>
      <c r="T138" s="416"/>
      <c r="U138" s="416"/>
      <c r="V138" s="417"/>
      <c r="W138" s="417"/>
      <c r="X138" s="212"/>
      <c r="Y138" s="230"/>
      <c r="Z138" s="231"/>
      <c r="AA138" s="231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</row>
    <row r="139" spans="2:74" s="130" customFormat="1" ht="18.75" customHeight="1">
      <c r="B139" s="210"/>
      <c r="C139" s="215" t="s">
        <v>269</v>
      </c>
      <c r="D139" s="215"/>
      <c r="E139" s="215"/>
      <c r="F139" s="215"/>
      <c r="G139" s="215"/>
      <c r="H139" s="215"/>
      <c r="I139" s="400" t="str">
        <f>V52</f>
        <v>직사각형</v>
      </c>
      <c r="J139" s="400"/>
      <c r="K139" s="400"/>
      <c r="L139" s="400"/>
      <c r="M139" s="400"/>
      <c r="N139" s="400"/>
      <c r="O139" s="400"/>
      <c r="P139" s="400"/>
      <c r="Q139" s="215"/>
      <c r="R139" s="215"/>
      <c r="S139" s="215"/>
      <c r="T139" s="215"/>
      <c r="U139" s="215"/>
      <c r="V139" s="215"/>
      <c r="W139" s="215"/>
      <c r="X139" s="215"/>
      <c r="Y139" s="215"/>
      <c r="Z139" s="210"/>
      <c r="AA139" s="210"/>
      <c r="AB139" s="210"/>
      <c r="AC139" s="210"/>
      <c r="AD139" s="210"/>
      <c r="AE139" s="210"/>
      <c r="AF139" s="210"/>
      <c r="AG139" s="210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  <c r="AX139" s="215"/>
      <c r="AY139" s="215"/>
      <c r="AZ139" s="215"/>
      <c r="BA139" s="215"/>
      <c r="BB139" s="215"/>
      <c r="BC139" s="215"/>
      <c r="BD139" s="215"/>
      <c r="BE139" s="215"/>
      <c r="BF139" s="210"/>
      <c r="BG139" s="215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</row>
    <row r="140" spans="2:74" s="130" customFormat="1" ht="18.75" customHeight="1">
      <c r="B140" s="210"/>
      <c r="C140" s="418" t="s">
        <v>270</v>
      </c>
      <c r="D140" s="418"/>
      <c r="E140" s="418"/>
      <c r="F140" s="418"/>
      <c r="G140" s="418"/>
      <c r="H140" s="418"/>
      <c r="I140" s="215"/>
      <c r="J140" s="215"/>
      <c r="K140" s="215"/>
      <c r="L140" s="215"/>
      <c r="M140" s="215"/>
      <c r="N140" s="215"/>
      <c r="O140" s="210"/>
      <c r="S140" s="428" t="e">
        <f ca="1">-H51*10^6</f>
        <v>#N/A</v>
      </c>
      <c r="T140" s="428"/>
      <c r="U140" s="428"/>
      <c r="V140" s="418" t="s">
        <v>216</v>
      </c>
      <c r="W140" s="418"/>
      <c r="X140" s="418"/>
      <c r="Y140" s="418"/>
      <c r="Z140" s="369" t="s">
        <v>76</v>
      </c>
      <c r="AA140" s="429">
        <f>Calcu!N30</f>
        <v>0</v>
      </c>
      <c r="AB140" s="429"/>
      <c r="AC140" s="429"/>
      <c r="AD140" s="418" t="s">
        <v>194</v>
      </c>
      <c r="AE140" s="418"/>
      <c r="AF140" s="369" t="s">
        <v>196</v>
      </c>
      <c r="AG140" s="420" t="e">
        <f ca="1">S140*10^-6*AA140</f>
        <v>#N/A</v>
      </c>
      <c r="AH140" s="420"/>
      <c r="AI140" s="420"/>
      <c r="AJ140" s="418" t="s">
        <v>249</v>
      </c>
      <c r="AK140" s="418"/>
      <c r="AL140" s="418"/>
      <c r="AM140" s="418"/>
      <c r="AN140" s="418"/>
      <c r="AO140" s="418"/>
      <c r="AP140" s="418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58"/>
      <c r="BI140" s="58"/>
      <c r="BJ140" s="58"/>
      <c r="BK140" s="58"/>
      <c r="BL140" s="58"/>
      <c r="BM140" s="58"/>
    </row>
    <row r="141" spans="2:74" s="130" customFormat="1" ht="18.75" customHeight="1">
      <c r="B141" s="210"/>
      <c r="C141" s="418"/>
      <c r="D141" s="418"/>
      <c r="E141" s="418"/>
      <c r="F141" s="418"/>
      <c r="G141" s="418"/>
      <c r="H141" s="418"/>
      <c r="I141" s="215"/>
      <c r="J141" s="215"/>
      <c r="K141" s="215"/>
      <c r="L141" s="215"/>
      <c r="M141" s="215"/>
      <c r="N141" s="215"/>
      <c r="O141" s="215"/>
      <c r="S141" s="428"/>
      <c r="T141" s="428"/>
      <c r="U141" s="428"/>
      <c r="V141" s="418"/>
      <c r="W141" s="418"/>
      <c r="X141" s="418"/>
      <c r="Y141" s="418"/>
      <c r="Z141" s="369"/>
      <c r="AA141" s="429"/>
      <c r="AB141" s="429"/>
      <c r="AC141" s="429"/>
      <c r="AD141" s="418"/>
      <c r="AE141" s="418"/>
      <c r="AF141" s="369"/>
      <c r="AG141" s="420"/>
      <c r="AH141" s="420"/>
      <c r="AI141" s="420"/>
      <c r="AJ141" s="418"/>
      <c r="AK141" s="418"/>
      <c r="AL141" s="418"/>
      <c r="AM141" s="418"/>
      <c r="AN141" s="418"/>
      <c r="AO141" s="418"/>
      <c r="AP141" s="418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58"/>
      <c r="BI141" s="58"/>
      <c r="BJ141" s="58"/>
      <c r="BK141" s="58"/>
      <c r="BL141" s="58"/>
      <c r="BM141" s="58"/>
    </row>
    <row r="142" spans="2:74" s="130" customFormat="1" ht="18.75" customHeight="1">
      <c r="B142" s="210"/>
      <c r="C142" s="215" t="s">
        <v>271</v>
      </c>
      <c r="D142" s="215"/>
      <c r="E142" s="215"/>
      <c r="F142" s="215"/>
      <c r="G142" s="215"/>
      <c r="H142" s="215"/>
      <c r="I142" s="215"/>
      <c r="J142" s="210"/>
      <c r="K142" s="218" t="s">
        <v>232</v>
      </c>
      <c r="L142" s="420" t="e">
        <f ca="1">AG140</f>
        <v>#N/A</v>
      </c>
      <c r="M142" s="420"/>
      <c r="N142" s="420"/>
      <c r="O142" s="131" t="s">
        <v>246</v>
      </c>
      <c r="P142" s="210"/>
      <c r="Q142" s="210"/>
      <c r="R142" s="210" t="s">
        <v>76</v>
      </c>
      <c r="S142" s="421">
        <f>S137</f>
        <v>0.57735026918962584</v>
      </c>
      <c r="T142" s="421"/>
      <c r="U142" s="421"/>
      <c r="V142" s="421"/>
      <c r="W142" s="218" t="s">
        <v>232</v>
      </c>
      <c r="X142" s="210" t="s">
        <v>196</v>
      </c>
      <c r="Y142" s="416" t="e">
        <f ca="1">ABS(L142*S142)</f>
        <v>#N/A</v>
      </c>
      <c r="Z142" s="416"/>
      <c r="AA142" s="416"/>
      <c r="AB142" s="216" t="s">
        <v>194</v>
      </c>
      <c r="AC142" s="216"/>
      <c r="AD142" s="210"/>
      <c r="AE142" s="210"/>
      <c r="AF142" s="226"/>
      <c r="AG142" s="210"/>
      <c r="AH142" s="210"/>
      <c r="AI142" s="215"/>
      <c r="AJ142" s="210"/>
      <c r="AK142" s="215"/>
      <c r="AL142" s="210"/>
      <c r="AM142" s="210"/>
      <c r="AN142" s="210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58"/>
      <c r="BI142" s="58"/>
      <c r="BJ142" s="58"/>
      <c r="BK142" s="58"/>
    </row>
    <row r="143" spans="2:74" s="130" customFormat="1" ht="18.75" customHeight="1">
      <c r="B143" s="210"/>
      <c r="C143" s="418" t="s">
        <v>272</v>
      </c>
      <c r="D143" s="418"/>
      <c r="E143" s="418"/>
      <c r="F143" s="418"/>
      <c r="G143" s="418"/>
      <c r="H143" s="215"/>
      <c r="J143" s="215"/>
      <c r="K143" s="215"/>
      <c r="L143" s="215"/>
      <c r="M143" s="215"/>
      <c r="N143" s="215"/>
      <c r="O143" s="215"/>
      <c r="P143" s="215"/>
      <c r="Q143" s="215"/>
      <c r="R143" s="131"/>
      <c r="S143" s="215"/>
      <c r="T143" s="215"/>
      <c r="U143" s="215"/>
      <c r="W143" s="218" t="s">
        <v>251</v>
      </c>
      <c r="X143" s="215"/>
      <c r="Y143" s="215"/>
      <c r="Z143" s="215"/>
      <c r="AA143" s="215"/>
      <c r="AB143" s="215"/>
      <c r="AC143" s="215"/>
      <c r="AD143" s="215"/>
      <c r="AE143" s="210"/>
      <c r="AF143" s="210"/>
      <c r="AG143" s="210"/>
      <c r="AH143" s="210"/>
      <c r="AI143" s="210"/>
      <c r="AJ143" s="210"/>
      <c r="AK143" s="210"/>
      <c r="AL143" s="210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58"/>
      <c r="BI143" s="58"/>
      <c r="BJ143" s="58"/>
      <c r="BK143" s="58"/>
      <c r="BP143" s="58"/>
      <c r="BS143" s="58"/>
      <c r="BT143" s="58"/>
      <c r="BU143" s="58"/>
    </row>
    <row r="144" spans="2:74" s="130" customFormat="1" ht="18.75" customHeight="1">
      <c r="B144" s="210"/>
      <c r="C144" s="418"/>
      <c r="D144" s="418"/>
      <c r="E144" s="418"/>
      <c r="F144" s="418"/>
      <c r="G144" s="418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131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0"/>
      <c r="AD144" s="210"/>
      <c r="AE144" s="210"/>
      <c r="AF144" s="210"/>
      <c r="AG144" s="210"/>
      <c r="AH144" s="210"/>
      <c r="AI144" s="210"/>
      <c r="AJ144" s="210"/>
      <c r="AK144" s="210"/>
      <c r="AL144" s="210"/>
      <c r="AM144" s="210"/>
      <c r="AN144" s="210"/>
      <c r="AO144" s="210"/>
      <c r="AP144" s="210"/>
      <c r="AQ144" s="210"/>
      <c r="AR144" s="210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58"/>
      <c r="BI144" s="58"/>
      <c r="BJ144" s="58"/>
      <c r="BK144" s="58"/>
      <c r="BP144" s="58"/>
      <c r="BS144" s="58"/>
      <c r="BT144" s="58"/>
      <c r="BU144" s="58"/>
    </row>
    <row r="145" spans="2:60" s="130" customFormat="1" ht="18.75" customHeight="1">
      <c r="B145" s="210"/>
      <c r="C145" s="215"/>
      <c r="D145" s="215"/>
      <c r="E145" s="215"/>
      <c r="F145" s="215"/>
      <c r="G145" s="210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0"/>
      <c r="Y145" s="210"/>
      <c r="Z145" s="210"/>
      <c r="AA145" s="210"/>
      <c r="AB145" s="210"/>
      <c r="AC145" s="210"/>
      <c r="AD145" s="210"/>
      <c r="AE145" s="210"/>
      <c r="AF145" s="210"/>
      <c r="AG145" s="210"/>
      <c r="AH145" s="210"/>
      <c r="AI145" s="210"/>
      <c r="AJ145" s="210"/>
      <c r="AK145" s="210"/>
      <c r="AL145" s="210"/>
      <c r="AM145" s="210"/>
      <c r="AN145" s="210"/>
      <c r="AO145" s="210"/>
      <c r="AP145" s="210"/>
      <c r="AQ145" s="210"/>
      <c r="AR145" s="210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</row>
    <row r="146" spans="2:60" s="130" customFormat="1" ht="18.75" customHeight="1">
      <c r="B146" s="232" t="s">
        <v>273</v>
      </c>
      <c r="D146" s="215"/>
      <c r="E146" s="215"/>
      <c r="F146" s="215"/>
      <c r="G146" s="210"/>
      <c r="H146" s="215"/>
      <c r="I146" s="215"/>
      <c r="J146" s="215"/>
      <c r="K146" s="215"/>
      <c r="L146" s="215"/>
      <c r="M146" s="215"/>
      <c r="N146" s="215"/>
      <c r="O146" s="215"/>
      <c r="P146" s="215"/>
      <c r="R146" s="215"/>
      <c r="T146" s="215"/>
      <c r="U146" s="215"/>
      <c r="V146" s="215"/>
      <c r="X146" s="215"/>
      <c r="Y146" s="215"/>
      <c r="AA146" s="215"/>
      <c r="AB146" s="233" t="s">
        <v>274</v>
      </c>
      <c r="AC146" s="215"/>
      <c r="AD146" s="215"/>
      <c r="AE146" s="210"/>
      <c r="AF146" s="215"/>
      <c r="AG146" s="210"/>
      <c r="AH146" s="210"/>
      <c r="AI146" s="210"/>
      <c r="AJ146" s="210"/>
      <c r="AK146" s="210"/>
      <c r="AL146" s="210"/>
      <c r="AM146" s="210"/>
      <c r="AN146" s="210"/>
      <c r="AO146" s="210"/>
      <c r="AP146" s="210"/>
      <c r="AQ146" s="210"/>
      <c r="AR146" s="210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</row>
    <row r="147" spans="2:60" s="130" customFormat="1" ht="18.75" customHeight="1">
      <c r="B147" s="57"/>
      <c r="C147" s="234" t="e">
        <f ca="1">"※ 측정력에 의한 탄성변형량이  "&amp;ROUND(H148,6)&amp;" mm 이고, 변형량의 절반을 반범위로 하여 직사각형 확률분포를 적용하여 계산하면"</f>
        <v>#N/A</v>
      </c>
      <c r="D147" s="215"/>
      <c r="E147" s="215"/>
      <c r="F147" s="215"/>
      <c r="G147" s="210"/>
      <c r="H147" s="215"/>
      <c r="I147" s="215"/>
      <c r="J147" s="215"/>
      <c r="K147" s="215"/>
      <c r="L147" s="215"/>
      <c r="M147" s="215"/>
      <c r="N147" s="215"/>
      <c r="O147" s="215"/>
      <c r="P147" s="215"/>
      <c r="R147" s="215"/>
      <c r="S147" s="162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0"/>
      <c r="AF147" s="215"/>
      <c r="AG147" s="210"/>
      <c r="AH147" s="210"/>
      <c r="AI147" s="210"/>
      <c r="AJ147" s="210"/>
      <c r="AK147" s="210"/>
      <c r="AL147" s="210"/>
      <c r="AM147" s="210"/>
      <c r="AN147" s="210"/>
      <c r="AO147" s="210"/>
      <c r="AP147" s="210"/>
      <c r="AQ147" s="210"/>
      <c r="AR147" s="210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</row>
    <row r="148" spans="2:60" s="130" customFormat="1" ht="18.75" customHeight="1">
      <c r="B148" s="210"/>
      <c r="C148" s="216" t="s">
        <v>215</v>
      </c>
      <c r="D148" s="210"/>
      <c r="E148" s="210"/>
      <c r="F148" s="210"/>
      <c r="G148" s="210"/>
      <c r="H148" s="422" t="e">
        <f ca="1">H53</f>
        <v>#N/A</v>
      </c>
      <c r="I148" s="422"/>
      <c r="J148" s="422"/>
      <c r="K148" s="422"/>
      <c r="L148" s="422"/>
      <c r="M148" s="417" t="str">
        <f>M53</f>
        <v>mm</v>
      </c>
      <c r="N148" s="417"/>
      <c r="O148" s="212"/>
      <c r="P148" s="218"/>
      <c r="Q148" s="218"/>
      <c r="R148" s="218"/>
      <c r="S148" s="218"/>
      <c r="T148" s="218"/>
      <c r="U148" s="218"/>
      <c r="V148" s="218"/>
      <c r="W148" s="215"/>
      <c r="AC148" s="215"/>
      <c r="AD148" s="215"/>
      <c r="AE148" s="215"/>
      <c r="AF148" s="215"/>
      <c r="AG148" s="215"/>
      <c r="AH148" s="215"/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5"/>
      <c r="AT148" s="215"/>
      <c r="AU148" s="215"/>
      <c r="AV148" s="215"/>
      <c r="AW148" s="215"/>
      <c r="AX148" s="215"/>
      <c r="AY148" s="210"/>
      <c r="AZ148" s="210"/>
      <c r="BA148" s="210"/>
      <c r="BB148" s="210"/>
      <c r="BC148" s="210"/>
      <c r="BD148" s="210"/>
      <c r="BE148" s="210"/>
      <c r="BF148" s="210"/>
      <c r="BG148" s="210"/>
    </row>
    <row r="149" spans="2:60" s="130" customFormat="1" ht="18.75" customHeight="1">
      <c r="B149" s="210"/>
      <c r="C149" s="215" t="s">
        <v>217</v>
      </c>
      <c r="D149" s="215"/>
      <c r="E149" s="215"/>
      <c r="F149" s="215"/>
      <c r="G149" s="215"/>
      <c r="H149" s="215"/>
      <c r="I149" s="215"/>
      <c r="K149" s="423" t="s">
        <v>275</v>
      </c>
      <c r="L149" s="423"/>
      <c r="M149" s="423"/>
      <c r="N149" s="369" t="s">
        <v>196</v>
      </c>
      <c r="O149" s="424" t="s">
        <v>183</v>
      </c>
      <c r="P149" s="425"/>
      <c r="Q149" s="425"/>
      <c r="R149" s="425"/>
      <c r="S149" s="369" t="s">
        <v>196</v>
      </c>
      <c r="T149" s="373" t="e">
        <f ca="1">Calcu!G31</f>
        <v>#N/A</v>
      </c>
      <c r="U149" s="373"/>
      <c r="V149" s="373"/>
      <c r="W149" s="224" t="s">
        <v>194</v>
      </c>
      <c r="X149" s="224"/>
      <c r="Y149" s="414" t="s">
        <v>196</v>
      </c>
      <c r="Z149" s="416" t="e">
        <f ca="1">T149/2/SQRT(3)</f>
        <v>#N/A</v>
      </c>
      <c r="AA149" s="416"/>
      <c r="AB149" s="416"/>
      <c r="AC149" s="417" t="str">
        <f>W149</f>
        <v>μm</v>
      </c>
      <c r="AD149" s="417"/>
      <c r="AE149" s="210"/>
      <c r="AF149" s="210"/>
      <c r="AG149" s="210"/>
      <c r="AH149" s="210"/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5"/>
      <c r="AS149" s="215"/>
      <c r="AT149" s="215"/>
      <c r="AU149" s="215"/>
      <c r="AV149" s="215"/>
      <c r="AW149" s="215"/>
      <c r="AX149" s="215"/>
      <c r="AY149" s="215"/>
      <c r="AZ149" s="210"/>
      <c r="BA149" s="210"/>
      <c r="BB149" s="210"/>
      <c r="BC149" s="210"/>
      <c r="BD149" s="210"/>
      <c r="BE149" s="210"/>
      <c r="BF149" s="210"/>
      <c r="BG149" s="210"/>
      <c r="BH149" s="210"/>
    </row>
    <row r="150" spans="2:60" s="130" customFormat="1" ht="18.75" customHeight="1">
      <c r="B150" s="210"/>
      <c r="C150" s="215"/>
      <c r="D150" s="215"/>
      <c r="E150" s="215"/>
      <c r="F150" s="215"/>
      <c r="G150" s="215"/>
      <c r="H150" s="215"/>
      <c r="I150" s="215"/>
      <c r="J150" s="185"/>
      <c r="K150" s="423"/>
      <c r="L150" s="423"/>
      <c r="M150" s="423"/>
      <c r="N150" s="369"/>
      <c r="O150" s="380"/>
      <c r="P150" s="380"/>
      <c r="Q150" s="380"/>
      <c r="R150" s="380"/>
      <c r="S150" s="369"/>
      <c r="T150" s="374"/>
      <c r="U150" s="374"/>
      <c r="V150" s="374"/>
      <c r="W150" s="374"/>
      <c r="X150" s="374"/>
      <c r="Y150" s="414"/>
      <c r="Z150" s="416"/>
      <c r="AA150" s="416"/>
      <c r="AB150" s="416"/>
      <c r="AC150" s="417"/>
      <c r="AD150" s="417"/>
      <c r="AE150" s="210"/>
      <c r="AF150" s="210"/>
      <c r="AG150" s="210"/>
      <c r="AH150" s="210"/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5"/>
      <c r="AS150" s="215"/>
      <c r="AT150" s="215"/>
      <c r="AU150" s="215"/>
      <c r="AV150" s="215"/>
      <c r="AW150" s="215"/>
      <c r="AX150" s="215"/>
      <c r="AY150" s="215"/>
      <c r="AZ150" s="210"/>
      <c r="BA150" s="210"/>
      <c r="BB150" s="210"/>
      <c r="BC150" s="210"/>
      <c r="BD150" s="210"/>
      <c r="BE150" s="210"/>
      <c r="BF150" s="210"/>
      <c r="BG150" s="210"/>
      <c r="BH150" s="210"/>
    </row>
    <row r="151" spans="2:60" s="130" customFormat="1" ht="18.75" customHeight="1">
      <c r="B151" s="210"/>
      <c r="C151" s="215" t="s">
        <v>224</v>
      </c>
      <c r="D151" s="215"/>
      <c r="E151" s="215"/>
      <c r="F151" s="215"/>
      <c r="G151" s="215"/>
      <c r="H151" s="215"/>
      <c r="I151" s="400" t="str">
        <f>V53</f>
        <v>직사각형</v>
      </c>
      <c r="J151" s="400"/>
      <c r="K151" s="400"/>
      <c r="L151" s="400"/>
      <c r="M151" s="400"/>
      <c r="N151" s="400"/>
      <c r="O151" s="400"/>
      <c r="P151" s="400"/>
      <c r="Q151" s="215"/>
      <c r="R151" s="215"/>
      <c r="S151" s="215"/>
      <c r="T151" s="215"/>
      <c r="U151" s="215"/>
      <c r="V151" s="215"/>
      <c r="W151" s="215"/>
      <c r="X151" s="215"/>
      <c r="Y151" s="215"/>
      <c r="Z151" s="210"/>
      <c r="AA151" s="210"/>
      <c r="AB151" s="210"/>
      <c r="AC151" s="210"/>
      <c r="AD151" s="210"/>
      <c r="AE151" s="210"/>
      <c r="AF151" s="210"/>
      <c r="AG151" s="210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0"/>
      <c r="AZ151" s="210"/>
      <c r="BA151" s="210"/>
      <c r="BB151" s="210"/>
      <c r="BC151" s="210"/>
      <c r="BD151" s="210"/>
      <c r="BE151" s="210"/>
      <c r="BF151" s="210"/>
      <c r="BG151" s="210"/>
    </row>
    <row r="152" spans="2:60" s="130" customFormat="1" ht="18.75" customHeight="1">
      <c r="B152" s="210"/>
      <c r="C152" s="418" t="s">
        <v>226</v>
      </c>
      <c r="D152" s="418"/>
      <c r="E152" s="418"/>
      <c r="F152" s="418"/>
      <c r="G152" s="418"/>
      <c r="H152" s="418"/>
      <c r="I152" s="215"/>
      <c r="J152" s="215"/>
      <c r="K152" s="215"/>
      <c r="L152" s="215"/>
      <c r="M152" s="215"/>
      <c r="N152" s="369">
        <f>AA53</f>
        <v>1</v>
      </c>
      <c r="O152" s="369"/>
      <c r="P152" s="133"/>
      <c r="Q152" s="133"/>
      <c r="R152" s="133"/>
      <c r="S152" s="215"/>
      <c r="T152" s="215"/>
      <c r="U152" s="215"/>
      <c r="V152" s="215"/>
      <c r="W152" s="215"/>
      <c r="X152" s="215"/>
      <c r="Y152" s="215"/>
      <c r="Z152" s="134"/>
      <c r="AA152" s="134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0"/>
      <c r="AM152" s="210"/>
      <c r="AN152" s="210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0"/>
      <c r="AZ152" s="210"/>
      <c r="BA152" s="210"/>
      <c r="BB152" s="210"/>
      <c r="BC152" s="210"/>
      <c r="BD152" s="210"/>
      <c r="BE152" s="210"/>
      <c r="BF152" s="210"/>
      <c r="BG152" s="210"/>
    </row>
    <row r="153" spans="2:60" s="130" customFormat="1" ht="18.75" customHeight="1">
      <c r="B153" s="210"/>
      <c r="C153" s="418"/>
      <c r="D153" s="418"/>
      <c r="E153" s="418"/>
      <c r="F153" s="418"/>
      <c r="G153" s="418"/>
      <c r="H153" s="418"/>
      <c r="I153" s="215"/>
      <c r="J153" s="215"/>
      <c r="K153" s="215"/>
      <c r="L153" s="215"/>
      <c r="M153" s="215"/>
      <c r="N153" s="369"/>
      <c r="O153" s="369"/>
      <c r="P153" s="133"/>
      <c r="Q153" s="133"/>
      <c r="R153" s="133"/>
      <c r="S153" s="215"/>
      <c r="T153" s="215"/>
      <c r="U153" s="215"/>
      <c r="V153" s="215"/>
      <c r="W153" s="215"/>
      <c r="X153" s="215"/>
      <c r="Y153" s="215"/>
      <c r="Z153" s="134"/>
      <c r="AA153" s="134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0"/>
      <c r="AM153" s="210"/>
      <c r="AN153" s="210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0"/>
      <c r="AZ153" s="210"/>
      <c r="BA153" s="210"/>
      <c r="BB153" s="210"/>
      <c r="BC153" s="210"/>
      <c r="BD153" s="210"/>
      <c r="BE153" s="210"/>
      <c r="BF153" s="210"/>
      <c r="BG153" s="210"/>
    </row>
    <row r="154" spans="2:60" s="130" customFormat="1" ht="18.75" customHeight="1">
      <c r="B154" s="210"/>
      <c r="C154" s="215" t="s">
        <v>231</v>
      </c>
      <c r="D154" s="215"/>
      <c r="E154" s="215"/>
      <c r="F154" s="215"/>
      <c r="G154" s="215"/>
      <c r="H154" s="215"/>
      <c r="I154" s="215"/>
      <c r="J154" s="210"/>
      <c r="K154" s="210" t="s">
        <v>232</v>
      </c>
      <c r="L154" s="369">
        <f>N152</f>
        <v>1</v>
      </c>
      <c r="M154" s="369"/>
      <c r="N154" s="210" t="s">
        <v>76</v>
      </c>
      <c r="O154" s="416" t="e">
        <f ca="1">Z149</f>
        <v>#N/A</v>
      </c>
      <c r="P154" s="416"/>
      <c r="Q154" s="416"/>
      <c r="R154" s="419" t="str">
        <f>AC149</f>
        <v>μm</v>
      </c>
      <c r="S154" s="417"/>
      <c r="T154" s="217" t="s">
        <v>75</v>
      </c>
      <c r="U154" s="72" t="s">
        <v>196</v>
      </c>
      <c r="V154" s="416" t="e">
        <f ca="1">O154</f>
        <v>#N/A</v>
      </c>
      <c r="W154" s="416"/>
      <c r="X154" s="416"/>
      <c r="Y154" s="419" t="str">
        <f>R154</f>
        <v>μm</v>
      </c>
      <c r="Z154" s="417"/>
      <c r="AA154" s="135"/>
      <c r="AB154" s="135"/>
      <c r="AC154" s="131"/>
      <c r="AD154" s="210"/>
      <c r="AE154" s="215"/>
      <c r="AF154" s="210"/>
      <c r="AG154" s="210"/>
      <c r="AH154" s="210"/>
      <c r="AI154" s="210"/>
      <c r="AJ154" s="210"/>
      <c r="AK154" s="215"/>
      <c r="AL154" s="210"/>
      <c r="AM154" s="210"/>
      <c r="AN154" s="210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0"/>
      <c r="AZ154" s="210"/>
      <c r="BA154" s="210"/>
      <c r="BB154" s="210"/>
      <c r="BC154" s="210"/>
      <c r="BD154" s="210"/>
      <c r="BE154" s="210"/>
      <c r="BF154" s="210"/>
      <c r="BG154" s="210"/>
    </row>
    <row r="155" spans="2:60" s="130" customFormat="1" ht="18.75" customHeight="1">
      <c r="B155" s="210"/>
      <c r="C155" s="418" t="s">
        <v>234</v>
      </c>
      <c r="D155" s="418"/>
      <c r="E155" s="418"/>
      <c r="F155" s="418"/>
      <c r="G155" s="418"/>
      <c r="H155" s="215"/>
      <c r="J155" s="215"/>
      <c r="K155" s="215"/>
      <c r="L155" s="215"/>
      <c r="M155" s="215"/>
      <c r="N155" s="215"/>
      <c r="O155" s="215"/>
      <c r="P155" s="215"/>
      <c r="Q155" s="215"/>
      <c r="R155" s="131"/>
      <c r="S155" s="215"/>
      <c r="T155" s="215"/>
      <c r="U155" s="215"/>
      <c r="W155" s="215"/>
      <c r="X155" s="218" t="s">
        <v>276</v>
      </c>
      <c r="Y155" s="215"/>
      <c r="Z155" s="215"/>
      <c r="AA155" s="215"/>
      <c r="AB155" s="215"/>
      <c r="AC155" s="215"/>
      <c r="AD155" s="215"/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</row>
    <row r="156" spans="2:60" s="130" customFormat="1" ht="18.75" customHeight="1">
      <c r="B156" s="210"/>
      <c r="C156" s="418"/>
      <c r="D156" s="418"/>
      <c r="E156" s="418"/>
      <c r="F156" s="418"/>
      <c r="G156" s="418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131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0"/>
      <c r="AF156" s="210"/>
      <c r="AG156" s="210"/>
      <c r="AH156" s="210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</row>
    <row r="157" spans="2:60" s="130" customFormat="1" ht="18.75" customHeight="1">
      <c r="B157" s="210"/>
      <c r="C157" s="215"/>
      <c r="D157" s="215"/>
      <c r="E157" s="215"/>
      <c r="F157" s="215"/>
      <c r="G157" s="210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0"/>
      <c r="AF157" s="215"/>
      <c r="AG157" s="210"/>
      <c r="AH157" s="210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</row>
    <row r="158" spans="2:60" s="130" customFormat="1" ht="18.75" customHeight="1">
      <c r="B158" s="57" t="s">
        <v>277</v>
      </c>
      <c r="C158" s="215"/>
      <c r="E158" s="215"/>
      <c r="F158" s="215"/>
      <c r="G158" s="210"/>
      <c r="H158" s="215"/>
      <c r="I158" s="215"/>
      <c r="J158" s="215"/>
      <c r="K158" s="215"/>
      <c r="L158" s="215"/>
      <c r="M158" s="215"/>
      <c r="N158" s="215"/>
      <c r="O158" s="215"/>
      <c r="P158" s="215"/>
      <c r="Q158" s="233" t="s">
        <v>278</v>
      </c>
      <c r="R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0"/>
      <c r="AF158" s="215"/>
      <c r="AG158" s="210"/>
      <c r="AH158" s="210"/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</row>
    <row r="159" spans="2:60" s="130" customFormat="1" ht="18.75" customHeight="1">
      <c r="B159" s="57"/>
      <c r="C159" s="234" t="str">
        <f>"※ 표준 측장기의 평행도가 "&amp;Q161&amp;" μm 이고, 평행도값의 절반을 반너비로 하여 직사각형 확률분포를 적용하여 계산하면"</f>
        <v>※ 표준 측장기의 평행도가 0 μm 이고, 평행도값의 절반을 반너비로 하여 직사각형 확률분포를 적용하여 계산하면</v>
      </c>
      <c r="D159" s="210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0"/>
      <c r="P159" s="235"/>
      <c r="Q159" s="235"/>
      <c r="R159" s="235"/>
      <c r="S159" s="23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0"/>
      <c r="AE159" s="210"/>
      <c r="AF159" s="183"/>
      <c r="AG159" s="183"/>
      <c r="AH159" s="183"/>
      <c r="AI159" s="215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</row>
    <row r="160" spans="2:60" s="130" customFormat="1" ht="18.75" customHeight="1">
      <c r="B160" s="210"/>
      <c r="C160" s="218" t="s">
        <v>279</v>
      </c>
      <c r="D160" s="215"/>
      <c r="E160" s="215"/>
      <c r="F160" s="215"/>
      <c r="G160" s="215"/>
      <c r="H160" s="215"/>
      <c r="I160" s="210"/>
      <c r="AS160" s="222"/>
      <c r="AT160" s="222"/>
      <c r="AU160" s="222"/>
      <c r="AV160" s="222"/>
      <c r="AW160" s="222"/>
      <c r="AX160" s="222"/>
      <c r="AY160" s="222"/>
      <c r="AZ160" s="222"/>
      <c r="BA160" s="222"/>
      <c r="BB160" s="210"/>
      <c r="BC160" s="210"/>
      <c r="BD160" s="210"/>
      <c r="BE160" s="210"/>
      <c r="BF160" s="210"/>
      <c r="BG160" s="210"/>
    </row>
    <row r="161" spans="1:60" s="130" customFormat="1" ht="18.75" customHeight="1">
      <c r="B161" s="210"/>
      <c r="C161" s="215" t="s">
        <v>280</v>
      </c>
      <c r="D161" s="215"/>
      <c r="E161" s="215"/>
      <c r="F161" s="215"/>
      <c r="G161" s="215"/>
      <c r="H161" s="215"/>
      <c r="I161" s="210"/>
      <c r="J161" s="234" t="s">
        <v>281</v>
      </c>
      <c r="K161" s="234"/>
      <c r="L161" s="234"/>
      <c r="M161" s="234"/>
      <c r="N161" s="234"/>
      <c r="O161" s="234"/>
      <c r="P161" s="234"/>
      <c r="Q161" s="411">
        <f>Calcu!G32</f>
        <v>0</v>
      </c>
      <c r="R161" s="411"/>
      <c r="S161" s="411"/>
      <c r="T161" s="412" t="s">
        <v>194</v>
      </c>
      <c r="U161" s="412"/>
      <c r="V161" s="412"/>
      <c r="W161" s="234"/>
      <c r="X161" s="234"/>
      <c r="Y161" s="234"/>
      <c r="Z161" s="234"/>
      <c r="AS161" s="222"/>
      <c r="AT161" s="222"/>
      <c r="AU161" s="222"/>
      <c r="AV161" s="222"/>
      <c r="AW161" s="222"/>
      <c r="AX161" s="222"/>
      <c r="AY161" s="222"/>
      <c r="AZ161" s="222"/>
      <c r="BA161" s="222"/>
      <c r="BB161" s="210"/>
      <c r="BC161" s="210"/>
      <c r="BD161" s="210"/>
      <c r="BE161" s="210"/>
      <c r="BF161" s="210"/>
      <c r="BG161" s="210"/>
    </row>
    <row r="162" spans="1:60" s="130" customFormat="1" ht="18.75" customHeight="1">
      <c r="B162" s="210"/>
      <c r="D162" s="215"/>
      <c r="E162" s="215"/>
      <c r="F162" s="215"/>
      <c r="G162" s="215"/>
      <c r="H162" s="215"/>
      <c r="I162" s="215"/>
      <c r="J162" s="413" t="s">
        <v>282</v>
      </c>
      <c r="K162" s="413"/>
      <c r="L162" s="413"/>
      <c r="M162" s="414" t="s">
        <v>196</v>
      </c>
      <c r="N162" s="415">
        <f>Q161</f>
        <v>0</v>
      </c>
      <c r="O162" s="415"/>
      <c r="P162" s="224" t="s">
        <v>283</v>
      </c>
      <c r="Q162" s="224"/>
      <c r="R162" s="414" t="s">
        <v>196</v>
      </c>
      <c r="S162" s="416">
        <f>N162/2/SQRT(3)</f>
        <v>0</v>
      </c>
      <c r="T162" s="416"/>
      <c r="U162" s="416"/>
      <c r="V162" s="417" t="s">
        <v>283</v>
      </c>
      <c r="W162" s="417"/>
      <c r="X162" s="215"/>
      <c r="Y162" s="59"/>
      <c r="Z162" s="210"/>
      <c r="AA162" s="210"/>
      <c r="AB162" s="210"/>
      <c r="AC162" s="210"/>
      <c r="AD162" s="210"/>
      <c r="AE162" s="215"/>
      <c r="AF162" s="215"/>
      <c r="AG162" s="215"/>
      <c r="AH162" s="215"/>
      <c r="AI162" s="215"/>
      <c r="AJ162" s="215"/>
      <c r="AK162" s="215"/>
      <c r="AL162" s="215"/>
      <c r="AM162" s="210"/>
      <c r="AN162" s="210"/>
      <c r="AO162" s="210"/>
      <c r="AP162" s="210"/>
      <c r="AQ162" s="215"/>
      <c r="AR162" s="215"/>
      <c r="AS162" s="215"/>
      <c r="AT162" s="215"/>
      <c r="AU162" s="215"/>
      <c r="AV162" s="215"/>
      <c r="AW162" s="215"/>
      <c r="AX162" s="215"/>
      <c r="AY162" s="210"/>
      <c r="AZ162" s="210"/>
      <c r="BA162" s="210"/>
      <c r="BB162" s="210"/>
      <c r="BC162" s="210"/>
      <c r="BD162" s="210"/>
      <c r="BE162" s="210"/>
      <c r="BF162" s="210"/>
      <c r="BG162" s="210"/>
    </row>
    <row r="163" spans="1:60" s="130" customFormat="1" ht="18.75" customHeight="1">
      <c r="B163" s="210"/>
      <c r="C163" s="215"/>
      <c r="D163" s="215"/>
      <c r="E163" s="215"/>
      <c r="F163" s="215"/>
      <c r="G163" s="215"/>
      <c r="H163" s="215"/>
      <c r="I163" s="215"/>
      <c r="J163" s="413"/>
      <c r="K163" s="413"/>
      <c r="L163" s="413"/>
      <c r="M163" s="414"/>
      <c r="N163" s="236"/>
      <c r="O163" s="236"/>
      <c r="P163" s="236"/>
      <c r="Q163" s="236"/>
      <c r="R163" s="414"/>
      <c r="S163" s="416"/>
      <c r="T163" s="416"/>
      <c r="U163" s="416"/>
      <c r="V163" s="417"/>
      <c r="W163" s="417"/>
      <c r="X163" s="237"/>
      <c r="Y163" s="59"/>
      <c r="Z163" s="215"/>
      <c r="AA163" s="210"/>
      <c r="AB163" s="210"/>
      <c r="AC163" s="210"/>
      <c r="AD163" s="210"/>
      <c r="AE163" s="215"/>
      <c r="AF163" s="215"/>
      <c r="AG163" s="215"/>
      <c r="AH163" s="215"/>
      <c r="AI163" s="215"/>
      <c r="AJ163" s="215"/>
      <c r="AK163" s="215"/>
      <c r="AL163" s="215"/>
      <c r="AM163" s="210"/>
      <c r="AN163" s="210"/>
      <c r="AO163" s="210"/>
      <c r="AP163" s="210"/>
      <c r="AQ163" s="215"/>
      <c r="AR163" s="215"/>
      <c r="AS163" s="215"/>
      <c r="AT163" s="215"/>
      <c r="AU163" s="215"/>
      <c r="AV163" s="215"/>
      <c r="AW163" s="215"/>
      <c r="AX163" s="215"/>
      <c r="AY163" s="210"/>
      <c r="AZ163" s="210"/>
      <c r="BA163" s="210"/>
      <c r="BB163" s="210"/>
      <c r="BC163" s="210"/>
      <c r="BD163" s="210"/>
      <c r="BE163" s="210"/>
      <c r="BF163" s="210"/>
      <c r="BG163" s="210"/>
    </row>
    <row r="164" spans="1:60" s="130" customFormat="1" ht="18.75" customHeight="1">
      <c r="B164" s="210"/>
      <c r="C164" s="215" t="s">
        <v>284</v>
      </c>
      <c r="D164" s="215"/>
      <c r="E164" s="215"/>
      <c r="F164" s="215"/>
      <c r="G164" s="215"/>
      <c r="H164" s="215"/>
      <c r="I164" s="400" t="str">
        <f>V54</f>
        <v>직사각형</v>
      </c>
      <c r="J164" s="400"/>
      <c r="K164" s="400"/>
      <c r="L164" s="400"/>
      <c r="M164" s="400"/>
      <c r="N164" s="400"/>
      <c r="O164" s="400"/>
      <c r="P164" s="400"/>
      <c r="Q164" s="215"/>
      <c r="R164" s="215"/>
      <c r="S164" s="215"/>
      <c r="T164" s="215"/>
      <c r="U164" s="215"/>
      <c r="V164" s="215"/>
      <c r="W164" s="215"/>
      <c r="X164" s="215"/>
      <c r="Y164" s="215"/>
      <c r="Z164" s="210"/>
      <c r="AA164" s="210"/>
      <c r="AB164" s="210"/>
      <c r="AC164" s="210"/>
      <c r="AD164" s="210"/>
      <c r="AE164" s="210"/>
      <c r="AF164" s="210"/>
      <c r="AG164" s="210"/>
      <c r="AH164" s="215"/>
      <c r="AI164" s="215"/>
      <c r="AJ164" s="215"/>
      <c r="AK164" s="215"/>
      <c r="AL164" s="210"/>
      <c r="AM164" s="210"/>
      <c r="AN164" s="210"/>
      <c r="AO164" s="210"/>
      <c r="AP164" s="210"/>
      <c r="AQ164" s="210"/>
      <c r="AR164" s="210"/>
      <c r="AS164" s="215"/>
      <c r="AT164" s="215"/>
      <c r="AU164" s="215"/>
      <c r="AV164" s="215"/>
      <c r="AW164" s="215"/>
      <c r="AX164" s="215"/>
      <c r="AY164" s="210"/>
      <c r="AZ164" s="210"/>
      <c r="BA164" s="210"/>
      <c r="BB164" s="210"/>
      <c r="BC164" s="210"/>
      <c r="BD164" s="210"/>
      <c r="BE164" s="210"/>
      <c r="BF164" s="210"/>
      <c r="BG164" s="210"/>
    </row>
    <row r="165" spans="1:60" ht="18.75" customHeight="1">
      <c r="A165" s="218"/>
      <c r="B165" s="218"/>
      <c r="C165" s="418" t="s">
        <v>285</v>
      </c>
      <c r="D165" s="418"/>
      <c r="E165" s="418"/>
      <c r="F165" s="418"/>
      <c r="G165" s="418"/>
      <c r="H165" s="418"/>
      <c r="I165" s="215"/>
      <c r="J165" s="215"/>
      <c r="K165" s="218"/>
      <c r="L165" s="218"/>
      <c r="O165" s="400">
        <f>AA54</f>
        <v>1</v>
      </c>
      <c r="P165" s="400"/>
      <c r="Q165" s="218"/>
      <c r="R165" s="218"/>
      <c r="S165" s="218"/>
      <c r="X165" s="218"/>
      <c r="Y165" s="218"/>
      <c r="Z165" s="218"/>
      <c r="AA165" s="218"/>
      <c r="AB165" s="218"/>
      <c r="AC165" s="218"/>
      <c r="AD165" s="218"/>
      <c r="AE165" s="218"/>
      <c r="AF165" s="218"/>
      <c r="AG165" s="218"/>
      <c r="AH165" s="218"/>
      <c r="AI165" s="218"/>
      <c r="AJ165" s="218"/>
      <c r="AK165" s="218"/>
      <c r="AL165" s="218"/>
    </row>
    <row r="166" spans="1:60" ht="18.75" customHeight="1">
      <c r="A166" s="218"/>
      <c r="B166" s="218"/>
      <c r="C166" s="418"/>
      <c r="D166" s="418"/>
      <c r="E166" s="418"/>
      <c r="F166" s="418"/>
      <c r="G166" s="418"/>
      <c r="H166" s="418"/>
      <c r="I166" s="216"/>
      <c r="J166" s="216"/>
      <c r="K166" s="218"/>
      <c r="L166" s="218"/>
      <c r="O166" s="400"/>
      <c r="P166" s="400"/>
      <c r="Q166" s="218"/>
      <c r="R166" s="218"/>
      <c r="S166" s="218"/>
      <c r="X166" s="218"/>
      <c r="Y166" s="218"/>
      <c r="Z166" s="218"/>
      <c r="AA166" s="218"/>
      <c r="AB166" s="218"/>
      <c r="AC166" s="218"/>
      <c r="AD166" s="218"/>
      <c r="AE166" s="218"/>
      <c r="AF166" s="218"/>
      <c r="AG166" s="218"/>
      <c r="AH166" s="218"/>
      <c r="AI166" s="218"/>
      <c r="AJ166" s="218"/>
      <c r="AK166" s="218"/>
      <c r="AL166" s="218"/>
    </row>
    <row r="167" spans="1:60" s="218" customFormat="1" ht="18.75" customHeight="1">
      <c r="C167" s="218" t="s">
        <v>286</v>
      </c>
      <c r="K167" s="217" t="s">
        <v>75</v>
      </c>
      <c r="L167" s="383">
        <f>O165</f>
        <v>1</v>
      </c>
      <c r="M167" s="383"/>
      <c r="N167" s="210" t="s">
        <v>76</v>
      </c>
      <c r="O167" s="416">
        <f>S162</f>
        <v>0</v>
      </c>
      <c r="P167" s="417"/>
      <c r="Q167" s="417"/>
      <c r="R167" s="419" t="str">
        <f>V162</f>
        <v>μm</v>
      </c>
      <c r="S167" s="417"/>
      <c r="T167" s="217" t="s">
        <v>75</v>
      </c>
      <c r="U167" s="72" t="s">
        <v>196</v>
      </c>
      <c r="V167" s="416">
        <f>L167*O167</f>
        <v>0</v>
      </c>
      <c r="W167" s="416"/>
      <c r="X167" s="416"/>
      <c r="Y167" s="214" t="str">
        <f>R167</f>
        <v>μm</v>
      </c>
      <c r="Z167" s="56"/>
      <c r="AA167" s="212"/>
      <c r="AB167" s="215"/>
      <c r="AC167" s="215"/>
      <c r="AD167" s="215"/>
      <c r="AE167" s="212"/>
    </row>
    <row r="168" spans="1:60" s="130" customFormat="1" ht="18.75" customHeight="1">
      <c r="B168" s="210"/>
      <c r="C168" s="418" t="s">
        <v>287</v>
      </c>
      <c r="D168" s="418"/>
      <c r="E168" s="418"/>
      <c r="F168" s="418"/>
      <c r="G168" s="418"/>
      <c r="H168" s="215"/>
      <c r="I168" s="102"/>
      <c r="J168" s="215"/>
      <c r="K168" s="215"/>
      <c r="L168" s="215"/>
      <c r="M168" s="215"/>
      <c r="N168" s="215"/>
      <c r="O168" s="215"/>
      <c r="P168" s="215"/>
      <c r="Q168" s="215"/>
      <c r="R168" s="131"/>
      <c r="S168" s="215"/>
      <c r="T168" s="215"/>
      <c r="U168" s="215"/>
      <c r="V168" s="218"/>
      <c r="X168" s="218" t="s">
        <v>251</v>
      </c>
      <c r="Y168" s="215"/>
      <c r="Z168" s="215"/>
      <c r="AA168" s="215"/>
      <c r="AB168" s="215"/>
      <c r="AC168" s="215"/>
      <c r="AD168" s="215"/>
      <c r="AE168" s="210"/>
      <c r="AF168" s="210"/>
      <c r="AG168" s="210"/>
      <c r="AH168" s="210"/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</row>
    <row r="169" spans="1:60" s="130" customFormat="1" ht="18.75" customHeight="1">
      <c r="B169" s="210"/>
      <c r="C169" s="418"/>
      <c r="D169" s="418"/>
      <c r="E169" s="418"/>
      <c r="F169" s="418"/>
      <c r="G169" s="418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0"/>
      <c r="AF169" s="215"/>
      <c r="AG169" s="210"/>
      <c r="AH169" s="210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</row>
    <row r="170" spans="1:60" s="130" customFormat="1" ht="18.75" customHeight="1">
      <c r="B170" s="210"/>
      <c r="C170" s="215"/>
      <c r="D170" s="215"/>
      <c r="E170" s="215"/>
      <c r="F170" s="215"/>
      <c r="G170" s="210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0"/>
      <c r="AF170" s="215"/>
      <c r="AG170" s="210"/>
      <c r="AH170" s="210"/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</row>
    <row r="171" spans="1:60" s="130" customFormat="1" ht="18.75" customHeight="1">
      <c r="A171" s="57" t="s">
        <v>288</v>
      </c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210"/>
      <c r="AB171" s="210"/>
      <c r="AC171" s="210"/>
      <c r="AD171" s="210"/>
      <c r="AE171" s="210"/>
      <c r="AF171" s="210"/>
      <c r="AG171" s="210"/>
      <c r="AH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</row>
    <row r="172" spans="1:60" s="130" customFormat="1" ht="18.75" customHeight="1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  <c r="AA172" s="210"/>
      <c r="AB172" s="210"/>
      <c r="AC172" s="210"/>
      <c r="AD172" s="210"/>
      <c r="AE172" s="215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</row>
    <row r="173" spans="1:60" s="58" customFormat="1" ht="18.75" customHeight="1">
      <c r="C173" s="215"/>
      <c r="D173" s="215"/>
      <c r="E173" s="210" t="s">
        <v>196</v>
      </c>
      <c r="F173" s="375">
        <f>AH47</f>
        <v>0</v>
      </c>
      <c r="G173" s="375"/>
      <c r="H173" s="375"/>
      <c r="I173" s="215" t="s">
        <v>229</v>
      </c>
      <c r="J173" s="215"/>
      <c r="K173" s="369" t="s">
        <v>289</v>
      </c>
      <c r="L173" s="369"/>
      <c r="M173" s="375" t="e">
        <f>AH48</f>
        <v>#DIV/0!</v>
      </c>
      <c r="N173" s="375"/>
      <c r="O173" s="375"/>
      <c r="P173" s="215" t="s">
        <v>229</v>
      </c>
      <c r="Q173" s="215"/>
      <c r="R173" s="369" t="s">
        <v>289</v>
      </c>
      <c r="S173" s="369"/>
      <c r="T173" s="375" t="e">
        <f ca="1">AH49</f>
        <v>#N/A</v>
      </c>
      <c r="U173" s="375"/>
      <c r="V173" s="375"/>
      <c r="W173" s="215" t="s">
        <v>194</v>
      </c>
      <c r="X173" s="215"/>
      <c r="Y173" s="369" t="s">
        <v>290</v>
      </c>
      <c r="Z173" s="369"/>
      <c r="AA173" s="375" t="e">
        <f ca="1">AH50</f>
        <v>#N/A</v>
      </c>
      <c r="AB173" s="375"/>
      <c r="AC173" s="375"/>
      <c r="AD173" s="215" t="s">
        <v>229</v>
      </c>
      <c r="AE173" s="215"/>
      <c r="AF173" s="369" t="s">
        <v>289</v>
      </c>
      <c r="AG173" s="369"/>
      <c r="AH173" s="375" t="e">
        <f ca="1">AH51</f>
        <v>#N/A</v>
      </c>
      <c r="AI173" s="375"/>
      <c r="AJ173" s="375"/>
      <c r="AK173" s="215" t="s">
        <v>194</v>
      </c>
      <c r="AL173" s="215"/>
      <c r="AM173" s="369" t="s">
        <v>289</v>
      </c>
      <c r="AN173" s="369"/>
      <c r="AO173" s="375" t="e">
        <f ca="1">AH52</f>
        <v>#N/A</v>
      </c>
      <c r="AP173" s="375"/>
      <c r="AQ173" s="375"/>
      <c r="AR173" s="215" t="s">
        <v>229</v>
      </c>
      <c r="AS173" s="215"/>
      <c r="AT173" s="215"/>
      <c r="AU173" s="215"/>
      <c r="AV173" s="183"/>
      <c r="AW173" s="183"/>
      <c r="AX173" s="183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</row>
    <row r="174" spans="1:60" s="58" customFormat="1" ht="18.75" customHeight="1">
      <c r="C174" s="215"/>
      <c r="D174" s="215"/>
      <c r="E174" s="210"/>
      <c r="F174" s="369" t="s">
        <v>289</v>
      </c>
      <c r="G174" s="369"/>
      <c r="H174" s="375" t="e">
        <f ca="1">AH53</f>
        <v>#N/A</v>
      </c>
      <c r="I174" s="375"/>
      <c r="J174" s="375"/>
      <c r="K174" s="215" t="s">
        <v>229</v>
      </c>
      <c r="L174" s="215"/>
      <c r="M174" s="369" t="s">
        <v>290</v>
      </c>
      <c r="N174" s="369"/>
      <c r="O174" s="375">
        <f>AH54</f>
        <v>0</v>
      </c>
      <c r="P174" s="375"/>
      <c r="Q174" s="375"/>
      <c r="R174" s="215" t="s">
        <v>229</v>
      </c>
      <c r="S174" s="215"/>
      <c r="T174" s="211"/>
      <c r="U174" s="211"/>
      <c r="V174" s="211"/>
      <c r="W174" s="215"/>
      <c r="X174" s="215"/>
      <c r="Y174" s="210"/>
      <c r="Z174" s="210"/>
      <c r="AA174" s="211"/>
      <c r="AB174" s="211"/>
      <c r="AC174" s="211"/>
      <c r="AD174" s="215"/>
      <c r="AE174" s="215"/>
      <c r="AF174" s="210"/>
      <c r="AG174" s="210"/>
      <c r="AH174" s="211"/>
      <c r="AI174" s="211"/>
      <c r="AJ174" s="211"/>
      <c r="AK174" s="215"/>
      <c r="AL174" s="215"/>
      <c r="AM174" s="210"/>
      <c r="AN174" s="210"/>
      <c r="AO174" s="211"/>
      <c r="AP174" s="211"/>
      <c r="AQ174" s="211"/>
      <c r="AR174" s="215"/>
      <c r="AS174" s="215"/>
      <c r="AT174" s="215"/>
      <c r="AU174" s="215"/>
      <c r="AV174" s="183"/>
      <c r="AW174" s="183"/>
      <c r="AX174" s="183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</row>
    <row r="175" spans="1:60" s="58" customFormat="1" ht="18.75" customHeight="1">
      <c r="C175" s="215"/>
      <c r="D175" s="215"/>
      <c r="E175" s="210" t="s">
        <v>198</v>
      </c>
      <c r="F175" s="375" t="e">
        <f>AH55</f>
        <v>#DIV/0!</v>
      </c>
      <c r="G175" s="375"/>
      <c r="H175" s="375"/>
      <c r="I175" s="215" t="s">
        <v>229</v>
      </c>
      <c r="J175" s="215"/>
      <c r="K175" s="215"/>
      <c r="L175" s="215"/>
      <c r="M175" s="136"/>
      <c r="N175" s="136"/>
      <c r="O175" s="136"/>
      <c r="P175" s="136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0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</row>
    <row r="176" spans="1:60" s="58" customFormat="1" ht="18.75" customHeight="1">
      <c r="C176" s="215"/>
      <c r="D176" s="215"/>
      <c r="E176" s="215"/>
      <c r="F176" s="129"/>
      <c r="G176" s="129"/>
      <c r="H176" s="129"/>
      <c r="I176" s="215"/>
      <c r="J176" s="215"/>
      <c r="K176" s="210"/>
      <c r="L176" s="210"/>
      <c r="M176" s="137"/>
      <c r="N176" s="137"/>
      <c r="O176" s="137"/>
      <c r="P176" s="137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215"/>
    </row>
    <row r="177" spans="1:58" s="130" customFormat="1" ht="18.75" customHeight="1">
      <c r="A177" s="210"/>
      <c r="B177" s="210"/>
      <c r="C177" s="210"/>
      <c r="D177" s="132" t="s">
        <v>291</v>
      </c>
      <c r="E177" s="210" t="s">
        <v>198</v>
      </c>
      <c r="F177" s="375" t="e">
        <f>F175</f>
        <v>#DIV/0!</v>
      </c>
      <c r="G177" s="375"/>
      <c r="H177" s="375"/>
      <c r="I177" s="215" t="s">
        <v>229</v>
      </c>
      <c r="J177" s="136"/>
      <c r="K177" s="136"/>
      <c r="L177" s="136"/>
      <c r="M177" s="136"/>
      <c r="N177" s="210"/>
      <c r="O177" s="210"/>
      <c r="P177" s="215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210"/>
      <c r="AB177" s="210"/>
      <c r="AC177" s="210"/>
      <c r="AD177" s="210"/>
      <c r="AE177" s="215"/>
      <c r="AF177" s="210"/>
      <c r="AG177" s="210"/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</row>
    <row r="178" spans="1:58" s="215" customFormat="1" ht="18.75" customHeight="1"/>
    <row r="179" spans="1:58" ht="18.75" customHeight="1">
      <c r="A179" s="57" t="s">
        <v>292</v>
      </c>
      <c r="B179" s="218"/>
      <c r="C179" s="218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  <c r="AB179" s="218"/>
      <c r="AC179" s="218"/>
      <c r="AD179" s="218"/>
      <c r="AE179" s="218"/>
      <c r="AF179" s="218"/>
      <c r="AG179" s="218"/>
      <c r="AH179" s="218"/>
      <c r="AI179" s="218"/>
      <c r="AJ179" s="218"/>
      <c r="AK179" s="218"/>
      <c r="AL179" s="218"/>
      <c r="AM179" s="218"/>
      <c r="AN179" s="218"/>
      <c r="AO179" s="218"/>
      <c r="AP179" s="218"/>
      <c r="AQ179" s="218"/>
      <c r="AR179" s="218"/>
      <c r="AS179" s="218"/>
      <c r="AT179" s="218"/>
      <c r="AU179" s="218"/>
      <c r="AV179" s="218"/>
      <c r="AW179" s="218"/>
      <c r="AX179" s="218"/>
      <c r="AY179" s="218"/>
      <c r="AZ179" s="218"/>
      <c r="BA179" s="218"/>
      <c r="BB179" s="218"/>
      <c r="BC179" s="218"/>
      <c r="BD179" s="218"/>
      <c r="BE179" s="218"/>
      <c r="BF179" s="218"/>
    </row>
    <row r="180" spans="1:58" ht="18.75" customHeight="1">
      <c r="A180" s="218"/>
      <c r="B180" s="218"/>
      <c r="C180" s="218"/>
      <c r="D180" s="218"/>
      <c r="E180" s="218"/>
      <c r="F180" s="218"/>
      <c r="G180" s="218"/>
      <c r="H180" s="218"/>
      <c r="I180" s="218"/>
      <c r="J180" s="218"/>
      <c r="K180" s="218"/>
      <c r="L180" s="410" t="e">
        <f>AH55</f>
        <v>#DIV/0!</v>
      </c>
      <c r="M180" s="410"/>
      <c r="N180" s="410"/>
      <c r="O180" s="410"/>
      <c r="P180" s="410"/>
      <c r="Q180" s="410"/>
      <c r="R180" s="410"/>
      <c r="S180" s="410"/>
      <c r="T180" s="410"/>
      <c r="U180" s="410"/>
      <c r="V180" s="410"/>
      <c r="W180" s="410"/>
      <c r="X180" s="410"/>
      <c r="Y180" s="410"/>
      <c r="Z180" s="410"/>
      <c r="AA180" s="410"/>
      <c r="AB180" s="410"/>
      <c r="AC180" s="410"/>
      <c r="AD180" s="410"/>
      <c r="AE180" s="410"/>
      <c r="AF180" s="410"/>
      <c r="AG180" s="410"/>
      <c r="AH180" s="410"/>
      <c r="AI180" s="410"/>
      <c r="AJ180" s="410"/>
      <c r="AK180" s="410"/>
      <c r="AL180" s="369" t="s">
        <v>293</v>
      </c>
      <c r="AM180" s="400" t="e">
        <f ca="1">AP55</f>
        <v>#N/A</v>
      </c>
      <c r="AN180" s="400"/>
      <c r="AO180" s="400"/>
      <c r="AP180" s="400"/>
      <c r="AQ180" s="400"/>
      <c r="AR180" s="400"/>
    </row>
    <row r="181" spans="1:58" ht="18.75" customHeight="1">
      <c r="A181" s="218"/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373">
        <f>AH47</f>
        <v>0</v>
      </c>
      <c r="N181" s="373"/>
      <c r="O181" s="373"/>
      <c r="P181" s="220"/>
      <c r="Q181" s="372" t="s">
        <v>294</v>
      </c>
      <c r="R181" s="373" t="e">
        <f>AH48</f>
        <v>#DIV/0!</v>
      </c>
      <c r="S181" s="373"/>
      <c r="T181" s="373"/>
      <c r="U181" s="220"/>
      <c r="V181" s="372" t="s">
        <v>294</v>
      </c>
      <c r="W181" s="373" t="e">
        <f ca="1">AH49</f>
        <v>#N/A</v>
      </c>
      <c r="X181" s="373"/>
      <c r="Y181" s="373"/>
      <c r="Z181" s="220"/>
      <c r="AA181" s="372" t="s">
        <v>294</v>
      </c>
      <c r="AB181" s="373" t="e">
        <f ca="1">AH50</f>
        <v>#N/A</v>
      </c>
      <c r="AC181" s="373"/>
      <c r="AD181" s="373"/>
      <c r="AE181" s="220"/>
      <c r="AF181" s="372" t="s">
        <v>294</v>
      </c>
      <c r="AG181" s="373" t="e">
        <f ca="1">AH51</f>
        <v>#N/A</v>
      </c>
      <c r="AH181" s="373"/>
      <c r="AI181" s="373"/>
      <c r="AJ181" s="220"/>
      <c r="AK181" s="136"/>
      <c r="AL181" s="369"/>
      <c r="AM181" s="400"/>
      <c r="AN181" s="400"/>
      <c r="AO181" s="400"/>
      <c r="AP181" s="400"/>
      <c r="AQ181" s="400"/>
      <c r="AR181" s="400"/>
    </row>
    <row r="182" spans="1:58" ht="18.75" customHeight="1">
      <c r="A182" s="218"/>
      <c r="B182" s="2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374">
        <f>AP47</f>
        <v>5</v>
      </c>
      <c r="N182" s="374"/>
      <c r="O182" s="374"/>
      <c r="P182" s="374"/>
      <c r="Q182" s="372"/>
      <c r="R182" s="374" t="str">
        <f>AP48</f>
        <v>∞</v>
      </c>
      <c r="S182" s="374"/>
      <c r="T182" s="374"/>
      <c r="U182" s="374"/>
      <c r="V182" s="372"/>
      <c r="W182" s="374">
        <f>AP49</f>
        <v>100.00000000000004</v>
      </c>
      <c r="X182" s="374"/>
      <c r="Y182" s="374"/>
      <c r="Z182" s="374"/>
      <c r="AA182" s="372"/>
      <c r="AB182" s="374">
        <f>AP50</f>
        <v>12</v>
      </c>
      <c r="AC182" s="374"/>
      <c r="AD182" s="374"/>
      <c r="AE182" s="374"/>
      <c r="AF182" s="372"/>
      <c r="AG182" s="374">
        <f>AP51</f>
        <v>100.00000000000004</v>
      </c>
      <c r="AH182" s="374"/>
      <c r="AI182" s="374"/>
      <c r="AJ182" s="374"/>
      <c r="AK182" s="136"/>
    </row>
    <row r="183" spans="1:58" ht="18.75" customHeight="1">
      <c r="A183" s="218"/>
      <c r="B183" s="218"/>
      <c r="C183" s="218"/>
      <c r="D183" s="218"/>
      <c r="E183" s="218"/>
      <c r="F183" s="218"/>
      <c r="G183" s="218"/>
      <c r="H183" s="218"/>
      <c r="I183" s="218"/>
      <c r="J183" s="218"/>
      <c r="K183" s="218"/>
      <c r="L183" s="218"/>
      <c r="M183" s="372" t="s">
        <v>294</v>
      </c>
      <c r="N183" s="373" t="e">
        <f ca="1">AH52</f>
        <v>#N/A</v>
      </c>
      <c r="O183" s="373"/>
      <c r="P183" s="373"/>
      <c r="Q183" s="220"/>
      <c r="R183" s="372" t="s">
        <v>294</v>
      </c>
      <c r="S183" s="373" t="e">
        <f ca="1">AH53</f>
        <v>#N/A</v>
      </c>
      <c r="T183" s="373"/>
      <c r="U183" s="373"/>
      <c r="V183" s="220"/>
      <c r="W183" s="372" t="s">
        <v>294</v>
      </c>
      <c r="X183" s="373">
        <f>AH54</f>
        <v>0</v>
      </c>
      <c r="Y183" s="373"/>
      <c r="Z183" s="373"/>
      <c r="AA183" s="220"/>
    </row>
    <row r="184" spans="1:58" ht="18.75" customHeight="1">
      <c r="A184" s="218"/>
      <c r="B184" s="218"/>
      <c r="C184" s="218"/>
      <c r="D184" s="218"/>
      <c r="E184" s="218"/>
      <c r="F184" s="218"/>
      <c r="G184" s="218"/>
      <c r="H184" s="218"/>
      <c r="I184" s="218"/>
      <c r="J184" s="218"/>
      <c r="K184" s="218"/>
      <c r="L184" s="218"/>
      <c r="M184" s="372"/>
      <c r="N184" s="374">
        <f>AP52</f>
        <v>12</v>
      </c>
      <c r="O184" s="374"/>
      <c r="P184" s="374"/>
      <c r="Q184" s="374"/>
      <c r="R184" s="372"/>
      <c r="S184" s="374" t="str">
        <f>AP53</f>
        <v>∞</v>
      </c>
      <c r="T184" s="374"/>
      <c r="U184" s="374"/>
      <c r="V184" s="374"/>
      <c r="W184" s="372"/>
      <c r="X184" s="374">
        <f>AP54</f>
        <v>12</v>
      </c>
      <c r="Y184" s="374"/>
      <c r="Z184" s="374"/>
      <c r="AA184" s="374"/>
    </row>
    <row r="185" spans="1:58" ht="18.75" customHeight="1">
      <c r="A185" s="218"/>
      <c r="B185" s="218"/>
      <c r="C185" s="218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</row>
    <row r="186" spans="1:58" ht="18.75" customHeight="1">
      <c r="A186" s="57" t="s">
        <v>295</v>
      </c>
      <c r="B186" s="218"/>
      <c r="C186" s="218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  <c r="AB186" s="218"/>
      <c r="AC186" s="218"/>
      <c r="AD186" s="218"/>
      <c r="AE186" s="218"/>
      <c r="AF186" s="218"/>
      <c r="AG186" s="218"/>
      <c r="AH186" s="218"/>
      <c r="AI186" s="218"/>
      <c r="AJ186" s="218"/>
      <c r="AK186" s="218"/>
      <c r="AL186" s="218"/>
      <c r="AM186" s="218"/>
      <c r="AN186" s="218"/>
      <c r="AO186" s="218"/>
      <c r="AP186" s="218"/>
      <c r="AQ186" s="218"/>
      <c r="AR186" s="218"/>
      <c r="AS186" s="218"/>
      <c r="AT186" s="218"/>
      <c r="AU186" s="218"/>
      <c r="AV186" s="218"/>
      <c r="AW186" s="218"/>
      <c r="AX186" s="218"/>
      <c r="AY186" s="218"/>
      <c r="AZ186" s="218"/>
      <c r="BA186" s="218"/>
      <c r="BB186" s="218"/>
      <c r="BC186" s="218"/>
      <c r="BD186" s="218"/>
    </row>
    <row r="187" spans="1:58" ht="18.75" customHeight="1">
      <c r="A187" s="57"/>
      <c r="B187" s="218" t="s">
        <v>296</v>
      </c>
      <c r="C187" s="218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  <c r="AB187" s="218"/>
      <c r="AC187" s="218"/>
      <c r="AD187" s="218"/>
      <c r="AE187" s="218"/>
      <c r="AF187" s="218"/>
      <c r="AG187" s="218"/>
      <c r="AH187" s="218"/>
      <c r="AI187" s="218"/>
      <c r="AJ187" s="218"/>
      <c r="AK187" s="218"/>
      <c r="AL187" s="218"/>
      <c r="AM187" s="218"/>
      <c r="AN187" s="218"/>
      <c r="AO187" s="218"/>
      <c r="AP187" s="218"/>
      <c r="AQ187" s="218"/>
      <c r="AR187" s="218"/>
      <c r="AS187" s="218"/>
      <c r="AT187" s="218"/>
      <c r="AU187" s="218"/>
      <c r="AV187" s="218"/>
      <c r="AW187" s="218"/>
      <c r="AX187" s="218"/>
      <c r="AY187" s="218"/>
      <c r="AZ187" s="218"/>
      <c r="BA187" s="218"/>
      <c r="BB187" s="218"/>
      <c r="BC187" s="218"/>
      <c r="BD187" s="218"/>
    </row>
    <row r="188" spans="1:58" ht="18.75" customHeight="1">
      <c r="A188" s="57"/>
      <c r="B188" s="218"/>
      <c r="C188" s="218" t="s">
        <v>297</v>
      </c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  <c r="AG188" s="218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8"/>
      <c r="AT188" s="218"/>
      <c r="AU188" s="218"/>
      <c r="AV188" s="218"/>
      <c r="AW188" s="218"/>
      <c r="AX188" s="218"/>
      <c r="AY188" s="218"/>
      <c r="AZ188" s="218"/>
      <c r="BA188" s="218"/>
      <c r="BB188" s="218"/>
      <c r="BC188" s="218"/>
      <c r="BD188" s="218"/>
    </row>
    <row r="189" spans="1:58" ht="18.75" customHeight="1">
      <c r="A189" s="57"/>
      <c r="B189" s="218"/>
      <c r="C189" s="56" t="s">
        <v>298</v>
      </c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  <c r="AB189" s="218"/>
      <c r="AC189" s="218"/>
      <c r="AD189" s="218"/>
      <c r="AE189" s="218"/>
      <c r="AF189" s="218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  <c r="AZ189" s="218"/>
      <c r="BA189" s="218"/>
      <c r="BB189" s="218"/>
      <c r="BC189" s="218"/>
      <c r="BD189" s="218"/>
    </row>
    <row r="190" spans="1:58" ht="18.75" customHeight="1">
      <c r="A190" s="57"/>
      <c r="B190" s="218"/>
      <c r="C190" s="215" t="s">
        <v>299</v>
      </c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8"/>
      <c r="AT190" s="218"/>
      <c r="AU190" s="218"/>
      <c r="AV190" s="218"/>
      <c r="AW190" s="218"/>
      <c r="AX190" s="218"/>
      <c r="AY190" s="218"/>
      <c r="AZ190" s="218"/>
      <c r="BA190" s="218"/>
      <c r="BB190" s="218"/>
      <c r="BC190" s="218"/>
      <c r="BD190" s="218"/>
    </row>
    <row r="191" spans="1:58" ht="18.75" customHeight="1">
      <c r="A191" s="218"/>
      <c r="B191" s="218"/>
      <c r="AL191" s="218"/>
      <c r="AM191" s="218"/>
      <c r="AN191" s="218"/>
      <c r="AO191" s="218"/>
      <c r="AP191" s="218"/>
      <c r="AQ191" s="218"/>
      <c r="AR191" s="218"/>
      <c r="AS191" s="218"/>
      <c r="AT191" s="218"/>
      <c r="AU191" s="218"/>
      <c r="AV191" s="218"/>
      <c r="AW191" s="218"/>
      <c r="AX191" s="218"/>
      <c r="AY191" s="218"/>
      <c r="AZ191" s="218"/>
      <c r="BA191" s="218"/>
      <c r="BB191" s="218"/>
    </row>
    <row r="192" spans="1:58" ht="18.75" customHeight="1">
      <c r="A192" s="218"/>
      <c r="B192" s="218"/>
      <c r="C192" s="218"/>
      <c r="D192" s="218"/>
      <c r="E192" s="59"/>
      <c r="F192" s="218"/>
      <c r="G192" s="218"/>
      <c r="H192" s="184" t="s">
        <v>300</v>
      </c>
      <c r="I192" s="369" t="e">
        <f ca="1">Calcu!E48</f>
        <v>#DIV/0!</v>
      </c>
      <c r="J192" s="369"/>
      <c r="K192" s="369"/>
      <c r="L192" s="217" t="s">
        <v>100</v>
      </c>
      <c r="M192" s="370" t="e">
        <f>F177</f>
        <v>#DIV/0!</v>
      </c>
      <c r="N192" s="370"/>
      <c r="O192" s="370"/>
      <c r="P192" s="370"/>
      <c r="Q192" s="210" t="s">
        <v>196</v>
      </c>
      <c r="R192" s="370" t="e">
        <f ca="1">I192*M192</f>
        <v>#DIV/0!</v>
      </c>
      <c r="S192" s="370"/>
      <c r="T192" s="370"/>
      <c r="U192" s="370"/>
      <c r="V192" s="218" t="s">
        <v>301</v>
      </c>
      <c r="W192" s="371" t="e">
        <f ca="1">R192</f>
        <v>#DIV/0!</v>
      </c>
      <c r="X192" s="371"/>
      <c r="Y192" s="371"/>
      <c r="Z192" s="371"/>
      <c r="AL192" s="218"/>
      <c r="AM192" s="218"/>
      <c r="AN192" s="218"/>
      <c r="AO192" s="218"/>
      <c r="AP192" s="218"/>
      <c r="AQ192" s="218"/>
      <c r="AR192" s="218"/>
      <c r="AS192" s="218"/>
      <c r="AT192" s="218"/>
    </row>
  </sheetData>
  <mergeCells count="500">
    <mergeCell ref="AA20:AE20"/>
    <mergeCell ref="AF20:AJ20"/>
    <mergeCell ref="AK20:AO20"/>
    <mergeCell ref="AP20:AT20"/>
    <mergeCell ref="AK18:AO18"/>
    <mergeCell ref="AP18:AT18"/>
    <mergeCell ref="G19:K19"/>
    <mergeCell ref="L19:P19"/>
    <mergeCell ref="AA19:AE19"/>
    <mergeCell ref="AF19:AJ19"/>
    <mergeCell ref="AK19:AO19"/>
    <mergeCell ref="AP19:AT19"/>
    <mergeCell ref="G18:K18"/>
    <mergeCell ref="L18:P18"/>
    <mergeCell ref="AA18:AE18"/>
    <mergeCell ref="AF18:AJ18"/>
    <mergeCell ref="G20:K20"/>
    <mergeCell ref="L20:P20"/>
    <mergeCell ref="G17:K17"/>
    <mergeCell ref="L17:P17"/>
    <mergeCell ref="AA17:AE17"/>
    <mergeCell ref="AK17:AO17"/>
    <mergeCell ref="AP17:AT17"/>
    <mergeCell ref="G16:K16"/>
    <mergeCell ref="L16:P16"/>
    <mergeCell ref="AA16:AE16"/>
    <mergeCell ref="AK14:AO14"/>
    <mergeCell ref="AP14:AT14"/>
    <mergeCell ref="G15:K15"/>
    <mergeCell ref="L15:P15"/>
    <mergeCell ref="AF16:AJ16"/>
    <mergeCell ref="AK16:AO16"/>
    <mergeCell ref="AP16:AT16"/>
    <mergeCell ref="AA15:AE15"/>
    <mergeCell ref="AF15:AJ15"/>
    <mergeCell ref="AK15:AO15"/>
    <mergeCell ref="AF17:AJ17"/>
    <mergeCell ref="AP15:AT15"/>
    <mergeCell ref="G14:K14"/>
    <mergeCell ref="L14:P14"/>
    <mergeCell ref="AK13:AO13"/>
    <mergeCell ref="AF13:AJ13"/>
    <mergeCell ref="AA10:AE10"/>
    <mergeCell ref="AF10:AJ10"/>
    <mergeCell ref="AA14:AE14"/>
    <mergeCell ref="AF14:AJ14"/>
    <mergeCell ref="AA11:AE11"/>
    <mergeCell ref="AF11:AJ11"/>
    <mergeCell ref="AP13:AT13"/>
    <mergeCell ref="G12:K12"/>
    <mergeCell ref="BE8:BI9"/>
    <mergeCell ref="BJ8:BN9"/>
    <mergeCell ref="AP8:AT9"/>
    <mergeCell ref="AK9:AO9"/>
    <mergeCell ref="AK10:AO10"/>
    <mergeCell ref="AP10:AT10"/>
    <mergeCell ref="B4:G4"/>
    <mergeCell ref="H4:M4"/>
    <mergeCell ref="B5:G5"/>
    <mergeCell ref="H5:M5"/>
    <mergeCell ref="AA9:AE9"/>
    <mergeCell ref="N4:S4"/>
    <mergeCell ref="T4:Y4"/>
    <mergeCell ref="N5:S5"/>
    <mergeCell ref="T5:Y5"/>
    <mergeCell ref="G11:K11"/>
    <mergeCell ref="L11:P11"/>
    <mergeCell ref="AK11:AO11"/>
    <mergeCell ref="AP11:AT11"/>
    <mergeCell ref="AK12:AO12"/>
    <mergeCell ref="AP12:AT12"/>
    <mergeCell ref="AF12:AJ12"/>
    <mergeCell ref="V8:Z9"/>
    <mergeCell ref="AA13:AE13"/>
    <mergeCell ref="AA12:AE12"/>
    <mergeCell ref="AF9:AJ9"/>
    <mergeCell ref="Q10:U10"/>
    <mergeCell ref="V10:Z10"/>
    <mergeCell ref="L12:P12"/>
    <mergeCell ref="G13:K13"/>
    <mergeCell ref="L13:P13"/>
    <mergeCell ref="BO17:BS17"/>
    <mergeCell ref="BO8:BS9"/>
    <mergeCell ref="AU12:AY12"/>
    <mergeCell ref="AZ12:BD12"/>
    <mergeCell ref="BE12:BI12"/>
    <mergeCell ref="BJ12:BN12"/>
    <mergeCell ref="BO12:BS12"/>
    <mergeCell ref="AU13:AY13"/>
    <mergeCell ref="AZ13:BD13"/>
    <mergeCell ref="BE13:BI13"/>
    <mergeCell ref="BJ13:BN13"/>
    <mergeCell ref="BO13:BS13"/>
    <mergeCell ref="AU10:AY10"/>
    <mergeCell ref="AZ10:BD10"/>
    <mergeCell ref="BE10:BI10"/>
    <mergeCell ref="BJ10:BN10"/>
    <mergeCell ref="BO10:BS10"/>
    <mergeCell ref="AU11:AY11"/>
    <mergeCell ref="AZ11:BD11"/>
    <mergeCell ref="BE11:BI11"/>
    <mergeCell ref="BJ11:BN11"/>
    <mergeCell ref="BO11:BS11"/>
    <mergeCell ref="AU8:AY9"/>
    <mergeCell ref="AZ8:BD9"/>
    <mergeCell ref="AU20:AY20"/>
    <mergeCell ref="AZ20:BD20"/>
    <mergeCell ref="BE20:BI20"/>
    <mergeCell ref="BJ20:BN20"/>
    <mergeCell ref="BO20:BS20"/>
    <mergeCell ref="AU14:AY14"/>
    <mergeCell ref="AZ14:BD14"/>
    <mergeCell ref="BE14:BI14"/>
    <mergeCell ref="BJ14:BN14"/>
    <mergeCell ref="BO14:BS14"/>
    <mergeCell ref="AU15:AY15"/>
    <mergeCell ref="AZ15:BD15"/>
    <mergeCell ref="BE15:BI15"/>
    <mergeCell ref="BJ15:BN15"/>
    <mergeCell ref="BO15:BS15"/>
    <mergeCell ref="AU16:AY16"/>
    <mergeCell ref="AZ16:BD16"/>
    <mergeCell ref="BE16:BI16"/>
    <mergeCell ref="BJ16:BN16"/>
    <mergeCell ref="BO16:BS16"/>
    <mergeCell ref="AU17:AY17"/>
    <mergeCell ref="AZ17:BD17"/>
    <mergeCell ref="BE17:BI17"/>
    <mergeCell ref="BJ17:BN17"/>
    <mergeCell ref="AU18:AY18"/>
    <mergeCell ref="AZ18:BD18"/>
    <mergeCell ref="BE18:BI18"/>
    <mergeCell ref="BJ18:BN18"/>
    <mergeCell ref="BO18:BS18"/>
    <mergeCell ref="AU19:AY19"/>
    <mergeCell ref="AZ19:BD19"/>
    <mergeCell ref="BE19:BI19"/>
    <mergeCell ref="BJ19:BN19"/>
    <mergeCell ref="BO19:BS19"/>
    <mergeCell ref="C25:E25"/>
    <mergeCell ref="C26:E26"/>
    <mergeCell ref="C27:E27"/>
    <mergeCell ref="C28:E28"/>
    <mergeCell ref="C29:E29"/>
    <mergeCell ref="O46:U46"/>
    <mergeCell ref="V46:Z46"/>
    <mergeCell ref="AA46:AG46"/>
    <mergeCell ref="AH46:AO46"/>
    <mergeCell ref="O44:U44"/>
    <mergeCell ref="V44:Z44"/>
    <mergeCell ref="AA44:AG44"/>
    <mergeCell ref="AH44:AO44"/>
    <mergeCell ref="C30:E30"/>
    <mergeCell ref="C31:E31"/>
    <mergeCell ref="C32:E32"/>
    <mergeCell ref="C33:E33"/>
    <mergeCell ref="C34:E34"/>
    <mergeCell ref="C35:E35"/>
    <mergeCell ref="B44:C46"/>
    <mergeCell ref="D44:G44"/>
    <mergeCell ref="H44:N44"/>
    <mergeCell ref="D46:G46"/>
    <mergeCell ref="H46:N46"/>
    <mergeCell ref="B47:C47"/>
    <mergeCell ref="D47:G47"/>
    <mergeCell ref="H47:L47"/>
    <mergeCell ref="M47:N47"/>
    <mergeCell ref="O47:R47"/>
    <mergeCell ref="S47:U47"/>
    <mergeCell ref="V47:Z47"/>
    <mergeCell ref="AA47:AG47"/>
    <mergeCell ref="AH47:AL47"/>
    <mergeCell ref="AP44:AS44"/>
    <mergeCell ref="D45:G45"/>
    <mergeCell ref="H45:N45"/>
    <mergeCell ref="O45:U45"/>
    <mergeCell ref="V45:Z45"/>
    <mergeCell ref="AA45:AG45"/>
    <mergeCell ref="AH45:AO45"/>
    <mergeCell ref="AP45:AS45"/>
    <mergeCell ref="AM48:AO48"/>
    <mergeCell ref="AP48:AS48"/>
    <mergeCell ref="AP46:AS46"/>
    <mergeCell ref="AM47:AO47"/>
    <mergeCell ref="AP47:AS47"/>
    <mergeCell ref="AH49:AL49"/>
    <mergeCell ref="AM49:AO49"/>
    <mergeCell ref="AP49:AS49"/>
    <mergeCell ref="B48:C48"/>
    <mergeCell ref="D48:G48"/>
    <mergeCell ref="H48:L48"/>
    <mergeCell ref="M48:N48"/>
    <mergeCell ref="O48:R48"/>
    <mergeCell ref="S48:U48"/>
    <mergeCell ref="V48:Z48"/>
    <mergeCell ref="AA48:AG48"/>
    <mergeCell ref="AH48:AL48"/>
    <mergeCell ref="B49:C49"/>
    <mergeCell ref="D49:G49"/>
    <mergeCell ref="H49:L49"/>
    <mergeCell ref="M49:N49"/>
    <mergeCell ref="O49:R49"/>
    <mergeCell ref="S49:U49"/>
    <mergeCell ref="V49:Z49"/>
    <mergeCell ref="AA49:AD49"/>
    <mergeCell ref="AE49:AG49"/>
    <mergeCell ref="AH50:AL50"/>
    <mergeCell ref="AM50:AO50"/>
    <mergeCell ref="AP50:AS50"/>
    <mergeCell ref="B51:C51"/>
    <mergeCell ref="D51:G51"/>
    <mergeCell ref="H51:L51"/>
    <mergeCell ref="M51:N51"/>
    <mergeCell ref="O51:R51"/>
    <mergeCell ref="S51:U51"/>
    <mergeCell ref="V51:Z51"/>
    <mergeCell ref="AA51:AD51"/>
    <mergeCell ref="AE51:AG51"/>
    <mergeCell ref="AH51:AL51"/>
    <mergeCell ref="AM51:AO51"/>
    <mergeCell ref="AP51:AS51"/>
    <mergeCell ref="B50:C50"/>
    <mergeCell ref="D50:G50"/>
    <mergeCell ref="H50:L50"/>
    <mergeCell ref="M50:N50"/>
    <mergeCell ref="O50:R50"/>
    <mergeCell ref="S50:U50"/>
    <mergeCell ref="V50:Z50"/>
    <mergeCell ref="AA50:AD50"/>
    <mergeCell ref="AE50:AG50"/>
    <mergeCell ref="AH52:AL52"/>
    <mergeCell ref="AM52:AO52"/>
    <mergeCell ref="AP52:AS52"/>
    <mergeCell ref="B53:C53"/>
    <mergeCell ref="D53:G53"/>
    <mergeCell ref="H53:L53"/>
    <mergeCell ref="M53:N53"/>
    <mergeCell ref="O53:R53"/>
    <mergeCell ref="S53:U53"/>
    <mergeCell ref="V53:Z53"/>
    <mergeCell ref="AA53:AG53"/>
    <mergeCell ref="AH53:AL53"/>
    <mergeCell ref="AM53:AO53"/>
    <mergeCell ref="AP53:AS53"/>
    <mergeCell ref="B52:C52"/>
    <mergeCell ref="D52:G52"/>
    <mergeCell ref="H52:L52"/>
    <mergeCell ref="M52:N52"/>
    <mergeCell ref="O52:R52"/>
    <mergeCell ref="S52:U52"/>
    <mergeCell ref="V52:Z52"/>
    <mergeCell ref="AA52:AD52"/>
    <mergeCell ref="AE52:AG52"/>
    <mergeCell ref="AM54:AO54"/>
    <mergeCell ref="AP54:AS54"/>
    <mergeCell ref="B55:C55"/>
    <mergeCell ref="D55:G55"/>
    <mergeCell ref="H55:L55"/>
    <mergeCell ref="M55:N55"/>
    <mergeCell ref="O55:U55"/>
    <mergeCell ref="V55:Z55"/>
    <mergeCell ref="AA55:AG55"/>
    <mergeCell ref="AH55:AL55"/>
    <mergeCell ref="AM55:AO55"/>
    <mergeCell ref="AP55:AS55"/>
    <mergeCell ref="B54:C54"/>
    <mergeCell ref="D54:G54"/>
    <mergeCell ref="H54:L54"/>
    <mergeCell ref="M54:N54"/>
    <mergeCell ref="O54:R54"/>
    <mergeCell ref="S54:U54"/>
    <mergeCell ref="V54:Z54"/>
    <mergeCell ref="AA54:AG54"/>
    <mergeCell ref="AH54:AL54"/>
    <mergeCell ref="I65:P65"/>
    <mergeCell ref="C66:H67"/>
    <mergeCell ref="N66:O67"/>
    <mergeCell ref="L68:M68"/>
    <mergeCell ref="O68:Q68"/>
    <mergeCell ref="R68:S68"/>
    <mergeCell ref="V68:X68"/>
    <mergeCell ref="Y68:Z68"/>
    <mergeCell ref="I73:M73"/>
    <mergeCell ref="N73:O73"/>
    <mergeCell ref="W63:W64"/>
    <mergeCell ref="X63:Z64"/>
    <mergeCell ref="AA63:AB64"/>
    <mergeCell ref="O64:P64"/>
    <mergeCell ref="R64:V64"/>
    <mergeCell ref="I61:M61"/>
    <mergeCell ref="N61:O61"/>
    <mergeCell ref="Q62:S62"/>
    <mergeCell ref="T62:U62"/>
    <mergeCell ref="K63:M64"/>
    <mergeCell ref="N63:N64"/>
    <mergeCell ref="O63:P63"/>
    <mergeCell ref="Q63:Q64"/>
    <mergeCell ref="R63:T63"/>
    <mergeCell ref="U63:V63"/>
    <mergeCell ref="C78:H79"/>
    <mergeCell ref="N78:O79"/>
    <mergeCell ref="L80:M80"/>
    <mergeCell ref="O80:Q80"/>
    <mergeCell ref="R80:S80"/>
    <mergeCell ref="V80:X80"/>
    <mergeCell ref="Y80:Z80"/>
    <mergeCell ref="H85:J85"/>
    <mergeCell ref="C86:I87"/>
    <mergeCell ref="J86:W87"/>
    <mergeCell ref="AD74:AF74"/>
    <mergeCell ref="AH74:AK74"/>
    <mergeCell ref="AL74:AN74"/>
    <mergeCell ref="AS74:AT74"/>
    <mergeCell ref="N75:O75"/>
    <mergeCell ref="Q75:AB75"/>
    <mergeCell ref="AD75:AT75"/>
    <mergeCell ref="N76:P76"/>
    <mergeCell ref="I77:P77"/>
    <mergeCell ref="C74:I75"/>
    <mergeCell ref="J74:L75"/>
    <mergeCell ref="M74:M75"/>
    <mergeCell ref="N74:O74"/>
    <mergeCell ref="P74:P75"/>
    <mergeCell ref="Q74:S74"/>
    <mergeCell ref="U74:X74"/>
    <mergeCell ref="AA74:AB74"/>
    <mergeCell ref="AC74:AC75"/>
    <mergeCell ref="L96:O96"/>
    <mergeCell ref="AA96:AC96"/>
    <mergeCell ref="C97:G98"/>
    <mergeCell ref="AB99:AC100"/>
    <mergeCell ref="H106:O106"/>
    <mergeCell ref="C107:I108"/>
    <mergeCell ref="J107:L108"/>
    <mergeCell ref="M107:M108"/>
    <mergeCell ref="N107:O107"/>
    <mergeCell ref="R107:R108"/>
    <mergeCell ref="S107:U108"/>
    <mergeCell ref="V107:W108"/>
    <mergeCell ref="J88:Z89"/>
    <mergeCell ref="AA88:AE88"/>
    <mergeCell ref="AF88:AF89"/>
    <mergeCell ref="AG88:AL89"/>
    <mergeCell ref="AG91:AK92"/>
    <mergeCell ref="I93:P93"/>
    <mergeCell ref="C94:H95"/>
    <mergeCell ref="R94:S95"/>
    <mergeCell ref="T94:U95"/>
    <mergeCell ref="V94:X95"/>
    <mergeCell ref="Y94:Z95"/>
    <mergeCell ref="AA94:AA95"/>
    <mergeCell ref="AB94:AE95"/>
    <mergeCell ref="AF94:AL95"/>
    <mergeCell ref="AI110:AO111"/>
    <mergeCell ref="L112:N112"/>
    <mergeCell ref="S112:V112"/>
    <mergeCell ref="Y112:AA112"/>
    <mergeCell ref="C113:G114"/>
    <mergeCell ref="H118:J118"/>
    <mergeCell ref="I123:P123"/>
    <mergeCell ref="C124:H125"/>
    <mergeCell ref="S124:T125"/>
    <mergeCell ref="U124:V125"/>
    <mergeCell ref="W124:Y125"/>
    <mergeCell ref="Z124:AA125"/>
    <mergeCell ref="AB124:AB125"/>
    <mergeCell ref="AC124:AF125"/>
    <mergeCell ref="AG124:AM125"/>
    <mergeCell ref="I109:P109"/>
    <mergeCell ref="C110:H111"/>
    <mergeCell ref="R110:T111"/>
    <mergeCell ref="U110:X111"/>
    <mergeCell ref="Y110:Y111"/>
    <mergeCell ref="Z110:AB111"/>
    <mergeCell ref="AC110:AD111"/>
    <mergeCell ref="AE110:AE111"/>
    <mergeCell ref="AF110:AH111"/>
    <mergeCell ref="I139:P139"/>
    <mergeCell ref="C140:H141"/>
    <mergeCell ref="S140:U141"/>
    <mergeCell ref="V140:Y141"/>
    <mergeCell ref="Z140:Z141"/>
    <mergeCell ref="AA140:AC141"/>
    <mergeCell ref="AD140:AE141"/>
    <mergeCell ref="AF140:AF141"/>
    <mergeCell ref="AG140:AI141"/>
    <mergeCell ref="L126:O126"/>
    <mergeCell ref="AA126:AC126"/>
    <mergeCell ref="C127:G128"/>
    <mergeCell ref="Z129:AA130"/>
    <mergeCell ref="H136:O136"/>
    <mergeCell ref="C137:I138"/>
    <mergeCell ref="J137:L138"/>
    <mergeCell ref="M137:M138"/>
    <mergeCell ref="N137:O137"/>
    <mergeCell ref="R137:R138"/>
    <mergeCell ref="S137:U138"/>
    <mergeCell ref="V137:W138"/>
    <mergeCell ref="I151:P151"/>
    <mergeCell ref="C152:H153"/>
    <mergeCell ref="N152:O153"/>
    <mergeCell ref="L154:M154"/>
    <mergeCell ref="O154:Q154"/>
    <mergeCell ref="R154:S154"/>
    <mergeCell ref="V154:X154"/>
    <mergeCell ref="Y154:Z154"/>
    <mergeCell ref="C155:G156"/>
    <mergeCell ref="AJ140:AP141"/>
    <mergeCell ref="L142:N142"/>
    <mergeCell ref="S142:V142"/>
    <mergeCell ref="Y142:AA142"/>
    <mergeCell ref="C143:G144"/>
    <mergeCell ref="H148:L148"/>
    <mergeCell ref="M148:N148"/>
    <mergeCell ref="K149:M150"/>
    <mergeCell ref="N149:N150"/>
    <mergeCell ref="O149:R149"/>
    <mergeCell ref="S149:S150"/>
    <mergeCell ref="T149:V149"/>
    <mergeCell ref="Y149:Y150"/>
    <mergeCell ref="Z149:AB150"/>
    <mergeCell ref="AC149:AD150"/>
    <mergeCell ref="O150:R150"/>
    <mergeCell ref="T150:X150"/>
    <mergeCell ref="C165:H166"/>
    <mergeCell ref="O165:P166"/>
    <mergeCell ref="L167:M167"/>
    <mergeCell ref="O167:Q167"/>
    <mergeCell ref="R167:S167"/>
    <mergeCell ref="V167:X167"/>
    <mergeCell ref="C168:G169"/>
    <mergeCell ref="F173:H173"/>
    <mergeCell ref="K173:L173"/>
    <mergeCell ref="M173:O173"/>
    <mergeCell ref="R173:S173"/>
    <mergeCell ref="T173:V173"/>
    <mergeCell ref="Q161:S161"/>
    <mergeCell ref="T161:V161"/>
    <mergeCell ref="J162:L163"/>
    <mergeCell ref="M162:M163"/>
    <mergeCell ref="N162:O162"/>
    <mergeCell ref="R162:R163"/>
    <mergeCell ref="S162:U163"/>
    <mergeCell ref="V162:W163"/>
    <mergeCell ref="I164:P164"/>
    <mergeCell ref="F174:G174"/>
    <mergeCell ref="H174:J174"/>
    <mergeCell ref="M174:N174"/>
    <mergeCell ref="O174:Q174"/>
    <mergeCell ref="V181:V182"/>
    <mergeCell ref="W181:Y181"/>
    <mergeCell ref="AA181:AA182"/>
    <mergeCell ref="AB181:AD181"/>
    <mergeCell ref="AF181:AF182"/>
    <mergeCell ref="F175:H175"/>
    <mergeCell ref="F177:H177"/>
    <mergeCell ref="L180:AK180"/>
    <mergeCell ref="AG181:AI181"/>
    <mergeCell ref="M182:P182"/>
    <mergeCell ref="R182:U182"/>
    <mergeCell ref="W182:Z182"/>
    <mergeCell ref="AB182:AE182"/>
    <mergeCell ref="AG182:AJ182"/>
    <mergeCell ref="AL180:AL181"/>
    <mergeCell ref="Y173:Z173"/>
    <mergeCell ref="AA173:AC173"/>
    <mergeCell ref="AF173:AG173"/>
    <mergeCell ref="AH173:AJ173"/>
    <mergeCell ref="AA8:AO8"/>
    <mergeCell ref="B11:F16"/>
    <mergeCell ref="Q11:U16"/>
    <mergeCell ref="V11:Z13"/>
    <mergeCell ref="V14:Z16"/>
    <mergeCell ref="AM173:AN173"/>
    <mergeCell ref="AO173:AQ173"/>
    <mergeCell ref="AM180:AR181"/>
    <mergeCell ref="M181:O181"/>
    <mergeCell ref="Q181:Q182"/>
    <mergeCell ref="R181:T181"/>
    <mergeCell ref="B17:F20"/>
    <mergeCell ref="Q17:U20"/>
    <mergeCell ref="V17:Z18"/>
    <mergeCell ref="V19:Z20"/>
    <mergeCell ref="B8:F10"/>
    <mergeCell ref="G8:K10"/>
    <mergeCell ref="L8:P10"/>
    <mergeCell ref="Q8:U9"/>
    <mergeCell ref="I192:K192"/>
    <mergeCell ref="M192:P192"/>
    <mergeCell ref="R192:U192"/>
    <mergeCell ref="W192:Z192"/>
    <mergeCell ref="M183:M184"/>
    <mergeCell ref="N183:P183"/>
    <mergeCell ref="R183:R184"/>
    <mergeCell ref="S183:U183"/>
    <mergeCell ref="W183:W184"/>
    <mergeCell ref="X183:Z183"/>
    <mergeCell ref="N184:Q184"/>
    <mergeCell ref="S184:V184"/>
    <mergeCell ref="X184:AA18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69"/>
  <sheetViews>
    <sheetView showGridLines="0" zoomScaleNormal="100" workbookViewId="0"/>
  </sheetViews>
  <sheetFormatPr defaultColWidth="8.77734375" defaultRowHeight="18" customHeight="1"/>
  <cols>
    <col min="1" max="1" width="2.77734375" style="114" customWidth="1"/>
    <col min="2" max="2" width="8.77734375" style="116"/>
    <col min="3" max="3" width="8.77734375" style="116" customWidth="1"/>
    <col min="4" max="4" width="8.77734375" style="116"/>
    <col min="5" max="5" width="9.88671875" style="115" bestFit="1" customWidth="1"/>
    <col min="6" max="8" width="8.77734375" style="115"/>
    <col min="9" max="12" width="8.77734375" style="115" customWidth="1"/>
    <col min="13" max="21" width="8.77734375" style="115"/>
    <col min="22" max="16384" width="8.77734375" style="114"/>
  </cols>
  <sheetData>
    <row r="1" spans="1:40" ht="15" customHeight="1">
      <c r="A1" s="111" t="s">
        <v>339</v>
      </c>
      <c r="B1" s="112"/>
      <c r="C1" s="112"/>
      <c r="D1" s="112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</row>
    <row r="2" spans="1:40" ht="26.25">
      <c r="B2" s="150" t="s">
        <v>340</v>
      </c>
      <c r="C2" s="150" t="s">
        <v>341</v>
      </c>
      <c r="D2" s="150" t="s">
        <v>342</v>
      </c>
      <c r="E2" s="150" t="s">
        <v>343</v>
      </c>
      <c r="F2" s="150" t="s">
        <v>344</v>
      </c>
      <c r="G2" s="150" t="s">
        <v>345</v>
      </c>
      <c r="H2" s="150" t="s">
        <v>346</v>
      </c>
      <c r="I2" s="150" t="s">
        <v>347</v>
      </c>
      <c r="J2" s="150" t="s">
        <v>348</v>
      </c>
      <c r="K2" s="186" t="s">
        <v>349</v>
      </c>
      <c r="L2" s="186" t="s">
        <v>350</v>
      </c>
      <c r="M2" s="150" t="s">
        <v>351</v>
      </c>
      <c r="N2" s="150" t="s">
        <v>352</v>
      </c>
      <c r="O2" s="150" t="s">
        <v>347</v>
      </c>
      <c r="P2" s="150" t="s">
        <v>353</v>
      </c>
      <c r="Q2" s="150" t="s">
        <v>354</v>
      </c>
      <c r="R2" s="150" t="s">
        <v>355</v>
      </c>
      <c r="S2" s="150" t="s">
        <v>356</v>
      </c>
      <c r="T2" s="150" t="s">
        <v>357</v>
      </c>
      <c r="U2" s="150" t="s">
        <v>358</v>
      </c>
      <c r="V2" s="150" t="s">
        <v>359</v>
      </c>
      <c r="W2" s="150" t="s">
        <v>360</v>
      </c>
      <c r="X2" s="150" t="s">
        <v>361</v>
      </c>
      <c r="Y2" s="163" t="s">
        <v>95</v>
      </c>
      <c r="Z2" s="163" t="s">
        <v>96</v>
      </c>
    </row>
    <row r="3" spans="1:40" ht="15" customHeight="1">
      <c r="B3" s="151" t="e">
        <f>C3</f>
        <v>#DIV/0!</v>
      </c>
      <c r="C3" s="151" t="e">
        <f>AVERAGE(기본정보!B12:B13)</f>
        <v>#DIV/0!</v>
      </c>
      <c r="D3" s="151">
        <f>11.5*10^-6</f>
        <v>1.15E-5</v>
      </c>
      <c r="E3" s="151">
        <f>Length_16!K19</f>
        <v>0</v>
      </c>
      <c r="F3" s="151" t="str">
        <f>IFERROR(VLOOKUP(Length_16!B19,R40:U43,3,FALSE),"표준 측장기")</f>
        <v>표준 측장기</v>
      </c>
      <c r="G3" s="151">
        <f>MIN(F9:F20)</f>
        <v>0</v>
      </c>
      <c r="H3" s="151">
        <f>MAX(F9:F20)</f>
        <v>0</v>
      </c>
      <c r="I3" s="151" t="str">
        <f>G9</f>
        <v/>
      </c>
      <c r="J3" s="151">
        <f>IF(I3="inch",25.4,1)</f>
        <v>1</v>
      </c>
      <c r="K3" s="151">
        <f>MIN(S9:S20)</f>
        <v>0</v>
      </c>
      <c r="L3" s="151">
        <f>MAX(S9:S20)</f>
        <v>0</v>
      </c>
      <c r="M3" s="151">
        <f>Length_16!J4</f>
        <v>0</v>
      </c>
      <c r="N3" s="151">
        <f>Length_16!K4</f>
        <v>0</v>
      </c>
      <c r="O3" s="151">
        <f>Length_16!L4</f>
        <v>0</v>
      </c>
      <c r="P3" s="151">
        <f>IF(F3="레이저 스캔 마이크로미터",0,0.2)</f>
        <v>0.2</v>
      </c>
      <c r="Q3" s="151">
        <f>IF(F3="레이저 스캔 마이크로미터",0,6.2*10^11*10^-6)</f>
        <v>620000</v>
      </c>
      <c r="R3" s="151">
        <f>P3</f>
        <v>0.2</v>
      </c>
      <c r="S3" s="151">
        <f>Q3</f>
        <v>620000</v>
      </c>
      <c r="T3" s="151">
        <f>IF(F3="레이저 스캔 마이크로미터",0,5)</f>
        <v>5</v>
      </c>
      <c r="U3" s="151">
        <f>IF(F3="레이저 스캔 마이크로미터",0,8)</f>
        <v>8</v>
      </c>
      <c r="V3" s="151" t="e">
        <f ca="1">OFFSET(Length_16!F3,MATCH($L3,$S9:$S20,0),0)</f>
        <v>#N/A</v>
      </c>
      <c r="W3" s="151" t="e">
        <f ca="1">OFFSET(Length_16!G3,MATCH($L3,$S9:$S20,0),0)</f>
        <v>#N/A</v>
      </c>
      <c r="X3" s="151" t="e">
        <f ca="1">OFFSET(Length_16!H3,MATCH($L3,$S9:$S20,0),0)</f>
        <v>#N/A</v>
      </c>
      <c r="Y3" s="122" t="e">
        <f ca="1">IF(SUM(R37)=0,"","초과")</f>
        <v>#DIV/0!</v>
      </c>
      <c r="Z3" s="252" t="str">
        <f>IF(SUM(AM8)=0,"PASS","FAIL")</f>
        <v>PASS</v>
      </c>
    </row>
    <row r="4" spans="1:40" ht="15" customHeight="1">
      <c r="B4" s="112"/>
      <c r="C4" s="112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</row>
    <row r="5" spans="1:40" ht="15" customHeight="1">
      <c r="A5" s="111" t="s">
        <v>362</v>
      </c>
      <c r="E5" s="116"/>
      <c r="F5" s="112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F5" s="124" t="s">
        <v>363</v>
      </c>
    </row>
    <row r="6" spans="1:40" ht="24">
      <c r="B6" s="484" t="s">
        <v>364</v>
      </c>
      <c r="C6" s="484" t="s">
        <v>365</v>
      </c>
      <c r="D6" s="484" t="s">
        <v>366</v>
      </c>
      <c r="E6" s="484" t="s">
        <v>367</v>
      </c>
      <c r="F6" s="501" t="s">
        <v>368</v>
      </c>
      <c r="G6" s="501" t="s">
        <v>369</v>
      </c>
      <c r="H6" s="479" t="str">
        <f>F3&amp;" 지시값"</f>
        <v>표준 측장기 지시값</v>
      </c>
      <c r="I6" s="505"/>
      <c r="J6" s="505"/>
      <c r="K6" s="480"/>
      <c r="L6" s="499" t="s">
        <v>370</v>
      </c>
      <c r="M6" s="150" t="s">
        <v>371</v>
      </c>
      <c r="N6" s="150" t="s">
        <v>372</v>
      </c>
      <c r="O6" s="150" t="s">
        <v>122</v>
      </c>
      <c r="P6" s="150" t="s">
        <v>373</v>
      </c>
      <c r="Q6" s="189" t="s">
        <v>374</v>
      </c>
      <c r="R6" s="150" t="s">
        <v>375</v>
      </c>
      <c r="S6" s="150" t="s">
        <v>368</v>
      </c>
      <c r="T6" s="150" t="s">
        <v>577</v>
      </c>
      <c r="U6" s="150" t="s">
        <v>376</v>
      </c>
      <c r="V6" s="150" t="s">
        <v>377</v>
      </c>
      <c r="W6" s="150"/>
      <c r="X6" s="150" t="s">
        <v>121</v>
      </c>
      <c r="Y6" s="150" t="s">
        <v>378</v>
      </c>
      <c r="Z6" s="150"/>
      <c r="AA6" s="150" t="s">
        <v>379</v>
      </c>
      <c r="AB6" s="150" t="s">
        <v>82</v>
      </c>
      <c r="AC6" s="481" t="s">
        <v>380</v>
      </c>
      <c r="AD6" s="482"/>
      <c r="AE6" s="117"/>
      <c r="AF6" s="497" t="s">
        <v>381</v>
      </c>
      <c r="AG6" s="498"/>
      <c r="AH6" s="481" t="s">
        <v>382</v>
      </c>
      <c r="AI6" s="482"/>
      <c r="AJ6" s="482"/>
      <c r="AK6" s="482"/>
      <c r="AL6" s="482"/>
      <c r="AM6" s="482"/>
      <c r="AN6" s="483"/>
    </row>
    <row r="7" spans="1:40" ht="15" customHeight="1">
      <c r="B7" s="496"/>
      <c r="C7" s="496"/>
      <c r="D7" s="496"/>
      <c r="E7" s="496"/>
      <c r="F7" s="502"/>
      <c r="G7" s="502"/>
      <c r="H7" s="164" t="s">
        <v>324</v>
      </c>
      <c r="I7" s="186" t="s">
        <v>383</v>
      </c>
      <c r="J7" s="164" t="s">
        <v>384</v>
      </c>
      <c r="K7" s="186" t="s">
        <v>385</v>
      </c>
      <c r="L7" s="500"/>
      <c r="M7" s="150" t="s">
        <v>386</v>
      </c>
      <c r="N7" s="150" t="s">
        <v>387</v>
      </c>
      <c r="O7" s="150" t="s">
        <v>388</v>
      </c>
      <c r="P7" s="150" t="s">
        <v>154</v>
      </c>
      <c r="Q7" s="150" t="s">
        <v>389</v>
      </c>
      <c r="R7" s="150" t="s">
        <v>156</v>
      </c>
      <c r="S7" s="150" t="s">
        <v>390</v>
      </c>
      <c r="T7" s="150" t="s">
        <v>578</v>
      </c>
      <c r="U7" s="150" t="s">
        <v>118</v>
      </c>
      <c r="V7" s="150" t="s">
        <v>119</v>
      </c>
      <c r="W7" s="150" t="s">
        <v>326</v>
      </c>
      <c r="X7" s="150" t="s">
        <v>118</v>
      </c>
      <c r="Y7" s="150" t="s">
        <v>119</v>
      </c>
      <c r="Z7" s="150" t="s">
        <v>391</v>
      </c>
      <c r="AA7" s="150" t="s">
        <v>392</v>
      </c>
      <c r="AB7" s="150" t="s">
        <v>393</v>
      </c>
      <c r="AC7" s="150" t="s">
        <v>394</v>
      </c>
      <c r="AD7" s="150" t="s">
        <v>109</v>
      </c>
      <c r="AE7" s="117"/>
      <c r="AF7" s="249" t="s">
        <v>395</v>
      </c>
      <c r="AG7" s="249" t="s">
        <v>396</v>
      </c>
      <c r="AH7" s="150" t="s">
        <v>368</v>
      </c>
      <c r="AI7" s="150" t="s">
        <v>82</v>
      </c>
      <c r="AJ7" s="150" t="s">
        <v>109</v>
      </c>
      <c r="AK7" s="497" t="s">
        <v>381</v>
      </c>
      <c r="AL7" s="498"/>
      <c r="AM7" s="248" t="s">
        <v>397</v>
      </c>
      <c r="AN7" s="248" t="s">
        <v>398</v>
      </c>
    </row>
    <row r="8" spans="1:40" ht="15" customHeight="1">
      <c r="B8" s="485"/>
      <c r="C8" s="485"/>
      <c r="D8" s="485"/>
      <c r="E8" s="485"/>
      <c r="F8" s="503"/>
      <c r="G8" s="503"/>
      <c r="H8" s="186">
        <f>O3</f>
        <v>0</v>
      </c>
      <c r="I8" s="186">
        <f t="shared" ref="I8:K8" si="0">H8</f>
        <v>0</v>
      </c>
      <c r="J8" s="186">
        <f t="shared" si="0"/>
        <v>0</v>
      </c>
      <c r="K8" s="186">
        <f t="shared" si="0"/>
        <v>0</v>
      </c>
      <c r="L8" s="150" t="s">
        <v>399</v>
      </c>
      <c r="M8" s="150" t="s">
        <v>400</v>
      </c>
      <c r="N8" s="150" t="s">
        <v>123</v>
      </c>
      <c r="O8" s="188" t="s">
        <v>401</v>
      </c>
      <c r="P8" s="150" t="s">
        <v>402</v>
      </c>
      <c r="Q8" s="188" t="s">
        <v>403</v>
      </c>
      <c r="R8" s="150" t="s">
        <v>404</v>
      </c>
      <c r="S8" s="150" t="s">
        <v>399</v>
      </c>
      <c r="T8" s="150" t="s">
        <v>579</v>
      </c>
      <c r="U8" s="150"/>
      <c r="V8" s="150" t="s">
        <v>120</v>
      </c>
      <c r="W8" s="150" t="s">
        <v>405</v>
      </c>
      <c r="X8" s="150"/>
      <c r="Y8" s="150" t="s">
        <v>120</v>
      </c>
      <c r="Z8" s="150" t="s">
        <v>405</v>
      </c>
      <c r="AA8" s="150" t="s">
        <v>399</v>
      </c>
      <c r="AB8" s="150" t="s">
        <v>399</v>
      </c>
      <c r="AC8" s="150" t="s">
        <v>406</v>
      </c>
      <c r="AD8" s="150" t="s">
        <v>399</v>
      </c>
      <c r="AE8" s="117"/>
      <c r="AF8" s="150" t="s">
        <v>123</v>
      </c>
      <c r="AG8" s="150" t="s">
        <v>399</v>
      </c>
      <c r="AH8" s="150" t="s">
        <v>123</v>
      </c>
      <c r="AI8" s="150" t="s">
        <v>399</v>
      </c>
      <c r="AJ8" s="150" t="s">
        <v>123</v>
      </c>
      <c r="AK8" s="150" t="s">
        <v>48</v>
      </c>
      <c r="AL8" s="150" t="s">
        <v>407</v>
      </c>
      <c r="AM8" s="263">
        <f>IF(TYPE(MATCH("FAIL",AM9:AM20,0))=16,0,1)</f>
        <v>0</v>
      </c>
      <c r="AN8" s="248" t="s">
        <v>399</v>
      </c>
    </row>
    <row r="9" spans="1:40" ht="15" customHeight="1">
      <c r="B9" s="165" t="b">
        <f>IF(TRIM(Length_16!D4)="",FALSE,TRUE)</f>
        <v>0</v>
      </c>
      <c r="C9" s="506" t="s">
        <v>408</v>
      </c>
      <c r="D9" s="506" t="s">
        <v>410</v>
      </c>
      <c r="E9" s="165" t="s">
        <v>411</v>
      </c>
      <c r="F9" s="151" t="str">
        <f>IF($B9=FALSE,"",VALUE(Length_16!D4))</f>
        <v/>
      </c>
      <c r="G9" s="151" t="str">
        <f>IF($B9=FALSE,"",Length_16!E4)</f>
        <v/>
      </c>
      <c r="H9" s="165" t="str">
        <f>IF($B9=FALSE,"",Length_16!P4)</f>
        <v/>
      </c>
      <c r="I9" s="165" t="str">
        <f>IF($B9=FALSE,"",Length_16!Q4)</f>
        <v/>
      </c>
      <c r="J9" s="165" t="str">
        <f>IF($B9=FALSE,"",Length_16!R4)</f>
        <v/>
      </c>
      <c r="K9" s="151" t="str">
        <f t="shared" ref="K9:K20" si="1">IF($B9=FALSE,"",AVERAGE(H9:J9))</f>
        <v/>
      </c>
      <c r="L9" s="166" t="str">
        <f t="shared" ref="L9:L20" si="2">IF($B9=FALSE,"",STDEV(H9:J9)*J$3)</f>
        <v/>
      </c>
      <c r="M9" s="168" t="str">
        <f>IF($B9=FALSE,"",Calcu!K9*J$3)</f>
        <v/>
      </c>
      <c r="N9" s="167" t="str">
        <f>IF($B9=FALSE,"",Length_16!D19)</f>
        <v/>
      </c>
      <c r="O9" s="151" t="str">
        <f>IF($B9=FALSE,"",AVERAGE($D$3:$E$3))</f>
        <v/>
      </c>
      <c r="P9" s="151" t="str">
        <f>IF($B9=FALSE,"",$B$3-$C$3)</f>
        <v/>
      </c>
      <c r="Q9" s="151" t="str">
        <f>IF($B9=FALSE,"",$D$3-$E$3)</f>
        <v/>
      </c>
      <c r="R9" s="151" t="str">
        <f>IF($B9=FALSE,"",AVERAGE($B$3:$C$3)-20)</f>
        <v/>
      </c>
      <c r="S9" s="158" t="str">
        <f t="shared" ref="S9:S20" si="3">IF($B9=FALSE,"",F9*J$3)</f>
        <v/>
      </c>
      <c r="T9" s="187" t="str">
        <f>IF($B9=FALSE,"",(O9*P9+Q9*R9)*S9)</f>
        <v/>
      </c>
      <c r="U9" s="151" t="str">
        <f t="shared" ref="U9:U20" si="4">IF($B9=FALSE,"",P$3)</f>
        <v/>
      </c>
      <c r="V9" s="151" t="str">
        <f t="shared" ref="V9:V20" si="5">IF($B9=FALSE,"",Q$3)</f>
        <v/>
      </c>
      <c r="W9" s="151" t="str">
        <f t="shared" ref="W9:W20" si="6">IF($B9=FALSE,"",IF(F$3="레이저 스캔 마이크로미터",0,(1-U9^2)/(PI()*V9)))</f>
        <v/>
      </c>
      <c r="X9" s="151" t="str">
        <f t="shared" ref="X9:X20" si="7">IF($B9=FALSE,"",R$3)</f>
        <v/>
      </c>
      <c r="Y9" s="151" t="str">
        <f t="shared" ref="Y9:Y20" si="8">IF($B9=FALSE,"",S$3)</f>
        <v/>
      </c>
      <c r="Z9" s="151" t="str">
        <f t="shared" ref="Z9:Z20" si="9">IF($B9=FALSE,"",IF(F$3="레이저 스캔 마이크로미터",0,(1-X9^2)/(PI()*Y9)))</f>
        <v/>
      </c>
      <c r="AA9" s="190" t="str">
        <f t="shared" ref="AA9:AA20" si="10">IF($B9=FALSE,"",IF(F$3="레이저 스캔 마이크로미터",0,(($T$3*(W9+Z9))/$U$3)*(1+LN((16*$U$3^3)/((W9+Z9)*$T$3*F9)))))</f>
        <v/>
      </c>
      <c r="AB9" s="191" t="str">
        <f>IF($B9=FALSE,"",N9+M9-T9+AA9)</f>
        <v/>
      </c>
      <c r="AC9" s="151" t="str">
        <f>IF($B9=FALSE,"",ROUND(AB9,$M$37))</f>
        <v/>
      </c>
      <c r="AD9" s="151" t="str">
        <f>IF($B9=FALSE,"",ROUND(S9-AC9,$M$37))</f>
        <v/>
      </c>
      <c r="AE9" s="117"/>
      <c r="AF9" s="151" t="e">
        <f ca="1">IF(Length_16!M4&lt;0,ROUNDUP(Length_16!M4*J$3,$M$37),ROUNDDOWN(Length_16!M4*J$3,$M$37))</f>
        <v>#DIV/0!</v>
      </c>
      <c r="AG9" s="151" t="e">
        <f ca="1">IF(Length_16!N4&lt;0,ROUNDDOWN(Length_16!N4*J$3,$M$37),ROUNDUP(Length_16!N4*J$3,$M$37))</f>
        <v>#DIV/0!</v>
      </c>
      <c r="AH9" s="151" t="str">
        <f t="shared" ref="AH9:AH20" si="11">IF(B9=FALSE,"-",TEXT(S9,IF(S9&gt;=1000,"# ##","")&amp;$P$37))</f>
        <v>-</v>
      </c>
      <c r="AI9" s="151" t="str">
        <f t="shared" ref="AI9:AI20" si="12">IF(B9=FALSE,"-",TEXT(AC9,IF(AC9&gt;=1000,"# ##","")&amp;$P$37))</f>
        <v>-</v>
      </c>
      <c r="AJ9" s="151" t="str">
        <f t="shared" ref="AJ9:AJ20" si="13">IF(B9=FALSE,"-",TEXT(AD9,$P$37))</f>
        <v>-</v>
      </c>
      <c r="AK9" s="151" t="str">
        <f t="shared" ref="AK9:AK20" si="14">IF(B9=FALSE,"-",IF(SIGN(AF9-S9)&lt;=0,"","+")&amp;ROUND(AF9-S9,M$37))</f>
        <v>-</v>
      </c>
      <c r="AL9" s="151" t="str">
        <f t="shared" ref="AL9:AL20" si="15">IF(B9=FALSE,"-",IF(SIGN(AG9-S9)&lt;=0,"","+")&amp;ROUND(AG9-S9,M$37))</f>
        <v>-</v>
      </c>
      <c r="AM9" s="151" t="str">
        <f>IF(B9=FALSE,"",IF(AND(AF9&lt;=AC9,AC9&lt;=AG9),"PASS","FAIL"))</f>
        <v/>
      </c>
      <c r="AN9" s="151" t="e">
        <f ca="1">T$37</f>
        <v>#DIV/0!</v>
      </c>
    </row>
    <row r="10" spans="1:40" ht="15" customHeight="1">
      <c r="B10" s="165" t="b">
        <f>IF(TRIM(Length_16!D5)="",FALSE,TRUE)</f>
        <v>0</v>
      </c>
      <c r="C10" s="507"/>
      <c r="D10" s="508"/>
      <c r="E10" s="165" t="s">
        <v>413</v>
      </c>
      <c r="F10" s="151" t="str">
        <f>IF($B10=FALSE,"",VALUE(Length_16!D5))</f>
        <v/>
      </c>
      <c r="G10" s="151" t="str">
        <f>IF($B10=FALSE,"",Length_16!E5)</f>
        <v/>
      </c>
      <c r="H10" s="165" t="str">
        <f>IF($B10=FALSE,"",Length_16!P5)</f>
        <v/>
      </c>
      <c r="I10" s="165" t="str">
        <f>IF($B10=FALSE,"",Length_16!Q5)</f>
        <v/>
      </c>
      <c r="J10" s="165" t="str">
        <f>IF($B10=FALSE,"",Length_16!R5)</f>
        <v/>
      </c>
      <c r="K10" s="151" t="str">
        <f t="shared" si="1"/>
        <v/>
      </c>
      <c r="L10" s="166" t="str">
        <f t="shared" si="2"/>
        <v/>
      </c>
      <c r="M10" s="168" t="str">
        <f>IF($B10=FALSE,"",Calcu!K10*J$3)</f>
        <v/>
      </c>
      <c r="N10" s="167" t="str">
        <f>IF($B10=FALSE,"",Length_16!D20)</f>
        <v/>
      </c>
      <c r="O10" s="151" t="str">
        <f t="shared" ref="O10:O20" si="16">IF($B10=FALSE,"",AVERAGE($D$3:$E$3))</f>
        <v/>
      </c>
      <c r="P10" s="151" t="str">
        <f t="shared" ref="P10:P20" si="17">IF($B10=FALSE,"",$B$3-$C$3)</f>
        <v/>
      </c>
      <c r="Q10" s="151" t="str">
        <f t="shared" ref="Q10:Q20" si="18">IF($B10=FALSE,"",$D$3-$E$3)</f>
        <v/>
      </c>
      <c r="R10" s="151" t="str">
        <f t="shared" ref="R10:R20" si="19">IF($B10=FALSE,"",AVERAGE($B$3:$C$3)-20)</f>
        <v/>
      </c>
      <c r="S10" s="158" t="str">
        <f t="shared" si="3"/>
        <v/>
      </c>
      <c r="T10" s="187" t="str">
        <f t="shared" ref="T10:T20" si="20">IF($B10=FALSE,"",(O10*P10+Q10*R10)*S10)</f>
        <v/>
      </c>
      <c r="U10" s="151" t="str">
        <f t="shared" si="4"/>
        <v/>
      </c>
      <c r="V10" s="151" t="str">
        <f t="shared" si="5"/>
        <v/>
      </c>
      <c r="W10" s="151" t="str">
        <f t="shared" si="6"/>
        <v/>
      </c>
      <c r="X10" s="151" t="str">
        <f t="shared" si="7"/>
        <v/>
      </c>
      <c r="Y10" s="151" t="str">
        <f t="shared" si="8"/>
        <v/>
      </c>
      <c r="Z10" s="151" t="str">
        <f t="shared" si="9"/>
        <v/>
      </c>
      <c r="AA10" s="190" t="str">
        <f t="shared" si="10"/>
        <v/>
      </c>
      <c r="AB10" s="191" t="str">
        <f t="shared" ref="AB10:AB20" si="21">IF($B10=FALSE,"",N10+M10-T10+AA10)</f>
        <v/>
      </c>
      <c r="AC10" s="151" t="str">
        <f t="shared" ref="AC10:AC20" si="22">IF($B10=FALSE,"",ROUND(AB10,$M$37))</f>
        <v/>
      </c>
      <c r="AD10" s="151" t="str">
        <f t="shared" ref="AD10:AD20" si="23">IF($B10=FALSE,"",ROUND(S10-AC10,$M$37))</f>
        <v/>
      </c>
      <c r="AE10" s="117"/>
      <c r="AF10" s="151" t="e">
        <f ca="1">IF(Length_16!M5&lt;0,ROUNDUP(Length_16!M5*J$3,$M$37),ROUNDDOWN(Length_16!M5*J$3,$M$37))</f>
        <v>#DIV/0!</v>
      </c>
      <c r="AG10" s="151" t="e">
        <f ca="1">IF(Length_16!N5&lt;0,ROUNDDOWN(Length_16!N5*J$3,$M$37),ROUNDUP(Length_16!N5*J$3,$M$37))</f>
        <v>#DIV/0!</v>
      </c>
      <c r="AH10" s="151" t="str">
        <f t="shared" si="11"/>
        <v>-</v>
      </c>
      <c r="AI10" s="151" t="str">
        <f t="shared" si="12"/>
        <v>-</v>
      </c>
      <c r="AJ10" s="151" t="str">
        <f t="shared" si="13"/>
        <v>-</v>
      </c>
      <c r="AK10" s="151" t="str">
        <f t="shared" si="14"/>
        <v>-</v>
      </c>
      <c r="AL10" s="151" t="str">
        <f t="shared" si="15"/>
        <v>-</v>
      </c>
      <c r="AM10" s="151" t="str">
        <f t="shared" ref="AM10:AM20" si="24">IF(B10=FALSE,"",IF(AND(AF10&lt;=AC10,AC10&lt;=AG10),"PASS","FAIL"))</f>
        <v/>
      </c>
      <c r="AN10" s="151" t="e">
        <f t="shared" ref="AN10:AN20" ca="1" si="25">T$37</f>
        <v>#DIV/0!</v>
      </c>
    </row>
    <row r="11" spans="1:40" ht="15" customHeight="1">
      <c r="B11" s="165" t="b">
        <f>IF(TRIM(Length_16!D6)="",FALSE,TRUE)</f>
        <v>0</v>
      </c>
      <c r="C11" s="507"/>
      <c r="D11" s="506" t="s">
        <v>414</v>
      </c>
      <c r="E11" s="165" t="s">
        <v>415</v>
      </c>
      <c r="F11" s="151" t="str">
        <f>IF($B11=FALSE,"",VALUE(Length_16!D6))</f>
        <v/>
      </c>
      <c r="G11" s="151" t="str">
        <f>IF($B11=FALSE,"",Length_16!E6)</f>
        <v/>
      </c>
      <c r="H11" s="165" t="str">
        <f>IF($B11=FALSE,"",Length_16!P6)</f>
        <v/>
      </c>
      <c r="I11" s="165" t="str">
        <f>IF($B11=FALSE,"",Length_16!Q6)</f>
        <v/>
      </c>
      <c r="J11" s="165" t="str">
        <f>IF($B11=FALSE,"",Length_16!R6)</f>
        <v/>
      </c>
      <c r="K11" s="151" t="str">
        <f t="shared" si="1"/>
        <v/>
      </c>
      <c r="L11" s="166" t="str">
        <f t="shared" si="2"/>
        <v/>
      </c>
      <c r="M11" s="168" t="str">
        <f>IF($B11=FALSE,"",Calcu!K11*J$3)</f>
        <v/>
      </c>
      <c r="N11" s="167" t="str">
        <f>IF($B11=FALSE,"",Length_16!D21)</f>
        <v/>
      </c>
      <c r="O11" s="151" t="str">
        <f t="shared" si="16"/>
        <v/>
      </c>
      <c r="P11" s="151" t="str">
        <f t="shared" si="17"/>
        <v/>
      </c>
      <c r="Q11" s="151" t="str">
        <f t="shared" si="18"/>
        <v/>
      </c>
      <c r="R11" s="151" t="str">
        <f t="shared" si="19"/>
        <v/>
      </c>
      <c r="S11" s="158" t="str">
        <f t="shared" si="3"/>
        <v/>
      </c>
      <c r="T11" s="187" t="str">
        <f t="shared" si="20"/>
        <v/>
      </c>
      <c r="U11" s="151" t="str">
        <f t="shared" si="4"/>
        <v/>
      </c>
      <c r="V11" s="151" t="str">
        <f t="shared" si="5"/>
        <v/>
      </c>
      <c r="W11" s="151" t="str">
        <f t="shared" si="6"/>
        <v/>
      </c>
      <c r="X11" s="151" t="str">
        <f t="shared" si="7"/>
        <v/>
      </c>
      <c r="Y11" s="151" t="str">
        <f t="shared" si="8"/>
        <v/>
      </c>
      <c r="Z11" s="151" t="str">
        <f t="shared" si="9"/>
        <v/>
      </c>
      <c r="AA11" s="190" t="str">
        <f t="shared" si="10"/>
        <v/>
      </c>
      <c r="AB11" s="191" t="str">
        <f t="shared" si="21"/>
        <v/>
      </c>
      <c r="AC11" s="151" t="str">
        <f t="shared" si="22"/>
        <v/>
      </c>
      <c r="AD11" s="151" t="str">
        <f t="shared" si="23"/>
        <v/>
      </c>
      <c r="AE11" s="117"/>
      <c r="AF11" s="151" t="e">
        <f ca="1">IF(Length_16!M6&lt;0,ROUNDUP(Length_16!M6*J$3,$M$37),ROUNDDOWN(Length_16!M6*J$3,$M$37))</f>
        <v>#DIV/0!</v>
      </c>
      <c r="AG11" s="151" t="e">
        <f ca="1">IF(Length_16!N6&lt;0,ROUNDDOWN(Length_16!N6*J$3,$M$37),ROUNDUP(Length_16!N6*J$3,$M$37))</f>
        <v>#DIV/0!</v>
      </c>
      <c r="AH11" s="151" t="str">
        <f t="shared" si="11"/>
        <v>-</v>
      </c>
      <c r="AI11" s="151" t="str">
        <f t="shared" si="12"/>
        <v>-</v>
      </c>
      <c r="AJ11" s="151" t="str">
        <f t="shared" si="13"/>
        <v>-</v>
      </c>
      <c r="AK11" s="151" t="str">
        <f t="shared" si="14"/>
        <v>-</v>
      </c>
      <c r="AL11" s="151" t="str">
        <f t="shared" si="15"/>
        <v>-</v>
      </c>
      <c r="AM11" s="151" t="str">
        <f t="shared" si="24"/>
        <v/>
      </c>
      <c r="AN11" s="151" t="e">
        <f t="shared" ca="1" si="25"/>
        <v>#DIV/0!</v>
      </c>
    </row>
    <row r="12" spans="1:40" ht="15" customHeight="1">
      <c r="B12" s="165" t="b">
        <f>IF(TRIM(Length_16!D7)="",FALSE,TRUE)</f>
        <v>0</v>
      </c>
      <c r="C12" s="507"/>
      <c r="D12" s="508"/>
      <c r="E12" s="165" t="s">
        <v>413</v>
      </c>
      <c r="F12" s="151" t="str">
        <f>IF($B12=FALSE,"",VALUE(Length_16!D7))</f>
        <v/>
      </c>
      <c r="G12" s="151" t="str">
        <f>IF($B12=FALSE,"",Length_16!E7)</f>
        <v/>
      </c>
      <c r="H12" s="165" t="str">
        <f>IF($B12=FALSE,"",Length_16!P7)</f>
        <v/>
      </c>
      <c r="I12" s="165" t="str">
        <f>IF($B12=FALSE,"",Length_16!Q7)</f>
        <v/>
      </c>
      <c r="J12" s="165" t="str">
        <f>IF($B12=FALSE,"",Length_16!R7)</f>
        <v/>
      </c>
      <c r="K12" s="151" t="str">
        <f t="shared" si="1"/>
        <v/>
      </c>
      <c r="L12" s="166" t="str">
        <f t="shared" si="2"/>
        <v/>
      </c>
      <c r="M12" s="168" t="str">
        <f>IF($B12=FALSE,"",Calcu!K12*J$3)</f>
        <v/>
      </c>
      <c r="N12" s="167" t="str">
        <f>IF($B12=FALSE,"",Length_16!D22)</f>
        <v/>
      </c>
      <c r="O12" s="151" t="str">
        <f t="shared" si="16"/>
        <v/>
      </c>
      <c r="P12" s="151" t="str">
        <f t="shared" si="17"/>
        <v/>
      </c>
      <c r="Q12" s="151" t="str">
        <f t="shared" si="18"/>
        <v/>
      </c>
      <c r="R12" s="151" t="str">
        <f t="shared" si="19"/>
        <v/>
      </c>
      <c r="S12" s="158" t="str">
        <f t="shared" si="3"/>
        <v/>
      </c>
      <c r="T12" s="187" t="str">
        <f t="shared" si="20"/>
        <v/>
      </c>
      <c r="U12" s="151" t="str">
        <f t="shared" si="4"/>
        <v/>
      </c>
      <c r="V12" s="151" t="str">
        <f t="shared" si="5"/>
        <v/>
      </c>
      <c r="W12" s="151" t="str">
        <f t="shared" si="6"/>
        <v/>
      </c>
      <c r="X12" s="151" t="str">
        <f t="shared" si="7"/>
        <v/>
      </c>
      <c r="Y12" s="151" t="str">
        <f t="shared" si="8"/>
        <v/>
      </c>
      <c r="Z12" s="151" t="str">
        <f t="shared" si="9"/>
        <v/>
      </c>
      <c r="AA12" s="190" t="str">
        <f t="shared" si="10"/>
        <v/>
      </c>
      <c r="AB12" s="191" t="str">
        <f t="shared" si="21"/>
        <v/>
      </c>
      <c r="AC12" s="151" t="str">
        <f t="shared" si="22"/>
        <v/>
      </c>
      <c r="AD12" s="151" t="str">
        <f t="shared" si="23"/>
        <v/>
      </c>
      <c r="AE12" s="117"/>
      <c r="AF12" s="151" t="e">
        <f ca="1">IF(Length_16!M7&lt;0,ROUNDUP(Length_16!M7*J$3,$M$37),ROUNDDOWN(Length_16!M7*J$3,$M$37))</f>
        <v>#DIV/0!</v>
      </c>
      <c r="AG12" s="151" t="e">
        <f ca="1">IF(Length_16!N7&lt;0,ROUNDDOWN(Length_16!N7*J$3,$M$37),ROUNDUP(Length_16!N7*J$3,$M$37))</f>
        <v>#DIV/0!</v>
      </c>
      <c r="AH12" s="151" t="str">
        <f t="shared" si="11"/>
        <v>-</v>
      </c>
      <c r="AI12" s="151" t="str">
        <f t="shared" si="12"/>
        <v>-</v>
      </c>
      <c r="AJ12" s="151" t="str">
        <f t="shared" si="13"/>
        <v>-</v>
      </c>
      <c r="AK12" s="151" t="str">
        <f t="shared" si="14"/>
        <v>-</v>
      </c>
      <c r="AL12" s="151" t="str">
        <f t="shared" si="15"/>
        <v>-</v>
      </c>
      <c r="AM12" s="151" t="str">
        <f t="shared" si="24"/>
        <v/>
      </c>
      <c r="AN12" s="151" t="e">
        <f t="shared" ca="1" si="25"/>
        <v>#DIV/0!</v>
      </c>
    </row>
    <row r="13" spans="1:40" ht="15" customHeight="1">
      <c r="B13" s="165" t="b">
        <f>IF(TRIM(Length_16!D8)="",FALSE,TRUE)</f>
        <v>0</v>
      </c>
      <c r="C13" s="507"/>
      <c r="D13" s="506" t="s">
        <v>416</v>
      </c>
      <c r="E13" s="165" t="s">
        <v>411</v>
      </c>
      <c r="F13" s="151" t="str">
        <f>IF($B13=FALSE,"",VALUE(Length_16!D8))</f>
        <v/>
      </c>
      <c r="G13" s="151" t="str">
        <f>IF($B13=FALSE,"",Length_16!E8)</f>
        <v/>
      </c>
      <c r="H13" s="165" t="str">
        <f>IF($B13=FALSE,"",Length_16!P8)</f>
        <v/>
      </c>
      <c r="I13" s="165" t="str">
        <f>IF($B13=FALSE,"",Length_16!Q8)</f>
        <v/>
      </c>
      <c r="J13" s="165" t="str">
        <f>IF($B13=FALSE,"",Length_16!R8)</f>
        <v/>
      </c>
      <c r="K13" s="151" t="str">
        <f t="shared" si="1"/>
        <v/>
      </c>
      <c r="L13" s="166" t="str">
        <f t="shared" si="2"/>
        <v/>
      </c>
      <c r="M13" s="168" t="str">
        <f>IF($B13=FALSE,"",Calcu!K13*J$3)</f>
        <v/>
      </c>
      <c r="N13" s="167" t="str">
        <f>IF($B13=FALSE,"",Length_16!D23)</f>
        <v/>
      </c>
      <c r="O13" s="151" t="str">
        <f t="shared" si="16"/>
        <v/>
      </c>
      <c r="P13" s="151" t="str">
        <f t="shared" si="17"/>
        <v/>
      </c>
      <c r="Q13" s="151" t="str">
        <f t="shared" si="18"/>
        <v/>
      </c>
      <c r="R13" s="151" t="str">
        <f t="shared" si="19"/>
        <v/>
      </c>
      <c r="S13" s="158" t="str">
        <f t="shared" si="3"/>
        <v/>
      </c>
      <c r="T13" s="187" t="str">
        <f t="shared" si="20"/>
        <v/>
      </c>
      <c r="U13" s="151" t="str">
        <f t="shared" si="4"/>
        <v/>
      </c>
      <c r="V13" s="151" t="str">
        <f t="shared" si="5"/>
        <v/>
      </c>
      <c r="W13" s="151" t="str">
        <f t="shared" si="6"/>
        <v/>
      </c>
      <c r="X13" s="151" t="str">
        <f t="shared" si="7"/>
        <v/>
      </c>
      <c r="Y13" s="151" t="str">
        <f t="shared" si="8"/>
        <v/>
      </c>
      <c r="Z13" s="151" t="str">
        <f t="shared" si="9"/>
        <v/>
      </c>
      <c r="AA13" s="190" t="str">
        <f t="shared" si="10"/>
        <v/>
      </c>
      <c r="AB13" s="191" t="str">
        <f t="shared" si="21"/>
        <v/>
      </c>
      <c r="AC13" s="151" t="str">
        <f t="shared" si="22"/>
        <v/>
      </c>
      <c r="AD13" s="151" t="str">
        <f t="shared" si="23"/>
        <v/>
      </c>
      <c r="AE13" s="117"/>
      <c r="AF13" s="151" t="e">
        <f ca="1">IF(Length_16!M8&lt;0,ROUNDUP(Length_16!M8*J$3,$M$37),ROUNDDOWN(Length_16!M8*J$3,$M$37))</f>
        <v>#DIV/0!</v>
      </c>
      <c r="AG13" s="151" t="e">
        <f ca="1">IF(Length_16!N8&lt;0,ROUNDDOWN(Length_16!N8*J$3,$M$37),ROUNDUP(Length_16!N8*J$3,$M$37))</f>
        <v>#DIV/0!</v>
      </c>
      <c r="AH13" s="151" t="str">
        <f t="shared" si="11"/>
        <v>-</v>
      </c>
      <c r="AI13" s="151" t="str">
        <f t="shared" si="12"/>
        <v>-</v>
      </c>
      <c r="AJ13" s="151" t="str">
        <f t="shared" si="13"/>
        <v>-</v>
      </c>
      <c r="AK13" s="151" t="str">
        <f t="shared" si="14"/>
        <v>-</v>
      </c>
      <c r="AL13" s="151" t="str">
        <f t="shared" si="15"/>
        <v>-</v>
      </c>
      <c r="AM13" s="151" t="str">
        <f t="shared" si="24"/>
        <v/>
      </c>
      <c r="AN13" s="151" t="e">
        <f t="shared" ca="1" si="25"/>
        <v>#DIV/0!</v>
      </c>
    </row>
    <row r="14" spans="1:40" ht="15" customHeight="1">
      <c r="B14" s="165" t="b">
        <f>IF(TRIM(Length_16!D9)="",FALSE,TRUE)</f>
        <v>0</v>
      </c>
      <c r="C14" s="508"/>
      <c r="D14" s="508"/>
      <c r="E14" s="165" t="s">
        <v>412</v>
      </c>
      <c r="F14" s="151" t="str">
        <f>IF($B14=FALSE,"",VALUE(Length_16!D9))</f>
        <v/>
      </c>
      <c r="G14" s="151" t="str">
        <f>IF($B14=FALSE,"",Length_16!E9)</f>
        <v/>
      </c>
      <c r="H14" s="165" t="str">
        <f>IF($B14=FALSE,"",Length_16!P9)</f>
        <v/>
      </c>
      <c r="I14" s="165" t="str">
        <f>IF($B14=FALSE,"",Length_16!Q9)</f>
        <v/>
      </c>
      <c r="J14" s="165" t="str">
        <f>IF($B14=FALSE,"",Length_16!R9)</f>
        <v/>
      </c>
      <c r="K14" s="151" t="str">
        <f t="shared" si="1"/>
        <v/>
      </c>
      <c r="L14" s="166" t="str">
        <f t="shared" si="2"/>
        <v/>
      </c>
      <c r="M14" s="168" t="str">
        <f>IF($B14=FALSE,"",Calcu!K14*J$3)</f>
        <v/>
      </c>
      <c r="N14" s="167" t="str">
        <f>IF($B14=FALSE,"",Length_16!D24)</f>
        <v/>
      </c>
      <c r="O14" s="151" t="str">
        <f t="shared" si="16"/>
        <v/>
      </c>
      <c r="P14" s="151" t="str">
        <f t="shared" si="17"/>
        <v/>
      </c>
      <c r="Q14" s="151" t="str">
        <f t="shared" si="18"/>
        <v/>
      </c>
      <c r="R14" s="151" t="str">
        <f t="shared" si="19"/>
        <v/>
      </c>
      <c r="S14" s="158" t="str">
        <f t="shared" si="3"/>
        <v/>
      </c>
      <c r="T14" s="187" t="str">
        <f t="shared" si="20"/>
        <v/>
      </c>
      <c r="U14" s="151" t="str">
        <f t="shared" si="4"/>
        <v/>
      </c>
      <c r="V14" s="151" t="str">
        <f t="shared" si="5"/>
        <v/>
      </c>
      <c r="W14" s="151" t="str">
        <f t="shared" si="6"/>
        <v/>
      </c>
      <c r="X14" s="151" t="str">
        <f t="shared" si="7"/>
        <v/>
      </c>
      <c r="Y14" s="151" t="str">
        <f t="shared" si="8"/>
        <v/>
      </c>
      <c r="Z14" s="151" t="str">
        <f t="shared" si="9"/>
        <v/>
      </c>
      <c r="AA14" s="190" t="str">
        <f t="shared" si="10"/>
        <v/>
      </c>
      <c r="AB14" s="191" t="str">
        <f t="shared" si="21"/>
        <v/>
      </c>
      <c r="AC14" s="151" t="str">
        <f t="shared" si="22"/>
        <v/>
      </c>
      <c r="AD14" s="151" t="str">
        <f t="shared" si="23"/>
        <v/>
      </c>
      <c r="AE14" s="117"/>
      <c r="AF14" s="151" t="e">
        <f ca="1">IF(Length_16!M9&lt;0,ROUNDUP(Length_16!M9*J$3,$M$37),ROUNDDOWN(Length_16!M9*J$3,$M$37))</f>
        <v>#DIV/0!</v>
      </c>
      <c r="AG14" s="151" t="e">
        <f ca="1">IF(Length_16!N9&lt;0,ROUNDDOWN(Length_16!N9*J$3,$M$37),ROUNDUP(Length_16!N9*J$3,$M$37))</f>
        <v>#DIV/0!</v>
      </c>
      <c r="AH14" s="151" t="str">
        <f t="shared" si="11"/>
        <v>-</v>
      </c>
      <c r="AI14" s="151" t="str">
        <f t="shared" si="12"/>
        <v>-</v>
      </c>
      <c r="AJ14" s="151" t="str">
        <f t="shared" si="13"/>
        <v>-</v>
      </c>
      <c r="AK14" s="151" t="str">
        <f t="shared" si="14"/>
        <v>-</v>
      </c>
      <c r="AL14" s="151" t="str">
        <f t="shared" si="15"/>
        <v>-</v>
      </c>
      <c r="AM14" s="151" t="str">
        <f t="shared" si="24"/>
        <v/>
      </c>
      <c r="AN14" s="151" t="e">
        <f t="shared" ca="1" si="25"/>
        <v>#DIV/0!</v>
      </c>
    </row>
    <row r="15" spans="1:40" ht="15" customHeight="1">
      <c r="B15" s="165" t="b">
        <f>IF(TRIM(Length_16!D10)="",FALSE,TRUE)</f>
        <v>0</v>
      </c>
      <c r="C15" s="506" t="s">
        <v>417</v>
      </c>
      <c r="D15" s="506" t="s">
        <v>409</v>
      </c>
      <c r="E15" s="165" t="s">
        <v>418</v>
      </c>
      <c r="F15" s="151" t="str">
        <f>IF($B15=FALSE,"",VALUE(Length_16!D10))</f>
        <v/>
      </c>
      <c r="G15" s="151" t="str">
        <f>IF($B15=FALSE,"",Length_16!E10)</f>
        <v/>
      </c>
      <c r="H15" s="165" t="str">
        <f>IF($B15=FALSE,"",Length_16!P10)</f>
        <v/>
      </c>
      <c r="I15" s="165" t="str">
        <f>IF($B15=FALSE,"",Length_16!Q10)</f>
        <v/>
      </c>
      <c r="J15" s="165" t="str">
        <f>IF($B15=FALSE,"",Length_16!R10)</f>
        <v/>
      </c>
      <c r="K15" s="151" t="str">
        <f t="shared" si="1"/>
        <v/>
      </c>
      <c r="L15" s="166" t="str">
        <f t="shared" si="2"/>
        <v/>
      </c>
      <c r="M15" s="168" t="str">
        <f>IF($B15=FALSE,"",Calcu!K15*J$3)</f>
        <v/>
      </c>
      <c r="N15" s="167" t="str">
        <f>IF($B15=FALSE,"",Length_16!D25)</f>
        <v/>
      </c>
      <c r="O15" s="151" t="str">
        <f t="shared" si="16"/>
        <v/>
      </c>
      <c r="P15" s="151" t="str">
        <f t="shared" si="17"/>
        <v/>
      </c>
      <c r="Q15" s="151" t="str">
        <f t="shared" si="18"/>
        <v/>
      </c>
      <c r="R15" s="151" t="str">
        <f t="shared" si="19"/>
        <v/>
      </c>
      <c r="S15" s="158" t="str">
        <f t="shared" si="3"/>
        <v/>
      </c>
      <c r="T15" s="187" t="str">
        <f t="shared" si="20"/>
        <v/>
      </c>
      <c r="U15" s="151" t="str">
        <f t="shared" si="4"/>
        <v/>
      </c>
      <c r="V15" s="151" t="str">
        <f t="shared" si="5"/>
        <v/>
      </c>
      <c r="W15" s="151" t="str">
        <f t="shared" si="6"/>
        <v/>
      </c>
      <c r="X15" s="151" t="str">
        <f t="shared" si="7"/>
        <v/>
      </c>
      <c r="Y15" s="151" t="str">
        <f t="shared" si="8"/>
        <v/>
      </c>
      <c r="Z15" s="151" t="str">
        <f t="shared" si="9"/>
        <v/>
      </c>
      <c r="AA15" s="190" t="str">
        <f t="shared" si="10"/>
        <v/>
      </c>
      <c r="AB15" s="191" t="str">
        <f t="shared" si="21"/>
        <v/>
      </c>
      <c r="AC15" s="151" t="str">
        <f t="shared" si="22"/>
        <v/>
      </c>
      <c r="AD15" s="151" t="str">
        <f t="shared" si="23"/>
        <v/>
      </c>
      <c r="AE15" s="117"/>
      <c r="AF15" s="151" t="e">
        <f ca="1">IF(Length_16!M10&lt;0,ROUNDUP(Length_16!M10*J$3,$M$37),ROUNDDOWN(Length_16!M10*J$3,$M$37))</f>
        <v>#DIV/0!</v>
      </c>
      <c r="AG15" s="151" t="e">
        <f ca="1">IF(Length_16!N10&lt;0,ROUNDDOWN(Length_16!N10*J$3,$M$37),ROUNDUP(Length_16!N10*J$3,$M$37))</f>
        <v>#DIV/0!</v>
      </c>
      <c r="AH15" s="151" t="str">
        <f t="shared" si="11"/>
        <v>-</v>
      </c>
      <c r="AI15" s="151" t="str">
        <f t="shared" si="12"/>
        <v>-</v>
      </c>
      <c r="AJ15" s="151" t="str">
        <f t="shared" si="13"/>
        <v>-</v>
      </c>
      <c r="AK15" s="151" t="str">
        <f t="shared" si="14"/>
        <v>-</v>
      </c>
      <c r="AL15" s="151" t="str">
        <f t="shared" si="15"/>
        <v>-</v>
      </c>
      <c r="AM15" s="151" t="str">
        <f t="shared" si="24"/>
        <v/>
      </c>
      <c r="AN15" s="151" t="e">
        <f t="shared" ca="1" si="25"/>
        <v>#DIV/0!</v>
      </c>
    </row>
    <row r="16" spans="1:40" ht="15" customHeight="1">
      <c r="B16" s="165" t="b">
        <f>IF(TRIM(Length_16!D11)="",FALSE,TRUE)</f>
        <v>0</v>
      </c>
      <c r="C16" s="507"/>
      <c r="D16" s="508"/>
      <c r="E16" s="165" t="s">
        <v>412</v>
      </c>
      <c r="F16" s="151" t="str">
        <f>IF($B16=FALSE,"",VALUE(Length_16!D11))</f>
        <v/>
      </c>
      <c r="G16" s="151" t="str">
        <f>IF($B16=FALSE,"",Length_16!E11)</f>
        <v/>
      </c>
      <c r="H16" s="165" t="str">
        <f>IF($B16=FALSE,"",Length_16!P11)</f>
        <v/>
      </c>
      <c r="I16" s="165" t="str">
        <f>IF($B16=FALSE,"",Length_16!Q11)</f>
        <v/>
      </c>
      <c r="J16" s="165" t="str">
        <f>IF($B16=FALSE,"",Length_16!R11)</f>
        <v/>
      </c>
      <c r="K16" s="151" t="str">
        <f t="shared" si="1"/>
        <v/>
      </c>
      <c r="L16" s="166" t="str">
        <f t="shared" si="2"/>
        <v/>
      </c>
      <c r="M16" s="168" t="str">
        <f>IF($B16=FALSE,"",Calcu!K16*J$3)</f>
        <v/>
      </c>
      <c r="N16" s="167" t="str">
        <f>IF($B16=FALSE,"",Length_16!D26)</f>
        <v/>
      </c>
      <c r="O16" s="151" t="str">
        <f t="shared" si="16"/>
        <v/>
      </c>
      <c r="P16" s="151" t="str">
        <f t="shared" si="17"/>
        <v/>
      </c>
      <c r="Q16" s="151" t="str">
        <f t="shared" si="18"/>
        <v/>
      </c>
      <c r="R16" s="151" t="str">
        <f t="shared" si="19"/>
        <v/>
      </c>
      <c r="S16" s="158" t="str">
        <f t="shared" si="3"/>
        <v/>
      </c>
      <c r="T16" s="187" t="str">
        <f t="shared" si="20"/>
        <v/>
      </c>
      <c r="U16" s="151" t="str">
        <f t="shared" si="4"/>
        <v/>
      </c>
      <c r="V16" s="151" t="str">
        <f t="shared" si="5"/>
        <v/>
      </c>
      <c r="W16" s="151" t="str">
        <f t="shared" si="6"/>
        <v/>
      </c>
      <c r="X16" s="151" t="str">
        <f t="shared" si="7"/>
        <v/>
      </c>
      <c r="Y16" s="151" t="str">
        <f t="shared" si="8"/>
        <v/>
      </c>
      <c r="Z16" s="151" t="str">
        <f t="shared" si="9"/>
        <v/>
      </c>
      <c r="AA16" s="190" t="str">
        <f t="shared" si="10"/>
        <v/>
      </c>
      <c r="AB16" s="191" t="str">
        <f t="shared" si="21"/>
        <v/>
      </c>
      <c r="AC16" s="151" t="str">
        <f t="shared" si="22"/>
        <v/>
      </c>
      <c r="AD16" s="151" t="str">
        <f t="shared" si="23"/>
        <v/>
      </c>
      <c r="AE16" s="117"/>
      <c r="AF16" s="151" t="e">
        <f ca="1">IF(Length_16!M11&lt;0,ROUNDUP(Length_16!M11*J$3,$M$37),ROUNDDOWN(Length_16!M11*J$3,$M$37))</f>
        <v>#DIV/0!</v>
      </c>
      <c r="AG16" s="151" t="e">
        <f ca="1">IF(Length_16!N11&lt;0,ROUNDDOWN(Length_16!N11*J$3,$M$37),ROUNDUP(Length_16!N11*J$3,$M$37))</f>
        <v>#DIV/0!</v>
      </c>
      <c r="AH16" s="151" t="str">
        <f t="shared" si="11"/>
        <v>-</v>
      </c>
      <c r="AI16" s="151" t="str">
        <f t="shared" si="12"/>
        <v>-</v>
      </c>
      <c r="AJ16" s="151" t="str">
        <f t="shared" si="13"/>
        <v>-</v>
      </c>
      <c r="AK16" s="151" t="str">
        <f t="shared" si="14"/>
        <v>-</v>
      </c>
      <c r="AL16" s="151" t="str">
        <f t="shared" si="15"/>
        <v>-</v>
      </c>
      <c r="AM16" s="151" t="str">
        <f t="shared" si="24"/>
        <v/>
      </c>
      <c r="AN16" s="151" t="e">
        <f t="shared" ca="1" si="25"/>
        <v>#DIV/0!</v>
      </c>
    </row>
    <row r="17" spans="1:40" ht="15" customHeight="1">
      <c r="B17" s="165" t="b">
        <f>IF(TRIM(Length_16!D12)="",FALSE,TRUE)</f>
        <v>0</v>
      </c>
      <c r="C17" s="507"/>
      <c r="D17" s="506" t="s">
        <v>414</v>
      </c>
      <c r="E17" s="165" t="s">
        <v>418</v>
      </c>
      <c r="F17" s="151" t="str">
        <f>IF($B17=FALSE,"",VALUE(Length_16!D12))</f>
        <v/>
      </c>
      <c r="G17" s="151" t="str">
        <f>IF($B17=FALSE,"",Length_16!E12)</f>
        <v/>
      </c>
      <c r="H17" s="165" t="str">
        <f>IF($B17=FALSE,"",Length_16!P12)</f>
        <v/>
      </c>
      <c r="I17" s="165" t="str">
        <f>IF($B17=FALSE,"",Length_16!Q12)</f>
        <v/>
      </c>
      <c r="J17" s="165" t="str">
        <f>IF($B17=FALSE,"",Length_16!R12)</f>
        <v/>
      </c>
      <c r="K17" s="151" t="str">
        <f t="shared" si="1"/>
        <v/>
      </c>
      <c r="L17" s="166" t="str">
        <f t="shared" si="2"/>
        <v/>
      </c>
      <c r="M17" s="168" t="str">
        <f>IF($B17=FALSE,"",Calcu!K17*J$3)</f>
        <v/>
      </c>
      <c r="N17" s="167" t="str">
        <f>IF($B17=FALSE,"",Length_16!D27)</f>
        <v/>
      </c>
      <c r="O17" s="151" t="str">
        <f t="shared" si="16"/>
        <v/>
      </c>
      <c r="P17" s="151" t="str">
        <f t="shared" si="17"/>
        <v/>
      </c>
      <c r="Q17" s="151" t="str">
        <f t="shared" si="18"/>
        <v/>
      </c>
      <c r="R17" s="151" t="str">
        <f t="shared" si="19"/>
        <v/>
      </c>
      <c r="S17" s="158" t="str">
        <f t="shared" si="3"/>
        <v/>
      </c>
      <c r="T17" s="187" t="str">
        <f t="shared" si="20"/>
        <v/>
      </c>
      <c r="U17" s="151" t="str">
        <f t="shared" si="4"/>
        <v/>
      </c>
      <c r="V17" s="151" t="str">
        <f t="shared" si="5"/>
        <v/>
      </c>
      <c r="W17" s="151" t="str">
        <f t="shared" si="6"/>
        <v/>
      </c>
      <c r="X17" s="151" t="str">
        <f t="shared" si="7"/>
        <v/>
      </c>
      <c r="Y17" s="151" t="str">
        <f t="shared" si="8"/>
        <v/>
      </c>
      <c r="Z17" s="151" t="str">
        <f t="shared" si="9"/>
        <v/>
      </c>
      <c r="AA17" s="190" t="str">
        <f t="shared" si="10"/>
        <v/>
      </c>
      <c r="AB17" s="191" t="str">
        <f t="shared" si="21"/>
        <v/>
      </c>
      <c r="AC17" s="151" t="str">
        <f t="shared" si="22"/>
        <v/>
      </c>
      <c r="AD17" s="151" t="str">
        <f t="shared" si="23"/>
        <v/>
      </c>
      <c r="AE17" s="117"/>
      <c r="AF17" s="151" t="e">
        <f ca="1">IF(Length_16!M12&lt;0,ROUNDUP(Length_16!M12*J$3,$M$37),ROUNDDOWN(Length_16!M12*J$3,$M$37))</f>
        <v>#DIV/0!</v>
      </c>
      <c r="AG17" s="151" t="e">
        <f ca="1">IF(Length_16!N12&lt;0,ROUNDDOWN(Length_16!N12*J$3,$M$37),ROUNDUP(Length_16!N12*J$3,$M$37))</f>
        <v>#DIV/0!</v>
      </c>
      <c r="AH17" s="151" t="str">
        <f t="shared" si="11"/>
        <v>-</v>
      </c>
      <c r="AI17" s="151" t="str">
        <f t="shared" si="12"/>
        <v>-</v>
      </c>
      <c r="AJ17" s="151" t="str">
        <f t="shared" si="13"/>
        <v>-</v>
      </c>
      <c r="AK17" s="151" t="str">
        <f t="shared" si="14"/>
        <v>-</v>
      </c>
      <c r="AL17" s="151" t="str">
        <f t="shared" si="15"/>
        <v>-</v>
      </c>
      <c r="AM17" s="151" t="str">
        <f t="shared" si="24"/>
        <v/>
      </c>
      <c r="AN17" s="151" t="e">
        <f t="shared" ca="1" si="25"/>
        <v>#DIV/0!</v>
      </c>
    </row>
    <row r="18" spans="1:40" ht="15" customHeight="1">
      <c r="B18" s="165" t="b">
        <f>IF(TRIM(Length_16!D13)="",FALSE,TRUE)</f>
        <v>0</v>
      </c>
      <c r="C18" s="507"/>
      <c r="D18" s="508"/>
      <c r="E18" s="165" t="s">
        <v>412</v>
      </c>
      <c r="F18" s="151" t="str">
        <f>IF($B18=FALSE,"",VALUE(Length_16!D13))</f>
        <v/>
      </c>
      <c r="G18" s="151" t="str">
        <f>IF($B18=FALSE,"",Length_16!E13)</f>
        <v/>
      </c>
      <c r="H18" s="165" t="str">
        <f>IF($B18=FALSE,"",Length_16!P13)</f>
        <v/>
      </c>
      <c r="I18" s="165" t="str">
        <f>IF($B18=FALSE,"",Length_16!Q13)</f>
        <v/>
      </c>
      <c r="J18" s="165" t="str">
        <f>IF($B18=FALSE,"",Length_16!R13)</f>
        <v/>
      </c>
      <c r="K18" s="151" t="str">
        <f t="shared" si="1"/>
        <v/>
      </c>
      <c r="L18" s="166" t="str">
        <f t="shared" si="2"/>
        <v/>
      </c>
      <c r="M18" s="168" t="str">
        <f>IF($B18=FALSE,"",Calcu!K18*J$3)</f>
        <v/>
      </c>
      <c r="N18" s="167" t="str">
        <f>IF($B18=FALSE,"",Length_16!D28)</f>
        <v/>
      </c>
      <c r="O18" s="151" t="str">
        <f t="shared" si="16"/>
        <v/>
      </c>
      <c r="P18" s="151" t="str">
        <f t="shared" si="17"/>
        <v/>
      </c>
      <c r="Q18" s="151" t="str">
        <f t="shared" si="18"/>
        <v/>
      </c>
      <c r="R18" s="151" t="str">
        <f t="shared" si="19"/>
        <v/>
      </c>
      <c r="S18" s="158" t="str">
        <f t="shared" si="3"/>
        <v/>
      </c>
      <c r="T18" s="187" t="str">
        <f t="shared" si="20"/>
        <v/>
      </c>
      <c r="U18" s="151" t="str">
        <f t="shared" si="4"/>
        <v/>
      </c>
      <c r="V18" s="151" t="str">
        <f t="shared" si="5"/>
        <v/>
      </c>
      <c r="W18" s="151" t="str">
        <f t="shared" si="6"/>
        <v/>
      </c>
      <c r="X18" s="151" t="str">
        <f t="shared" si="7"/>
        <v/>
      </c>
      <c r="Y18" s="151" t="str">
        <f t="shared" si="8"/>
        <v/>
      </c>
      <c r="Z18" s="151" t="str">
        <f t="shared" si="9"/>
        <v/>
      </c>
      <c r="AA18" s="190" t="str">
        <f t="shared" si="10"/>
        <v/>
      </c>
      <c r="AB18" s="191" t="str">
        <f t="shared" si="21"/>
        <v/>
      </c>
      <c r="AC18" s="151" t="str">
        <f t="shared" si="22"/>
        <v/>
      </c>
      <c r="AD18" s="151" t="str">
        <f t="shared" si="23"/>
        <v/>
      </c>
      <c r="AE18" s="117"/>
      <c r="AF18" s="151" t="e">
        <f ca="1">IF(Length_16!M13&lt;0,ROUNDUP(Length_16!M13*J$3,$M$37),ROUNDDOWN(Length_16!M13*J$3,$M$37))</f>
        <v>#DIV/0!</v>
      </c>
      <c r="AG18" s="151" t="e">
        <f ca="1">IF(Length_16!N13&lt;0,ROUNDDOWN(Length_16!N13*J$3,$M$37),ROUNDUP(Length_16!N13*J$3,$M$37))</f>
        <v>#DIV/0!</v>
      </c>
      <c r="AH18" s="151" t="str">
        <f t="shared" si="11"/>
        <v>-</v>
      </c>
      <c r="AI18" s="151" t="str">
        <f t="shared" si="12"/>
        <v>-</v>
      </c>
      <c r="AJ18" s="151" t="str">
        <f t="shared" si="13"/>
        <v>-</v>
      </c>
      <c r="AK18" s="151" t="str">
        <f t="shared" si="14"/>
        <v>-</v>
      </c>
      <c r="AL18" s="151" t="str">
        <f t="shared" si="15"/>
        <v>-</v>
      </c>
      <c r="AM18" s="151" t="str">
        <f t="shared" si="24"/>
        <v/>
      </c>
      <c r="AN18" s="151" t="e">
        <f t="shared" ca="1" si="25"/>
        <v>#DIV/0!</v>
      </c>
    </row>
    <row r="19" spans="1:40" ht="15" customHeight="1">
      <c r="B19" s="165" t="b">
        <f>IF(TRIM(Length_16!D14)="",FALSE,TRUE)</f>
        <v>0</v>
      </c>
      <c r="C19" s="507"/>
      <c r="D19" s="506" t="s">
        <v>327</v>
      </c>
      <c r="E19" s="165" t="s">
        <v>418</v>
      </c>
      <c r="F19" s="151" t="str">
        <f>IF($B19=FALSE,"",VALUE(Length_16!D14))</f>
        <v/>
      </c>
      <c r="G19" s="151" t="str">
        <f>IF($B19=FALSE,"",Length_16!E14)</f>
        <v/>
      </c>
      <c r="H19" s="165" t="str">
        <f>IF($B19=FALSE,"",Length_16!P14)</f>
        <v/>
      </c>
      <c r="I19" s="165" t="str">
        <f>IF($B19=FALSE,"",Length_16!Q14)</f>
        <v/>
      </c>
      <c r="J19" s="165" t="str">
        <f>IF($B19=FALSE,"",Length_16!R14)</f>
        <v/>
      </c>
      <c r="K19" s="151" t="str">
        <f t="shared" si="1"/>
        <v/>
      </c>
      <c r="L19" s="166" t="str">
        <f t="shared" si="2"/>
        <v/>
      </c>
      <c r="M19" s="168" t="str">
        <f>IF($B19=FALSE,"",Calcu!K19*J$3)</f>
        <v/>
      </c>
      <c r="N19" s="167" t="str">
        <f>IF($B19=FALSE,"",Length_16!D29)</f>
        <v/>
      </c>
      <c r="O19" s="151" t="str">
        <f t="shared" si="16"/>
        <v/>
      </c>
      <c r="P19" s="151" t="str">
        <f t="shared" si="17"/>
        <v/>
      </c>
      <c r="Q19" s="151" t="str">
        <f t="shared" si="18"/>
        <v/>
      </c>
      <c r="R19" s="151" t="str">
        <f t="shared" si="19"/>
        <v/>
      </c>
      <c r="S19" s="158" t="str">
        <f t="shared" si="3"/>
        <v/>
      </c>
      <c r="T19" s="187" t="str">
        <f t="shared" si="20"/>
        <v/>
      </c>
      <c r="U19" s="151" t="str">
        <f t="shared" si="4"/>
        <v/>
      </c>
      <c r="V19" s="151" t="str">
        <f t="shared" si="5"/>
        <v/>
      </c>
      <c r="W19" s="151" t="str">
        <f t="shared" si="6"/>
        <v/>
      </c>
      <c r="X19" s="151" t="str">
        <f t="shared" si="7"/>
        <v/>
      </c>
      <c r="Y19" s="151" t="str">
        <f t="shared" si="8"/>
        <v/>
      </c>
      <c r="Z19" s="151" t="str">
        <f t="shared" si="9"/>
        <v/>
      </c>
      <c r="AA19" s="190" t="str">
        <f t="shared" si="10"/>
        <v/>
      </c>
      <c r="AB19" s="191" t="str">
        <f t="shared" si="21"/>
        <v/>
      </c>
      <c r="AC19" s="151" t="str">
        <f t="shared" si="22"/>
        <v/>
      </c>
      <c r="AD19" s="151" t="str">
        <f t="shared" si="23"/>
        <v/>
      </c>
      <c r="AE19" s="117"/>
      <c r="AF19" s="151" t="e">
        <f ca="1">IF(Length_16!M14&lt;0,ROUNDUP(Length_16!M14*J$3,$M$37),ROUNDDOWN(Length_16!M14*J$3,$M$37))</f>
        <v>#DIV/0!</v>
      </c>
      <c r="AG19" s="151" t="e">
        <f ca="1">IF(Length_16!N14&lt;0,ROUNDDOWN(Length_16!N14*J$3,$M$37),ROUNDUP(Length_16!N14*J$3,$M$37))</f>
        <v>#DIV/0!</v>
      </c>
      <c r="AH19" s="151" t="str">
        <f t="shared" si="11"/>
        <v>-</v>
      </c>
      <c r="AI19" s="151" t="str">
        <f t="shared" si="12"/>
        <v>-</v>
      </c>
      <c r="AJ19" s="151" t="str">
        <f t="shared" si="13"/>
        <v>-</v>
      </c>
      <c r="AK19" s="151" t="str">
        <f t="shared" si="14"/>
        <v>-</v>
      </c>
      <c r="AL19" s="151" t="str">
        <f t="shared" si="15"/>
        <v>-</v>
      </c>
      <c r="AM19" s="151" t="str">
        <f t="shared" si="24"/>
        <v/>
      </c>
      <c r="AN19" s="151" t="e">
        <f t="shared" ca="1" si="25"/>
        <v>#DIV/0!</v>
      </c>
    </row>
    <row r="20" spans="1:40" ht="15" customHeight="1">
      <c r="B20" s="165" t="b">
        <f>IF(TRIM(Length_16!D15)="",FALSE,TRUE)</f>
        <v>0</v>
      </c>
      <c r="C20" s="508"/>
      <c r="D20" s="508"/>
      <c r="E20" s="165" t="s">
        <v>413</v>
      </c>
      <c r="F20" s="151" t="str">
        <f>IF($B20=FALSE,"",VALUE(Length_16!D15))</f>
        <v/>
      </c>
      <c r="G20" s="151" t="str">
        <f>IF($B20=FALSE,"",Length_16!E15)</f>
        <v/>
      </c>
      <c r="H20" s="165" t="str">
        <f>IF($B20=FALSE,"",Length_16!P15)</f>
        <v/>
      </c>
      <c r="I20" s="165" t="str">
        <f>IF($B20=FALSE,"",Length_16!Q15)</f>
        <v/>
      </c>
      <c r="J20" s="165" t="str">
        <f>IF($B20=FALSE,"",Length_16!R15)</f>
        <v/>
      </c>
      <c r="K20" s="151" t="str">
        <f t="shared" si="1"/>
        <v/>
      </c>
      <c r="L20" s="166" t="str">
        <f t="shared" si="2"/>
        <v/>
      </c>
      <c r="M20" s="168" t="str">
        <f>IF($B20=FALSE,"",Calcu!K20*J$3)</f>
        <v/>
      </c>
      <c r="N20" s="167" t="str">
        <f>IF($B20=FALSE,"",Length_16!D30)</f>
        <v/>
      </c>
      <c r="O20" s="151" t="str">
        <f t="shared" si="16"/>
        <v/>
      </c>
      <c r="P20" s="151" t="str">
        <f t="shared" si="17"/>
        <v/>
      </c>
      <c r="Q20" s="151" t="str">
        <f t="shared" si="18"/>
        <v/>
      </c>
      <c r="R20" s="151" t="str">
        <f t="shared" si="19"/>
        <v/>
      </c>
      <c r="S20" s="158" t="str">
        <f t="shared" si="3"/>
        <v/>
      </c>
      <c r="T20" s="187" t="str">
        <f t="shared" si="20"/>
        <v/>
      </c>
      <c r="U20" s="151" t="str">
        <f t="shared" si="4"/>
        <v/>
      </c>
      <c r="V20" s="151" t="str">
        <f t="shared" si="5"/>
        <v/>
      </c>
      <c r="W20" s="151" t="str">
        <f t="shared" si="6"/>
        <v/>
      </c>
      <c r="X20" s="151" t="str">
        <f t="shared" si="7"/>
        <v/>
      </c>
      <c r="Y20" s="151" t="str">
        <f t="shared" si="8"/>
        <v/>
      </c>
      <c r="Z20" s="151" t="str">
        <f t="shared" si="9"/>
        <v/>
      </c>
      <c r="AA20" s="190" t="str">
        <f t="shared" si="10"/>
        <v/>
      </c>
      <c r="AB20" s="191" t="str">
        <f t="shared" si="21"/>
        <v/>
      </c>
      <c r="AC20" s="151" t="str">
        <f t="shared" si="22"/>
        <v/>
      </c>
      <c r="AD20" s="151" t="str">
        <f t="shared" si="23"/>
        <v/>
      </c>
      <c r="AE20" s="117"/>
      <c r="AF20" s="151" t="e">
        <f ca="1">IF(Length_16!M15&lt;0,ROUNDUP(Length_16!M15*J$3,$M$37),ROUNDDOWN(Length_16!M15*J$3,$M$37))</f>
        <v>#DIV/0!</v>
      </c>
      <c r="AG20" s="151" t="e">
        <f ca="1">IF(Length_16!N15&lt;0,ROUNDDOWN(Length_16!N15*J$3,$M$37),ROUNDUP(Length_16!N15*J$3,$M$37))</f>
        <v>#DIV/0!</v>
      </c>
      <c r="AH20" s="151" t="str">
        <f t="shared" si="11"/>
        <v>-</v>
      </c>
      <c r="AI20" s="151" t="str">
        <f t="shared" si="12"/>
        <v>-</v>
      </c>
      <c r="AJ20" s="151" t="str">
        <f t="shared" si="13"/>
        <v>-</v>
      </c>
      <c r="AK20" s="151" t="str">
        <f t="shared" si="14"/>
        <v>-</v>
      </c>
      <c r="AL20" s="151" t="str">
        <f t="shared" si="15"/>
        <v>-</v>
      </c>
      <c r="AM20" s="151" t="str">
        <f t="shared" si="24"/>
        <v/>
      </c>
      <c r="AN20" s="151" t="e">
        <f t="shared" ca="1" si="25"/>
        <v>#DIV/0!</v>
      </c>
    </row>
    <row r="21" spans="1:40" ht="15" customHeight="1">
      <c r="N21" s="113"/>
      <c r="O21" s="113"/>
      <c r="P21" s="113"/>
      <c r="Q21" s="113"/>
      <c r="R21" s="113"/>
      <c r="S21" s="113"/>
      <c r="T21" s="113"/>
      <c r="W21" s="113"/>
    </row>
    <row r="22" spans="1:40" ht="15" customHeight="1">
      <c r="A22" s="111" t="s">
        <v>328</v>
      </c>
      <c r="C22" s="112"/>
      <c r="D22" s="112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</row>
    <row r="23" spans="1:40" ht="15" customHeight="1">
      <c r="A23" s="111"/>
      <c r="B23" s="484"/>
      <c r="C23" s="484" t="s">
        <v>419</v>
      </c>
      <c r="D23" s="501" t="s">
        <v>420</v>
      </c>
      <c r="E23" s="484" t="s">
        <v>421</v>
      </c>
      <c r="F23" s="484" t="s">
        <v>369</v>
      </c>
      <c r="G23" s="481">
        <v>1</v>
      </c>
      <c r="H23" s="482"/>
      <c r="I23" s="482"/>
      <c r="J23" s="482"/>
      <c r="K23" s="483"/>
      <c r="L23" s="150">
        <v>2</v>
      </c>
      <c r="M23" s="481">
        <v>3</v>
      </c>
      <c r="N23" s="482"/>
      <c r="O23" s="482"/>
      <c r="P23" s="483"/>
      <c r="Q23" s="481">
        <v>4</v>
      </c>
      <c r="R23" s="483"/>
      <c r="S23" s="150">
        <v>5</v>
      </c>
      <c r="T23" s="484" t="s">
        <v>422</v>
      </c>
      <c r="U23" s="481" t="s">
        <v>423</v>
      </c>
      <c r="V23" s="483"/>
    </row>
    <row r="24" spans="1:40" ht="15" customHeight="1">
      <c r="A24" s="111"/>
      <c r="B24" s="485"/>
      <c r="C24" s="485"/>
      <c r="D24" s="503"/>
      <c r="E24" s="485"/>
      <c r="F24" s="485"/>
      <c r="G24" s="150" t="s">
        <v>424</v>
      </c>
      <c r="H24" s="150" t="s">
        <v>425</v>
      </c>
      <c r="I24" s="150" t="s">
        <v>426</v>
      </c>
      <c r="J24" s="481" t="s">
        <v>166</v>
      </c>
      <c r="K24" s="483"/>
      <c r="L24" s="150" t="s">
        <v>167</v>
      </c>
      <c r="M24" s="481" t="s">
        <v>424</v>
      </c>
      <c r="N24" s="483"/>
      <c r="O24" s="481" t="s">
        <v>427</v>
      </c>
      <c r="P24" s="483"/>
      <c r="Q24" s="481" t="s">
        <v>428</v>
      </c>
      <c r="R24" s="483"/>
      <c r="S24" s="150" t="s">
        <v>170</v>
      </c>
      <c r="T24" s="504"/>
      <c r="U24" s="150" t="s">
        <v>329</v>
      </c>
      <c r="V24" s="150" t="s">
        <v>430</v>
      </c>
    </row>
    <row r="25" spans="1:40" ht="15" customHeight="1">
      <c r="B25" s="150" t="s">
        <v>431</v>
      </c>
      <c r="C25" s="169" t="s">
        <v>432</v>
      </c>
      <c r="D25" s="170" t="s">
        <v>433</v>
      </c>
      <c r="E25" s="192" t="e">
        <f ca="1">OFFSET(M$8,MATCH(L$3,S$9:S$20,0),0)</f>
        <v>#N/A</v>
      </c>
      <c r="F25" s="171" t="s">
        <v>399</v>
      </c>
      <c r="G25" s="172">
        <f>MAX(L9:L20,N3)*1000</f>
        <v>0</v>
      </c>
      <c r="H25" s="152">
        <v>1</v>
      </c>
      <c r="I25" s="176">
        <v>5</v>
      </c>
      <c r="J25" s="193">
        <f>G25/(H25*SQRT(I25))</f>
        <v>0</v>
      </c>
      <c r="K25" s="153" t="s">
        <v>434</v>
      </c>
      <c r="L25" s="174" t="s">
        <v>435</v>
      </c>
      <c r="M25" s="151"/>
      <c r="N25" s="151"/>
      <c r="O25" s="168">
        <v>1</v>
      </c>
      <c r="P25" s="151"/>
      <c r="Q25" s="175">
        <f t="shared" ref="Q25:Q32" si="26">ABS(J25*O25)</f>
        <v>0</v>
      </c>
      <c r="R25" s="153" t="s">
        <v>436</v>
      </c>
      <c r="S25" s="151">
        <v>5</v>
      </c>
      <c r="T25" s="178">
        <f t="shared" ref="T25:T32" si="27">IF(S25="∞",0,Q25^4/S25)</f>
        <v>0</v>
      </c>
      <c r="U25" s="175" t="str">
        <f t="shared" ref="U25:U32" si="28">IF(OR(L25="직사각형",L25="삼각형"),Q25,"")</f>
        <v/>
      </c>
      <c r="V25" s="175">
        <f>IF(OR(L25="직사각형",L25="삼각형"),"",Q25)</f>
        <v>0</v>
      </c>
    </row>
    <row r="26" spans="1:40" ht="15" customHeight="1">
      <c r="B26" s="150" t="s">
        <v>437</v>
      </c>
      <c r="C26" s="169" t="s">
        <v>438</v>
      </c>
      <c r="D26" s="170" t="s">
        <v>439</v>
      </c>
      <c r="E26" s="192" t="e">
        <f ca="1">OFFSET(N$8,MATCH(L$3,S$9:S$20,0),0)</f>
        <v>#N/A</v>
      </c>
      <c r="F26" s="171" t="s">
        <v>406</v>
      </c>
      <c r="G26" s="151">
        <f>Length_16!F19</f>
        <v>0</v>
      </c>
      <c r="H26" s="151">
        <f>Length_16!G19</f>
        <v>0</v>
      </c>
      <c r="I26" s="151">
        <f>Length_16!I19</f>
        <v>0</v>
      </c>
      <c r="J26" s="193" t="e">
        <f>SQRT(SUMSQ(G26,H26*L3))/I26</f>
        <v>#DIV/0!</v>
      </c>
      <c r="K26" s="153" t="s">
        <v>440</v>
      </c>
      <c r="L26" s="174" t="s">
        <v>441</v>
      </c>
      <c r="M26" s="151"/>
      <c r="N26" s="151"/>
      <c r="O26" s="168">
        <v>1</v>
      </c>
      <c r="P26" s="151"/>
      <c r="Q26" s="175" t="e">
        <f>ABS(J26*O26)</f>
        <v>#DIV/0!</v>
      </c>
      <c r="R26" s="153" t="s">
        <v>440</v>
      </c>
      <c r="S26" s="151" t="s">
        <v>442</v>
      </c>
      <c r="T26" s="178">
        <f t="shared" si="27"/>
        <v>0</v>
      </c>
      <c r="U26" s="175" t="str">
        <f t="shared" si="28"/>
        <v/>
      </c>
      <c r="V26" s="175" t="e">
        <f>IF(OR(L26="직사각형",L26="삼각형"),"",Q26)</f>
        <v>#DIV/0!</v>
      </c>
    </row>
    <row r="27" spans="1:40" ht="15" customHeight="1">
      <c r="B27" s="150" t="s">
        <v>145</v>
      </c>
      <c r="C27" s="169" t="s">
        <v>443</v>
      </c>
      <c r="D27" s="170" t="s">
        <v>124</v>
      </c>
      <c r="E27" s="194" t="e">
        <f ca="1">OFFSET(O$8,MATCH(L$3,S$9:S$20,0),0)</f>
        <v>#N/A</v>
      </c>
      <c r="F27" s="171" t="s">
        <v>403</v>
      </c>
      <c r="G27" s="195">
        <f>1*10^-6</f>
        <v>9.9999999999999995E-7</v>
      </c>
      <c r="H27" s="152">
        <v>1</v>
      </c>
      <c r="I27" s="176">
        <v>3</v>
      </c>
      <c r="J27" s="196">
        <f>SQRT((G27/SQRT(I27)/2)^2+(G27/SQRT(I27)/2)^2)</f>
        <v>4.0824829046386305E-7</v>
      </c>
      <c r="K27" s="171" t="s">
        <v>444</v>
      </c>
      <c r="L27" s="174" t="s">
        <v>445</v>
      </c>
      <c r="M27" s="153" t="e">
        <f ca="1">-G28</f>
        <v>#N/A</v>
      </c>
      <c r="N27" s="151">
        <f>$L$3*1000</f>
        <v>0</v>
      </c>
      <c r="O27" s="168" t="e">
        <f ca="1">M27*N27</f>
        <v>#N/A</v>
      </c>
      <c r="P27" s="151" t="s">
        <v>446</v>
      </c>
      <c r="Q27" s="175" t="e">
        <f t="shared" ref="Q27:Q30" ca="1" si="29">ABS(J27*O27)</f>
        <v>#N/A</v>
      </c>
      <c r="R27" s="153" t="s">
        <v>440</v>
      </c>
      <c r="S27" s="151">
        <f>J27^4/SUM((G27/SQRT(3)/2)^4/(1/2*(100/10)^2),(G27/SQRT(3)/2)^4/(1/2*(100/10)^2))</f>
        <v>100.00000000000004</v>
      </c>
      <c r="T27" s="178" t="e">
        <f t="shared" ca="1" si="27"/>
        <v>#N/A</v>
      </c>
      <c r="U27" s="175" t="e">
        <f t="shared" ca="1" si="28"/>
        <v>#N/A</v>
      </c>
      <c r="V27" s="175" t="str">
        <f>IF(OR(L27="직사각형",L27="삼각형"),"",Q27)</f>
        <v/>
      </c>
    </row>
    <row r="28" spans="1:40" ht="15" customHeight="1">
      <c r="B28" s="150" t="s">
        <v>447</v>
      </c>
      <c r="C28" s="169" t="s">
        <v>448</v>
      </c>
      <c r="D28" s="170" t="s">
        <v>125</v>
      </c>
      <c r="E28" s="151" t="e">
        <f ca="1">OFFSET(P$8,MATCH(L$3,S$9:S$20,0),0)</f>
        <v>#N/A</v>
      </c>
      <c r="F28" s="171" t="s">
        <v>449</v>
      </c>
      <c r="G28" s="153" t="e">
        <f ca="1">MAX(ABS(E28),IF(기본정보!H$12=1,1,0.3))</f>
        <v>#N/A</v>
      </c>
      <c r="H28" s="152">
        <v>1</v>
      </c>
      <c r="I28" s="176">
        <v>3</v>
      </c>
      <c r="J28" s="173" t="e">
        <f ca="1">G28/SQRT(I28)</f>
        <v>#N/A</v>
      </c>
      <c r="K28" s="171" t="s">
        <v>449</v>
      </c>
      <c r="L28" s="174" t="s">
        <v>329</v>
      </c>
      <c r="M28" s="195" t="e">
        <f ca="1">-E27</f>
        <v>#N/A</v>
      </c>
      <c r="N28" s="151">
        <f t="shared" ref="N28:N30" si="30">$L$3*1000</f>
        <v>0</v>
      </c>
      <c r="O28" s="219" t="e">
        <f ca="1">M28*N28</f>
        <v>#N/A</v>
      </c>
      <c r="P28" s="151" t="s">
        <v>450</v>
      </c>
      <c r="Q28" s="175" t="e">
        <f t="shared" ca="1" si="29"/>
        <v>#N/A</v>
      </c>
      <c r="R28" s="153" t="s">
        <v>436</v>
      </c>
      <c r="S28" s="151">
        <f>ROUNDDOWN(1/2*(100/20)^2,0)</f>
        <v>12</v>
      </c>
      <c r="T28" s="178" t="e">
        <f t="shared" ca="1" si="27"/>
        <v>#N/A</v>
      </c>
      <c r="U28" s="175" t="e">
        <f t="shared" ca="1" si="28"/>
        <v>#N/A</v>
      </c>
      <c r="V28" s="175" t="str">
        <f>IF(OR(L28="직사각형",L28="삼각형"),"",Q28)</f>
        <v/>
      </c>
    </row>
    <row r="29" spans="1:40" ht="15" customHeight="1">
      <c r="B29" s="150" t="s">
        <v>179</v>
      </c>
      <c r="C29" s="169" t="s">
        <v>451</v>
      </c>
      <c r="D29" s="170" t="s">
        <v>126</v>
      </c>
      <c r="E29" s="194" t="e">
        <f ca="1">OFFSET(Q$8,MATCH(L$3,S$9:S$20,0),0)</f>
        <v>#N/A</v>
      </c>
      <c r="F29" s="171" t="s">
        <v>403</v>
      </c>
      <c r="G29" s="195">
        <f>1*10^-6</f>
        <v>9.9999999999999995E-7</v>
      </c>
      <c r="H29" s="152">
        <v>1</v>
      </c>
      <c r="I29" s="176">
        <v>3</v>
      </c>
      <c r="J29" s="196">
        <f>SQRT((G29/SQRT(I29))^2+(G29/SQRT(I29))^2)</f>
        <v>8.1649658092772609E-7</v>
      </c>
      <c r="K29" s="171" t="s">
        <v>444</v>
      </c>
      <c r="L29" s="174" t="s">
        <v>452</v>
      </c>
      <c r="M29" s="153" t="e">
        <f ca="1">-E30</f>
        <v>#N/A</v>
      </c>
      <c r="N29" s="151">
        <f t="shared" si="30"/>
        <v>0</v>
      </c>
      <c r="O29" s="168" t="e">
        <f ca="1">M29*N29</f>
        <v>#N/A</v>
      </c>
      <c r="P29" s="151" t="s">
        <v>446</v>
      </c>
      <c r="Q29" s="175" t="e">
        <f t="shared" ca="1" si="29"/>
        <v>#N/A</v>
      </c>
      <c r="R29" s="153" t="s">
        <v>453</v>
      </c>
      <c r="S29" s="151">
        <f>J29^4/SUM((G29/SQRT(3))^4/(1/2*(100/10)^2),(G29/SQRT(3))^4/(1/2*(100/10)^2))</f>
        <v>100.00000000000004</v>
      </c>
      <c r="T29" s="178" t="e">
        <f t="shared" ca="1" si="27"/>
        <v>#N/A</v>
      </c>
      <c r="U29" s="175" t="e">
        <f t="shared" ca="1" si="28"/>
        <v>#N/A</v>
      </c>
      <c r="V29" s="175" t="str">
        <f>IF(OR(L29="직사각형",L29="삼각형"),"",Q29)</f>
        <v/>
      </c>
    </row>
    <row r="30" spans="1:40" ht="15" customHeight="1">
      <c r="B30" s="150" t="s">
        <v>454</v>
      </c>
      <c r="C30" s="169" t="s">
        <v>127</v>
      </c>
      <c r="D30" s="170" t="s">
        <v>128</v>
      </c>
      <c r="E30" s="151" t="e">
        <f ca="1">OFFSET(R$8,MATCH(L$3,S$9:S$20,0),0)</f>
        <v>#N/A</v>
      </c>
      <c r="F30" s="171" t="s">
        <v>455</v>
      </c>
      <c r="G30" s="153">
        <f>IF(기본정보!H$12=1,3,1)</f>
        <v>1</v>
      </c>
      <c r="H30" s="152">
        <v>1</v>
      </c>
      <c r="I30" s="176">
        <v>3</v>
      </c>
      <c r="J30" s="173">
        <f>G30/SQRT(I30)</f>
        <v>0.57735026918962584</v>
      </c>
      <c r="K30" s="171" t="s">
        <v>449</v>
      </c>
      <c r="L30" s="174" t="s">
        <v>456</v>
      </c>
      <c r="M30" s="197" t="e">
        <f ca="1">-E29</f>
        <v>#N/A</v>
      </c>
      <c r="N30" s="151">
        <f t="shared" si="30"/>
        <v>0</v>
      </c>
      <c r="O30" s="196" t="e">
        <f ca="1">M30*N30</f>
        <v>#N/A</v>
      </c>
      <c r="P30" s="151" t="s">
        <v>457</v>
      </c>
      <c r="Q30" s="175" t="e">
        <f t="shared" ca="1" si="29"/>
        <v>#N/A</v>
      </c>
      <c r="R30" s="153" t="s">
        <v>440</v>
      </c>
      <c r="S30" s="151">
        <f>ROUNDDOWN(1/2*(100/20)^2,0)</f>
        <v>12</v>
      </c>
      <c r="T30" s="178" t="e">
        <f t="shared" ca="1" si="27"/>
        <v>#N/A</v>
      </c>
      <c r="U30" s="175" t="e">
        <f t="shared" ca="1" si="28"/>
        <v>#N/A</v>
      </c>
      <c r="V30" s="175" t="str">
        <f t="shared" ref="V30:V32" si="31">IF(OR(L30="직사각형",L30="삼각형"),"",Q30)</f>
        <v/>
      </c>
    </row>
    <row r="31" spans="1:40" ht="15" customHeight="1">
      <c r="B31" s="150" t="s">
        <v>458</v>
      </c>
      <c r="C31" s="169" t="s">
        <v>459</v>
      </c>
      <c r="D31" s="170" t="s">
        <v>460</v>
      </c>
      <c r="E31" s="192" t="e">
        <f ca="1">OFFSET(AA$8,MATCH(L$3,S$9:S$20,0),0)</f>
        <v>#N/A</v>
      </c>
      <c r="F31" s="171" t="s">
        <v>406</v>
      </c>
      <c r="G31" s="175" t="e">
        <f ca="1">E31*1000</f>
        <v>#N/A</v>
      </c>
      <c r="H31" s="151">
        <v>2</v>
      </c>
      <c r="I31" s="176">
        <v>3</v>
      </c>
      <c r="J31" s="193" t="e">
        <f ca="1">G31/H31/SQRT(I31)</f>
        <v>#N/A</v>
      </c>
      <c r="K31" s="153" t="s">
        <v>440</v>
      </c>
      <c r="L31" s="174" t="s">
        <v>456</v>
      </c>
      <c r="M31" s="151"/>
      <c r="N31" s="151"/>
      <c r="O31" s="168">
        <v>1</v>
      </c>
      <c r="P31" s="151"/>
      <c r="Q31" s="175" t="e">
        <f t="shared" ca="1" si="26"/>
        <v>#N/A</v>
      </c>
      <c r="R31" s="153" t="s">
        <v>440</v>
      </c>
      <c r="S31" s="151" t="s">
        <v>442</v>
      </c>
      <c r="T31" s="178">
        <f t="shared" si="27"/>
        <v>0</v>
      </c>
      <c r="U31" s="175" t="e">
        <f t="shared" ca="1" si="28"/>
        <v>#N/A</v>
      </c>
      <c r="V31" s="175" t="str">
        <f t="shared" si="31"/>
        <v/>
      </c>
    </row>
    <row r="32" spans="1:40" ht="15" customHeight="1">
      <c r="B32" s="150" t="s">
        <v>461</v>
      </c>
      <c r="C32" s="169" t="s">
        <v>462</v>
      </c>
      <c r="D32" s="170" t="s">
        <v>463</v>
      </c>
      <c r="E32" s="151">
        <v>0</v>
      </c>
      <c r="F32" s="171" t="s">
        <v>464</v>
      </c>
      <c r="G32" s="151">
        <f>Length_16!M19</f>
        <v>0</v>
      </c>
      <c r="H32" s="151">
        <v>2</v>
      </c>
      <c r="I32" s="176">
        <v>3</v>
      </c>
      <c r="J32" s="193">
        <f>G32/H32/SQRT(I32)</f>
        <v>0</v>
      </c>
      <c r="K32" s="153" t="s">
        <v>440</v>
      </c>
      <c r="L32" s="174" t="s">
        <v>456</v>
      </c>
      <c r="M32" s="151"/>
      <c r="N32" s="151"/>
      <c r="O32" s="168">
        <v>1</v>
      </c>
      <c r="P32" s="151"/>
      <c r="Q32" s="175">
        <f t="shared" si="26"/>
        <v>0</v>
      </c>
      <c r="R32" s="153" t="s">
        <v>440</v>
      </c>
      <c r="S32" s="151">
        <v>12</v>
      </c>
      <c r="T32" s="178">
        <f t="shared" si="27"/>
        <v>0</v>
      </c>
      <c r="U32" s="175">
        <f t="shared" si="28"/>
        <v>0</v>
      </c>
      <c r="V32" s="175" t="str">
        <f t="shared" si="31"/>
        <v/>
      </c>
    </row>
    <row r="33" spans="2:27" ht="15" customHeight="1">
      <c r="B33" s="150" t="s">
        <v>465</v>
      </c>
      <c r="C33" s="169" t="s">
        <v>466</v>
      </c>
      <c r="D33" s="170" t="s">
        <v>467</v>
      </c>
      <c r="E33" s="192" t="e">
        <f ca="1">E25+E26-(E27*E28+E29*E30)*L3+E31</f>
        <v>#N/A</v>
      </c>
      <c r="F33" s="171" t="s">
        <v>399</v>
      </c>
      <c r="G33" s="493"/>
      <c r="H33" s="494"/>
      <c r="I33" s="494"/>
      <c r="J33" s="494"/>
      <c r="K33" s="494"/>
      <c r="L33" s="494"/>
      <c r="M33" s="494"/>
      <c r="N33" s="494"/>
      <c r="O33" s="494"/>
      <c r="P33" s="495"/>
      <c r="Q33" s="177" t="e">
        <f>SQRT(SUMSQ(Q25:Q32))</f>
        <v>#DIV/0!</v>
      </c>
      <c r="R33" s="153" t="s">
        <v>453</v>
      </c>
      <c r="S33" s="158" t="e">
        <f ca="1">IF(T33=0,"∞",ROUNDDOWN(Q33^4/T33,0))</f>
        <v>#N/A</v>
      </c>
      <c r="T33" s="245" t="e">
        <f ca="1">SUM(T25:T32)</f>
        <v>#N/A</v>
      </c>
      <c r="U33" s="238" t="e">
        <f ca="1">SQRT(SUMSQ(U25:U32))</f>
        <v>#N/A</v>
      </c>
      <c r="V33" s="238" t="e">
        <f>SQRT(SUMSQ(V25:V32))</f>
        <v>#DIV/0!</v>
      </c>
      <c r="W33" s="117"/>
      <c r="X33" s="117"/>
      <c r="Y33" s="117"/>
    </row>
    <row r="34" spans="2:27" ht="15" customHeight="1">
      <c r="R34" s="117"/>
      <c r="S34" s="117"/>
      <c r="T34" s="114"/>
      <c r="U34" s="114"/>
    </row>
    <row r="35" spans="2:27" ht="15" customHeight="1">
      <c r="B35" s="186"/>
      <c r="C35" s="481" t="s">
        <v>469</v>
      </c>
      <c r="D35" s="482"/>
      <c r="E35" s="482"/>
      <c r="F35" s="482"/>
      <c r="G35" s="483"/>
      <c r="H35" s="150" t="s">
        <v>470</v>
      </c>
      <c r="I35" s="150" t="s">
        <v>471</v>
      </c>
      <c r="J35" s="481" t="s">
        <v>472</v>
      </c>
      <c r="K35" s="482"/>
      <c r="L35" s="482"/>
      <c r="M35" s="483"/>
      <c r="N35" s="150" t="s">
        <v>473</v>
      </c>
      <c r="O35" s="481" t="s">
        <v>474</v>
      </c>
      <c r="P35" s="482"/>
      <c r="Q35" s="483"/>
      <c r="R35" s="484" t="s">
        <v>475</v>
      </c>
      <c r="S35" s="486" t="s">
        <v>596</v>
      </c>
      <c r="T35" s="487"/>
      <c r="U35" s="488"/>
    </row>
    <row r="36" spans="2:27" ht="15" customHeight="1">
      <c r="B36" s="186"/>
      <c r="C36" s="186">
        <v>1</v>
      </c>
      <c r="D36" s="186">
        <v>2</v>
      </c>
      <c r="E36" s="186" t="s">
        <v>390</v>
      </c>
      <c r="F36" s="186" t="s">
        <v>476</v>
      </c>
      <c r="G36" s="186" t="s">
        <v>477</v>
      </c>
      <c r="H36" s="186" t="s">
        <v>283</v>
      </c>
      <c r="I36" s="186" t="s">
        <v>399</v>
      </c>
      <c r="J36" s="150" t="s">
        <v>478</v>
      </c>
      <c r="K36" s="150" t="s">
        <v>479</v>
      </c>
      <c r="L36" s="150" t="s">
        <v>480</v>
      </c>
      <c r="M36" s="150" t="s">
        <v>470</v>
      </c>
      <c r="N36" s="186"/>
      <c r="O36" s="150" t="s">
        <v>398</v>
      </c>
      <c r="P36" s="150" t="s">
        <v>481</v>
      </c>
      <c r="Q36" s="150" t="s">
        <v>482</v>
      </c>
      <c r="R36" s="485"/>
      <c r="S36" s="262" t="s">
        <v>598</v>
      </c>
      <c r="T36" s="261" t="s">
        <v>599</v>
      </c>
      <c r="U36" s="261" t="s">
        <v>597</v>
      </c>
    </row>
    <row r="37" spans="2:27" ht="15" customHeight="1">
      <c r="B37" s="186" t="s">
        <v>483</v>
      </c>
      <c r="C37" s="119" t="e">
        <f ca="1">E48*Q33</f>
        <v>#DIV/0!</v>
      </c>
      <c r="D37" s="119"/>
      <c r="E37" s="119"/>
      <c r="F37" s="121" t="str">
        <f>R33</f>
        <v>μm</v>
      </c>
      <c r="G37" s="253" t="e">
        <f ca="1">C37</f>
        <v>#DIV/0!</v>
      </c>
      <c r="H37" s="202" t="e">
        <f ca="1">MAX(G37:G38)</f>
        <v>#DIV/0!</v>
      </c>
      <c r="I37" s="146">
        <f>N3</f>
        <v>0</v>
      </c>
      <c r="J37" s="118" t="e">
        <f ca="1">IF(H37&lt;0.00001,6,IF(H37&lt;0.0001,5,IF(H37&lt;0.001,4,IF(H37&lt;0.01,3,IF(H37&lt;0.1,2,IF(H37&lt;1,1,IF(H37&lt;10,0,IF(H37&lt;100,-1,-2))))))))+K38</f>
        <v>#DIV/0!</v>
      </c>
      <c r="K37" s="118" t="e">
        <f ca="1">J37+IF(AND(H36="μm",I36="mm"),3,0)</f>
        <v>#DIV/0!</v>
      </c>
      <c r="L37" s="151">
        <f>IFERROR(LEN(I37)-FIND(".",I37),0)</f>
        <v>0</v>
      </c>
      <c r="M37" s="178" t="e">
        <f ca="1">IF(M38=TRUE,MIN(K37:L37),K37)</f>
        <v>#DIV/0!</v>
      </c>
      <c r="N37" s="254" t="e">
        <f ca="1">ABS((H37-ROUND(H37,J37))/H37*100)</f>
        <v>#DIV/0!</v>
      </c>
      <c r="O37" s="151" t="e">
        <f ca="1">OFFSET(P41,MATCH(J37,O42:O51,0),0)</f>
        <v>#DIV/0!</v>
      </c>
      <c r="P37" s="151" t="e">
        <f ca="1">OFFSET(P41,MATCH(M37,O42:O51,0),0)</f>
        <v>#DIV/0!</v>
      </c>
      <c r="Q37" s="151" t="str">
        <f ca="1">OFFSET(P41,MATCH(L37,O42:O51,0),0)</f>
        <v>0</v>
      </c>
      <c r="R37" s="122" t="e">
        <f ca="1">IF(H37=G37,0,1)</f>
        <v>#DIV/0!</v>
      </c>
      <c r="S37" s="125" t="e">
        <f ca="1">TEXT(IF(N37&gt;5,ROUNDUP(H37,J37),ROUND(H37,J37)),O37)</f>
        <v>#DIV/0!</v>
      </c>
      <c r="T37" s="125" t="e">
        <f ca="1">TEXT(IF(N37&gt;5,ROUNDUP(H37/1000,M37),ROUND(H37/1000,M37)),P37)</f>
        <v>#DIV/0!</v>
      </c>
      <c r="U37" s="125" t="e">
        <f ca="1">S37&amp;" "&amp;H36</f>
        <v>#DIV/0!</v>
      </c>
    </row>
    <row r="38" spans="2:27" ht="15" customHeight="1">
      <c r="B38" s="186" t="s">
        <v>484</v>
      </c>
      <c r="C38" s="120" t="e">
        <f ca="1">$V$3</f>
        <v>#N/A</v>
      </c>
      <c r="D38" s="121" t="e">
        <f ca="1">$W$3</f>
        <v>#N/A</v>
      </c>
      <c r="E38" s="121">
        <f>L3</f>
        <v>0</v>
      </c>
      <c r="F38" s="121" t="e">
        <f ca="1">$X$3</f>
        <v>#N/A</v>
      </c>
      <c r="G38" s="255" t="e">
        <f ca="1">SQRT(SUMSQ(C38,D38*E38))</f>
        <v>#N/A</v>
      </c>
      <c r="J38" s="150" t="s">
        <v>485</v>
      </c>
      <c r="K38" s="151">
        <f>IF(O38=TRUE,1,기본정보!$A$47)</f>
        <v>1</v>
      </c>
      <c r="L38" s="150" t="s">
        <v>486</v>
      </c>
      <c r="M38" s="151" t="b">
        <f>IF(O38=TRUE,FALSE,기본정보!$A$52)</f>
        <v>0</v>
      </c>
      <c r="N38" s="150" t="s">
        <v>487</v>
      </c>
      <c r="O38" s="151" t="b">
        <f>기본정보!$A$46=0</f>
        <v>1</v>
      </c>
      <c r="P38" s="117"/>
      <c r="Q38" s="114"/>
      <c r="R38" s="114"/>
      <c r="T38" s="114"/>
      <c r="U38" s="114"/>
    </row>
    <row r="39" spans="2:27" ht="15" customHeight="1">
      <c r="B39" s="115"/>
      <c r="C39" s="115"/>
      <c r="D39" s="115"/>
      <c r="O39" s="117"/>
      <c r="P39" s="117"/>
      <c r="Q39" s="114"/>
      <c r="R39" s="114"/>
      <c r="S39" s="114"/>
      <c r="T39" s="114"/>
      <c r="U39" s="114"/>
    </row>
    <row r="40" spans="2:27" ht="15" customHeight="1">
      <c r="B40" s="198" t="s">
        <v>488</v>
      </c>
      <c r="C40" s="114"/>
      <c r="D40" s="114"/>
      <c r="E40" s="114"/>
      <c r="F40" s="114"/>
      <c r="G40" s="114"/>
      <c r="H40" s="114"/>
      <c r="I40" s="169" t="s">
        <v>53</v>
      </c>
      <c r="J40" s="169" t="s">
        <v>489</v>
      </c>
      <c r="K40" s="116"/>
      <c r="L40" s="116"/>
      <c r="M40" s="116"/>
      <c r="N40" s="116"/>
      <c r="O40" s="247" t="s">
        <v>490</v>
      </c>
      <c r="P40" s="247" t="s">
        <v>491</v>
      </c>
      <c r="R40" s="160" t="s">
        <v>108</v>
      </c>
      <c r="S40" s="250"/>
      <c r="T40" s="160" t="s">
        <v>492</v>
      </c>
      <c r="U40" s="250"/>
      <c r="V40" s="115"/>
      <c r="W40" s="115"/>
      <c r="X40" s="115"/>
      <c r="Y40" s="115"/>
      <c r="Z40" s="117"/>
      <c r="AA40" s="117"/>
    </row>
    <row r="41" spans="2:27" ht="15" customHeight="1">
      <c r="B41" s="479" t="s">
        <v>493</v>
      </c>
      <c r="C41" s="480"/>
      <c r="D41" s="484" t="s">
        <v>494</v>
      </c>
      <c r="E41" s="150" t="s">
        <v>329</v>
      </c>
      <c r="F41" s="150" t="s">
        <v>429</v>
      </c>
      <c r="G41" s="150" t="s">
        <v>495</v>
      </c>
      <c r="H41" s="114"/>
      <c r="I41" s="169"/>
      <c r="J41" s="169">
        <v>95.45</v>
      </c>
      <c r="K41" s="116"/>
      <c r="L41" s="116"/>
      <c r="M41" s="116"/>
      <c r="N41" s="116"/>
      <c r="O41" s="256" t="s">
        <v>496</v>
      </c>
      <c r="P41" s="256" t="s">
        <v>497</v>
      </c>
      <c r="R41" s="160" t="s">
        <v>498</v>
      </c>
      <c r="S41" s="250"/>
      <c r="T41" s="160" t="s">
        <v>499</v>
      </c>
      <c r="U41" s="250"/>
      <c r="V41" s="115"/>
      <c r="W41" s="115"/>
      <c r="X41" s="115"/>
      <c r="Y41" s="115"/>
      <c r="Z41" s="117"/>
      <c r="AA41" s="117"/>
    </row>
    <row r="42" spans="2:27" ht="15" customHeight="1">
      <c r="B42" s="186" t="s">
        <v>500</v>
      </c>
      <c r="C42" s="244" t="s">
        <v>501</v>
      </c>
      <c r="D42" s="485"/>
      <c r="E42" s="251" t="e">
        <f ca="1">U33</f>
        <v>#N/A</v>
      </c>
      <c r="F42" s="251" t="e">
        <f>V33</f>
        <v>#DIV/0!</v>
      </c>
      <c r="G42" s="199" t="e">
        <f ca="1">F42/E42</f>
        <v>#DIV/0!</v>
      </c>
      <c r="H42" s="114"/>
      <c r="I42" s="151">
        <v>1</v>
      </c>
      <c r="J42" s="151">
        <v>13.97</v>
      </c>
      <c r="K42" s="116"/>
      <c r="L42" s="116"/>
      <c r="M42" s="116"/>
      <c r="N42" s="116"/>
      <c r="O42" s="179">
        <v>0</v>
      </c>
      <c r="P42" s="180" t="s">
        <v>502</v>
      </c>
      <c r="R42" s="160" t="s">
        <v>503</v>
      </c>
      <c r="S42" s="250"/>
      <c r="T42" s="160" t="s">
        <v>504</v>
      </c>
      <c r="U42" s="250"/>
      <c r="V42" s="115"/>
      <c r="W42" s="115"/>
      <c r="X42" s="115"/>
      <c r="Y42" s="115"/>
      <c r="Z42" s="117"/>
      <c r="AA42" s="117"/>
    </row>
    <row r="43" spans="2:27" ht="15" customHeight="1">
      <c r="B43" s="151">
        <v>1</v>
      </c>
      <c r="C43" s="175">
        <f ca="1">IFERROR(LARGE(U25:U32,B43),0)</f>
        <v>0</v>
      </c>
      <c r="D43" s="150" t="s">
        <v>505</v>
      </c>
      <c r="E43" s="490" t="e">
        <f ca="1">SQRT(SUMSQ(C45:C50,V25:V32))</f>
        <v>#DIV/0!</v>
      </c>
      <c r="F43" s="490"/>
      <c r="G43" s="491" t="e">
        <f ca="1">E43/SQRT(SUMSQ(E44,F44))</f>
        <v>#DIV/0!</v>
      </c>
      <c r="H43" s="114"/>
      <c r="I43" s="151">
        <v>2</v>
      </c>
      <c r="J43" s="151">
        <v>4.53</v>
      </c>
      <c r="K43" s="116"/>
      <c r="L43" s="116"/>
      <c r="M43" s="116"/>
      <c r="N43" s="116"/>
      <c r="O43" s="179">
        <v>1</v>
      </c>
      <c r="P43" s="180" t="s">
        <v>506</v>
      </c>
      <c r="R43" s="160"/>
      <c r="S43" s="250"/>
      <c r="T43" s="160"/>
      <c r="U43" s="250"/>
      <c r="V43" s="116"/>
      <c r="W43" s="116"/>
      <c r="X43" s="115"/>
      <c r="Y43" s="115"/>
      <c r="Z43" s="117"/>
      <c r="AA43" s="117"/>
    </row>
    <row r="44" spans="2:27" ht="15" customHeight="1">
      <c r="B44" s="151">
        <v>2</v>
      </c>
      <c r="C44" s="175">
        <f ca="1">IFERROR(LARGE(U25:U32,B44),0)</f>
        <v>0</v>
      </c>
      <c r="D44" s="150" t="s">
        <v>507</v>
      </c>
      <c r="E44" s="251">
        <f ca="1">C43</f>
        <v>0</v>
      </c>
      <c r="F44" s="251">
        <f ca="1">C44</f>
        <v>0</v>
      </c>
      <c r="G44" s="492"/>
      <c r="H44" s="114"/>
      <c r="I44" s="151">
        <v>3</v>
      </c>
      <c r="J44" s="151">
        <v>3.31</v>
      </c>
      <c r="K44" s="116"/>
      <c r="L44" s="116"/>
      <c r="M44" s="116"/>
      <c r="N44" s="116"/>
      <c r="O44" s="179">
        <v>2</v>
      </c>
      <c r="P44" s="180" t="s">
        <v>508</v>
      </c>
      <c r="U44" s="116"/>
      <c r="V44" s="116"/>
      <c r="W44" s="116"/>
      <c r="X44" s="115"/>
      <c r="Y44" s="115"/>
      <c r="Z44" s="117"/>
      <c r="AA44" s="117"/>
    </row>
    <row r="45" spans="2:27" ht="15" customHeight="1">
      <c r="B45" s="151">
        <v>3</v>
      </c>
      <c r="C45" s="177">
        <f ca="1">IFERROR(LARGE(U25:U32,B45),0)</f>
        <v>0</v>
      </c>
      <c r="D45" s="484" t="s">
        <v>509</v>
      </c>
      <c r="E45" s="201" t="s">
        <v>510</v>
      </c>
      <c r="F45" s="201" t="s">
        <v>511</v>
      </c>
      <c r="G45" s="201" t="s">
        <v>512</v>
      </c>
      <c r="H45" s="114"/>
      <c r="I45" s="151">
        <v>4</v>
      </c>
      <c r="J45" s="151">
        <v>2.87</v>
      </c>
      <c r="K45" s="116"/>
      <c r="L45" s="116"/>
      <c r="M45" s="116"/>
      <c r="N45" s="116"/>
      <c r="O45" s="179">
        <v>3</v>
      </c>
      <c r="P45" s="180" t="s">
        <v>513</v>
      </c>
      <c r="U45" s="116"/>
      <c r="V45" s="116"/>
      <c r="W45" s="116"/>
      <c r="X45" s="115"/>
      <c r="Y45" s="115"/>
      <c r="Z45" s="117"/>
      <c r="AA45" s="115"/>
    </row>
    <row r="46" spans="2:27" ht="15" customHeight="1">
      <c r="B46" s="151">
        <v>4</v>
      </c>
      <c r="C46" s="177">
        <f ca="1">IFERROR(LARGE(U25:U32,B46),0)</f>
        <v>0</v>
      </c>
      <c r="D46" s="485"/>
      <c r="E46" s="151">
        <f ca="1">OFFSET(G24,MATCH(E44,U25:U32,0),0)/IF(OFFSET(H24,MATCH(E44,U25:U32,0),0)="",1,OFFSET(H24,MATCH(E44,U25:U32,0),0))</f>
        <v>0</v>
      </c>
      <c r="F46" s="151">
        <f ca="1">OFFSET(G24,MATCH(F44,U25:U32,0),0)/IF(OFFSET(H24,MATCH(F44,U25:U32,0),0)="",1,OFFSET(H24,MATCH(F44,U25:U32,0),0))</f>
        <v>0</v>
      </c>
      <c r="G46" s="251" t="e">
        <f ca="1">ABS(E46-F46)/(E46+F46)</f>
        <v>#DIV/0!</v>
      </c>
      <c r="H46" s="114"/>
      <c r="I46" s="151">
        <v>5</v>
      </c>
      <c r="J46" s="151">
        <v>2.65</v>
      </c>
      <c r="K46" s="116"/>
      <c r="L46" s="116"/>
      <c r="M46" s="116"/>
      <c r="N46" s="116"/>
      <c r="O46" s="179">
        <v>4</v>
      </c>
      <c r="P46" s="180" t="s">
        <v>514</v>
      </c>
      <c r="V46" s="115"/>
      <c r="W46" s="115"/>
      <c r="X46" s="115"/>
      <c r="Y46" s="115"/>
      <c r="Z46" s="115"/>
      <c r="AA46" s="115"/>
    </row>
    <row r="47" spans="2:27" ht="15" customHeight="1">
      <c r="B47" s="151">
        <v>5</v>
      </c>
      <c r="C47" s="177">
        <f ca="1">IFERROR(LARGE(U25:U32,B47),0)</f>
        <v>0</v>
      </c>
      <c r="D47" s="150" t="s">
        <v>515</v>
      </c>
      <c r="E47" s="200" t="e">
        <f ca="1">IF(AND(G42&lt;0.3,G43&lt;0.3),"사다리꼴","정규")</f>
        <v>#DIV/0!</v>
      </c>
      <c r="F47" s="114"/>
      <c r="G47" s="114"/>
      <c r="H47" s="114"/>
      <c r="I47" s="151">
        <v>6</v>
      </c>
      <c r="J47" s="151">
        <v>2.52</v>
      </c>
      <c r="K47" s="116"/>
      <c r="L47" s="116"/>
      <c r="M47" s="116"/>
      <c r="N47" s="116"/>
      <c r="O47" s="179">
        <v>5</v>
      </c>
      <c r="P47" s="180" t="s">
        <v>516</v>
      </c>
      <c r="V47" s="115"/>
      <c r="W47" s="115"/>
      <c r="X47" s="115"/>
      <c r="Y47" s="115"/>
      <c r="Z47" s="115"/>
      <c r="AA47" s="115"/>
    </row>
    <row r="48" spans="2:27" ht="15" customHeight="1">
      <c r="B48" s="151">
        <v>6</v>
      </c>
      <c r="C48" s="177">
        <f ca="1">IFERROR(LARGE(U25:U32,B48),0)</f>
        <v>0</v>
      </c>
      <c r="D48" s="150" t="s">
        <v>517</v>
      </c>
      <c r="E48" s="151" t="e">
        <f ca="1">IF(E47="정규",IF(OR(S33="∞",S33&gt;=10),2,OFFSET(J41,MATCH(S33,I42:I51,0),0)),ROUND((1-SQRT((1-0.95)*(1-G46^2)))/SQRT((1+G46^2)/6),2))</f>
        <v>#DIV/0!</v>
      </c>
      <c r="F48" s="114"/>
      <c r="G48" s="114"/>
      <c r="H48" s="114"/>
      <c r="I48" s="151">
        <v>7</v>
      </c>
      <c r="J48" s="151">
        <v>2.4300000000000002</v>
      </c>
      <c r="K48" s="116"/>
      <c r="L48" s="116"/>
      <c r="M48" s="116"/>
      <c r="N48" s="116"/>
      <c r="O48" s="179">
        <v>6</v>
      </c>
      <c r="P48" s="180" t="s">
        <v>518</v>
      </c>
      <c r="V48" s="115"/>
      <c r="W48" s="115"/>
      <c r="X48" s="115"/>
      <c r="Y48" s="115"/>
      <c r="Z48" s="115"/>
      <c r="AA48" s="115"/>
    </row>
    <row r="49" spans="2:27" ht="15" customHeight="1">
      <c r="B49" s="151">
        <v>7</v>
      </c>
      <c r="C49" s="177">
        <f ca="1">IFERROR(LARGE(U25:U32,B49),0)</f>
        <v>0</v>
      </c>
      <c r="D49" s="114"/>
      <c r="E49" s="114"/>
      <c r="F49" s="114"/>
      <c r="G49" s="114"/>
      <c r="H49" s="114"/>
      <c r="I49" s="151">
        <v>8</v>
      </c>
      <c r="J49" s="151">
        <v>2.37</v>
      </c>
      <c r="K49" s="116"/>
      <c r="L49" s="116"/>
      <c r="M49" s="116"/>
      <c r="N49" s="116"/>
      <c r="O49" s="179">
        <v>7</v>
      </c>
      <c r="P49" s="180" t="s">
        <v>519</v>
      </c>
      <c r="V49" s="115"/>
      <c r="W49" s="115"/>
      <c r="X49" s="115"/>
      <c r="Y49" s="115"/>
      <c r="Z49" s="115"/>
      <c r="AA49" s="115"/>
    </row>
    <row r="50" spans="2:27" ht="15" customHeight="1">
      <c r="B50" s="151">
        <v>8</v>
      </c>
      <c r="C50" s="177">
        <f ca="1">IFERROR(LARGE(U25:U32,B50),0)</f>
        <v>0</v>
      </c>
      <c r="D50" s="114"/>
      <c r="E50" s="114"/>
      <c r="F50" s="114"/>
      <c r="G50" s="114"/>
      <c r="H50" s="114"/>
      <c r="I50" s="151">
        <v>9</v>
      </c>
      <c r="J50" s="151">
        <v>2.3199999999999998</v>
      </c>
      <c r="K50" s="116"/>
      <c r="L50" s="116"/>
      <c r="M50" s="116"/>
      <c r="N50" s="116"/>
      <c r="O50" s="179">
        <v>8</v>
      </c>
      <c r="P50" s="180" t="s">
        <v>520</v>
      </c>
      <c r="V50" s="115"/>
      <c r="W50" s="115"/>
      <c r="X50" s="115"/>
      <c r="Y50" s="115"/>
      <c r="Z50" s="115"/>
      <c r="AA50" s="115"/>
    </row>
    <row r="51" spans="2:27" ht="15" customHeight="1">
      <c r="B51" s="114"/>
      <c r="C51" s="114"/>
      <c r="D51" s="114"/>
      <c r="E51" s="114"/>
      <c r="F51" s="114"/>
      <c r="G51" s="114"/>
      <c r="H51" s="114"/>
      <c r="I51" s="151" t="s">
        <v>54</v>
      </c>
      <c r="J51" s="151">
        <v>2</v>
      </c>
      <c r="K51" s="116"/>
      <c r="L51" s="116"/>
      <c r="M51" s="116"/>
      <c r="N51" s="116"/>
      <c r="O51" s="179">
        <v>9</v>
      </c>
      <c r="P51" s="180" t="s">
        <v>521</v>
      </c>
      <c r="V51" s="115"/>
      <c r="W51" s="115"/>
      <c r="X51" s="115"/>
      <c r="Y51" s="115"/>
      <c r="Z51" s="115"/>
      <c r="AA51" s="115"/>
    </row>
    <row r="52" spans="2:27" ht="15" customHeight="1">
      <c r="I52" s="113"/>
      <c r="J52" s="114"/>
    </row>
    <row r="53" spans="2:27" ht="18" customHeight="1">
      <c r="B53" s="138" t="s">
        <v>522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Y53" s="115"/>
      <c r="Z53" s="115"/>
      <c r="AA53" s="115"/>
    </row>
    <row r="54" spans="2:27" ht="18" customHeight="1">
      <c r="B54" s="139"/>
      <c r="C54" s="516" t="s">
        <v>603</v>
      </c>
      <c r="D54" s="517"/>
      <c r="E54" s="109" t="s">
        <v>523</v>
      </c>
      <c r="F54" s="109" t="s">
        <v>524</v>
      </c>
      <c r="G54" s="139"/>
      <c r="H54" s="518" t="s">
        <v>604</v>
      </c>
      <c r="I54" s="518" t="s">
        <v>605</v>
      </c>
      <c r="J54" s="518" t="s">
        <v>600</v>
      </c>
      <c r="K54" s="519" t="s">
        <v>525</v>
      </c>
      <c r="L54" s="518" t="s">
        <v>606</v>
      </c>
      <c r="M54" s="519" t="s">
        <v>524</v>
      </c>
      <c r="N54" s="518" t="s">
        <v>607</v>
      </c>
      <c r="O54" s="518" t="s">
        <v>608</v>
      </c>
      <c r="U54" s="114"/>
      <c r="X54" s="115"/>
      <c r="Y54" s="115"/>
      <c r="Z54" s="115"/>
    </row>
    <row r="55" spans="2:27" ht="18" customHeight="1">
      <c r="B55" s="139"/>
      <c r="C55" s="514">
        <v>100</v>
      </c>
      <c r="D55" s="515" t="s">
        <v>602</v>
      </c>
      <c r="E55" s="147">
        <v>13200</v>
      </c>
      <c r="F55" s="509" t="s">
        <v>600</v>
      </c>
      <c r="G55" s="139"/>
      <c r="H55" s="518">
        <f>L3</f>
        <v>0</v>
      </c>
      <c r="I55" s="518">
        <f>MAX(0,H55-C55)</f>
        <v>0</v>
      </c>
      <c r="J55" s="518">
        <f>ROUNDDOWN(I55/F56,0)</f>
        <v>0</v>
      </c>
      <c r="K55" s="518" t="b">
        <f>I3="inch"</f>
        <v>0</v>
      </c>
      <c r="L55" s="520">
        <f>E55*IF(K55=TRUE,1.8,1)</f>
        <v>13200</v>
      </c>
      <c r="M55" s="521">
        <f>L55*(J55*F58)</f>
        <v>0</v>
      </c>
      <c r="N55" s="522">
        <f>SUM(L55:M55)</f>
        <v>13200</v>
      </c>
      <c r="O55" s="523">
        <f>SUM(N55:N57)</f>
        <v>13200</v>
      </c>
      <c r="U55" s="114"/>
      <c r="X55" s="115"/>
      <c r="Y55" s="115"/>
      <c r="Z55" s="115"/>
    </row>
    <row r="56" spans="2:27" ht="18" customHeight="1">
      <c r="B56" s="139"/>
      <c r="C56" s="140"/>
      <c r="D56" s="141"/>
      <c r="E56" s="147"/>
      <c r="F56" s="510">
        <v>50</v>
      </c>
      <c r="G56" s="139"/>
      <c r="H56" s="518"/>
      <c r="I56" s="518"/>
      <c r="J56" s="518"/>
      <c r="K56" s="518"/>
      <c r="L56" s="520"/>
      <c r="M56" s="521"/>
      <c r="N56" s="522"/>
      <c r="O56" s="489"/>
      <c r="U56" s="114"/>
      <c r="X56" s="115"/>
      <c r="Y56" s="115"/>
      <c r="Z56" s="115"/>
    </row>
    <row r="57" spans="2:27" ht="18" customHeight="1">
      <c r="B57" s="139"/>
      <c r="C57" s="140"/>
      <c r="D57" s="141"/>
      <c r="E57" s="147"/>
      <c r="F57" s="511" t="s">
        <v>601</v>
      </c>
      <c r="G57" s="139"/>
      <c r="H57" s="518"/>
      <c r="I57" s="518"/>
      <c r="J57" s="518"/>
      <c r="K57" s="518"/>
      <c r="L57" s="520"/>
      <c r="M57" s="524"/>
      <c r="N57" s="522"/>
      <c r="O57" s="525"/>
      <c r="U57" s="114"/>
      <c r="X57" s="115"/>
      <c r="Y57" s="115"/>
      <c r="Z57" s="115"/>
    </row>
    <row r="58" spans="2:27" ht="18" customHeight="1">
      <c r="B58" s="139"/>
      <c r="C58" s="140"/>
      <c r="D58" s="141"/>
      <c r="E58" s="147"/>
      <c r="F58" s="512">
        <v>0.2</v>
      </c>
      <c r="G58" s="139"/>
      <c r="H58" s="139"/>
      <c r="I58" s="139"/>
      <c r="J58" s="139"/>
      <c r="K58" s="139"/>
      <c r="L58" s="139"/>
      <c r="M58" s="139"/>
      <c r="N58" s="142"/>
      <c r="O58" s="139"/>
      <c r="P58" s="139"/>
      <c r="Q58" s="139"/>
      <c r="U58" s="114"/>
      <c r="X58" s="115"/>
      <c r="Y58" s="115"/>
      <c r="Z58" s="115"/>
    </row>
    <row r="59" spans="2:27" ht="18" customHeight="1">
      <c r="B59" s="139"/>
      <c r="C59" s="140"/>
      <c r="D59" s="141"/>
      <c r="E59" s="147"/>
      <c r="F59" s="511" t="s">
        <v>600</v>
      </c>
      <c r="G59" s="139"/>
      <c r="H59" s="143" t="s">
        <v>526</v>
      </c>
      <c r="I59" s="139"/>
      <c r="J59" s="139"/>
      <c r="K59" s="139"/>
      <c r="L59" s="139"/>
      <c r="M59" s="139"/>
      <c r="N59" s="139"/>
      <c r="O59" s="139"/>
      <c r="P59" s="139"/>
      <c r="Q59" s="139"/>
      <c r="U59" s="114"/>
      <c r="X59" s="115"/>
      <c r="Y59" s="115"/>
      <c r="Z59" s="115"/>
    </row>
    <row r="60" spans="2:27" ht="18" customHeight="1">
      <c r="B60" s="139"/>
      <c r="C60" s="140"/>
      <c r="D60" s="141"/>
      <c r="E60" s="147"/>
      <c r="F60" s="511"/>
      <c r="G60" s="139"/>
      <c r="H60" s="144"/>
      <c r="L60" s="139"/>
      <c r="M60" s="139"/>
      <c r="N60" s="139"/>
      <c r="O60" s="139"/>
      <c r="P60" s="139"/>
      <c r="Q60" s="139"/>
      <c r="U60" s="114"/>
      <c r="X60" s="115"/>
      <c r="Y60" s="115"/>
      <c r="Z60" s="115"/>
    </row>
    <row r="61" spans="2:27" ht="18" customHeight="1">
      <c r="B61" s="139"/>
      <c r="C61" s="140"/>
      <c r="D61" s="145"/>
      <c r="E61" s="109"/>
      <c r="F61" s="513"/>
      <c r="G61" s="139"/>
      <c r="H61" s="144"/>
      <c r="L61" s="139"/>
      <c r="M61" s="139"/>
      <c r="N61" s="139"/>
      <c r="O61" s="139"/>
      <c r="P61" s="139"/>
      <c r="Q61" s="139"/>
      <c r="U61" s="114"/>
      <c r="X61" s="115"/>
      <c r="Y61" s="115"/>
      <c r="Z61" s="115"/>
    </row>
    <row r="62" spans="2:27" ht="18" customHeight="1">
      <c r="B62" s="71"/>
      <c r="C62" s="71"/>
      <c r="D62" s="71"/>
      <c r="E62" s="71"/>
      <c r="F62" s="71"/>
      <c r="G62" s="71"/>
      <c r="H62" s="71"/>
      <c r="M62" s="71"/>
      <c r="N62" s="71"/>
      <c r="O62" s="71"/>
      <c r="P62" s="139"/>
      <c r="Q62" s="139"/>
      <c r="R62" s="139"/>
      <c r="Y62" s="115"/>
      <c r="Z62" s="115"/>
      <c r="AA62" s="115"/>
    </row>
    <row r="63" spans="2:27" ht="18" customHeight="1">
      <c r="B63" s="115"/>
      <c r="C63" s="115"/>
      <c r="D63" s="115"/>
      <c r="I63" s="144"/>
      <c r="J63" s="139"/>
      <c r="K63" s="139"/>
      <c r="L63" s="139"/>
      <c r="P63" s="114"/>
      <c r="Q63" s="114"/>
      <c r="R63" s="114"/>
      <c r="Y63" s="115"/>
      <c r="Z63" s="115"/>
      <c r="AA63" s="115"/>
    </row>
    <row r="64" spans="2:27" ht="18" customHeight="1">
      <c r="B64" s="115"/>
      <c r="C64" s="115"/>
      <c r="D64" s="115"/>
      <c r="I64" s="144"/>
      <c r="J64" s="139"/>
      <c r="K64" s="139"/>
      <c r="L64" s="139"/>
      <c r="P64" s="114"/>
      <c r="Q64" s="114"/>
      <c r="R64" s="114"/>
      <c r="Y64" s="115"/>
      <c r="Z64" s="115"/>
      <c r="AA64" s="115"/>
    </row>
    <row r="65" spans="2:27" ht="18" customHeight="1">
      <c r="B65" s="115"/>
      <c r="C65" s="115"/>
      <c r="D65" s="115"/>
      <c r="J65" s="71"/>
      <c r="K65" s="71"/>
      <c r="L65" s="71"/>
      <c r="P65" s="114"/>
      <c r="Q65" s="114"/>
      <c r="R65" s="114"/>
      <c r="Y65" s="115"/>
      <c r="Z65" s="115"/>
      <c r="AA65" s="115"/>
    </row>
    <row r="66" spans="2:27" ht="18" customHeight="1">
      <c r="B66" s="115"/>
      <c r="C66" s="115"/>
      <c r="D66" s="115"/>
      <c r="I66" s="144"/>
      <c r="J66" s="117"/>
      <c r="K66" s="117"/>
      <c r="P66" s="114"/>
      <c r="Q66" s="114"/>
      <c r="R66" s="114"/>
      <c r="Y66" s="115"/>
      <c r="Z66" s="115"/>
      <c r="AA66" s="115"/>
    </row>
    <row r="67" spans="2:27" ht="18" customHeight="1">
      <c r="B67" s="115"/>
      <c r="C67" s="115"/>
      <c r="D67" s="115"/>
      <c r="I67" s="144"/>
      <c r="J67" s="117"/>
      <c r="K67" s="117"/>
      <c r="P67" s="114"/>
      <c r="Q67" s="114"/>
      <c r="R67" s="114"/>
      <c r="V67" s="115"/>
      <c r="W67" s="115"/>
      <c r="X67" s="115"/>
      <c r="Y67" s="115"/>
      <c r="Z67" s="115"/>
      <c r="AA67" s="115"/>
    </row>
    <row r="68" spans="2:27" ht="18" customHeight="1">
      <c r="B68" s="115"/>
      <c r="C68" s="115"/>
      <c r="D68" s="115"/>
      <c r="J68" s="117"/>
      <c r="K68" s="117"/>
      <c r="P68" s="114"/>
      <c r="Q68" s="114"/>
      <c r="R68" s="114"/>
      <c r="V68" s="115"/>
      <c r="W68" s="115"/>
      <c r="X68" s="115"/>
      <c r="Y68" s="115"/>
      <c r="Z68" s="115"/>
      <c r="AA68" s="115"/>
    </row>
    <row r="69" spans="2:27" ht="18" customHeight="1">
      <c r="B69" s="115"/>
      <c r="C69" s="115"/>
      <c r="D69" s="115"/>
      <c r="P69" s="114"/>
      <c r="Q69" s="114"/>
      <c r="R69" s="114"/>
    </row>
  </sheetData>
  <mergeCells count="47">
    <mergeCell ref="AK7:AL7"/>
    <mergeCell ref="D6:D8"/>
    <mergeCell ref="E6:E8"/>
    <mergeCell ref="C9:C14"/>
    <mergeCell ref="C15:C20"/>
    <mergeCell ref="D9:D10"/>
    <mergeCell ref="D11:D12"/>
    <mergeCell ref="D13:D14"/>
    <mergeCell ref="D15:D16"/>
    <mergeCell ref="D17:D18"/>
    <mergeCell ref="D19:D20"/>
    <mergeCell ref="U23:V23"/>
    <mergeCell ref="AC6:AD6"/>
    <mergeCell ref="AH6:AN6"/>
    <mergeCell ref="B6:B8"/>
    <mergeCell ref="AF6:AG6"/>
    <mergeCell ref="L6:L7"/>
    <mergeCell ref="F6:F8"/>
    <mergeCell ref="G6:G8"/>
    <mergeCell ref="B23:B24"/>
    <mergeCell ref="C23:C24"/>
    <mergeCell ref="D23:D24"/>
    <mergeCell ref="E23:E24"/>
    <mergeCell ref="F23:F24"/>
    <mergeCell ref="T23:T24"/>
    <mergeCell ref="C6:C8"/>
    <mergeCell ref="H6:K6"/>
    <mergeCell ref="C54:D54"/>
    <mergeCell ref="O55:O57"/>
    <mergeCell ref="Q23:R23"/>
    <mergeCell ref="Q24:R24"/>
    <mergeCell ref="G23:K23"/>
    <mergeCell ref="M23:P23"/>
    <mergeCell ref="J24:K24"/>
    <mergeCell ref="M24:N24"/>
    <mergeCell ref="O24:P24"/>
    <mergeCell ref="D41:D42"/>
    <mergeCell ref="D45:D46"/>
    <mergeCell ref="E43:F43"/>
    <mergeCell ref="G43:G44"/>
    <mergeCell ref="C35:G35"/>
    <mergeCell ref="G33:P33"/>
    <mergeCell ref="B41:C41"/>
    <mergeCell ref="J35:M35"/>
    <mergeCell ref="O35:Q35"/>
    <mergeCell ref="R35:R36"/>
    <mergeCell ref="S35:U3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Length_16</vt:lpstr>
      <vt:lpstr>'교정결과-E'!B_Tag</vt:lpstr>
      <vt:lpstr>'교정결과-HY'!B_Tag</vt:lpstr>
      <vt:lpstr>B_Tag</vt:lpstr>
      <vt:lpstr>판정결과!B_Tag_2</vt:lpstr>
      <vt:lpstr>부록!B_Tag_3</vt:lpstr>
      <vt:lpstr>Length_16_CMC</vt:lpstr>
      <vt:lpstr>Length_16_Condition</vt:lpstr>
      <vt:lpstr>Length_16_Resolution</vt:lpstr>
      <vt:lpstr>Length_16_Result</vt:lpstr>
      <vt:lpstr>Length_16_Spec</vt:lpstr>
      <vt:lpstr>Length_16_STD1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2021-05-21T05:38:09Z</cp:lastPrinted>
  <dcterms:created xsi:type="dcterms:W3CDTF">2004-11-10T00:11:43Z</dcterms:created>
  <dcterms:modified xsi:type="dcterms:W3CDTF">2021-07-23T05:27:36Z</dcterms:modified>
</cp:coreProperties>
</file>