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3" sheetId="14" r:id="rId11"/>
  </sheets>
  <definedNames>
    <definedName name="_xlnm._FilterDatabase" localSheetId="0" hidden="1">기본정보!#REF!</definedName>
    <definedName name="B_Tag" localSheetId="2">'교정결과-E'!$E$39:$I$39</definedName>
    <definedName name="B_Tag" localSheetId="3">'교정결과-HY'!$B$23:$Q$23</definedName>
    <definedName name="B_Tag">교정결과!$E$37:$I$37</definedName>
    <definedName name="B_Tag_2" localSheetId="4">판정결과!$D$15:$J$15</definedName>
    <definedName name="B_Tag_3" localSheetId="5">부록!$B$11:$K$11</definedName>
    <definedName name="Length_13_CMC">Length_13!$E$4:$G$23</definedName>
    <definedName name="Length_13_Condition">Length_13!$A$4:$D$23</definedName>
    <definedName name="Length_13_Resolution">Length_13!$H$4:$K$23</definedName>
    <definedName name="Length_13_Result">Length_13!$O$4:$S$23</definedName>
    <definedName name="Length_13_Result2">Length_13!$T$4:$X$4</definedName>
    <definedName name="Length_13_Result3">Length_13!$T$8</definedName>
    <definedName name="Length_13_Spec">Length_13!$L$4:$N$23</definedName>
    <definedName name="Length_13_STD1">Length_13!$A$27</definedName>
    <definedName name="Length_13_STD2">Length_13!$A$50</definedName>
    <definedName name="Length_13_STD3">Length_13!$A$54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G82" i="21" l="1"/>
  <c r="K82" i="21"/>
  <c r="H82" i="21"/>
  <c r="T46" i="21" l="1"/>
  <c r="V46" i="21"/>
  <c r="T45" i="21"/>
  <c r="U45" i="21"/>
  <c r="T44" i="21"/>
  <c r="V44" i="21"/>
  <c r="V43" i="21"/>
  <c r="U42" i="21"/>
  <c r="T41" i="21"/>
  <c r="V41" i="21"/>
  <c r="V40" i="21"/>
  <c r="T39" i="21"/>
  <c r="U39" i="21"/>
  <c r="T59" i="21"/>
  <c r="T58" i="21"/>
  <c r="T55" i="21"/>
  <c r="T54" i="21"/>
  <c r="O65" i="21" l="1"/>
  <c r="K65" i="21" s="1"/>
  <c r="M65" i="21" l="1"/>
  <c r="A4" i="31"/>
  <c r="D9" i="31"/>
  <c r="D8" i="31"/>
  <c r="D7" i="31"/>
  <c r="D6" i="31"/>
  <c r="V59" i="21" l="1"/>
  <c r="V58" i="21"/>
  <c r="V57" i="21"/>
  <c r="U56" i="21"/>
  <c r="U55" i="21"/>
  <c r="V54" i="21"/>
  <c r="V53" i="21"/>
  <c r="U52" i="21"/>
  <c r="N306" i="23" l="1"/>
  <c r="N269" i="23"/>
  <c r="S269" i="23" s="1"/>
  <c r="T274" i="23" s="1"/>
  <c r="S246" i="23"/>
  <c r="AM240" i="23"/>
  <c r="AP239" i="23"/>
  <c r="AM239" i="23"/>
  <c r="AA239" i="23"/>
  <c r="O334" i="23" s="1"/>
  <c r="L336" i="23" s="1"/>
  <c r="V239" i="23"/>
  <c r="I333" i="23" s="1"/>
  <c r="S239" i="23"/>
  <c r="H239" i="23"/>
  <c r="H329" i="23" s="1"/>
  <c r="AP238" i="23"/>
  <c r="S353" i="23" s="1"/>
  <c r="AM238" i="23"/>
  <c r="AA238" i="23"/>
  <c r="N322" i="23" s="1"/>
  <c r="L324" i="23" s="1"/>
  <c r="V238" i="23"/>
  <c r="S238" i="23"/>
  <c r="AP237" i="23"/>
  <c r="N353" i="23" s="1"/>
  <c r="AM237" i="23"/>
  <c r="AE237" i="23"/>
  <c r="V309" i="23" s="1"/>
  <c r="V237" i="23"/>
  <c r="I308" i="23" s="1"/>
  <c r="S237" i="23"/>
  <c r="AM236" i="23"/>
  <c r="AE236" i="23"/>
  <c r="X296" i="23" s="1"/>
  <c r="V236" i="23"/>
  <c r="I295" i="23" s="1"/>
  <c r="S236" i="23"/>
  <c r="AP235" i="23"/>
  <c r="AB351" i="23" s="1"/>
  <c r="AM235" i="23"/>
  <c r="V235" i="23"/>
  <c r="I285" i="23" s="1"/>
  <c r="S235" i="23"/>
  <c r="AP234" i="23"/>
  <c r="W351" i="23" s="1"/>
  <c r="AM234" i="23"/>
  <c r="AE234" i="23"/>
  <c r="U272" i="23" s="1"/>
  <c r="V234" i="23"/>
  <c r="I271" i="23" s="1"/>
  <c r="S234" i="23"/>
  <c r="AM233" i="23"/>
  <c r="AE233" i="23"/>
  <c r="X259" i="23" s="1"/>
  <c r="V233" i="23"/>
  <c r="I258" i="23" s="1"/>
  <c r="S233" i="23"/>
  <c r="AP232" i="23"/>
  <c r="M351" i="23" s="1"/>
  <c r="AM232" i="23"/>
  <c r="V232" i="23"/>
  <c r="I248" i="23" s="1"/>
  <c r="S232" i="23"/>
  <c r="Y246" i="23" s="1"/>
  <c r="U251" i="23" s="1"/>
  <c r="AB251" i="23" s="1"/>
  <c r="N158" i="23"/>
  <c r="N112" i="23"/>
  <c r="S112" i="23" s="1"/>
  <c r="T117" i="23" s="1"/>
  <c r="AM81" i="23"/>
  <c r="AP80" i="23"/>
  <c r="X193" i="23" s="1"/>
  <c r="AM80" i="23"/>
  <c r="AA80" i="23"/>
  <c r="O174" i="23" s="1"/>
  <c r="L176" i="23" s="1"/>
  <c r="V80" i="23"/>
  <c r="I173" i="23" s="1"/>
  <c r="S80" i="23"/>
  <c r="H80" i="23"/>
  <c r="H169" i="23" s="1"/>
  <c r="AP79" i="23"/>
  <c r="S193" i="23" s="1"/>
  <c r="AM79" i="23"/>
  <c r="AE79" i="23"/>
  <c r="AG161" i="23" s="1"/>
  <c r="V79" i="23"/>
  <c r="I160" i="23" s="1"/>
  <c r="S79" i="23"/>
  <c r="AM78" i="23"/>
  <c r="AE78" i="23"/>
  <c r="V78" i="23"/>
  <c r="I147" i="23" s="1"/>
  <c r="S78" i="23"/>
  <c r="AM77" i="23"/>
  <c r="V77" i="23"/>
  <c r="I137" i="23" s="1"/>
  <c r="S77" i="23"/>
  <c r="Q136" i="23" s="1"/>
  <c r="U140" i="23" s="1"/>
  <c r="AB140" i="23" s="1"/>
  <c r="AP76" i="23"/>
  <c r="AB191" i="23" s="1"/>
  <c r="AM76" i="23"/>
  <c r="V76" i="23"/>
  <c r="I127" i="23" s="1"/>
  <c r="S76" i="23"/>
  <c r="AP75" i="23"/>
  <c r="W191" i="23" s="1"/>
  <c r="AM75" i="23"/>
  <c r="AE75" i="23"/>
  <c r="V75" i="23"/>
  <c r="I114" i="23" s="1"/>
  <c r="S75" i="23"/>
  <c r="AM74" i="23"/>
  <c r="AE74" i="23"/>
  <c r="AE102" i="23" s="1"/>
  <c r="V74" i="23"/>
  <c r="I101" i="23" s="1"/>
  <c r="S74" i="23"/>
  <c r="AP73" i="23"/>
  <c r="M191" i="23" s="1"/>
  <c r="AM73" i="23"/>
  <c r="V73" i="23"/>
  <c r="I91" i="23" s="1"/>
  <c r="S73" i="23"/>
  <c r="BE24" i="23"/>
  <c r="AZ24" i="23"/>
  <c r="AU24" i="23"/>
  <c r="AV18" i="23"/>
  <c r="AQ18" i="23"/>
  <c r="AL18" i="23"/>
  <c r="AG18" i="23"/>
  <c r="AB18" i="23"/>
  <c r="W18" i="23"/>
  <c r="R18" i="23"/>
  <c r="M18" i="23"/>
  <c r="H18" i="23"/>
  <c r="B18" i="23"/>
  <c r="W9" i="23"/>
  <c r="I9" i="23"/>
  <c r="W8" i="23"/>
  <c r="I8" i="23"/>
  <c r="T5" i="23"/>
  <c r="G54" i="23" s="1"/>
  <c r="R336" i="23"/>
  <c r="Y336" i="23" s="1"/>
  <c r="AS318" i="23"/>
  <c r="Q320" i="23" s="1"/>
  <c r="R324" i="23" s="1"/>
  <c r="Y324" i="23" s="1"/>
  <c r="S306" i="23"/>
  <c r="T311" i="23" s="1"/>
  <c r="AA283" i="23"/>
  <c r="U288" i="23" s="1"/>
  <c r="AB288" i="23" s="1"/>
  <c r="U283" i="23"/>
  <c r="X353" i="23"/>
  <c r="I321" i="23"/>
  <c r="Y176" i="23"/>
  <c r="R176" i="23"/>
  <c r="B154" i="23"/>
  <c r="AJ148" i="23"/>
  <c r="B143" i="23"/>
  <c r="AS124" i="23"/>
  <c r="Q126" i="23" s="1"/>
  <c r="U130" i="23" s="1"/>
  <c r="AB130" i="23" s="1"/>
  <c r="B121" i="23"/>
  <c r="AB115" i="23"/>
  <c r="AB94" i="23"/>
  <c r="AA89" i="23"/>
  <c r="U94" i="23" s="1"/>
  <c r="U89" i="23"/>
  <c r="G56" i="23"/>
  <c r="G55" i="23"/>
  <c r="G49" i="23"/>
  <c r="AK9" i="23"/>
  <c r="AK8" i="23"/>
  <c r="G57" i="23" l="1"/>
  <c r="B97" i="23"/>
  <c r="C168" i="23"/>
  <c r="B302" i="23"/>
  <c r="B315" i="23"/>
  <c r="G53" i="23"/>
  <c r="C122" i="23"/>
  <c r="B167" i="23"/>
  <c r="C328" i="23"/>
  <c r="B108" i="23"/>
  <c r="H16" i="23"/>
  <c r="L252" i="23"/>
  <c r="C109" i="23"/>
  <c r="C266" i="23"/>
  <c r="S158" i="23"/>
  <c r="T163" i="23" s="1"/>
  <c r="C155" i="23"/>
  <c r="Q22" i="23"/>
  <c r="G50" i="23"/>
  <c r="B84" i="23"/>
  <c r="B291" i="23"/>
  <c r="C303" i="23"/>
  <c r="C316" i="23"/>
  <c r="B327" i="23"/>
  <c r="G51" i="23"/>
  <c r="B278" i="23"/>
  <c r="E9" i="11" l="1"/>
  <c r="E8" i="11"/>
  <c r="E7" i="11"/>
  <c r="E6" i="11"/>
  <c r="F14" i="3"/>
  <c r="E14" i="3"/>
  <c r="D14" i="3"/>
  <c r="C14" i="3"/>
  <c r="B14" i="3"/>
  <c r="H4" i="3"/>
  <c r="E4" i="3"/>
  <c r="C4" i="3"/>
  <c r="H3" i="3"/>
  <c r="E3" i="3"/>
  <c r="C3" i="3"/>
  <c r="B44" i="3"/>
  <c r="E34" i="24" l="1"/>
  <c r="A34" i="24"/>
  <c r="A36" i="11"/>
  <c r="E36" i="11"/>
  <c r="I55" i="21"/>
  <c r="Q125" i="23" s="1"/>
  <c r="AD125" i="23" s="1"/>
  <c r="H55" i="21"/>
  <c r="G55" i="21"/>
  <c r="I45" i="21"/>
  <c r="Q319" i="23" s="1"/>
  <c r="AD319" i="23" s="1"/>
  <c r="H45" i="21"/>
  <c r="G45" i="21"/>
  <c r="Q318" i="23" s="1"/>
  <c r="AD318" i="23" s="1"/>
  <c r="I39" i="21"/>
  <c r="Q247" i="23" s="1"/>
  <c r="G39" i="21"/>
  <c r="Q246" i="23" s="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P9" i="21"/>
  <c r="AQ19" i="23" s="1"/>
  <c r="J9" i="21"/>
  <c r="G9" i="21"/>
  <c r="AB19" i="23" s="1"/>
  <c r="F9" i="21"/>
  <c r="W19" i="23" s="1"/>
  <c r="E9" i="21"/>
  <c r="R19" i="23" s="1"/>
  <c r="D9" i="21"/>
  <c r="M19" i="23" s="1"/>
  <c r="C9" i="21"/>
  <c r="H19" i="23" s="1"/>
  <c r="B9" i="21"/>
  <c r="AL318" i="23" s="1"/>
  <c r="M3" i="21"/>
  <c r="L3" i="21"/>
  <c r="G3" i="21"/>
  <c r="F3" i="21"/>
  <c r="T10" i="23" s="1"/>
  <c r="C3" i="21"/>
  <c r="D3" i="21" s="1"/>
  <c r="F82" i="21"/>
  <c r="I82" i="21" s="1"/>
  <c r="F64" i="21"/>
  <c r="F60" i="21"/>
  <c r="M81" i="23" s="1"/>
  <c r="F59" i="21"/>
  <c r="M80" i="23" s="1"/>
  <c r="M169" i="23" s="1"/>
  <c r="F55" i="21"/>
  <c r="M76" i="23" s="1"/>
  <c r="N123" i="23" s="1"/>
  <c r="J58" i="21"/>
  <c r="O79" i="23" s="1"/>
  <c r="F58" i="21"/>
  <c r="M79" i="23" s="1"/>
  <c r="M157" i="23" s="1"/>
  <c r="S57" i="21"/>
  <c r="G57" i="21"/>
  <c r="J57" i="21" s="1"/>
  <c r="O78" i="23" s="1"/>
  <c r="F57" i="21"/>
  <c r="M78" i="23" s="1"/>
  <c r="J54" i="21"/>
  <c r="O75" i="23" s="1"/>
  <c r="F54" i="21"/>
  <c r="M75" i="23" s="1"/>
  <c r="M111" i="23" s="1"/>
  <c r="S53" i="21"/>
  <c r="G53" i="21"/>
  <c r="J53" i="21" s="1"/>
  <c r="O74" i="23" s="1"/>
  <c r="F53" i="21"/>
  <c r="M74" i="23" s="1"/>
  <c r="F52" i="21"/>
  <c r="M73" i="23" s="1"/>
  <c r="N87" i="23" s="1"/>
  <c r="F47" i="21"/>
  <c r="F46" i="21"/>
  <c r="M239" i="23" s="1"/>
  <c r="M329" i="23" s="1"/>
  <c r="F45" i="21"/>
  <c r="M238" i="23" s="1"/>
  <c r="N317" i="23" s="1"/>
  <c r="J44" i="21"/>
  <c r="O237" i="23" s="1"/>
  <c r="F44" i="21"/>
  <c r="M237" i="23" s="1"/>
  <c r="M305" i="23" s="1"/>
  <c r="S43" i="21"/>
  <c r="G43" i="21"/>
  <c r="J43" i="21" s="1"/>
  <c r="O236" i="23" s="1"/>
  <c r="F43" i="21"/>
  <c r="M236" i="23" s="1"/>
  <c r="F42" i="21"/>
  <c r="M235" i="23" s="1"/>
  <c r="N281" i="23" s="1"/>
  <c r="J41" i="21"/>
  <c r="O234" i="23" s="1"/>
  <c r="F41" i="21"/>
  <c r="M234" i="23" s="1"/>
  <c r="M268" i="23" s="1"/>
  <c r="S40" i="21"/>
  <c r="G40" i="21"/>
  <c r="J40" i="21" s="1"/>
  <c r="O233" i="23" s="1"/>
  <c r="F40" i="21"/>
  <c r="M233" i="23" s="1"/>
  <c r="F39" i="21"/>
  <c r="M232" i="23" s="1"/>
  <c r="N245" i="23" s="1"/>
  <c r="O34" i="21"/>
  <c r="L34" i="21"/>
  <c r="AP44" i="23" s="1"/>
  <c r="L30" i="21"/>
  <c r="AP40" i="23" s="1"/>
  <c r="P26" i="21"/>
  <c r="L26" i="21"/>
  <c r="AP36" i="23" s="1"/>
  <c r="O25" i="21"/>
  <c r="P17" i="21"/>
  <c r="G12" i="21"/>
  <c r="E18" i="3" s="1"/>
  <c r="C6" i="21"/>
  <c r="B12" i="3" s="1"/>
  <c r="E3" i="21"/>
  <c r="AE15" i="21" l="1"/>
  <c r="V15" i="21"/>
  <c r="W15" i="21"/>
  <c r="AE19" i="21"/>
  <c r="W19" i="21"/>
  <c r="V19" i="21"/>
  <c r="V23" i="21"/>
  <c r="W23" i="21"/>
  <c r="AE23" i="21"/>
  <c r="AE27" i="21"/>
  <c r="W27" i="21"/>
  <c r="V27" i="21"/>
  <c r="V31" i="21"/>
  <c r="W31" i="21"/>
  <c r="AE31" i="21"/>
  <c r="AE16" i="21"/>
  <c r="V16" i="21"/>
  <c r="W16" i="21"/>
  <c r="AE20" i="21"/>
  <c r="V20" i="21"/>
  <c r="W20" i="21"/>
  <c r="AE24" i="21"/>
  <c r="V24" i="21"/>
  <c r="W24" i="21"/>
  <c r="AE28" i="21"/>
  <c r="V28" i="21"/>
  <c r="W28" i="21"/>
  <c r="AE32" i="21"/>
  <c r="V32" i="21"/>
  <c r="W32" i="21"/>
  <c r="V17" i="21"/>
  <c r="AE17" i="21"/>
  <c r="W17" i="21"/>
  <c r="V21" i="21"/>
  <c r="AE21" i="21"/>
  <c r="W21" i="21"/>
  <c r="AE25" i="21"/>
  <c r="V25" i="21"/>
  <c r="W25" i="21"/>
  <c r="V29" i="21"/>
  <c r="AE29" i="21"/>
  <c r="W29" i="21"/>
  <c r="AE33" i="21"/>
  <c r="V33" i="21"/>
  <c r="W33" i="21"/>
  <c r="V18" i="21"/>
  <c r="W18" i="21"/>
  <c r="AE18" i="21"/>
  <c r="V22" i="21"/>
  <c r="AE22" i="21"/>
  <c r="W22" i="21"/>
  <c r="V26" i="21"/>
  <c r="W26" i="21"/>
  <c r="AE26" i="21"/>
  <c r="V30" i="21"/>
  <c r="AE30" i="21"/>
  <c r="W30" i="21"/>
  <c r="V34" i="21"/>
  <c r="W34" i="21"/>
  <c r="AE34" i="21"/>
  <c r="AP74" i="23"/>
  <c r="R191" i="23" s="1"/>
  <c r="AP236" i="23"/>
  <c r="AG351" i="23" s="1"/>
  <c r="AP233" i="23"/>
  <c r="R351" i="23" s="1"/>
  <c r="AP78" i="23"/>
  <c r="N193" i="23" s="1"/>
  <c r="J15" i="21"/>
  <c r="AF25" i="23" s="1"/>
  <c r="AC15" i="21"/>
  <c r="K15" i="31" s="1"/>
  <c r="J19" i="21"/>
  <c r="AF29" i="23" s="1"/>
  <c r="AC19" i="21"/>
  <c r="K19" i="31" s="1"/>
  <c r="J27" i="21"/>
  <c r="AF37" i="23" s="1"/>
  <c r="AC27" i="21"/>
  <c r="J31" i="21"/>
  <c r="AF41" i="23" s="1"/>
  <c r="AC31" i="21"/>
  <c r="O16" i="21"/>
  <c r="AC16" i="21"/>
  <c r="K16" i="31" s="1"/>
  <c r="I20" i="21"/>
  <c r="AA30" i="23" s="1"/>
  <c r="AC20" i="21"/>
  <c r="K20" i="31" s="1"/>
  <c r="AC24" i="21"/>
  <c r="I28" i="21"/>
  <c r="AA38" i="23" s="1"/>
  <c r="AC28" i="21"/>
  <c r="N32" i="21"/>
  <c r="AC32" i="21"/>
  <c r="J23" i="21"/>
  <c r="AF33" i="23" s="1"/>
  <c r="AC23" i="21"/>
  <c r="J17" i="21"/>
  <c r="AF27" i="23" s="1"/>
  <c r="AC17" i="21"/>
  <c r="K17" i="31" s="1"/>
  <c r="J21" i="21"/>
  <c r="AF31" i="23" s="1"/>
  <c r="AC21" i="21"/>
  <c r="J25" i="21"/>
  <c r="AF35" i="23" s="1"/>
  <c r="AC25" i="21"/>
  <c r="J29" i="21"/>
  <c r="AF39" i="23" s="1"/>
  <c r="AC29" i="21"/>
  <c r="J33" i="21"/>
  <c r="AF43" i="23" s="1"/>
  <c r="AC33" i="21"/>
  <c r="I18" i="21"/>
  <c r="AA28" i="23" s="1"/>
  <c r="AC18" i="21"/>
  <c r="K18" i="31" s="1"/>
  <c r="S22" i="21"/>
  <c r="AZ32" i="23" s="1"/>
  <c r="AC22" i="21"/>
  <c r="I26" i="21"/>
  <c r="AA36" i="23" s="1"/>
  <c r="AC26" i="21"/>
  <c r="N30" i="21"/>
  <c r="AC30" i="21"/>
  <c r="N34" i="21"/>
  <c r="AC34" i="21"/>
  <c r="U21" i="21"/>
  <c r="BE31" i="23" s="1"/>
  <c r="O21" i="21"/>
  <c r="P31" i="21"/>
  <c r="R23" i="21"/>
  <c r="O27" i="21"/>
  <c r="P21" i="21"/>
  <c r="M21" i="21"/>
  <c r="AU31" i="23" s="1"/>
  <c r="T21" i="21"/>
  <c r="AB21" i="21"/>
  <c r="AA21" i="21"/>
  <c r="D21" i="21"/>
  <c r="C27" i="3" s="1"/>
  <c r="L21" i="21"/>
  <c r="AP31" i="23" s="1"/>
  <c r="Q21" i="21"/>
  <c r="AD21" i="21"/>
  <c r="AA25" i="21"/>
  <c r="G29" i="21"/>
  <c r="Q39" i="23" s="1"/>
  <c r="P25" i="21"/>
  <c r="AD25" i="21"/>
  <c r="U31" i="21"/>
  <c r="BE41" i="23" s="1"/>
  <c r="K25" i="21"/>
  <c r="AK35" i="23" s="1"/>
  <c r="AB25" i="21"/>
  <c r="Q25" i="21"/>
  <c r="O29" i="21"/>
  <c r="L25" i="21"/>
  <c r="AP35" i="23" s="1"/>
  <c r="U25" i="21"/>
  <c r="BE35" i="23" s="1"/>
  <c r="C21" i="21"/>
  <c r="B27" i="3" s="1"/>
  <c r="T27" i="21"/>
  <c r="R32" i="21"/>
  <c r="M27" i="21"/>
  <c r="AU37" i="23" s="1"/>
  <c r="D25" i="21"/>
  <c r="C31" i="3" s="1"/>
  <c r="S26" i="21"/>
  <c r="AZ36" i="23" s="1"/>
  <c r="G15" i="21"/>
  <c r="Q25" i="23" s="1"/>
  <c r="G27" i="21"/>
  <c r="Q37" i="23" s="1"/>
  <c r="M25" i="21"/>
  <c r="AU35" i="23" s="1"/>
  <c r="T25" i="21"/>
  <c r="AD26" i="21"/>
  <c r="U27" i="21"/>
  <c r="BE37" i="23" s="1"/>
  <c r="C25" i="21"/>
  <c r="G35" i="23" s="1"/>
  <c r="E26" i="21"/>
  <c r="B36" i="23" s="1"/>
  <c r="S30" i="21"/>
  <c r="AZ40" i="23" s="1"/>
  <c r="K17" i="21"/>
  <c r="AK27" i="23" s="1"/>
  <c r="N23" i="21"/>
  <c r="D32" i="3"/>
  <c r="K9" i="21"/>
  <c r="E40" i="21" s="1"/>
  <c r="M41" i="21" s="1"/>
  <c r="T12" i="23"/>
  <c r="K15" i="21"/>
  <c r="AK25" i="23" s="1"/>
  <c r="C17" i="21"/>
  <c r="N17" i="21"/>
  <c r="E20" i="21"/>
  <c r="E22" i="21"/>
  <c r="C23" i="21"/>
  <c r="K29" i="21"/>
  <c r="AK39" i="23" s="1"/>
  <c r="Q124" i="23"/>
  <c r="AD124" i="23" s="1"/>
  <c r="N9" i="21"/>
  <c r="E43" i="21" s="1"/>
  <c r="AB31" i="21"/>
  <c r="AA31" i="21"/>
  <c r="AD34" i="21"/>
  <c r="C15" i="21"/>
  <c r="N15" i="21"/>
  <c r="E52" i="21" s="1"/>
  <c r="H73" i="23" s="1"/>
  <c r="I87" i="23" s="1"/>
  <c r="D17" i="21"/>
  <c r="F20" i="21"/>
  <c r="K21" i="21"/>
  <c r="AK31" i="23" s="1"/>
  <c r="F22" i="21"/>
  <c r="D23" i="21"/>
  <c r="N25" i="21"/>
  <c r="C29" i="21"/>
  <c r="N29" i="21"/>
  <c r="G31" i="21"/>
  <c r="Q41" i="23" s="1"/>
  <c r="E34" i="21"/>
  <c r="U124" i="23"/>
  <c r="AH124" i="23" s="1"/>
  <c r="Q17" i="21"/>
  <c r="T11" i="23"/>
  <c r="E45" i="21"/>
  <c r="H238" i="23" s="1"/>
  <c r="I317" i="23" s="1"/>
  <c r="F56" i="21"/>
  <c r="M77" i="23" s="1"/>
  <c r="N135" i="23" s="1"/>
  <c r="M240" i="23"/>
  <c r="O17" i="21"/>
  <c r="AD29" i="21"/>
  <c r="O31" i="21"/>
  <c r="E39" i="21"/>
  <c r="H232" i="23" s="1"/>
  <c r="I245" i="23" s="1"/>
  <c r="B19" i="23"/>
  <c r="D15" i="21"/>
  <c r="G17" i="21"/>
  <c r="Q27" i="23" s="1"/>
  <c r="N21" i="21"/>
  <c r="I22" i="21"/>
  <c r="AA32" i="23" s="1"/>
  <c r="K23" i="21"/>
  <c r="AK33" i="23" s="1"/>
  <c r="B31" i="3"/>
  <c r="D29" i="21"/>
  <c r="F34" i="21"/>
  <c r="U318" i="23"/>
  <c r="AH318" i="23" s="1"/>
  <c r="N320" i="23" s="1"/>
  <c r="O324" i="23" s="1"/>
  <c r="V324" i="23" s="1"/>
  <c r="J45" i="21"/>
  <c r="O238" i="23" s="1"/>
  <c r="O9" i="21"/>
  <c r="E44" i="21" s="1"/>
  <c r="L9" i="21"/>
  <c r="E41" i="21" s="1"/>
  <c r="H19" i="21"/>
  <c r="V29" i="23" s="1"/>
  <c r="H33" i="21"/>
  <c r="V43" i="23" s="1"/>
  <c r="B3" i="21"/>
  <c r="M28" i="21"/>
  <c r="AU38" i="23" s="1"/>
  <c r="C19" i="21"/>
  <c r="K19" i="21"/>
  <c r="AK29" i="23" s="1"/>
  <c r="H27" i="21"/>
  <c r="V37" i="23" s="1"/>
  <c r="F28" i="21"/>
  <c r="H31" i="21"/>
  <c r="V41" i="23" s="1"/>
  <c r="E32" i="21"/>
  <c r="C33" i="21"/>
  <c r="K33" i="21"/>
  <c r="AK43" i="23" s="1"/>
  <c r="Q19" i="21"/>
  <c r="AB27" i="21"/>
  <c r="P27" i="21"/>
  <c r="AA27" i="21"/>
  <c r="O30" i="21"/>
  <c r="L31" i="21"/>
  <c r="AP41" i="23" s="1"/>
  <c r="Q31" i="21"/>
  <c r="AD31" i="21"/>
  <c r="H15" i="21"/>
  <c r="V25" i="23" s="1"/>
  <c r="H17" i="21"/>
  <c r="V27" i="23" s="1"/>
  <c r="E18" i="21"/>
  <c r="D19" i="21"/>
  <c r="N19" i="21"/>
  <c r="S20" i="21"/>
  <c r="AZ30" i="23" s="1"/>
  <c r="G21" i="21"/>
  <c r="Q31" i="23" s="1"/>
  <c r="G23" i="21"/>
  <c r="Q33" i="23" s="1"/>
  <c r="G25" i="21"/>
  <c r="Q35" i="23" s="1"/>
  <c r="C27" i="21"/>
  <c r="K27" i="21"/>
  <c r="AK37" i="23" s="1"/>
  <c r="H29" i="21"/>
  <c r="V39" i="23" s="1"/>
  <c r="E30" i="21"/>
  <c r="C31" i="21"/>
  <c r="K31" i="21"/>
  <c r="AK41" i="23" s="1"/>
  <c r="I32" i="21"/>
  <c r="AA42" i="23" s="1"/>
  <c r="D33" i="21"/>
  <c r="N33" i="21"/>
  <c r="I34" i="21"/>
  <c r="AA44" i="23" s="1"/>
  <c r="L27" i="21"/>
  <c r="AP37" i="23" s="1"/>
  <c r="Q27" i="21"/>
  <c r="AD27" i="21"/>
  <c r="AD30" i="21"/>
  <c r="M31" i="21"/>
  <c r="AU41" i="23" s="1"/>
  <c r="T31" i="21"/>
  <c r="S18" i="21"/>
  <c r="AZ28" i="23" s="1"/>
  <c r="G19" i="21"/>
  <c r="Q29" i="23" s="1"/>
  <c r="H21" i="21"/>
  <c r="V31" i="23" s="1"/>
  <c r="H23" i="21"/>
  <c r="V33" i="23" s="1"/>
  <c r="H25" i="21"/>
  <c r="V35" i="23" s="1"/>
  <c r="D27" i="21"/>
  <c r="N27" i="21"/>
  <c r="I30" i="21"/>
  <c r="AA40" i="23" s="1"/>
  <c r="D31" i="21"/>
  <c r="N31" i="21"/>
  <c r="S32" i="21"/>
  <c r="AZ42" i="23" s="1"/>
  <c r="G33" i="21"/>
  <c r="Q43" i="23" s="1"/>
  <c r="S34" i="21"/>
  <c r="AZ44" i="23" s="1"/>
  <c r="N16" i="21"/>
  <c r="H16" i="21"/>
  <c r="V26" i="23" s="1"/>
  <c r="D16" i="21"/>
  <c r="K16" i="21"/>
  <c r="AK26" i="23" s="1"/>
  <c r="G16" i="21"/>
  <c r="Q26" i="23" s="1"/>
  <c r="C16" i="21"/>
  <c r="J16" i="21"/>
  <c r="AF26" i="23" s="1"/>
  <c r="N24" i="21"/>
  <c r="H24" i="21"/>
  <c r="V34" i="23" s="1"/>
  <c r="D24" i="21"/>
  <c r="K24" i="21"/>
  <c r="AK34" i="23" s="1"/>
  <c r="G24" i="21"/>
  <c r="Q34" i="23" s="1"/>
  <c r="C24" i="21"/>
  <c r="J24" i="21"/>
  <c r="AF34" i="23" s="1"/>
  <c r="Q18" i="21"/>
  <c r="H9" i="21"/>
  <c r="I9" i="21"/>
  <c r="E16" i="21"/>
  <c r="S16" i="21"/>
  <c r="AZ26" i="23" s="1"/>
  <c r="F18" i="21"/>
  <c r="N22" i="21"/>
  <c r="H22" i="21"/>
  <c r="V32" i="23" s="1"/>
  <c r="D22" i="21"/>
  <c r="AA22" i="21"/>
  <c r="K22" i="21"/>
  <c r="AK32" i="23" s="1"/>
  <c r="G22" i="21"/>
  <c r="Q32" i="23" s="1"/>
  <c r="C22" i="21"/>
  <c r="J22" i="21"/>
  <c r="AF32" i="23" s="1"/>
  <c r="E24" i="21"/>
  <c r="S24" i="21"/>
  <c r="AZ34" i="23" s="1"/>
  <c r="F26" i="21"/>
  <c r="N41" i="21"/>
  <c r="F16" i="21"/>
  <c r="N20" i="21"/>
  <c r="H20" i="21"/>
  <c r="V30" i="23" s="1"/>
  <c r="D20" i="21"/>
  <c r="P20" i="21"/>
  <c r="K20" i="21"/>
  <c r="AK30" i="23" s="1"/>
  <c r="G20" i="21"/>
  <c r="Q30" i="23" s="1"/>
  <c r="C20" i="21"/>
  <c r="O20" i="21"/>
  <c r="J20" i="21"/>
  <c r="AF30" i="23" s="1"/>
  <c r="F24" i="21"/>
  <c r="N28" i="21"/>
  <c r="H28" i="21"/>
  <c r="V38" i="23" s="1"/>
  <c r="D28" i="21"/>
  <c r="K28" i="21"/>
  <c r="AK38" i="23" s="1"/>
  <c r="G28" i="21"/>
  <c r="Q38" i="23" s="1"/>
  <c r="C28" i="21"/>
  <c r="T28" i="21"/>
  <c r="J28" i="21"/>
  <c r="AF38" i="23" s="1"/>
  <c r="S28" i="21"/>
  <c r="AZ38" i="23" s="1"/>
  <c r="I16" i="21"/>
  <c r="AA26" i="23" s="1"/>
  <c r="N18" i="21"/>
  <c r="H18" i="21"/>
  <c r="V28" i="23" s="1"/>
  <c r="D18" i="21"/>
  <c r="P18" i="21"/>
  <c r="K18" i="21"/>
  <c r="AK28" i="23" s="1"/>
  <c r="G18" i="21"/>
  <c r="Q28" i="23" s="1"/>
  <c r="C18" i="21"/>
  <c r="J18" i="21"/>
  <c r="AF28" i="23" s="1"/>
  <c r="I24" i="21"/>
  <c r="AA34" i="23" s="1"/>
  <c r="N26" i="21"/>
  <c r="H26" i="21"/>
  <c r="V36" i="23" s="1"/>
  <c r="D26" i="21"/>
  <c r="U26" i="21"/>
  <c r="BE36" i="23" s="1"/>
  <c r="K26" i="21"/>
  <c r="AK36" i="23" s="1"/>
  <c r="G26" i="21"/>
  <c r="Q36" i="23" s="1"/>
  <c r="C26" i="21"/>
  <c r="Q26" i="21"/>
  <c r="J26" i="21"/>
  <c r="AF36" i="23" s="1"/>
  <c r="E28" i="21"/>
  <c r="J30" i="21"/>
  <c r="AF40" i="23" s="1"/>
  <c r="F32" i="21"/>
  <c r="J34" i="21"/>
  <c r="AF44" i="23" s="1"/>
  <c r="P30" i="21"/>
  <c r="U32" i="21"/>
  <c r="BE42" i="23" s="1"/>
  <c r="P34" i="21"/>
  <c r="E15" i="21"/>
  <c r="B25" i="23" s="1"/>
  <c r="I15" i="21"/>
  <c r="AA25" i="23" s="1"/>
  <c r="S15" i="21"/>
  <c r="E17" i="21"/>
  <c r="I17" i="21"/>
  <c r="AA27" i="23" s="1"/>
  <c r="S17" i="21"/>
  <c r="AZ27" i="23" s="1"/>
  <c r="E19" i="21"/>
  <c r="I19" i="21"/>
  <c r="AA29" i="23" s="1"/>
  <c r="S19" i="21"/>
  <c r="AZ29" i="23" s="1"/>
  <c r="E21" i="21"/>
  <c r="I21" i="21"/>
  <c r="AA31" i="23" s="1"/>
  <c r="S21" i="21"/>
  <c r="AZ31" i="23" s="1"/>
  <c r="E23" i="21"/>
  <c r="I23" i="21"/>
  <c r="AA33" i="23" s="1"/>
  <c r="S23" i="21"/>
  <c r="AZ33" i="23" s="1"/>
  <c r="E25" i="21"/>
  <c r="I25" i="21"/>
  <c r="AA35" i="23" s="1"/>
  <c r="S25" i="21"/>
  <c r="AZ35" i="23" s="1"/>
  <c r="E27" i="21"/>
  <c r="I27" i="21"/>
  <c r="AA37" i="23" s="1"/>
  <c r="S27" i="21"/>
  <c r="AZ37" i="23" s="1"/>
  <c r="E29" i="21"/>
  <c r="I29" i="21"/>
  <c r="AA39" i="23" s="1"/>
  <c r="S29" i="21"/>
  <c r="AZ39" i="23" s="1"/>
  <c r="C30" i="21"/>
  <c r="G30" i="21"/>
  <c r="Q40" i="23" s="1"/>
  <c r="K30" i="21"/>
  <c r="AK40" i="23" s="1"/>
  <c r="E31" i="21"/>
  <c r="I31" i="21"/>
  <c r="AA41" i="23" s="1"/>
  <c r="S31" i="21"/>
  <c r="AZ41" i="23" s="1"/>
  <c r="C32" i="21"/>
  <c r="G32" i="21"/>
  <c r="Q42" i="23" s="1"/>
  <c r="K32" i="21"/>
  <c r="AK42" i="23" s="1"/>
  <c r="E33" i="21"/>
  <c r="I33" i="21"/>
  <c r="AA43" i="23" s="1"/>
  <c r="S33" i="21"/>
  <c r="AZ43" i="23" s="1"/>
  <c r="C34" i="21"/>
  <c r="G34" i="21"/>
  <c r="Q44" i="23" s="1"/>
  <c r="K34" i="21"/>
  <c r="AK44" i="23" s="1"/>
  <c r="F30" i="21"/>
  <c r="J32" i="21"/>
  <c r="AF42" i="23" s="1"/>
  <c r="AB30" i="21"/>
  <c r="T30" i="21"/>
  <c r="AB34" i="21"/>
  <c r="T34" i="21"/>
  <c r="F15" i="21"/>
  <c r="F17" i="21"/>
  <c r="F19" i="21"/>
  <c r="F21" i="21"/>
  <c r="F23" i="21"/>
  <c r="F25" i="21"/>
  <c r="F27" i="21"/>
  <c r="F29" i="21"/>
  <c r="D30" i="21"/>
  <c r="H30" i="21"/>
  <c r="V40" i="23" s="1"/>
  <c r="F31" i="21"/>
  <c r="D32" i="21"/>
  <c r="H32" i="21"/>
  <c r="V42" i="23" s="1"/>
  <c r="F33" i="21"/>
  <c r="D34" i="21"/>
  <c r="H34" i="21"/>
  <c r="V44" i="23" s="1"/>
  <c r="T15" i="21"/>
  <c r="P15" i="21"/>
  <c r="E54" i="21" s="1"/>
  <c r="H75" i="23" s="1"/>
  <c r="H111" i="23" s="1"/>
  <c r="O15" i="21"/>
  <c r="E53" i="21" s="1"/>
  <c r="H74" i="23" s="1"/>
  <c r="H98" i="23" s="1"/>
  <c r="R15" i="21"/>
  <c r="E58" i="21" s="1"/>
  <c r="H79" i="23" s="1"/>
  <c r="H157" i="23" s="1"/>
  <c r="AA24" i="21"/>
  <c r="U24" i="21"/>
  <c r="BE34" i="23" s="1"/>
  <c r="Q24" i="21"/>
  <c r="M24" i="21"/>
  <c r="AU34" i="23" s="1"/>
  <c r="AD24" i="21"/>
  <c r="P24" i="21"/>
  <c r="AB24" i="21"/>
  <c r="T24" i="21"/>
  <c r="O24" i="21"/>
  <c r="L24" i="21"/>
  <c r="AP34" i="23" s="1"/>
  <c r="AD22" i="21"/>
  <c r="O22" i="21"/>
  <c r="Q22" i="21"/>
  <c r="L22" i="21"/>
  <c r="AP32" i="23" s="1"/>
  <c r="AB22" i="21"/>
  <c r="U22" i="21"/>
  <c r="BE32" i="23" s="1"/>
  <c r="P22" i="21"/>
  <c r="M22" i="21"/>
  <c r="AU32" i="23" s="1"/>
  <c r="AA33" i="21"/>
  <c r="U33" i="21"/>
  <c r="BE43" i="23" s="1"/>
  <c r="Q33" i="21"/>
  <c r="M33" i="21"/>
  <c r="AU43" i="23" s="1"/>
  <c r="T33" i="21"/>
  <c r="P33" i="21"/>
  <c r="L33" i="21"/>
  <c r="AP43" i="23" s="1"/>
  <c r="AD33" i="21"/>
  <c r="R33" i="21"/>
  <c r="Q16" i="21"/>
  <c r="M16" i="21"/>
  <c r="AU26" i="23" s="1"/>
  <c r="T16" i="21"/>
  <c r="P16" i="21"/>
  <c r="L16" i="21"/>
  <c r="AP26" i="23" s="1"/>
  <c r="R16" i="21"/>
  <c r="AB33" i="21"/>
  <c r="J82" i="21"/>
  <c r="A48" i="13" s="1"/>
  <c r="U16" i="21"/>
  <c r="BE26" i="23" s="1"/>
  <c r="P19" i="21"/>
  <c r="R19" i="21"/>
  <c r="L19" i="21"/>
  <c r="AP29" i="23" s="1"/>
  <c r="R22" i="21"/>
  <c r="T23" i="21"/>
  <c r="P23" i="21"/>
  <c r="L23" i="21"/>
  <c r="AP33" i="23" s="1"/>
  <c r="AD23" i="21"/>
  <c r="Q23" i="21"/>
  <c r="AB23" i="21"/>
  <c r="U23" i="21"/>
  <c r="BE33" i="23" s="1"/>
  <c r="O23" i="21"/>
  <c r="M23" i="21"/>
  <c r="AU33" i="23" s="1"/>
  <c r="R24" i="21"/>
  <c r="L15" i="21"/>
  <c r="AP25" i="23" s="1"/>
  <c r="Q15" i="21"/>
  <c r="E57" i="21" s="1"/>
  <c r="T19" i="21"/>
  <c r="O19" i="21"/>
  <c r="T22" i="21"/>
  <c r="AA23" i="21"/>
  <c r="O33" i="21"/>
  <c r="G46" i="21"/>
  <c r="G59" i="21"/>
  <c r="I64" i="21"/>
  <c r="L64" i="21" s="1"/>
  <c r="Q64" i="21" s="1"/>
  <c r="R18" i="21"/>
  <c r="Q20" i="21"/>
  <c r="T20" i="21"/>
  <c r="M20" i="21"/>
  <c r="AU30" i="23" s="1"/>
  <c r="R20" i="21"/>
  <c r="AA26" i="21"/>
  <c r="O26" i="21"/>
  <c r="M26" i="21"/>
  <c r="AU36" i="23" s="1"/>
  <c r="R26" i="21"/>
  <c r="AD28" i="21"/>
  <c r="O28" i="21"/>
  <c r="U28" i="21"/>
  <c r="BE38" i="23" s="1"/>
  <c r="P28" i="21"/>
  <c r="Q28" i="21"/>
  <c r="AA28" i="21"/>
  <c r="T32" i="21"/>
  <c r="P32" i="21"/>
  <c r="L32" i="21"/>
  <c r="AP42" i="23" s="1"/>
  <c r="AD32" i="21"/>
  <c r="O32" i="21"/>
  <c r="AA32" i="21"/>
  <c r="Q32" i="21"/>
  <c r="M32" i="21"/>
  <c r="AU42" i="23" s="1"/>
  <c r="G14" i="21"/>
  <c r="Q24" i="23" s="1"/>
  <c r="M17" i="21"/>
  <c r="AU27" i="23" s="1"/>
  <c r="U17" i="21"/>
  <c r="BE27" i="23" s="1"/>
  <c r="R17" i="21"/>
  <c r="O18" i="21"/>
  <c r="U20" i="21"/>
  <c r="BE30" i="23" s="1"/>
  <c r="T26" i="21"/>
  <c r="AB26" i="21"/>
  <c r="L28" i="21"/>
  <c r="AP38" i="23" s="1"/>
  <c r="R28" i="21"/>
  <c r="AB28" i="21"/>
  <c r="AB32" i="21"/>
  <c r="R21" i="21"/>
  <c r="R25" i="21"/>
  <c r="AA29" i="21"/>
  <c r="U29" i="21"/>
  <c r="BE39" i="23" s="1"/>
  <c r="Q29" i="21"/>
  <c r="M29" i="21"/>
  <c r="AU39" i="23" s="1"/>
  <c r="T29" i="21"/>
  <c r="P29" i="21"/>
  <c r="L29" i="21"/>
  <c r="AP39" i="23" s="1"/>
  <c r="R29" i="21"/>
  <c r="AB29" i="21"/>
  <c r="J39" i="21"/>
  <c r="O232" i="23" s="1"/>
  <c r="V246" i="23" s="1"/>
  <c r="R251" i="23" s="1"/>
  <c r="Y251" i="23" s="1"/>
  <c r="R27" i="21"/>
  <c r="M30" i="21"/>
  <c r="AU40" i="23" s="1"/>
  <c r="Q30" i="21"/>
  <c r="U30" i="21"/>
  <c r="BE40" i="23" s="1"/>
  <c r="AA30" i="21"/>
  <c r="R31" i="21"/>
  <c r="M34" i="21"/>
  <c r="AU44" i="23" s="1"/>
  <c r="Q34" i="21"/>
  <c r="U34" i="21"/>
  <c r="BE44" i="23" s="1"/>
  <c r="AA34" i="21"/>
  <c r="R30" i="21"/>
  <c r="R34" i="21"/>
  <c r="AE14" i="21" l="1"/>
  <c r="R3" i="21" s="1"/>
  <c r="N40" i="21"/>
  <c r="G31" i="23"/>
  <c r="L31" i="23"/>
  <c r="O41" i="21"/>
  <c r="Q41" i="21" s="1"/>
  <c r="U41" i="21" s="1"/>
  <c r="Q45" i="21"/>
  <c r="L35" i="23"/>
  <c r="C40" i="3"/>
  <c r="L44" i="23"/>
  <c r="D37" i="3"/>
  <c r="B41" i="23"/>
  <c r="D31" i="3"/>
  <c r="B35" i="23"/>
  <c r="D23" i="3"/>
  <c r="B27" i="23"/>
  <c r="C26" i="3"/>
  <c r="L30" i="23"/>
  <c r="D30" i="3"/>
  <c r="B34" i="23"/>
  <c r="B30" i="3"/>
  <c r="G34" i="23"/>
  <c r="C33" i="3"/>
  <c r="L37" i="23"/>
  <c r="C25" i="3"/>
  <c r="L29" i="23"/>
  <c r="C21" i="3"/>
  <c r="L25" i="23"/>
  <c r="B23" i="3"/>
  <c r="G27" i="23"/>
  <c r="B38" i="3"/>
  <c r="G42" i="23"/>
  <c r="D25" i="3"/>
  <c r="B29" i="23"/>
  <c r="E55" i="21"/>
  <c r="H76" i="23" s="1"/>
  <c r="I123" i="23" s="1"/>
  <c r="AZ25" i="23"/>
  <c r="C32" i="3"/>
  <c r="L36" i="23"/>
  <c r="C37" i="3"/>
  <c r="L41" i="23"/>
  <c r="D24" i="3"/>
  <c r="B28" i="23"/>
  <c r="B39" i="3"/>
  <c r="G43" i="23"/>
  <c r="M43" i="21"/>
  <c r="N42" i="21"/>
  <c r="H237" i="23"/>
  <c r="H305" i="23" s="1"/>
  <c r="B35" i="3"/>
  <c r="G39" i="23"/>
  <c r="B21" i="3"/>
  <c r="G25" i="23"/>
  <c r="C36" i="3"/>
  <c r="L40" i="23"/>
  <c r="D39" i="3"/>
  <c r="B43" i="23"/>
  <c r="D35" i="3"/>
  <c r="B39" i="23"/>
  <c r="D27" i="3"/>
  <c r="B31" i="23"/>
  <c r="D34" i="3"/>
  <c r="B38" i="23"/>
  <c r="B24" i="3"/>
  <c r="G28" i="23"/>
  <c r="C24" i="3"/>
  <c r="L28" i="23"/>
  <c r="B34" i="3"/>
  <c r="G38" i="23"/>
  <c r="C34" i="3"/>
  <c r="L38" i="23"/>
  <c r="B28" i="3"/>
  <c r="G32" i="23"/>
  <c r="C28" i="3"/>
  <c r="L32" i="23"/>
  <c r="C22" i="3"/>
  <c r="L26" i="23"/>
  <c r="B37" i="3"/>
  <c r="G41" i="23"/>
  <c r="B33" i="3"/>
  <c r="G37" i="23"/>
  <c r="D38" i="3"/>
  <c r="B42" i="23"/>
  <c r="D40" i="3"/>
  <c r="B44" i="23"/>
  <c r="M44" i="21"/>
  <c r="H236" i="23"/>
  <c r="H292" i="23" s="1"/>
  <c r="M42" i="21"/>
  <c r="B29" i="3"/>
  <c r="G33" i="23"/>
  <c r="D26" i="3"/>
  <c r="B30" i="23"/>
  <c r="J59" i="21"/>
  <c r="Q170" i="23"/>
  <c r="N171" i="23" s="1"/>
  <c r="S171" i="23" s="1"/>
  <c r="O176" i="23" s="1"/>
  <c r="V176" i="23" s="1"/>
  <c r="B26" i="3"/>
  <c r="G30" i="23"/>
  <c r="G42" i="21"/>
  <c r="AL19" i="23"/>
  <c r="M40" i="21"/>
  <c r="O40" i="21" s="1"/>
  <c r="H234" i="23"/>
  <c r="H268" i="23" s="1"/>
  <c r="J46" i="21"/>
  <c r="Q330" i="23"/>
  <c r="N331" i="23" s="1"/>
  <c r="S331" i="23" s="1"/>
  <c r="O336" i="23" s="1"/>
  <c r="V336" i="23" s="1"/>
  <c r="N39" i="21"/>
  <c r="D33" i="3"/>
  <c r="B37" i="23"/>
  <c r="B32" i="3"/>
  <c r="G36" i="23"/>
  <c r="M9" i="21"/>
  <c r="E42" i="21" s="1"/>
  <c r="AG19" i="23"/>
  <c r="C35" i="3"/>
  <c r="L39" i="23"/>
  <c r="H78" i="23"/>
  <c r="H144" i="23" s="1"/>
  <c r="O55" i="21"/>
  <c r="AA76" i="23" s="1"/>
  <c r="V128" i="23" s="1"/>
  <c r="L130" i="23" s="1"/>
  <c r="C38" i="3"/>
  <c r="L42" i="23"/>
  <c r="B40" i="3"/>
  <c r="G44" i="23"/>
  <c r="B36" i="3"/>
  <c r="G40" i="23"/>
  <c r="D29" i="3"/>
  <c r="B33" i="23"/>
  <c r="D22" i="3"/>
  <c r="B26" i="23"/>
  <c r="C30" i="3"/>
  <c r="L34" i="23"/>
  <c r="B22" i="3"/>
  <c r="G26" i="23"/>
  <c r="C39" i="3"/>
  <c r="L43" i="23"/>
  <c r="D36" i="3"/>
  <c r="B40" i="23"/>
  <c r="B25" i="3"/>
  <c r="G29" i="23"/>
  <c r="C29" i="3"/>
  <c r="L33" i="23"/>
  <c r="C23" i="3"/>
  <c r="L27" i="23"/>
  <c r="D28" i="3"/>
  <c r="B32" i="23"/>
  <c r="M39" i="21"/>
  <c r="H233" i="23"/>
  <c r="H255" i="23" s="1"/>
  <c r="I3" i="21"/>
  <c r="C8" i="3"/>
  <c r="D20" i="3" s="1"/>
  <c r="H14" i="21"/>
  <c r="V24" i="23" s="1"/>
  <c r="E20" i="3"/>
  <c r="D21" i="3"/>
  <c r="B8" i="3"/>
  <c r="I40" i="3"/>
  <c r="E40" i="3"/>
  <c r="I39" i="3"/>
  <c r="E39" i="3"/>
  <c r="I38" i="3"/>
  <c r="E38" i="3"/>
  <c r="I37" i="3"/>
  <c r="E37" i="3"/>
  <c r="I36" i="3"/>
  <c r="E36" i="3"/>
  <c r="I35" i="3"/>
  <c r="E35" i="3"/>
  <c r="I34" i="3"/>
  <c r="E34" i="3"/>
  <c r="I33" i="3"/>
  <c r="E33" i="3"/>
  <c r="I32" i="3"/>
  <c r="E32" i="3"/>
  <c r="I31" i="3"/>
  <c r="E31" i="3"/>
  <c r="I30" i="3"/>
  <c r="E30" i="3"/>
  <c r="I29" i="3"/>
  <c r="E29" i="3"/>
  <c r="I28" i="3"/>
  <c r="E28" i="3"/>
  <c r="I27" i="3"/>
  <c r="E27" i="3"/>
  <c r="I26" i="3"/>
  <c r="E26" i="3"/>
  <c r="I25" i="3"/>
  <c r="E25" i="3"/>
  <c r="I24" i="3"/>
  <c r="E24" i="3"/>
  <c r="I23" i="3"/>
  <c r="E23" i="3"/>
  <c r="I22" i="3"/>
  <c r="E22" i="3"/>
  <c r="I21" i="3"/>
  <c r="E21" i="3"/>
  <c r="D15" i="3"/>
  <c r="G39" i="3"/>
  <c r="G36" i="3"/>
  <c r="G35" i="3"/>
  <c r="G33" i="3"/>
  <c r="G32" i="3"/>
  <c r="G31" i="3"/>
  <c r="G30" i="3"/>
  <c r="G29" i="3"/>
  <c r="G27" i="3"/>
  <c r="G23" i="3"/>
  <c r="G22" i="3"/>
  <c r="G21" i="3"/>
  <c r="F15" i="3"/>
  <c r="F40" i="3"/>
  <c r="F39" i="3"/>
  <c r="F38" i="3"/>
  <c r="F37" i="3"/>
  <c r="F33" i="3"/>
  <c r="F32" i="3"/>
  <c r="F31" i="3"/>
  <c r="F28" i="3"/>
  <c r="F27" i="3"/>
  <c r="F24" i="3"/>
  <c r="F23" i="3"/>
  <c r="F22" i="3"/>
  <c r="F21" i="3"/>
  <c r="E15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C15" i="3"/>
  <c r="G40" i="3"/>
  <c r="G38" i="3"/>
  <c r="G37" i="3"/>
  <c r="G34" i="3"/>
  <c r="G28" i="3"/>
  <c r="G26" i="3"/>
  <c r="G25" i="3"/>
  <c r="G24" i="3"/>
  <c r="B15" i="3"/>
  <c r="F36" i="3"/>
  <c r="F35" i="3"/>
  <c r="F34" i="3"/>
  <c r="F30" i="3"/>
  <c r="F29" i="3"/>
  <c r="F26" i="3"/>
  <c r="F25" i="3"/>
  <c r="M18" i="21"/>
  <c r="AU28" i="23" s="1"/>
  <c r="L18" i="21"/>
  <c r="AP28" i="23" s="1"/>
  <c r="O53" i="21"/>
  <c r="O54" i="21"/>
  <c r="L17" i="21"/>
  <c r="AP27" i="23" s="1"/>
  <c r="T17" i="21"/>
  <c r="T18" i="21"/>
  <c r="M15" i="21"/>
  <c r="AU25" i="23" s="1"/>
  <c r="O52" i="21"/>
  <c r="AA73" i="23" s="1"/>
  <c r="N92" i="23" s="1"/>
  <c r="L94" i="23" s="1"/>
  <c r="U18" i="21"/>
  <c r="BE28" i="23" s="1"/>
  <c r="O56" i="21"/>
  <c r="AA77" i="23" s="1"/>
  <c r="U138" i="23" s="1"/>
  <c r="L140" i="23" s="1"/>
  <c r="U15" i="21"/>
  <c r="BE25" i="23" s="1"/>
  <c r="L20" i="21"/>
  <c r="AP30" i="23" s="1"/>
  <c r="M19" i="21"/>
  <c r="AU29" i="23" s="1"/>
  <c r="U19" i="21"/>
  <c r="BE29" i="23" s="1"/>
  <c r="AH238" i="23" l="1"/>
  <c r="S352" i="23" s="1"/>
  <c r="V45" i="21"/>
  <c r="AA234" i="23"/>
  <c r="Q272" i="23" s="1"/>
  <c r="L274" i="23" s="1"/>
  <c r="Z274" i="23" s="1"/>
  <c r="Q9" i="21"/>
  <c r="AV19" i="23" s="1"/>
  <c r="Q59" i="21"/>
  <c r="U59" i="21" s="1"/>
  <c r="O80" i="23"/>
  <c r="AH234" i="23"/>
  <c r="Q46" i="21"/>
  <c r="U46" i="21" s="1"/>
  <c r="O239" i="23"/>
  <c r="N44" i="21"/>
  <c r="O44" i="21" s="1"/>
  <c r="H235" i="23"/>
  <c r="I281" i="23" s="1"/>
  <c r="N43" i="21"/>
  <c r="O43" i="21" s="1"/>
  <c r="O39" i="21"/>
  <c r="Q40" i="21"/>
  <c r="AA233" i="23"/>
  <c r="T259" i="23" s="1"/>
  <c r="L261" i="23" s="1"/>
  <c r="AA261" i="23" s="1"/>
  <c r="Q54" i="21"/>
  <c r="U54" i="21" s="1"/>
  <c r="AA75" i="23"/>
  <c r="X115" i="23" s="1"/>
  <c r="L117" i="23" s="1"/>
  <c r="Z117" i="23" s="1"/>
  <c r="J42" i="21"/>
  <c r="Q282" i="23"/>
  <c r="R283" i="23" s="1"/>
  <c r="X283" i="23" s="1"/>
  <c r="R288" i="23" s="1"/>
  <c r="Q53" i="21"/>
  <c r="AA74" i="23"/>
  <c r="AA102" i="23" s="1"/>
  <c r="L104" i="23" s="1"/>
  <c r="AA104" i="23" s="1"/>
  <c r="J3" i="21"/>
  <c r="H5" i="23" s="1"/>
  <c r="B5" i="23"/>
  <c r="B24" i="23" s="1"/>
  <c r="O42" i="21"/>
  <c r="AA235" i="23" s="1"/>
  <c r="W286" i="23" s="1"/>
  <c r="L288" i="23" s="1"/>
  <c r="I14" i="21"/>
  <c r="AA24" i="23" s="1"/>
  <c r="F20" i="3"/>
  <c r="E60" i="21"/>
  <c r="H81" i="23" s="1"/>
  <c r="G52" i="21"/>
  <c r="K3" i="21"/>
  <c r="H343" i="23" l="1"/>
  <c r="U53" i="21"/>
  <c r="U60" i="21" s="1"/>
  <c r="E69" i="21" s="1"/>
  <c r="T53" i="21"/>
  <c r="U40" i="21"/>
  <c r="U47" i="21" s="1"/>
  <c r="T40" i="21"/>
  <c r="T47" i="21" s="1"/>
  <c r="S47" i="21" s="1"/>
  <c r="E47" i="21"/>
  <c r="Y288" i="23"/>
  <c r="AH74" i="23"/>
  <c r="AH75" i="23"/>
  <c r="Q43" i="21"/>
  <c r="AA236" i="23"/>
  <c r="T296" i="23" s="1"/>
  <c r="L298" i="23" s="1"/>
  <c r="AA298" i="23" s="1"/>
  <c r="AH239" i="23"/>
  <c r="AA232" i="23"/>
  <c r="U249" i="23" s="1"/>
  <c r="L251" i="23" s="1"/>
  <c r="Q39" i="21"/>
  <c r="V39" i="21" s="1"/>
  <c r="V47" i="21" s="1"/>
  <c r="AL124" i="23"/>
  <c r="N126" i="23" s="1"/>
  <c r="R130" i="23" s="1"/>
  <c r="Y130" i="23" s="1"/>
  <c r="J55" i="21"/>
  <c r="W350" i="23"/>
  <c r="T342" i="23"/>
  <c r="J52" i="21"/>
  <c r="Q88" i="23"/>
  <c r="R89" i="23" s="1"/>
  <c r="X89" i="23" s="1"/>
  <c r="R94" i="23" s="1"/>
  <c r="Y94" i="23" s="1"/>
  <c r="Q42" i="21"/>
  <c r="O235" i="23"/>
  <c r="AH233" i="23"/>
  <c r="Q44" i="21"/>
  <c r="U44" i="21" s="1"/>
  <c r="AA237" i="23"/>
  <c r="R309" i="23" s="1"/>
  <c r="L311" i="23" s="1"/>
  <c r="Z311" i="23" s="1"/>
  <c r="E56" i="21"/>
  <c r="H240" i="23"/>
  <c r="AH80" i="23"/>
  <c r="J14" i="21"/>
  <c r="AF24" i="23" s="1"/>
  <c r="G20" i="3"/>
  <c r="P3" i="21"/>
  <c r="F65" i="21" s="1"/>
  <c r="O3" i="21"/>
  <c r="D65" i="21" s="1"/>
  <c r="N3" i="21"/>
  <c r="E65" i="21"/>
  <c r="U43" i="21" l="1"/>
  <c r="T43" i="21"/>
  <c r="AH235" i="23"/>
  <c r="AA342" i="23" s="1"/>
  <c r="T42" i="21"/>
  <c r="V42" i="21"/>
  <c r="C73" i="21"/>
  <c r="C75" i="21"/>
  <c r="C71" i="21"/>
  <c r="F71" i="21" s="1"/>
  <c r="C70" i="21"/>
  <c r="E71" i="21" s="1"/>
  <c r="C72" i="21"/>
  <c r="C76" i="21"/>
  <c r="C77" i="21"/>
  <c r="C74" i="21"/>
  <c r="C65" i="21"/>
  <c r="R350" i="23"/>
  <c r="M342" i="23"/>
  <c r="T182" i="23"/>
  <c r="W190" i="23"/>
  <c r="O57" i="21"/>
  <c r="H77" i="23"/>
  <c r="I135" i="23" s="1"/>
  <c r="O58" i="21"/>
  <c r="Q52" i="21"/>
  <c r="O73" i="23"/>
  <c r="X352" i="23"/>
  <c r="O343" i="23"/>
  <c r="X192" i="23"/>
  <c r="O183" i="23"/>
  <c r="Q47" i="21"/>
  <c r="AH232" i="23"/>
  <c r="R190" i="23"/>
  <c r="M182" i="23"/>
  <c r="O76" i="23"/>
  <c r="Q55" i="21"/>
  <c r="AH237" i="23"/>
  <c r="AB350" i="23"/>
  <c r="AH236" i="23"/>
  <c r="K14" i="21"/>
  <c r="AK24" i="23" s="1"/>
  <c r="H20" i="3"/>
  <c r="G65" i="21"/>
  <c r="V52" i="21" l="1"/>
  <c r="E70" i="21" s="1"/>
  <c r="T52" i="21"/>
  <c r="T60" i="21" s="1"/>
  <c r="S60" i="21" s="1"/>
  <c r="AH76" i="23"/>
  <c r="AB190" i="23" s="1"/>
  <c r="V55" i="21"/>
  <c r="Q58" i="21"/>
  <c r="U58" i="21" s="1"/>
  <c r="AA79" i="23"/>
  <c r="AC161" i="23" s="1"/>
  <c r="L163" i="23" s="1"/>
  <c r="Z163" i="23" s="1"/>
  <c r="AH73" i="23"/>
  <c r="Q60" i="21"/>
  <c r="F342" i="23"/>
  <c r="M350" i="23"/>
  <c r="AH240" i="23"/>
  <c r="J56" i="21"/>
  <c r="AG350" i="23"/>
  <c r="AH342" i="23"/>
  <c r="N352" i="23"/>
  <c r="AO342" i="23"/>
  <c r="Q57" i="21"/>
  <c r="AA78" i="23"/>
  <c r="AF148" i="23" s="1"/>
  <c r="L150" i="23" s="1"/>
  <c r="AA150" i="23" s="1"/>
  <c r="L14" i="21"/>
  <c r="AP24" i="23" s="1"/>
  <c r="I20" i="3"/>
  <c r="V60" i="21" l="1"/>
  <c r="F69" i="21" s="1"/>
  <c r="G69" i="21" s="1"/>
  <c r="U57" i="21"/>
  <c r="T57" i="21"/>
  <c r="G70" i="21"/>
  <c r="E74" i="21" s="1"/>
  <c r="G22" i="31" s="1"/>
  <c r="AA182" i="23"/>
  <c r="S56" i="21"/>
  <c r="AP240" i="23"/>
  <c r="AM349" i="23" s="1"/>
  <c r="AH81" i="23"/>
  <c r="Q56" i="21"/>
  <c r="O77" i="23"/>
  <c r="N136" i="23" s="1"/>
  <c r="R140" i="23" s="1"/>
  <c r="Y140" i="23" s="1"/>
  <c r="M190" i="23"/>
  <c r="F182" i="23"/>
  <c r="L349" i="23"/>
  <c r="F344" i="23"/>
  <c r="F346" i="23" s="1"/>
  <c r="AH78" i="23"/>
  <c r="AH79" i="23"/>
  <c r="F73" i="21" l="1"/>
  <c r="E73" i="21"/>
  <c r="AP77" i="23"/>
  <c r="AG191" i="23" s="1"/>
  <c r="T56" i="21"/>
  <c r="G34" i="11"/>
  <c r="AH77" i="23"/>
  <c r="AH182" i="23" s="1"/>
  <c r="V56" i="21"/>
  <c r="E75" i="21"/>
  <c r="H22" i="31" s="1"/>
  <c r="A38" i="24"/>
  <c r="G37" i="24"/>
  <c r="E38" i="24"/>
  <c r="AP81" i="23"/>
  <c r="AM189" i="23" s="1"/>
  <c r="S192" i="23"/>
  <c r="H183" i="23"/>
  <c r="L189" i="23"/>
  <c r="F184" i="23"/>
  <c r="F186" i="23" s="1"/>
  <c r="M201" i="23" s="1"/>
  <c r="N192" i="23"/>
  <c r="AO182" i="23"/>
  <c r="L141" i="23"/>
  <c r="AD19" i="21"/>
  <c r="AB20" i="21"/>
  <c r="J20" i="31" s="1"/>
  <c r="AB16" i="21"/>
  <c r="J16" i="31" s="1"/>
  <c r="AB17" i="21"/>
  <c r="J17" i="31" s="1"/>
  <c r="AB18" i="21"/>
  <c r="J18" i="31" s="1"/>
  <c r="AB15" i="21"/>
  <c r="J15" i="31" s="1"/>
  <c r="G73" i="21" l="1"/>
  <c r="AG190" i="23"/>
  <c r="I12" i="30"/>
  <c r="L18" i="31"/>
  <c r="H13" i="30"/>
  <c r="H19" i="31"/>
  <c r="I10" i="30"/>
  <c r="L16" i="31"/>
  <c r="I14" i="30"/>
  <c r="L20" i="31"/>
  <c r="H37" i="24"/>
  <c r="I201" i="23"/>
  <c r="H28" i="11"/>
  <c r="G10" i="30"/>
  <c r="H28" i="24"/>
  <c r="H34" i="11"/>
  <c r="H29" i="11"/>
  <c r="G11" i="30"/>
  <c r="H29" i="24"/>
  <c r="H27" i="11"/>
  <c r="G9" i="30"/>
  <c r="H27" i="24"/>
  <c r="H30" i="11"/>
  <c r="G12" i="30"/>
  <c r="H30" i="24"/>
  <c r="H32" i="11"/>
  <c r="G14" i="30"/>
  <c r="H32" i="24"/>
  <c r="C64" i="21"/>
  <c r="G64" i="21" s="1"/>
  <c r="H64" i="21" s="1"/>
  <c r="R64" i="21" s="1"/>
  <c r="AB19" i="21"/>
  <c r="J19" i="31" s="1"/>
  <c r="AD17" i="21"/>
  <c r="AD20" i="21"/>
  <c r="AA19" i="21"/>
  <c r="AA16" i="21"/>
  <c r="AA15" i="21"/>
  <c r="F15" i="31" s="1"/>
  <c r="AA20" i="21"/>
  <c r="AA17" i="21"/>
  <c r="AA18" i="21"/>
  <c r="AD16" i="21"/>
  <c r="AD18" i="21"/>
  <c r="AD15" i="21"/>
  <c r="Q3" i="21" l="1"/>
  <c r="C43" i="13" s="1"/>
  <c r="J64" i="21"/>
  <c r="F11" i="30"/>
  <c r="F17" i="31"/>
  <c r="F14" i="30"/>
  <c r="F20" i="31"/>
  <c r="H9" i="30"/>
  <c r="H15" i="31"/>
  <c r="H10" i="30"/>
  <c r="H16" i="31"/>
  <c r="I9" i="30"/>
  <c r="L15" i="31"/>
  <c r="H12" i="30"/>
  <c r="H18" i="31"/>
  <c r="F13" i="30"/>
  <c r="F19" i="31"/>
  <c r="I11" i="30"/>
  <c r="L17" i="31"/>
  <c r="H14" i="30"/>
  <c r="H20" i="31"/>
  <c r="I13" i="30"/>
  <c r="L19" i="31"/>
  <c r="F12" i="30"/>
  <c r="F18" i="31"/>
  <c r="F10" i="30"/>
  <c r="F16" i="31"/>
  <c r="H11" i="30"/>
  <c r="H17" i="31"/>
  <c r="H31" i="11"/>
  <c r="G13" i="30"/>
  <c r="H31" i="24"/>
  <c r="E27" i="11"/>
  <c r="F9" i="30"/>
  <c r="E27" i="24"/>
  <c r="A50" i="13"/>
  <c r="O64" i="21" l="1"/>
  <c r="K64" i="21"/>
  <c r="M64" i="21" s="1"/>
  <c r="Z15" i="21" l="1"/>
  <c r="Y16" i="21"/>
  <c r="Y18" i="21"/>
  <c r="Y20" i="21"/>
  <c r="Y22" i="21"/>
  <c r="Y24" i="21"/>
  <c r="Y26" i="21"/>
  <c r="Y28" i="21"/>
  <c r="Y30" i="21"/>
  <c r="Y32" i="21"/>
  <c r="Y34" i="21"/>
  <c r="Z16" i="21"/>
  <c r="Z18" i="21"/>
  <c r="Z20" i="21"/>
  <c r="Z22" i="21"/>
  <c r="Z24" i="21"/>
  <c r="Z26" i="21"/>
  <c r="Z28" i="21"/>
  <c r="Z30" i="21"/>
  <c r="Z32" i="21"/>
  <c r="Z34" i="21"/>
  <c r="Y17" i="21"/>
  <c r="Y19" i="21"/>
  <c r="Y21" i="21"/>
  <c r="Y23" i="21"/>
  <c r="Y25" i="21"/>
  <c r="Y27" i="21"/>
  <c r="Y29" i="21"/>
  <c r="Y31" i="21"/>
  <c r="Y33" i="21"/>
  <c r="Z17" i="21"/>
  <c r="Z19" i="21"/>
  <c r="Z21" i="21"/>
  <c r="Z23" i="21"/>
  <c r="Z25" i="21"/>
  <c r="Z27" i="21"/>
  <c r="Z29" i="21"/>
  <c r="Z31" i="21"/>
  <c r="Z33" i="21"/>
  <c r="Y15" i="21"/>
  <c r="P64" i="21"/>
  <c r="N64" i="21"/>
  <c r="C9" i="25"/>
  <c r="C8" i="25"/>
  <c r="C7" i="25"/>
  <c r="C6" i="25"/>
  <c r="S64" i="21" l="1"/>
  <c r="AF15" i="21" l="1"/>
  <c r="Q15" i="31" s="1"/>
  <c r="AF17" i="21"/>
  <c r="Q17" i="31" s="1"/>
  <c r="AF21" i="21"/>
  <c r="AF25" i="21"/>
  <c r="AF29" i="21"/>
  <c r="AF33" i="21"/>
  <c r="AF18" i="21"/>
  <c r="Q18" i="31" s="1"/>
  <c r="AF22" i="21"/>
  <c r="AF26" i="21"/>
  <c r="AF30" i="21"/>
  <c r="AF34" i="21"/>
  <c r="AF19" i="21"/>
  <c r="Q19" i="31" s="1"/>
  <c r="AF23" i="21"/>
  <c r="AF27" i="21"/>
  <c r="AF31" i="21"/>
  <c r="AF16" i="21"/>
  <c r="Q16" i="31" s="1"/>
  <c r="AF20" i="21"/>
  <c r="Q20" i="31" s="1"/>
  <c r="AF24" i="21"/>
  <c r="AF28" i="21"/>
  <c r="AF32" i="21"/>
  <c r="T64" i="21"/>
  <c r="E36" i="24" s="1"/>
  <c r="E9" i="24"/>
  <c r="E8" i="24"/>
  <c r="E7" i="24"/>
  <c r="E6" i="24"/>
  <c r="A4" i="24"/>
  <c r="E34" i="11" l="1"/>
  <c r="A4" i="11"/>
  <c r="R201" i="23" l="1"/>
  <c r="W201" i="23" s="1"/>
</calcChain>
</file>

<file path=xl/sharedStrings.xml><?xml version="1.0" encoding="utf-8"?>
<sst xmlns="http://schemas.openxmlformats.org/spreadsheetml/2006/main" count="1186" uniqueCount="781">
  <si>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</si>
  <si>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</si>
  <si>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</si>
  <si>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</si>
  <si>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</si>
  <si>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</si>
  <si>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</si>
  <si>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</si>
  <si>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</si>
  <si>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</si>
  <si>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</si>
  <si>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</si>
  <si>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</si>
  <si>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</si>
  <si>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</si>
  <si>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</si>
  <si>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</si>
  <si>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</si>
  <si>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</si>
  <si>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</si>
  <si>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</si>
  <si>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</si>
  <si>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</si>
  <si>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</si>
  <si>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</si>
  <si>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</si>
  <si>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</si>
  <si>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</si>
  <si>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</si>
  <si>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</si>
  <si>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</si>
  <si>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</si>
  <si>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</si>
  <si>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</si>
  <si>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</si>
  <si>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</si>
  <si>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</si>
  <si>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</si>
  <si>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</si>
  <si>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</si>
  <si>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</si>
  <si>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</si>
  <si>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</si>
  <si>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</si>
  <si>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</si>
  <si>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</si>
  <si>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</si>
  <si>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</si>
  <si>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</si>
  <si>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</si>
  <si>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</si>
  <si>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</si>
  <si>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</si>
  <si>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</si>
  <si>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</si>
  <si>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</si>
  <si>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</si>
  <si>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</si>
  <si>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</si>
  <si>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</si>
  <si>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</si>
  <si>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</si>
  <si>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</si>
  <si>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</si>
  <si>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</si>
  <si>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</si>
  <si>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</si>
  <si>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</si>
  <si>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</si>
  <si>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</si>
  <si>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</si>
  <si>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</si>
  <si>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</si>
  <si>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|</t>
    <phoneticPr fontId="4" type="noConversion"/>
  </si>
  <si>
    <t>×</t>
    <phoneticPr fontId="4" type="noConversion"/>
  </si>
  <si>
    <t xml:space="preserve"> 성적서발급번호(Certificate No) :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</si>
  <si>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</si>
  <si>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</si>
  <si>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</si>
  <si>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</si>
  <si>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</si>
  <si>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</si>
  <si>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</si>
  <si>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</si>
  <si>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</si>
  <si>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</si>
  <si>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</si>
  <si>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</si>
  <si>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교정일자</t>
    <phoneticPr fontId="76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</si>
  <si>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</si>
  <si>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</si>
  <si>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(mm)</t>
    <phoneticPr fontId="4" type="noConversion"/>
  </si>
  <si>
    <t>1. 교정결과</t>
    <phoneticPr fontId="4" type="noConversion"/>
  </si>
  <si>
    <t>(mm)</t>
    <phoneticPr fontId="4" type="noConversion"/>
  </si>
  <si>
    <t>×</t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</si>
  <si>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</si>
  <si>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</si>
  <si>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</si>
  <si>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</si>
  <si>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</si>
  <si>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t>명목값</t>
    <phoneticPr fontId="4" type="noConversion"/>
  </si>
  <si>
    <t>단위</t>
    <phoneticPr fontId="4" type="noConversion"/>
  </si>
  <si>
    <t>평균값</t>
    <phoneticPr fontId="4" type="noConversion"/>
  </si>
  <si>
    <t>표준편차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</si>
  <si>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</si>
  <si>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</si>
  <si>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</si>
  <si>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</si>
  <si>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</si>
  <si>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t>■ 불확도 총괄표</t>
    <phoneticPr fontId="4" type="noConversion"/>
  </si>
  <si>
    <t>감도계수</t>
    <phoneticPr fontId="4" type="noConversion"/>
  </si>
  <si>
    <t>D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</si>
  <si>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</si>
  <si>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</si>
  <si>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</si>
  <si>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</si>
  <si>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■ 표준불확도 성분의 계산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</si>
  <si>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</si>
  <si>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</si>
  <si>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</si>
  <si>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</si>
  <si>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=</t>
    <phoneticPr fontId="4" type="noConversion"/>
  </si>
  <si>
    <t>s</t>
    <phoneticPr fontId="4" type="noConversion"/>
  </si>
  <si>
    <t>A5. 불확도 기여도 :</t>
    <phoneticPr fontId="4" type="noConversion"/>
  </si>
  <si>
    <t>B1. 추정값 :</t>
    <phoneticPr fontId="4" type="noConversion"/>
  </si>
  <si>
    <t>U</t>
    <phoneticPr fontId="4" type="noConversion"/>
  </si>
  <si>
    <t>mm</t>
    <phoneticPr fontId="4" type="noConversion"/>
  </si>
  <si>
    <t>k</t>
    <phoneticPr fontId="4" type="noConversion"/>
  </si>
  <si>
    <t>B3. 확률분포 :</t>
    <phoneticPr fontId="4" type="noConversion"/>
  </si>
  <si>
    <t>B6. 자유도 :</t>
    <phoneticPr fontId="4" type="noConversion"/>
  </si>
  <si>
    <t>C1. 추정값 :</t>
    <phoneticPr fontId="4" type="noConversion"/>
  </si>
  <si>
    <t>C2. 표준불확도 :</t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</si>
  <si>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</si>
  <si>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</si>
  <si>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</si>
  <si>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</si>
  <si>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t>.</t>
    <phoneticPr fontId="4" type="noConversion"/>
  </si>
  <si>
    <t>｜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</si>
  <si>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</si>
  <si>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D1. 추정값 :</t>
    <phoneticPr fontId="4" type="noConversion"/>
  </si>
  <si>
    <t>D4. 감도계수 :</t>
    <phoneticPr fontId="4" type="noConversion"/>
  </si>
  <si>
    <t>/℃·μm</t>
    <phoneticPr fontId="4" type="noConversion"/>
  </si>
  <si>
    <t>E3. 확률분포 :</t>
    <phoneticPr fontId="4" type="noConversion"/>
  </si>
  <si>
    <t>F2. 표준불확도 :</t>
    <phoneticPr fontId="4" type="noConversion"/>
  </si>
  <si>
    <t>F3. 확률분포 :</t>
    <phoneticPr fontId="4" type="noConversion"/>
  </si>
  <si>
    <t>F5. 불확도 기여량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</si>
  <si>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</si>
  <si>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H2. 표준불확도 :</t>
    <phoneticPr fontId="4" type="noConversion"/>
  </si>
  <si>
    <t>μm</t>
  </si>
  <si>
    <t>H3. 확률분포 :</t>
    <phoneticPr fontId="4" type="noConversion"/>
  </si>
  <si>
    <t>H4. 감도계수 :</t>
    <phoneticPr fontId="4" type="noConversion"/>
  </si>
  <si>
    <t>H5. 불확도 기여도 :</t>
    <phoneticPr fontId="4" type="noConversion"/>
  </si>
  <si>
    <t>+</t>
    <phoneticPr fontId="4" type="noConversion"/>
  </si>
  <si>
    <t>■ 유효자유도</t>
    <phoneticPr fontId="4" type="noConversion"/>
  </si>
  <si>
    <t>=</t>
  </si>
  <si>
    <t>+</t>
  </si>
  <si>
    <t>■ 측정불확도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</si>
  <si>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</si>
  <si>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</si>
  <si>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</si>
  <si>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</si>
  <si>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1st</t>
    <phoneticPr fontId="4" type="noConversion"/>
  </si>
  <si>
    <t>2nd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</si>
  <si>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</si>
  <si>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</si>
  <si>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</si>
  <si>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측정방향</t>
    <phoneticPr fontId="4" type="noConversion"/>
  </si>
  <si>
    <t>측정위치</t>
    <phoneticPr fontId="4" type="noConversion"/>
  </si>
  <si>
    <t>볼 지름 측정결과</t>
    <phoneticPr fontId="4" type="noConversion"/>
  </si>
  <si>
    <t>원통도 측정결과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</si>
  <si>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</si>
  <si>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</si>
  <si>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</si>
  <si>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번호</t>
    <phoneticPr fontId="4" type="noConversion"/>
  </si>
  <si>
    <t>등록번호</t>
    <phoneticPr fontId="4" type="noConversion"/>
  </si>
  <si>
    <t>기준기명</t>
    <phoneticPr fontId="4" type="noConversion"/>
  </si>
  <si>
    <t>교정위치</t>
    <phoneticPr fontId="4" type="noConversion"/>
  </si>
  <si>
    <t>표준값</t>
    <phoneticPr fontId="4" type="noConversion"/>
  </si>
  <si>
    <t>교정값</t>
    <phoneticPr fontId="4" type="noConversion"/>
  </si>
  <si>
    <t>단위</t>
    <phoneticPr fontId="4" type="noConversion"/>
  </si>
  <si>
    <t>보정값</t>
    <phoneticPr fontId="4" type="noConversion"/>
  </si>
  <si>
    <t>불확도</t>
    <phoneticPr fontId="4" type="noConversion"/>
  </si>
  <si>
    <t>불확도단위</t>
    <phoneticPr fontId="4" type="noConversion"/>
  </si>
  <si>
    <t>k</t>
    <phoneticPr fontId="4" type="noConversion"/>
  </si>
  <si>
    <t>기기번호</t>
    <phoneticPr fontId="4" type="noConversion"/>
  </si>
  <si>
    <t>원통도</t>
    <phoneticPr fontId="4" type="noConversion"/>
  </si>
  <si>
    <t>열팽창계수</t>
    <phoneticPr fontId="4" type="noConversion"/>
  </si>
  <si>
    <t>교정일자</t>
    <phoneticPr fontId="4" type="noConversion"/>
  </si>
  <si>
    <t>사용여부</t>
    <phoneticPr fontId="4" type="noConversion"/>
  </si>
  <si>
    <t>기기번호</t>
  </si>
  <si>
    <t>원통도</t>
  </si>
  <si>
    <t>단위</t>
  </si>
  <si>
    <t>열팽창계수</t>
  </si>
  <si>
    <t>포함인자</t>
    <phoneticPr fontId="4" type="noConversion"/>
  </si>
  <si>
    <t>표준 측장기</t>
  </si>
  <si>
    <t>2회</t>
  </si>
  <si>
    <t>3회</t>
  </si>
  <si>
    <t>4회</t>
  </si>
  <si>
    <t>5회</t>
  </si>
  <si>
    <t>기준 링 게이지 교정데이터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</si>
  <si>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</si>
  <si>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</si>
  <si>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</si>
  <si>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불확도 단위</t>
    <phoneticPr fontId="4" type="noConversion"/>
  </si>
  <si>
    <t>k</t>
    <phoneticPr fontId="4" type="noConversion"/>
  </si>
  <si>
    <t>열팽창계수</t>
    <phoneticPr fontId="4" type="noConversion"/>
  </si>
  <si>
    <t>단위</t>
    <phoneticPr fontId="4" type="noConversion"/>
  </si>
  <si>
    <t>보정값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</si>
  <si>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</si>
  <si>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</si>
  <si>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</si>
  <si>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r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</si>
  <si>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</si>
  <si>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</si>
  <si>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</si>
  <si>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r</t>
    </r>
    <phoneticPr fontId="4" type="noConversion"/>
  </si>
  <si>
    <t>기준기명</t>
    <phoneticPr fontId="4" type="noConversion"/>
  </si>
  <si>
    <t>단위</t>
    <phoneticPr fontId="4" type="noConversion"/>
  </si>
  <si>
    <t>환산계수</t>
    <phoneticPr fontId="4" type="noConversion"/>
  </si>
  <si>
    <t>최대범위 (mm)</t>
    <phoneticPr fontId="4" type="noConversion"/>
  </si>
  <si>
    <t>Res.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</si>
  <si>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</si>
  <si>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</si>
  <si>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</si>
  <si>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볼 지름 측정결과</t>
    <phoneticPr fontId="4" type="noConversion"/>
  </si>
  <si>
    <t>기준 링 게이지 명목값</t>
    <phoneticPr fontId="4" type="noConversion"/>
  </si>
  <si>
    <r>
      <rPr>
        <b/>
        <sz val="9"/>
        <color indexed="9"/>
        <rFont val="돋움"/>
        <family val="3"/>
        <charset val="129"/>
      </rPr>
      <t>표준편차</t>
    </r>
    <phoneticPr fontId="4" type="noConversion"/>
  </si>
  <si>
    <t>기준링값</t>
    <phoneticPr fontId="4" type="noConversion"/>
  </si>
  <si>
    <t>기준링온도</t>
    <phoneticPr fontId="4" type="noConversion"/>
  </si>
  <si>
    <t>지시값</t>
    <phoneticPr fontId="4" type="noConversion"/>
  </si>
  <si>
    <t>스케일온도</t>
    <phoneticPr fontId="4" type="noConversion"/>
  </si>
  <si>
    <t>기준기보정값</t>
    <phoneticPr fontId="4" type="noConversion"/>
  </si>
  <si>
    <t>볼 지름</t>
    <phoneticPr fontId="4" type="noConversion"/>
  </si>
  <si>
    <r>
      <t>1</t>
    </r>
    <r>
      <rPr>
        <b/>
        <sz val="9"/>
        <color indexed="9"/>
        <rFont val="돋움"/>
        <family val="3"/>
        <charset val="129"/>
      </rPr>
      <t>차</t>
    </r>
    <phoneticPr fontId="4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</si>
  <si>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4" type="noConversion"/>
  </si>
  <si>
    <r>
      <t>3차</t>
    </r>
    <r>
      <rPr>
        <b/>
        <sz val="9"/>
        <color indexed="9"/>
        <rFont val="돋움"/>
        <family val="3"/>
        <charset val="129"/>
      </rPr>
      <t/>
    </r>
    <phoneticPr fontId="4" type="noConversion"/>
  </si>
  <si>
    <r>
      <t>4차</t>
    </r>
    <r>
      <rPr>
        <b/>
        <sz val="9"/>
        <color indexed="9"/>
        <rFont val="돋움"/>
        <family val="3"/>
        <charset val="129"/>
      </rPr>
      <t/>
    </r>
    <phoneticPr fontId="4" type="noConversion"/>
  </si>
  <si>
    <r>
      <t>5차</t>
    </r>
    <r>
      <rPr>
        <b/>
        <sz val="9"/>
        <color indexed="9"/>
        <rFont val="돋움"/>
        <family val="3"/>
        <charset val="129"/>
      </rPr>
      <t/>
    </r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</si>
  <si>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</si>
  <si>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Tahoma"/>
        <family val="2"/>
      </rPr>
      <t>r</t>
    </r>
    <phoneticPr fontId="4" type="noConversion"/>
  </si>
  <si>
    <t>d'</t>
    <phoneticPr fontId="4" type="noConversion"/>
  </si>
  <si>
    <r>
      <t>d'</t>
    </r>
    <r>
      <rPr>
        <b/>
        <vertAlign val="subscript"/>
        <sz val="9"/>
        <color indexed="9"/>
        <rFont val="맑은 고딕"/>
        <family val="3"/>
        <charset val="129"/>
        <scheme val="major"/>
      </rPr>
      <t>b</t>
    </r>
    <phoneticPr fontId="4" type="noConversion"/>
  </si>
  <si>
    <t>b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</si>
  <si>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</si>
  <si>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</si>
  <si>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</si>
  <si>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</si>
  <si>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r>
      <rPr>
        <b/>
        <sz val="9"/>
        <color indexed="9"/>
        <rFont val="돋움"/>
        <family val="3"/>
        <charset val="129"/>
      </rPr>
      <t>μ</t>
    </r>
    <r>
      <rPr>
        <b/>
        <sz val="9"/>
        <color indexed="9"/>
        <rFont val="Tahoma"/>
        <family val="2"/>
      </rPr>
      <t>m</t>
    </r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</si>
  <si>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</si>
  <si>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</si>
  <si>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</si>
  <si>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/℃</t>
    <phoneticPr fontId="4" type="noConversion"/>
  </si>
  <si>
    <t>3. 직경 교정결과</t>
    <phoneticPr fontId="4" type="noConversion"/>
  </si>
  <si>
    <t>4. 성적서용</t>
    <phoneticPr fontId="4" type="noConversion"/>
  </si>
  <si>
    <t>사용?</t>
    <phoneticPr fontId="4" type="noConversion"/>
  </si>
  <si>
    <t>측정방향</t>
    <phoneticPr fontId="4" type="noConversion"/>
  </si>
  <si>
    <t>측정위치</t>
    <phoneticPr fontId="4" type="noConversion"/>
  </si>
  <si>
    <t>표준편차</t>
    <phoneticPr fontId="4" type="noConversion"/>
  </si>
  <si>
    <t>DUT온도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</si>
  <si>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</si>
  <si>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</si>
  <si>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</si>
  <si>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</si>
  <si>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평균</t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</si>
  <si>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</si>
  <si>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</si>
  <si>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d'</t>
    </r>
    <r>
      <rPr>
        <b/>
        <vertAlign val="subscript"/>
        <sz val="9"/>
        <color indexed="9"/>
        <rFont val="맑은 고딕"/>
        <family val="3"/>
        <charset val="129"/>
        <scheme val="major"/>
      </rPr>
      <t>b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</si>
  <si>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</si>
  <si>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</si>
  <si>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Min</t>
    <phoneticPr fontId="4" type="noConversion"/>
  </si>
  <si>
    <t>Max</t>
    <phoneticPr fontId="4" type="noConversion"/>
  </si>
  <si>
    <t>명목값</t>
    <phoneticPr fontId="4" type="noConversion"/>
  </si>
  <si>
    <t>Spec</t>
    <phoneticPr fontId="4" type="noConversion"/>
  </si>
  <si>
    <t>Pass/Fail</t>
    <phoneticPr fontId="4" type="noConversion"/>
  </si>
  <si>
    <t>℃</t>
    <phoneticPr fontId="4" type="noConversion"/>
  </si>
  <si>
    <t>mm</t>
    <phoneticPr fontId="4" type="noConversion"/>
  </si>
  <si>
    <t>4. 볼 지름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</si>
  <si>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</si>
  <si>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</si>
  <si>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</si>
  <si>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</si>
  <si>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</si>
  <si>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</si>
  <si>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</si>
  <si>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</si>
  <si>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</si>
  <si>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</si>
  <si>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</si>
  <si>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</si>
  <si>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기준 링 게이지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</si>
  <si>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</si>
  <si>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</si>
  <si>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</si>
  <si>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</si>
  <si>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</si>
  <si>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기준링열팽창</t>
    <phoneticPr fontId="4" type="noConversion"/>
  </si>
  <si>
    <r>
      <t>α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</si>
  <si>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/℃</t>
    <phoneticPr fontId="4" type="noConversion"/>
  </si>
  <si>
    <t>직사각형</t>
    <phoneticPr fontId="4" type="noConversion"/>
  </si>
  <si>
    <t>℃·μm</t>
    <phoneticPr fontId="4" type="noConversion"/>
  </si>
  <si>
    <t>μm</t>
    <phoneticPr fontId="4" type="noConversion"/>
  </si>
  <si>
    <t>C</t>
    <phoneticPr fontId="4" type="noConversion"/>
  </si>
  <si>
    <t>기준링 온도</t>
    <phoneticPr fontId="4" type="noConversion"/>
  </si>
  <si>
    <r>
      <t>t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</si>
  <si>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/℃</t>
    <phoneticPr fontId="4" type="noConversion"/>
  </si>
  <si>
    <t>직사각형</t>
    <phoneticPr fontId="4" type="noConversion"/>
  </si>
  <si>
    <t>/℃·μm</t>
    <phoneticPr fontId="4" type="noConversion"/>
  </si>
  <si>
    <t>∞</t>
    <phoneticPr fontId="4" type="noConversion"/>
  </si>
  <si>
    <t>D</t>
    <phoneticPr fontId="4" type="noConversion"/>
  </si>
  <si>
    <t>지시값</t>
    <phoneticPr fontId="4" type="noConversion"/>
  </si>
  <si>
    <t>d'</t>
    <phoneticPr fontId="4" type="noConversion"/>
  </si>
  <si>
    <t>t</t>
    <phoneticPr fontId="4" type="noConversion"/>
  </si>
  <si>
    <t>E</t>
    <phoneticPr fontId="4" type="noConversion"/>
  </si>
  <si>
    <t>스케일열팽창</t>
    <phoneticPr fontId="4" type="noConversion"/>
  </si>
  <si>
    <r>
      <t>α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</si>
  <si>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F</t>
    <phoneticPr fontId="4" type="noConversion"/>
  </si>
  <si>
    <t>스케일 온도</t>
    <phoneticPr fontId="4" type="noConversion"/>
  </si>
  <si>
    <r>
      <t>t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</si>
  <si>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G</t>
    <phoneticPr fontId="4" type="noConversion"/>
  </si>
  <si>
    <t>기준기</t>
    <phoneticPr fontId="4" type="noConversion"/>
  </si>
  <si>
    <r>
      <t>d'</t>
    </r>
    <r>
      <rPr>
        <vertAlign val="subscript"/>
        <sz val="9"/>
        <rFont val="맑은 고딕"/>
        <family val="3"/>
        <charset val="129"/>
        <scheme val="major"/>
      </rPr>
      <t>b</t>
    </r>
    <phoneticPr fontId="4" type="noConversion"/>
  </si>
  <si>
    <t>정규</t>
    <phoneticPr fontId="4" type="noConversion"/>
  </si>
  <si>
    <t>∞</t>
    <phoneticPr fontId="4" type="noConversion"/>
  </si>
  <si>
    <t>H</t>
    <phoneticPr fontId="4" type="noConversion"/>
  </si>
  <si>
    <t>분해능</t>
    <phoneticPr fontId="4" type="noConversion"/>
  </si>
  <si>
    <t>δd'</t>
    <phoneticPr fontId="4" type="noConversion"/>
  </si>
  <si>
    <t>μm</t>
    <phoneticPr fontId="4" type="noConversion"/>
  </si>
  <si>
    <t>∞</t>
    <phoneticPr fontId="4" type="noConversion"/>
  </si>
  <si>
    <t>I</t>
    <phoneticPr fontId="4" type="noConversion"/>
  </si>
  <si>
    <t>합성표준</t>
    <phoneticPr fontId="4" type="noConversion"/>
  </si>
  <si>
    <t>b</t>
    <phoneticPr fontId="4" type="noConversion"/>
  </si>
  <si>
    <t>5. 직경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</si>
  <si>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</si>
  <si>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</si>
  <si>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</si>
  <si>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</si>
  <si>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</si>
  <si>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</si>
  <si>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</si>
  <si>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</si>
  <si>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</si>
  <si>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</si>
  <si>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</si>
  <si>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</si>
  <si>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</si>
  <si>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기준기지시값</t>
    <phoneticPr fontId="4" type="noConversion"/>
  </si>
  <si>
    <t>d'</t>
    <phoneticPr fontId="4" type="noConversion"/>
  </si>
  <si>
    <r>
      <t>{1+α</t>
    </r>
    <r>
      <rPr>
        <vertAlign val="subscript"/>
        <sz val="9"/>
        <rFont val="맑은 고딕"/>
        <family val="3"/>
        <charset val="129"/>
        <scheme val="major"/>
      </rPr>
      <t>s</t>
    </r>
    <r>
      <rPr>
        <sz val="9"/>
        <rFont val="맑은 고딕"/>
        <family val="3"/>
        <charset val="129"/>
        <scheme val="major"/>
      </rPr>
      <t>(t</t>
    </r>
    <r>
      <rPr>
        <vertAlign val="subscript"/>
        <sz val="9"/>
        <rFont val="맑은 고딕"/>
        <family val="3"/>
        <charset val="129"/>
        <scheme val="major"/>
      </rPr>
      <t>s</t>
    </r>
    <r>
      <rPr>
        <sz val="9"/>
        <rFont val="맑은 고딕"/>
        <family val="3"/>
        <charset val="129"/>
        <scheme val="major"/>
      </rPr>
      <t>-20)}*{1-α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(t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-20)}</t>
    </r>
    <phoneticPr fontId="4" type="noConversion"/>
  </si>
  <si>
    <t>B</t>
    <phoneticPr fontId="4" type="noConversion"/>
  </si>
  <si>
    <t>/℃</t>
    <phoneticPr fontId="4" type="noConversion"/>
  </si>
  <si>
    <t>직사각형</t>
    <phoneticPr fontId="4" type="noConversion"/>
  </si>
  <si>
    <r>
      <t>d'(t</t>
    </r>
    <r>
      <rPr>
        <vertAlign val="subscript"/>
        <sz val="9"/>
        <rFont val="맑은 고딕"/>
        <family val="3"/>
        <charset val="129"/>
        <scheme val="major"/>
      </rPr>
      <t>s</t>
    </r>
    <r>
      <rPr>
        <sz val="9"/>
        <rFont val="맑은 고딕"/>
        <family val="3"/>
        <charset val="129"/>
        <scheme val="major"/>
      </rPr>
      <t>-20)}*{1-α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(t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-20)}</t>
    </r>
    <phoneticPr fontId="4" type="noConversion"/>
  </si>
  <si>
    <t>스케일 온도</t>
    <phoneticPr fontId="4" type="noConversion"/>
  </si>
  <si>
    <r>
      <t>t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</si>
  <si>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r>
      <t>d'*α</t>
    </r>
    <r>
      <rPr>
        <vertAlign val="subscript"/>
        <sz val="9"/>
        <rFont val="맑은 고딕"/>
        <family val="3"/>
        <charset val="129"/>
        <scheme val="major"/>
      </rPr>
      <t>s</t>
    </r>
    <r>
      <rPr>
        <sz val="9"/>
        <rFont val="맑은 고딕"/>
        <family val="3"/>
        <charset val="129"/>
        <scheme val="major"/>
      </rPr>
      <t>{1-α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(t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-20)}</t>
    </r>
    <phoneticPr fontId="4" type="noConversion"/>
  </si>
  <si>
    <t>DUT열팽창</t>
    <phoneticPr fontId="4" type="noConversion"/>
  </si>
  <si>
    <r>
      <t>α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</si>
  <si>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/℃</t>
    <phoneticPr fontId="4" type="noConversion"/>
  </si>
  <si>
    <r>
      <t>-(t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-20)*[d'*{1+α</t>
    </r>
    <r>
      <rPr>
        <vertAlign val="subscript"/>
        <sz val="9"/>
        <rFont val="맑은 고딕"/>
        <family val="3"/>
        <charset val="129"/>
        <scheme val="major"/>
      </rPr>
      <t>s</t>
    </r>
    <r>
      <rPr>
        <sz val="9"/>
        <rFont val="맑은 고딕"/>
        <family val="3"/>
        <charset val="129"/>
        <scheme val="major"/>
      </rPr>
      <t>(t</t>
    </r>
    <r>
      <rPr>
        <vertAlign val="subscript"/>
        <sz val="9"/>
        <rFont val="맑은 고딕"/>
        <family val="3"/>
        <charset val="129"/>
        <scheme val="major"/>
      </rPr>
      <t>s</t>
    </r>
    <r>
      <rPr>
        <sz val="9"/>
        <rFont val="맑은 고딕"/>
        <family val="3"/>
        <charset val="129"/>
        <scheme val="major"/>
      </rPr>
      <t>-20)+d'</t>
    </r>
    <r>
      <rPr>
        <vertAlign val="subscript"/>
        <sz val="9"/>
        <rFont val="맑은 고딕"/>
        <family val="3"/>
        <charset val="129"/>
        <scheme val="major"/>
      </rPr>
      <t>b</t>
    </r>
    <r>
      <rPr>
        <sz val="9"/>
        <rFont val="맑은 고딕"/>
        <family val="3"/>
        <charset val="129"/>
        <scheme val="major"/>
      </rPr>
      <t>+b]</t>
    </r>
    <phoneticPr fontId="4" type="noConversion"/>
  </si>
  <si>
    <t>μm</t>
    <phoneticPr fontId="4" type="noConversion"/>
  </si>
  <si>
    <t>DUT 온도</t>
    <phoneticPr fontId="4" type="noConversion"/>
  </si>
  <si>
    <r>
      <t>t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</si>
  <si>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-α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[d'*{1+α</t>
    </r>
    <r>
      <rPr>
        <vertAlign val="subscript"/>
        <sz val="9"/>
        <rFont val="맑은 고딕"/>
        <family val="3"/>
        <charset val="129"/>
        <scheme val="major"/>
      </rPr>
      <t>s</t>
    </r>
    <r>
      <rPr>
        <sz val="9"/>
        <rFont val="맑은 고딕"/>
        <family val="3"/>
        <charset val="129"/>
        <scheme val="major"/>
      </rPr>
      <t>(t</t>
    </r>
    <r>
      <rPr>
        <vertAlign val="subscript"/>
        <sz val="9"/>
        <rFont val="맑은 고딕"/>
        <family val="3"/>
        <charset val="129"/>
        <scheme val="major"/>
      </rPr>
      <t>s</t>
    </r>
    <r>
      <rPr>
        <sz val="9"/>
        <rFont val="맑은 고딕"/>
        <family val="3"/>
        <charset val="129"/>
        <scheme val="major"/>
      </rPr>
      <t>-20)}+d'</t>
    </r>
    <r>
      <rPr>
        <vertAlign val="subscript"/>
        <sz val="9"/>
        <rFont val="맑은 고딕"/>
        <family val="3"/>
        <charset val="129"/>
        <scheme val="major"/>
      </rPr>
      <t>b</t>
    </r>
    <r>
      <rPr>
        <sz val="9"/>
        <rFont val="맑은 고딕"/>
        <family val="3"/>
        <charset val="129"/>
        <scheme val="major"/>
      </rPr>
      <t>+b]</t>
    </r>
    <phoneticPr fontId="4" type="noConversion"/>
  </si>
  <si>
    <t>기준기</t>
    <phoneticPr fontId="4" type="noConversion"/>
  </si>
  <si>
    <t>볼 지름</t>
    <phoneticPr fontId="4" type="noConversion"/>
  </si>
  <si>
    <r>
      <t>1-α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(t</t>
    </r>
    <r>
      <rPr>
        <vertAlign val="subscript"/>
        <sz val="9"/>
        <rFont val="맑은 고딕"/>
        <family val="3"/>
        <charset val="129"/>
        <scheme val="major"/>
      </rPr>
      <t>x</t>
    </r>
    <r>
      <rPr>
        <sz val="9"/>
        <rFont val="맑은 고딕"/>
        <family val="3"/>
        <charset val="129"/>
        <scheme val="major"/>
      </rPr>
      <t>-20)</t>
    </r>
    <phoneticPr fontId="4" type="noConversion"/>
  </si>
  <si>
    <t>분해능</t>
    <phoneticPr fontId="4" type="noConversion"/>
  </si>
  <si>
    <t>δd'</t>
    <phoneticPr fontId="4" type="noConversion"/>
  </si>
  <si>
    <t>합성표준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</si>
  <si>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</si>
  <si>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</si>
  <si>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</si>
  <si>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</si>
  <si>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</si>
  <si>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</si>
  <si>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</si>
  <si>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</si>
  <si>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</si>
  <si>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</si>
  <si>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계산(mm)</t>
    <phoneticPr fontId="4" type="noConversion"/>
  </si>
  <si>
    <t>mm</t>
    <phoneticPr fontId="4" type="noConversion"/>
  </si>
  <si>
    <t>성적서</t>
    <phoneticPr fontId="4" type="noConversion"/>
  </si>
  <si>
    <t>Rawdata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</si>
  <si>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</si>
  <si>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β</t>
    <phoneticPr fontId="4" type="noConversion"/>
  </si>
  <si>
    <t>측정불확도</t>
    <phoneticPr fontId="4" type="noConversion"/>
  </si>
  <si>
    <t>k</t>
    <phoneticPr fontId="4" type="noConversion"/>
  </si>
  <si>
    <t>CMC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</si>
  <si>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</si>
  <si>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</si>
  <si>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</si>
  <si>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</si>
  <si>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</si>
  <si>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</si>
  <si>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</si>
  <si>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</si>
  <si>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</si>
  <si>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</si>
  <si>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</si>
  <si>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</si>
  <si>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</si>
  <si>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</si>
  <si>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</si>
  <si>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</si>
  <si>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기본수수료</t>
    <phoneticPr fontId="4" type="noConversion"/>
  </si>
  <si>
    <t>추가수수료</t>
    <phoneticPr fontId="4" type="noConversion"/>
  </si>
  <si>
    <t>진원도</t>
    <phoneticPr fontId="4" type="noConversion"/>
  </si>
  <si>
    <t>인치?</t>
    <phoneticPr fontId="4" type="noConversion"/>
  </si>
  <si>
    <t>추가수수료</t>
    <phoneticPr fontId="4" type="noConversion"/>
  </si>
  <si>
    <t>소계</t>
    <phoneticPr fontId="4" type="noConversion"/>
  </si>
  <si>
    <t>합계</t>
    <phoneticPr fontId="4" type="noConversion"/>
  </si>
  <si>
    <t>1개기준
진원도 교정시 100% 추가</t>
    <phoneticPr fontId="4" type="noConversion"/>
  </si>
  <si>
    <t>※ 인치의 경우 기본수수료에서 80% 추가함.</t>
    <phoneticPr fontId="4" type="noConversion"/>
  </si>
  <si>
    <t>스케일열팽창</t>
    <phoneticPr fontId="4" type="noConversion"/>
  </si>
  <si>
    <t>DUT열팽창</t>
    <phoneticPr fontId="4" type="noConversion"/>
  </si>
  <si>
    <t>기준링열팽창</t>
    <phoneticPr fontId="4" type="noConversion"/>
  </si>
  <si>
    <t>스케일열팽창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</si>
  <si>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</si>
  <si>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</si>
  <si>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</si>
  <si>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</si>
  <si>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교정일자</t>
    <phoneticPr fontId="4" type="noConversion"/>
  </si>
  <si>
    <t>기술책임자</t>
    <phoneticPr fontId="4" type="noConversion"/>
  </si>
  <si>
    <t>● Range 1</t>
    <phoneticPr fontId="4" type="noConversion"/>
  </si>
  <si>
    <t>호칭치수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</si>
  <si>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</si>
  <si>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볼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지름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4" type="noConversion"/>
  </si>
  <si>
    <t>1회</t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</si>
  <si>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직경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</si>
  <si>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측정방향</t>
    <phoneticPr fontId="4" type="noConversion"/>
  </si>
  <si>
    <t>측정방향</t>
    <phoneticPr fontId="4" type="noConversion"/>
  </si>
  <si>
    <t>명목값</t>
    <phoneticPr fontId="4" type="noConversion"/>
  </si>
  <si>
    <r>
      <t xml:space="preserve">3. </t>
    </r>
    <r>
      <rPr>
        <b/>
        <sz val="9"/>
        <rFont val="돋움"/>
        <family val="3"/>
        <charset val="129"/>
      </rPr>
      <t>원통도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4" type="noConversion"/>
  </si>
  <si>
    <t>μm</t>
    <phoneticPr fontId="4" type="noConversion"/>
  </si>
  <si>
    <t>1. 측정 방향과 위치에 대한 기호</t>
    <phoneticPr fontId="4" type="noConversion"/>
  </si>
  <si>
    <t>2. 교정결과</t>
    <phoneticPr fontId="4" type="noConversion"/>
  </si>
  <si>
    <t>명목값</t>
    <phoneticPr fontId="4" type="noConversion"/>
  </si>
  <si>
    <t>측정위치</t>
    <phoneticPr fontId="4" type="noConversion"/>
  </si>
  <si>
    <t>교정값</t>
    <phoneticPr fontId="4" type="noConversion"/>
  </si>
  <si>
    <t>(mm)</t>
    <phoneticPr fontId="4" type="noConversion"/>
  </si>
  <si>
    <t>X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</si>
  <si>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</si>
  <si>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</si>
  <si>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</si>
  <si>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Y</t>
    <phoneticPr fontId="4" type="noConversion"/>
  </si>
  <si>
    <t>A</t>
    <phoneticPr fontId="4" type="noConversion"/>
  </si>
  <si>
    <t>B</t>
    <phoneticPr fontId="4" type="noConversion"/>
  </si>
  <si>
    <t>F</t>
    <phoneticPr fontId="4" type="noConversion"/>
  </si>
  <si>
    <t>G</t>
    <phoneticPr fontId="4" type="noConversion"/>
  </si>
  <si>
    <t>J</t>
    <phoneticPr fontId="4" type="noConversion"/>
  </si>
  <si>
    <t>℃</t>
    <phoneticPr fontId="4" type="noConversion"/>
  </si>
  <si>
    <t>◆ 측정불확도 추정보고서 ◆</t>
    <phoneticPr fontId="4" type="noConversion"/>
  </si>
  <si>
    <t>■ 측정기본정보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</si>
  <si>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</si>
  <si>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</si>
  <si>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</si>
  <si>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원통형 링 게이지</t>
    <phoneticPr fontId="4" type="noConversion"/>
  </si>
  <si>
    <t>■ 환경 조건 및 열팽창 계수</t>
    <phoneticPr fontId="4" type="noConversion"/>
  </si>
  <si>
    <t>최저 온도(℃)</t>
    <phoneticPr fontId="4" type="noConversion"/>
  </si>
  <si>
    <t>최저 습도(%R.H.)</t>
    <phoneticPr fontId="4" type="noConversion"/>
  </si>
  <si>
    <t>평균 온도(℃)</t>
    <phoneticPr fontId="4" type="noConversion"/>
  </si>
  <si>
    <t>최고 온도(℃)</t>
    <phoneticPr fontId="4" type="noConversion"/>
  </si>
  <si>
    <t>최고 습도(%R.H.)</t>
    <phoneticPr fontId="4" type="noConversion"/>
  </si>
  <si>
    <t>평균 습도(%R.H.)</t>
    <phoneticPr fontId="4" type="noConversion"/>
  </si>
  <si>
    <t>열팽창계수</t>
    <phoneticPr fontId="4" type="noConversion"/>
  </si>
  <si>
    <r>
      <t>표준 측장기 스케일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</si>
  <si>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>교정대상 링 게이지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</si>
  <si>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>기준 링 게이지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</si>
  <si>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반복 측정 결과</t>
    <phoneticPr fontId="4" type="noConversion"/>
  </si>
  <si>
    <t>1. 프로브 볼 측정 결과</t>
    <phoneticPr fontId="4" type="noConversion"/>
  </si>
  <si>
    <t>기준 링 게이지 교정값</t>
    <phoneticPr fontId="4" type="noConversion"/>
  </si>
  <si>
    <t>평균값</t>
    <phoneticPr fontId="4" type="noConversion"/>
  </si>
  <si>
    <t>표준편차</t>
    <phoneticPr fontId="4" type="noConversion"/>
  </si>
  <si>
    <t>기준기보정값</t>
    <phoneticPr fontId="4" type="noConversion"/>
  </si>
  <si>
    <t>볼 지름</t>
    <phoneticPr fontId="4" type="noConversion"/>
  </si>
  <si>
    <t>1차</t>
    <phoneticPr fontId="4" type="noConversion"/>
  </si>
  <si>
    <t>2차</t>
  </si>
  <si>
    <t>3차</t>
  </si>
  <si>
    <t>4차</t>
  </si>
  <si>
    <t>5차</t>
  </si>
  <si>
    <t>2. 직경 측정</t>
    <phoneticPr fontId="4" type="noConversion"/>
  </si>
  <si>
    <t>기준기보정값</t>
    <phoneticPr fontId="4" type="noConversion"/>
  </si>
  <si>
    <t>링 게이지 직경</t>
    <phoneticPr fontId="4" type="noConversion"/>
  </si>
  <si>
    <t>■ 수학적 모델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</si>
  <si>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</si>
  <si>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d'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</si>
  <si>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프로브 볼의 지름</t>
    <phoneticPr fontId="4" type="noConversion"/>
  </si>
  <si>
    <r>
      <t>α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</si>
  <si>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t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</si>
  <si>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t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</si>
  <si>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α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</si>
  <si>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t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</si>
  <si>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</si>
  <si>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t>δd'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</si>
  <si>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</si>
  <si>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</si>
  <si>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</si>
  <si>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</si>
  <si>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</si>
  <si>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</si>
  <si>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</si>
  <si>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</si>
  <si>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</si>
  <si>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</si>
  <si>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</si>
  <si>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</si>
  <si>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</si>
  <si>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</si>
  <si>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</si>
  <si>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d'</t>
    <phoneticPr fontId="4" type="noConversion"/>
  </si>
  <si>
    <r>
      <t>α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</si>
  <si>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t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</si>
  <si>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E</t>
    <phoneticPr fontId="4" type="noConversion"/>
  </si>
  <si>
    <t>b</t>
    <phoneticPr fontId="4" type="noConversion"/>
  </si>
  <si>
    <t>F</t>
    <phoneticPr fontId="4" type="noConversion"/>
  </si>
  <si>
    <r>
      <t>α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</si>
  <si>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G</t>
    <phoneticPr fontId="4" type="noConversion"/>
  </si>
  <si>
    <r>
      <t>t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</si>
  <si>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H</t>
    <phoneticPr fontId="4" type="noConversion"/>
  </si>
  <si>
    <t>I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</si>
  <si>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</si>
  <si>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</si>
  <si>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d'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</si>
  <si>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</si>
  <si>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</si>
  <si>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</si>
  <si>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d'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</si>
  <si>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</si>
  <si>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s</t>
    <phoneticPr fontId="4" type="noConversion"/>
  </si>
  <si>
    <t>=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</si>
  <si>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</si>
  <si>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</si>
  <si>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</si>
  <si>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</si>
  <si>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</si>
  <si>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|</t>
    <phoneticPr fontId="4" type="noConversion"/>
  </si>
  <si>
    <t>=</t>
    <phoneticPr fontId="4" type="noConversion"/>
  </si>
  <si>
    <t>A6. 자유도 :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</si>
  <si>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</si>
  <si>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d'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</si>
  <si>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B1.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</si>
  <si>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</si>
  <si>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B2. 표준불확도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</si>
  <si>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</si>
  <si>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</si>
  <si>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</si>
  <si>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B3. 확률분포 :</t>
    <phoneticPr fontId="4" type="noConversion"/>
  </si>
  <si>
    <t>B4. 감도계수 :</t>
    <phoneticPr fontId="4" type="noConversion"/>
  </si>
  <si>
    <t>.</t>
    <phoneticPr fontId="4" type="noConversion"/>
  </si>
  <si>
    <t>B5. 불확도 기여량 :</t>
    <phoneticPr fontId="4" type="noConversion"/>
  </si>
  <si>
    <r>
      <t>℃·μm × 0.58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</si>
  <si>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t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</si>
  <si>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</si>
  <si>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</si>
  <si>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</si>
  <si>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C5. 불확도 기여량 :</t>
    <phoneticPr fontId="4" type="noConversion"/>
  </si>
  <si>
    <t>μm</t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</si>
  <si>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</si>
  <si>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</si>
  <si>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d'</t>
    </r>
    <r>
      <rPr>
        <b/>
        <i/>
        <vertAlign val="subscript"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</si>
  <si>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t>D2. 표준불확도 :</t>
    <phoneticPr fontId="4" type="noConversion"/>
  </si>
  <si>
    <t>D2.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</si>
  <si>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d'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</si>
  <si>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μm</t>
    <phoneticPr fontId="4" type="noConversion"/>
  </si>
  <si>
    <t>k</t>
    <phoneticPr fontId="4" type="noConversion"/>
  </si>
  <si>
    <t>D3. 확률분포 :</t>
    <phoneticPr fontId="4" type="noConversion"/>
  </si>
  <si>
    <t>D5. 불확도 기여도 :</t>
    <phoneticPr fontId="4" type="noConversion"/>
  </si>
  <si>
    <t>D6.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</si>
  <si>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d'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</si>
  <si>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5. 프로브 볼 직경의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</si>
  <si>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</si>
  <si>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r>
      <t xml:space="preserve">※ 프로브 볼 지름의 불확도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b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>를 계산한 결과가 다음과 같다.</t>
    </r>
    <phoneticPr fontId="4" type="noConversion"/>
  </si>
  <si>
    <t>E1. 추정값 :</t>
    <phoneticPr fontId="4" type="noConversion"/>
  </si>
  <si>
    <t>E2.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</si>
  <si>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b</t>
    </r>
    <r>
      <rPr>
        <sz val="10"/>
        <rFont val="Times New Roman"/>
        <family val="1"/>
      </rPr>
      <t>)</t>
    </r>
    <phoneticPr fontId="4" type="noConversion"/>
  </si>
  <si>
    <t>E4. 감도계수 :</t>
    <phoneticPr fontId="4" type="noConversion"/>
  </si>
  <si>
    <t>E5. 불확도 기여도 :</t>
    <phoneticPr fontId="4" type="noConversion"/>
  </si>
  <si>
    <t>×</t>
    <phoneticPr fontId="4" type="noConversion"/>
  </si>
  <si>
    <t>|</t>
    <phoneticPr fontId="4" type="noConversion"/>
  </si>
  <si>
    <t>E6.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</si>
  <si>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phoneticPr fontId="4" type="noConversion"/>
  </si>
  <si>
    <t>F1. 추정값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</si>
  <si>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</si>
  <si>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</si>
  <si>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F4. 감도계수 :</t>
    <phoneticPr fontId="4" type="noConversion"/>
  </si>
  <si>
    <t>.</t>
    <phoneticPr fontId="4" type="noConversion"/>
  </si>
  <si>
    <t>F5. 불확도 기여량 :</t>
    <phoneticPr fontId="4" type="noConversion"/>
  </si>
  <si>
    <r>
      <t>℃·μm × 0.58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</si>
  <si>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</si>
  <si>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=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</si>
  <si>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</si>
  <si>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</si>
  <si>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</si>
  <si>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t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</si>
  <si>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적용하여 계산하면</t>
    <phoneticPr fontId="4" type="noConversion"/>
  </si>
  <si>
    <t>G1. 추정값 :</t>
    <phoneticPr fontId="4" type="noConversion"/>
  </si>
  <si>
    <t>G2.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</si>
  <si>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</si>
  <si>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</si>
  <si>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</si>
  <si>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</si>
  <si>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</si>
  <si>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｜</t>
    <phoneticPr fontId="4" type="noConversion"/>
  </si>
  <si>
    <t>/℃·μm</t>
    <phoneticPr fontId="4" type="noConversion"/>
  </si>
  <si>
    <t>G6. 자유도 :</t>
    <phoneticPr fontId="4" type="noConversion"/>
  </si>
  <si>
    <t>G6.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</si>
  <si>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δd'</t>
    </r>
    <r>
      <rPr>
        <b/>
        <sz val="10"/>
        <rFont val="Times New Roman"/>
        <family val="1"/>
      </rPr>
      <t>)</t>
    </r>
    <phoneticPr fontId="4" type="noConversion"/>
  </si>
  <si>
    <t>H1. 추정값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</si>
  <si>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</si>
  <si>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δd'</t>
    </r>
    <r>
      <rPr>
        <sz val="10"/>
        <rFont val="Times New Roman"/>
        <family val="1"/>
      </rPr>
      <t>)</t>
    </r>
    <phoneticPr fontId="4" type="noConversion"/>
  </si>
  <si>
    <t>H5. 불확도 기여도 :</t>
    <phoneticPr fontId="4" type="noConversion"/>
  </si>
  <si>
    <t>×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</si>
  <si>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</si>
  <si>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</si>
  <si>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</si>
  <si>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</si>
  <si>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</si>
  <si>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≒</t>
    <phoneticPr fontId="4" type="noConversion"/>
  </si>
  <si>
    <r>
      <t xml:space="preserve">※ 프로브 볼 지름의 불확도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r>
      <rPr>
        <b/>
        <sz val="10"/>
        <rFont val="맑은 고딕"/>
        <family val="3"/>
        <charset val="129"/>
        <scheme val="major"/>
      </rPr>
      <t xml:space="preserve"> 계산</t>
    </r>
    <phoneticPr fontId="4" type="noConversion"/>
  </si>
  <si>
    <t>■ 수학적 모델</t>
    <phoneticPr fontId="4" type="noConversion"/>
  </si>
  <si>
    <t>표준온도에서 프로브 볼 지름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</si>
  <si>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</si>
  <si>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기준 링 게이지의 교정값</t>
    <phoneticPr fontId="4" type="noConversion"/>
  </si>
  <si>
    <r>
      <t>α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</si>
  <si>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기준 링 게이지의 열팽창계수</t>
    <phoneticPr fontId="4" type="noConversion"/>
  </si>
  <si>
    <r>
      <t>t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</si>
  <si>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기준 링 게이지의 온도</t>
    <phoneticPr fontId="4" type="noConversion"/>
  </si>
  <si>
    <t>표준 측장기의 지시값</t>
    <phoneticPr fontId="4" type="noConversion"/>
  </si>
  <si>
    <t>표준 측장기 스케일의 열팽창계수</t>
  </si>
  <si>
    <t>표준 측장기 스케일의 온도</t>
  </si>
  <si>
    <t>표준 측장기의 보정값</t>
  </si>
  <si>
    <t>δd'</t>
    <phoneticPr fontId="4" type="noConversion"/>
  </si>
  <si>
    <t>표준 측장기 분해능에 의한 보정값</t>
  </si>
  <si>
    <t>A</t>
    <phoneticPr fontId="4" type="noConversion"/>
  </si>
  <si>
    <t>B</t>
    <phoneticPr fontId="4" type="noConversion"/>
  </si>
  <si>
    <r>
      <t>t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</si>
  <si>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D</t>
    <phoneticPr fontId="4" type="noConversion"/>
  </si>
  <si>
    <r>
      <t>t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</si>
  <si>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d'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</si>
  <si>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H</t>
    <phoneticPr fontId="4" type="noConversion"/>
  </si>
  <si>
    <t>δd'</t>
    <phoneticPr fontId="4" type="noConversion"/>
  </si>
  <si>
    <t>1. 기준 링 게이지의 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</si>
  <si>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</si>
  <si>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※ 교정성적서에 주어진 기준 링 게이지의 측정불확도를 포함인자로 나누어 구한다.</t>
    <phoneticPr fontId="4" type="noConversion"/>
  </si>
  <si>
    <t>A1. 추정값 :</t>
    <phoneticPr fontId="4" type="noConversion"/>
  </si>
  <si>
    <t>A2.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</si>
  <si>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</si>
  <si>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U</t>
    <phoneticPr fontId="4" type="noConversion"/>
  </si>
  <si>
    <t>k</t>
    <phoneticPr fontId="4" type="noConversion"/>
  </si>
  <si>
    <t>A3. 확률분포 :</t>
    <phoneticPr fontId="4" type="noConversion"/>
  </si>
  <si>
    <t>A4. 감도계수 :</t>
    <phoneticPr fontId="4" type="noConversion"/>
  </si>
  <si>
    <t>|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</si>
  <si>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 xml:space="preserve">) = </t>
    </r>
    <phoneticPr fontId="4" type="noConversion"/>
  </si>
  <si>
    <t>2. 기준 링 게이지의 열팽창계수에 의한 표준불확도,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</si>
  <si>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</si>
  <si>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t>B4. 감도계수 :</t>
    <phoneticPr fontId="4" type="noConversion"/>
  </si>
  <si>
    <t>B5. 불확도 기여량 :</t>
    <phoneticPr fontId="4" type="noConversion"/>
  </si>
  <si>
    <t>｜</t>
    <phoneticPr fontId="4" type="noConversion"/>
  </si>
  <si>
    <r>
      <t>℃·μm × 0.58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</si>
  <si>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</si>
  <si>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</si>
  <si>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t>B6. 자유도 :</t>
    <phoneticPr fontId="4" type="noConversion"/>
  </si>
  <si>
    <t>3. 기준 링 게이지의 온도에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</si>
  <si>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t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</si>
  <si>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적용하여 계산하면</t>
    <phoneticPr fontId="4" type="noConversion"/>
  </si>
  <si>
    <t>C1. 추정값 :</t>
    <phoneticPr fontId="4" type="noConversion"/>
  </si>
  <si>
    <t>C2.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</si>
  <si>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 xml:space="preserve">) </t>
    </r>
    <phoneticPr fontId="4" type="noConversion"/>
  </si>
  <si>
    <t>C3. 확률분포 :</t>
    <phoneticPr fontId="4" type="noConversion"/>
  </si>
  <si>
    <t>/℃·μm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</si>
  <si>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</si>
  <si>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d'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</si>
  <si>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</si>
  <si>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t>D1. 추정값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</si>
  <si>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</si>
  <si>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d'</t>
    </r>
    <r>
      <rPr>
        <sz val="10"/>
        <rFont val="Times New Roman"/>
        <family val="1"/>
      </rPr>
      <t>)</t>
    </r>
    <phoneticPr fontId="4" type="noConversion"/>
  </si>
  <si>
    <t>D3. 확률분포 :</t>
    <phoneticPr fontId="4" type="noConversion"/>
  </si>
  <si>
    <t>D5. 불확도 기여도 :</t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</si>
  <si>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</si>
  <si>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d'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</si>
  <si>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E1.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</si>
  <si>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</si>
  <si>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E2. 표준불확도 :</t>
    <phoneticPr fontId="4" type="noConversion"/>
  </si>
  <si>
    <t>E3. 확률분포 :</t>
    <phoneticPr fontId="4" type="noConversion"/>
  </si>
  <si>
    <t>.</t>
    <phoneticPr fontId="4" type="noConversion"/>
  </si>
  <si>
    <t>E5. 불확도 기여량 :</t>
    <phoneticPr fontId="4" type="noConversion"/>
  </si>
  <si>
    <r>
      <t>℃·μm × 0.58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</si>
  <si>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</si>
  <si>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t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</si>
  <si>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F1. 추정값 :</t>
    <phoneticPr fontId="4" type="noConversion"/>
  </si>
  <si>
    <t>F2. 표준불확도 :</t>
    <phoneticPr fontId="4" type="noConversion"/>
  </si>
  <si>
    <t>=</t>
    <phoneticPr fontId="4" type="noConversion"/>
  </si>
  <si>
    <t>F4. 감도계수 :</t>
    <phoneticPr fontId="4" type="noConversion"/>
  </si>
  <si>
    <t>/℃·μm</t>
    <phoneticPr fontId="4" type="noConversion"/>
  </si>
  <si>
    <t>F6.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</si>
  <si>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d'</t>
    </r>
    <r>
      <rPr>
        <b/>
        <i/>
        <vertAlign val="subscript"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</si>
  <si>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d'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</si>
  <si>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U</t>
    <phoneticPr fontId="4" type="noConversion"/>
  </si>
  <si>
    <t>mm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</si>
  <si>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</si>
  <si>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</si>
  <si>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기여도 :</t>
    <phoneticPr fontId="4" type="noConversion"/>
  </si>
  <si>
    <t>|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</si>
  <si>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d'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</si>
  <si>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H2.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</si>
  <si>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δd'</t>
    </r>
    <r>
      <rPr>
        <sz val="10"/>
        <rFont val="Times New Roman"/>
        <family val="1"/>
      </rPr>
      <t>)</t>
    </r>
    <phoneticPr fontId="4" type="noConversion"/>
  </si>
  <si>
    <t>+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</si>
  <si>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</si>
  <si>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</si>
  <si>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</si>
  <si>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1. Symbols for measuring direction and location</t>
  </si>
  <si>
    <t>2. Calibration result</t>
    <phoneticPr fontId="4" type="noConversion"/>
  </si>
  <si>
    <t>Measurement direction</t>
  </si>
  <si>
    <t>Measurement location</t>
  </si>
  <si>
    <t>Calibration value</t>
    <phoneticPr fontId="4" type="noConversion"/>
  </si>
  <si>
    <t>Nominla value</t>
    <phoneticPr fontId="4" type="noConversion"/>
  </si>
  <si>
    <t>측정방향</t>
    <phoneticPr fontId="4" type="noConversion"/>
  </si>
  <si>
    <t>측정위치</t>
    <phoneticPr fontId="4" type="noConversion"/>
  </si>
  <si>
    <t>X</t>
    <phoneticPr fontId="4" type="noConversion"/>
  </si>
  <si>
    <t>X</t>
    <phoneticPr fontId="4" type="noConversion"/>
  </si>
  <si>
    <t>Y</t>
    <phoneticPr fontId="4" type="noConversion"/>
  </si>
  <si>
    <t>Y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</si>
  <si>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</si>
  <si>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</si>
  <si>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</si>
  <si>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</si>
  <si>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</si>
  <si>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</si>
  <si>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기타</t>
    <phoneticPr fontId="4" type="noConversion"/>
  </si>
  <si>
    <t>잔여 기여량</t>
    <phoneticPr fontId="4" type="noConversion"/>
  </si>
  <si>
    <t>주 기여량</t>
    <phoneticPr fontId="4" type="noConversion"/>
  </si>
  <si>
    <t>보정값</t>
    <phoneticPr fontId="4" type="noConversion"/>
  </si>
  <si>
    <t>보정값</t>
    <phoneticPr fontId="4" type="noConversion"/>
  </si>
  <si>
    <t>mm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</si>
  <si>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</si>
  <si>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</si>
  <si>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</si>
  <si>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</si>
  <si>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</si>
  <si>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</si>
  <si>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</si>
  <si>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</si>
  <si>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</si>
  <si>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</si>
  <si>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</si>
  <si>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</si>
  <si>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</si>
  <si>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</si>
  <si>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Nominal Value</t>
    <phoneticPr fontId="4" type="noConversion"/>
  </si>
  <si>
    <t>X</t>
    <phoneticPr fontId="4" type="noConversion"/>
  </si>
  <si>
    <t>X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</si>
  <si>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</si>
  <si>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</si>
  <si>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</si>
  <si>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B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</si>
  <si>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</si>
  <si>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</si>
  <si>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</si>
  <si>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비고</t>
    <phoneticPr fontId="4" type="noConversion"/>
  </si>
  <si>
    <t>측정불확도1</t>
    <phoneticPr fontId="4" type="noConversion"/>
  </si>
  <si>
    <t>측정불확도2</t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</si>
  <si>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</si>
  <si>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</si>
  <si>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</si>
  <si>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</si>
  <si>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</si>
  <si>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</si>
  <si>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</si>
  <si>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</si>
  <si>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</si>
  <si>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CMC초과?</t>
    <phoneticPr fontId="4" type="noConversion"/>
  </si>
  <si>
    <t>선택</t>
    <phoneticPr fontId="4" type="noConversion"/>
  </si>
  <si>
    <t>성적서</t>
    <phoneticPr fontId="4" type="noConversion"/>
  </si>
  <si>
    <t>확률분포별 불확도기여량</t>
    <phoneticPr fontId="4" type="noConversion"/>
  </si>
  <si>
    <t>확률분포별 불확도기여량</t>
    <phoneticPr fontId="4" type="noConversion"/>
  </si>
  <si>
    <t>영향</t>
    <phoneticPr fontId="4" type="noConversion"/>
  </si>
  <si>
    <t>기타</t>
    <phoneticPr fontId="4" type="noConversion"/>
  </si>
  <si>
    <t>비율</t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</si>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</sst>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\√\(0\)"/>
    <numFmt numFmtId="200" formatCode="0.0"/>
    <numFmt numFmtId="201" formatCode="0.00\ &quot;μm&quot;"/>
    <numFmt numFmtId="202" formatCode="0.000\ 00"/>
    <numFmt numFmtId="203" formatCode="0.000\ &quot;μm&quot;"/>
    <numFmt numFmtId="204" formatCode="_-* #,##0_-;\-* #,##0_-;_-* &quot;-&quot;??_-;_-@_-"/>
    <numFmt numFmtId="205" formatCode="0.00_);[Red]\(0.00\)"/>
    <numFmt numFmtId="206" formatCode="0.00000_ "/>
    <numFmt numFmtId="207" formatCode="0.0000000"/>
    <numFmt numFmtId="208" formatCode="0.0000000_ "/>
    <numFmt numFmtId="209" formatCode="#0.0\ E+00"/>
    <numFmt numFmtId="210" formatCode="&quot;0&quot;.0#\ E+00"/>
    <numFmt numFmtId="211" formatCode="0.00_ "/>
    <numFmt numFmtId="212" formatCode="0.0\ \℃"/>
    <numFmt numFmtId="213" formatCode="0.000\ \℃"/>
    <numFmt numFmtId="214" formatCode="&quot;0.58 ℃×( -&quot;0.00"/>
    <numFmt numFmtId="215" formatCode="0.000000"/>
    <numFmt numFmtId="216" formatCode="0.0;_ÿ"/>
    <numFmt numFmtId="217" formatCode="0.000\ 000\ 0\ &quot;/℃&quot;"/>
    <numFmt numFmtId="218" formatCode="0.000\ 0"/>
    <numFmt numFmtId="219" formatCode="0.0E+00"/>
    <numFmt numFmtId="220" formatCode="0_ "/>
  </numFmts>
  <fonts count="102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rgb="FF0070C0"/>
      <name val="Arial Unicode MS"/>
      <family val="3"/>
      <charset val="129"/>
    </font>
    <font>
      <vertAlign val="superscript"/>
      <sz val="10"/>
      <name val="맑은 고딕"/>
      <family val="3"/>
      <charset val="129"/>
      <scheme val="major"/>
    </font>
    <font>
      <b/>
      <vertAlign val="subscript"/>
      <sz val="9"/>
      <color indexed="9"/>
      <name val="Tahoma"/>
      <family val="2"/>
    </font>
    <font>
      <b/>
      <sz val="9"/>
      <color indexed="9"/>
      <name val="맑은 고딕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59" applyNumberFormat="0" applyBorder="0" applyAlignment="0" applyProtection="0"/>
    <xf numFmtId="0" fontId="17" fillId="22" borderId="60" applyNumberFormat="0" applyAlignment="0" applyProtection="0">
      <alignment vertical="center"/>
    </xf>
    <xf numFmtId="0" fontId="3" fillId="23" borderId="57" applyNumberFormat="0" applyFont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25" fillId="7" borderId="60" applyNumberFormat="0" applyAlignment="0" applyProtection="0">
      <alignment vertical="center"/>
    </xf>
    <xf numFmtId="0" fontId="31" fillId="22" borderId="6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/>
  </cellStyleXfs>
  <cellXfs count="49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0" xfId="79" applyNumberFormat="1" applyFont="1" applyFill="1" applyBorder="1" applyAlignment="1">
      <alignment horizontal="center" vertical="center"/>
    </xf>
    <xf numFmtId="0" fontId="60" fillId="31" borderId="40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4" xfId="0" applyNumberFormat="1" applyFont="1" applyBorder="1" applyAlignment="1">
      <alignment horizontal="center" vertical="center"/>
    </xf>
    <xf numFmtId="0" fontId="53" fillId="26" borderId="44" xfId="0" applyFont="1" applyFill="1" applyBorder="1" applyAlignment="1">
      <alignment horizontal="center" vertical="center" wrapText="1"/>
    </xf>
    <xf numFmtId="0" fontId="55" fillId="0" borderId="44" xfId="0" applyFont="1" applyBorder="1" applyAlignment="1">
      <alignment horizontal="center" vertical="center"/>
    </xf>
    <xf numFmtId="0" fontId="52" fillId="0" borderId="44" xfId="0" applyFont="1" applyBorder="1" applyAlignment="1">
      <alignment horizontal="center" vertical="center"/>
    </xf>
    <xf numFmtId="0" fontId="52" fillId="0" borderId="44" xfId="0" applyNumberFormat="1" applyFont="1" applyBorder="1" applyAlignment="1">
      <alignment horizontal="center" vertical="center"/>
    </xf>
    <xf numFmtId="0" fontId="75" fillId="33" borderId="44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48" xfId="0" applyNumberFormat="1" applyFont="1" applyFill="1" applyBorder="1" applyAlignment="1">
      <alignment horizontal="center" vertical="center"/>
    </xf>
    <xf numFmtId="197" fontId="80" fillId="29" borderId="49" xfId="0" applyNumberFormat="1" applyFont="1" applyFill="1" applyBorder="1" applyAlignment="1">
      <alignment horizontal="center" vertical="center"/>
    </xf>
    <xf numFmtId="197" fontId="80" fillId="0" borderId="51" xfId="0" applyNumberFormat="1" applyFont="1" applyFill="1" applyBorder="1" applyAlignment="1">
      <alignment horizontal="center" vertical="center"/>
    </xf>
    <xf numFmtId="198" fontId="80" fillId="0" borderId="48" xfId="0" applyNumberFormat="1" applyFont="1" applyFill="1" applyBorder="1" applyAlignment="1">
      <alignment horizontal="center" vertical="center"/>
    </xf>
    <xf numFmtId="0" fontId="80" fillId="35" borderId="48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0" fontId="80" fillId="35" borderId="50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5" xfId="79" applyNumberFormat="1" applyFont="1" applyFill="1" applyBorder="1" applyAlignment="1">
      <alignment horizontal="center" vertical="center"/>
    </xf>
    <xf numFmtId="0" fontId="48" fillId="0" borderId="44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20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87" fillId="0" borderId="0" xfId="0" applyNumberFormat="1" applyFont="1" applyAlignment="1">
      <alignment vertical="center"/>
    </xf>
    <xf numFmtId="0" fontId="87" fillId="0" borderId="0" xfId="0" applyNumberFormat="1" applyFont="1" applyAlignment="1">
      <alignment horizontal="left" vertical="center" indent="1"/>
    </xf>
    <xf numFmtId="0" fontId="80" fillId="0" borderId="50" xfId="0" applyNumberFormat="1" applyFont="1" applyFill="1" applyBorder="1" applyAlignment="1">
      <alignment horizontal="center" vertical="center"/>
    </xf>
    <xf numFmtId="0" fontId="52" fillId="0" borderId="44" xfId="0" applyNumberFormat="1" applyFont="1" applyBorder="1" applyAlignment="1">
      <alignment horizontal="center" vertical="center" shrinkToFit="1"/>
    </xf>
    <xf numFmtId="41" fontId="52" fillId="0" borderId="44" xfId="86" applyFont="1" applyBorder="1" applyAlignment="1">
      <alignment horizontal="center" vertical="center"/>
    </xf>
    <xf numFmtId="41" fontId="52" fillId="0" borderId="44" xfId="0" applyNumberFormat="1" applyFont="1" applyBorder="1" applyAlignment="1">
      <alignment horizontal="center" vertical="center"/>
    </xf>
    <xf numFmtId="204" fontId="52" fillId="0" borderId="44" xfId="86" applyNumberFormat="1" applyFont="1" applyBorder="1" applyAlignment="1">
      <alignment horizontal="center" vertical="center"/>
    </xf>
    <xf numFmtId="41" fontId="52" fillId="0" borderId="44" xfId="86" applyNumberFormat="1" applyFont="1" applyBorder="1" applyAlignment="1">
      <alignment horizontal="center" vertical="center"/>
    </xf>
    <xf numFmtId="0" fontId="75" fillId="33" borderId="44" xfId="0" applyFont="1" applyFill="1" applyBorder="1">
      <alignment vertical="center"/>
    </xf>
    <xf numFmtId="0" fontId="81" fillId="28" borderId="63" xfId="0" applyNumberFormat="1" applyFont="1" applyFill="1" applyBorder="1" applyAlignment="1">
      <alignment horizontal="center" vertical="center" wrapText="1"/>
    </xf>
    <xf numFmtId="0" fontId="48" fillId="0" borderId="40" xfId="79" applyNumberFormat="1" applyFont="1" applyFill="1" applyBorder="1" applyAlignment="1">
      <alignment horizontal="center" vertical="center"/>
    </xf>
    <xf numFmtId="0" fontId="80" fillId="0" borderId="63" xfId="0" applyNumberFormat="1" applyFont="1" applyFill="1" applyBorder="1" applyAlignment="1">
      <alignment horizontal="center" vertical="center"/>
    </xf>
    <xf numFmtId="0" fontId="88" fillId="0" borderId="63" xfId="0" applyNumberFormat="1" applyFont="1" applyFill="1" applyBorder="1" applyAlignment="1">
      <alignment horizontal="center" vertical="center"/>
    </xf>
    <xf numFmtId="192" fontId="80" fillId="0" borderId="63" xfId="0" applyNumberFormat="1" applyFont="1" applyFill="1" applyBorder="1" applyAlignment="1">
      <alignment horizontal="center" vertical="center"/>
    </xf>
    <xf numFmtId="0" fontId="90" fillId="0" borderId="0" xfId="0" applyFont="1" applyBorder="1">
      <alignment vertical="center"/>
    </xf>
    <xf numFmtId="0" fontId="52" fillId="0" borderId="0" xfId="0" applyFont="1" applyBorder="1" applyAlignment="1">
      <alignment vertical="center"/>
    </xf>
    <xf numFmtId="0" fontId="59" fillId="27" borderId="46" xfId="8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3" xfId="0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center" vertical="center"/>
    </xf>
    <xf numFmtId="0" fontId="85" fillId="0" borderId="0" xfId="0" applyFont="1" applyBorder="1">
      <alignment vertical="center"/>
    </xf>
    <xf numFmtId="0" fontId="5" fillId="28" borderId="58" xfId="0" applyNumberFormat="1" applyFont="1" applyFill="1" applyBorder="1" applyAlignment="1">
      <alignment horizontal="center" vertical="center"/>
    </xf>
    <xf numFmtId="49" fontId="81" fillId="28" borderId="63" xfId="0" applyNumberFormat="1" applyFont="1" applyFill="1" applyBorder="1" applyAlignment="1">
      <alignment horizontal="center" vertical="center"/>
    </xf>
    <xf numFmtId="0" fontId="80" fillId="0" borderId="63" xfId="78" applyNumberFormat="1" applyFont="1" applyFill="1" applyBorder="1" applyAlignment="1">
      <alignment horizontal="center" vertical="center"/>
    </xf>
    <xf numFmtId="206" fontId="80" fillId="0" borderId="63" xfId="0" applyNumberFormat="1" applyFont="1" applyFill="1" applyBorder="1" applyAlignment="1">
      <alignment horizontal="center" vertical="center"/>
    </xf>
    <xf numFmtId="0" fontId="80" fillId="32" borderId="63" xfId="0" applyNumberFormat="1" applyFont="1" applyFill="1" applyBorder="1" applyAlignment="1">
      <alignment horizontal="center" vertical="center"/>
    </xf>
    <xf numFmtId="0" fontId="80" fillId="29" borderId="63" xfId="0" applyNumberFormat="1" applyFont="1" applyFill="1" applyBorder="1" applyAlignment="1">
      <alignment horizontal="center" vertical="center"/>
    </xf>
    <xf numFmtId="0" fontId="80" fillId="32" borderId="63" xfId="0" applyNumberFormat="1" applyFont="1" applyFill="1" applyBorder="1" applyAlignment="1">
      <alignment horizontal="center" vertical="center" wrapText="1"/>
    </xf>
    <xf numFmtId="0" fontId="80" fillId="0" borderId="63" xfId="0" applyNumberFormat="1" applyFont="1" applyFill="1" applyBorder="1" applyAlignment="1">
      <alignment horizontal="center" vertical="center" wrapText="1"/>
    </xf>
    <xf numFmtId="0" fontId="80" fillId="0" borderId="63" xfId="0" applyNumberFormat="1" applyFont="1" applyBorder="1" applyAlignment="1">
      <alignment horizontal="center" vertical="center"/>
    </xf>
    <xf numFmtId="205" fontId="80" fillId="0" borderId="63" xfId="0" applyNumberFormat="1" applyFont="1" applyFill="1" applyBorder="1" applyAlignment="1">
      <alignment horizontal="center" vertical="center"/>
    </xf>
    <xf numFmtId="2" fontId="80" fillId="29" borderId="63" xfId="0" applyNumberFormat="1" applyFont="1" applyFill="1" applyBorder="1" applyAlignment="1">
      <alignment horizontal="center" vertical="center"/>
    </xf>
    <xf numFmtId="200" fontId="80" fillId="0" borderId="63" xfId="0" applyNumberFormat="1" applyFont="1" applyFill="1" applyBorder="1" applyAlignment="1">
      <alignment horizontal="center" vertical="center"/>
    </xf>
    <xf numFmtId="194" fontId="80" fillId="0" borderId="63" xfId="0" applyNumberFormat="1" applyFont="1" applyFill="1" applyBorder="1" applyAlignment="1">
      <alignment horizontal="center" vertical="center"/>
    </xf>
    <xf numFmtId="199" fontId="80" fillId="0" borderId="63" xfId="0" applyNumberFormat="1" applyFont="1" applyFill="1" applyBorder="1" applyAlignment="1">
      <alignment horizontal="center" vertical="center"/>
    </xf>
    <xf numFmtId="194" fontId="80" fillId="32" borderId="63" xfId="0" applyNumberFormat="1" applyFont="1" applyFill="1" applyBorder="1" applyAlignment="1">
      <alignment horizontal="center" vertical="center"/>
    </xf>
    <xf numFmtId="0" fontId="80" fillId="36" borderId="63" xfId="0" applyNumberFormat="1" applyFont="1" applyFill="1" applyBorder="1" applyAlignment="1">
      <alignment horizontal="center" vertical="center"/>
    </xf>
    <xf numFmtId="0" fontId="80" fillId="0" borderId="63" xfId="0" applyNumberFormat="1" applyFont="1" applyFill="1" applyBorder="1" applyAlignment="1">
      <alignment horizontal="left" vertical="center"/>
    </xf>
    <xf numFmtId="49" fontId="80" fillId="0" borderId="63" xfId="0" applyNumberFormat="1" applyFont="1" applyFill="1" applyBorder="1" applyAlignment="1">
      <alignment horizontal="left" vertical="center"/>
    </xf>
    <xf numFmtId="0" fontId="7" fillId="28" borderId="58" xfId="0" applyNumberFormat="1" applyFont="1" applyFill="1" applyBorder="1" applyAlignment="1">
      <alignment horizontal="center" vertical="center"/>
    </xf>
    <xf numFmtId="0" fontId="1" fillId="0" borderId="63" xfId="78" applyNumberFormat="1" applyFont="1" applyFill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81" fillId="28" borderId="63" xfId="0" applyNumberFormat="1" applyFont="1" applyFill="1" applyBorder="1" applyAlignment="1">
      <alignment horizontal="center" vertical="center"/>
    </xf>
    <xf numFmtId="0" fontId="80" fillId="31" borderId="63" xfId="0" applyNumberFormat="1" applyFont="1" applyFill="1" applyBorder="1" applyAlignment="1">
      <alignment horizontal="center" vertical="center"/>
    </xf>
    <xf numFmtId="0" fontId="81" fillId="28" borderId="63" xfId="0" quotePrefix="1" applyNumberFormat="1" applyFont="1" applyFill="1" applyBorder="1" applyAlignment="1">
      <alignment horizontal="center" vertical="center" wrapText="1"/>
    </xf>
    <xf numFmtId="207" fontId="80" fillId="31" borderId="63" xfId="0" applyNumberFormat="1" applyFont="1" applyFill="1" applyBorder="1" applyAlignment="1">
      <alignment horizontal="center" vertical="center"/>
    </xf>
    <xf numFmtId="195" fontId="80" fillId="36" borderId="63" xfId="0" applyNumberFormat="1" applyFont="1" applyFill="1" applyBorder="1" applyAlignment="1">
      <alignment horizontal="center" vertical="center"/>
    </xf>
    <xf numFmtId="195" fontId="80" fillId="0" borderId="63" xfId="0" applyNumberFormat="1" applyFont="1" applyFill="1" applyBorder="1" applyAlignment="1">
      <alignment horizontal="center" vertical="center"/>
    </xf>
    <xf numFmtId="194" fontId="80" fillId="29" borderId="63" xfId="0" applyNumberFormat="1" applyFont="1" applyFill="1" applyBorder="1" applyAlignment="1">
      <alignment horizontal="center" vertical="center"/>
    </xf>
    <xf numFmtId="208" fontId="80" fillId="0" borderId="63" xfId="0" applyNumberFormat="1" applyFont="1" applyFill="1" applyBorder="1" applyAlignment="1">
      <alignment horizontal="center" vertical="center"/>
    </xf>
    <xf numFmtId="209" fontId="80" fillId="0" borderId="63" xfId="0" applyNumberFormat="1" applyFont="1" applyFill="1" applyBorder="1" applyAlignment="1">
      <alignment horizontal="center" vertical="center"/>
    </xf>
    <xf numFmtId="210" fontId="80" fillId="29" borderId="63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2" fontId="80" fillId="32" borderId="63" xfId="112" applyNumberFormat="1" applyFont="1" applyFill="1" applyBorder="1" applyAlignment="1">
      <alignment horizontal="center" vertical="center" wrapText="1"/>
    </xf>
    <xf numFmtId="0" fontId="80" fillId="32" borderId="58" xfId="0" applyNumberFormat="1" applyFont="1" applyFill="1" applyBorder="1" applyAlignment="1">
      <alignment horizontal="center" vertical="center" wrapText="1"/>
    </xf>
    <xf numFmtId="0" fontId="92" fillId="28" borderId="63" xfId="0" applyNumberFormat="1" applyFont="1" applyFill="1" applyBorder="1" applyAlignment="1">
      <alignment horizontal="center" vertical="center"/>
    </xf>
    <xf numFmtId="206" fontId="80" fillId="0" borderId="50" xfId="0" applyNumberFormat="1" applyFont="1" applyFill="1" applyBorder="1" applyAlignment="1">
      <alignment horizontal="center" vertical="center"/>
    </xf>
    <xf numFmtId="206" fontId="80" fillId="0" borderId="48" xfId="0" applyNumberFormat="1" applyFont="1" applyFill="1" applyBorder="1" applyAlignment="1">
      <alignment horizontal="center" vertical="center"/>
    </xf>
    <xf numFmtId="196" fontId="1" fillId="0" borderId="63" xfId="78" applyNumberFormat="1" applyFont="1" applyFill="1" applyBorder="1" applyAlignment="1">
      <alignment horizontal="center" vertical="center"/>
    </xf>
    <xf numFmtId="49" fontId="1" fillId="0" borderId="63" xfId="78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right" vertical="center"/>
    </xf>
    <xf numFmtId="0" fontId="48" fillId="0" borderId="69" xfId="79" applyNumberFormat="1" applyFont="1" applyFill="1" applyBorder="1" applyAlignment="1">
      <alignment vertical="center"/>
    </xf>
    <xf numFmtId="0" fontId="48" fillId="0" borderId="69" xfId="79" applyNumberFormat="1" applyFont="1" applyFill="1" applyBorder="1" applyAlignment="1">
      <alignment horizontal="center" vertical="center"/>
    </xf>
    <xf numFmtId="0" fontId="64" fillId="0" borderId="0" xfId="79" applyNumberFormat="1" applyFont="1" applyFill="1" applyBorder="1" applyAlignment="1">
      <alignment vertical="center"/>
    </xf>
    <xf numFmtId="0" fontId="94" fillId="0" borderId="0" xfId="79" applyNumberFormat="1" applyFont="1" applyFill="1" applyBorder="1" applyAlignment="1">
      <alignment vertical="center"/>
    </xf>
    <xf numFmtId="0" fontId="50" fillId="0" borderId="69" xfId="80" applyNumberFormat="1" applyFont="1" applyFill="1" applyBorder="1" applyAlignment="1">
      <alignment horizontal="right" vertical="center"/>
    </xf>
    <xf numFmtId="0" fontId="67" fillId="0" borderId="69" xfId="0" applyFont="1" applyBorder="1">
      <alignment vertical="center"/>
    </xf>
    <xf numFmtId="0" fontId="67" fillId="0" borderId="0" xfId="0" applyFont="1" applyBorder="1" applyAlignment="1">
      <alignment vertical="center" shrinkToFit="1"/>
    </xf>
    <xf numFmtId="212" fontId="67" fillId="0" borderId="69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/>
    <xf numFmtId="0" fontId="67" fillId="0" borderId="0" xfId="0" applyNumberFormat="1" applyFont="1" applyBorder="1" applyAlignment="1"/>
    <xf numFmtId="0" fontId="85" fillId="0" borderId="0" xfId="0" applyFont="1" applyBorder="1" applyAlignment="1">
      <alignment vertical="center"/>
    </xf>
    <xf numFmtId="203" fontId="67" fillId="0" borderId="0" xfId="0" applyNumberFormat="1" applyFont="1" applyBorder="1" applyAlignment="1">
      <alignment vertical="center" shrinkToFit="1"/>
    </xf>
    <xf numFmtId="0" fontId="67" fillId="0" borderId="4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horizontal="left" vertical="center"/>
    </xf>
    <xf numFmtId="0" fontId="77" fillId="0" borderId="64" xfId="0" applyNumberFormat="1" applyFont="1" applyBorder="1" applyAlignment="1">
      <alignment horizontal="center" vertical="center"/>
    </xf>
    <xf numFmtId="0" fontId="84" fillId="35" borderId="72" xfId="78" applyNumberFormat="1" applyFont="1" applyFill="1" applyBorder="1" applyAlignment="1">
      <alignment horizontal="center" vertical="center"/>
    </xf>
    <xf numFmtId="0" fontId="97" fillId="28" borderId="63" xfId="0" applyNumberFormat="1" applyFont="1" applyFill="1" applyBorder="1" applyAlignment="1">
      <alignment horizontal="center" vertical="center" wrapText="1"/>
    </xf>
    <xf numFmtId="0" fontId="5" fillId="28" borderId="63" xfId="0" applyNumberFormat="1" applyFont="1" applyFill="1" applyBorder="1" applyAlignment="1">
      <alignment horizontal="center" vertical="center" wrapText="1"/>
    </xf>
    <xf numFmtId="0" fontId="81" fillId="28" borderId="58" xfId="0" applyNumberFormat="1" applyFont="1" applyFill="1" applyBorder="1" applyAlignment="1">
      <alignment horizontal="center" vertical="center" wrapText="1"/>
    </xf>
    <xf numFmtId="0" fontId="81" fillId="28" borderId="72" xfId="0" applyNumberFormat="1" applyFont="1" applyFill="1" applyBorder="1" applyAlignment="1">
      <alignment horizontal="center" vertical="center"/>
    </xf>
    <xf numFmtId="189" fontId="81" fillId="28" borderId="63" xfId="0" applyNumberFormat="1" applyFont="1" applyFill="1" applyBorder="1" applyAlignment="1">
      <alignment horizontal="center" vertical="center" wrapText="1"/>
    </xf>
    <xf numFmtId="189" fontId="81" fillId="28" borderId="63" xfId="0" applyNumberFormat="1" applyFont="1" applyFill="1" applyBorder="1" applyAlignment="1">
      <alignment horizontal="center" vertical="center"/>
    </xf>
    <xf numFmtId="188" fontId="80" fillId="0" borderId="63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215" fontId="80" fillId="29" borderId="63" xfId="0" applyNumberFormat="1" applyFont="1" applyFill="1" applyBorder="1" applyAlignment="1">
      <alignment horizontal="center" vertical="center"/>
    </xf>
    <xf numFmtId="0" fontId="80" fillId="0" borderId="63" xfId="0" applyNumberFormat="1" applyFont="1" applyFill="1" applyBorder="1" applyAlignment="1">
      <alignment vertical="center"/>
    </xf>
    <xf numFmtId="0" fontId="80" fillId="0" borderId="63" xfId="0" quotePrefix="1" applyNumberFormat="1" applyFont="1" applyFill="1" applyBorder="1" applyAlignment="1">
      <alignment vertical="center"/>
    </xf>
    <xf numFmtId="0" fontId="80" fillId="29" borderId="63" xfId="0" applyNumberFormat="1" applyFont="1" applyFill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right" vertical="center"/>
    </xf>
    <xf numFmtId="201" fontId="67" fillId="0" borderId="0" xfId="0" applyNumberFormat="1" applyFont="1" applyBorder="1" applyAlignment="1">
      <alignment horizontal="center" vertical="center"/>
    </xf>
    <xf numFmtId="202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52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69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194" fontId="67" fillId="0" borderId="0" xfId="0" applyNumberFormat="1" applyFont="1" applyBorder="1" applyAlignment="1">
      <alignment vertical="center" shrinkToFit="1"/>
    </xf>
    <xf numFmtId="0" fontId="67" fillId="0" borderId="0" xfId="0" applyFont="1" applyBorder="1">
      <alignment vertical="center"/>
    </xf>
    <xf numFmtId="0" fontId="48" fillId="0" borderId="0" xfId="79" applyNumberFormat="1" applyFont="1" applyFill="1" applyAlignment="1">
      <alignment horizontal="right" vertical="center" indent="2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67" fillId="0" borderId="69" xfId="0" applyFont="1" applyBorder="1" applyAlignment="1">
      <alignment vertical="center"/>
    </xf>
    <xf numFmtId="0" fontId="48" fillId="0" borderId="74" xfId="79" applyNumberFormat="1" applyFont="1" applyFill="1" applyBorder="1" applyAlignment="1">
      <alignment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74" xfId="79" applyNumberFormat="1" applyFont="1" applyFill="1" applyBorder="1" applyAlignment="1">
      <alignment horizontal="right" vertical="center"/>
    </xf>
    <xf numFmtId="0" fontId="50" fillId="0" borderId="74" xfId="80" applyNumberFormat="1" applyFont="1" applyFill="1" applyBorder="1" applyAlignment="1">
      <alignment horizontal="right" vertical="center"/>
    </xf>
    <xf numFmtId="189" fontId="81" fillId="28" borderId="63" xfId="0" applyNumberFormat="1" applyFont="1" applyFill="1" applyBorder="1" applyAlignment="1">
      <alignment horizontal="center" vertical="center" wrapText="1"/>
    </xf>
    <xf numFmtId="194" fontId="80" fillId="31" borderId="63" xfId="0" applyNumberFormat="1" applyFont="1" applyFill="1" applyBorder="1" applyAlignment="1">
      <alignment horizontal="center" vertical="center"/>
    </xf>
    <xf numFmtId="0" fontId="48" fillId="0" borderId="74" xfId="79" applyNumberFormat="1" applyFont="1" applyFill="1" applyBorder="1" applyAlignment="1">
      <alignment horizontal="left" vertical="center"/>
    </xf>
    <xf numFmtId="0" fontId="48" fillId="0" borderId="74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0" applyNumberFormat="1" applyFont="1" applyAlignment="1">
      <alignment horizontal="center" vertical="center"/>
    </xf>
    <xf numFmtId="220" fontId="98" fillId="37" borderId="74" xfId="113" applyNumberFormat="1" applyFont="1" applyFill="1" applyBorder="1" applyAlignment="1">
      <alignment horizontal="center" vertical="center" wrapText="1"/>
    </xf>
    <xf numFmtId="49" fontId="60" fillId="37" borderId="74" xfId="79" applyNumberFormat="1" applyFont="1" applyFill="1" applyBorder="1" applyAlignment="1">
      <alignment horizontal="center" vertical="center" wrapText="1"/>
    </xf>
    <xf numFmtId="188" fontId="80" fillId="0" borderId="63" xfId="0" applyNumberFormat="1" applyFont="1" applyFill="1" applyBorder="1" applyAlignment="1">
      <alignment horizontal="center" vertical="center"/>
    </xf>
    <xf numFmtId="188" fontId="80" fillId="0" borderId="63" xfId="0" applyNumberFormat="1" applyFont="1" applyFill="1" applyBorder="1" applyAlignment="1">
      <alignment horizontal="center" vertical="center"/>
    </xf>
    <xf numFmtId="0" fontId="100" fillId="28" borderId="63" xfId="0" applyNumberFormat="1" applyFont="1" applyFill="1" applyBorder="1" applyAlignment="1">
      <alignment horizontal="center" vertical="center"/>
    </xf>
    <xf numFmtId="0" fontId="80" fillId="38" borderId="63" xfId="0" applyNumberFormat="1" applyFont="1" applyFill="1" applyBorder="1" applyAlignment="1">
      <alignment horizontal="center" vertical="center"/>
    </xf>
    <xf numFmtId="0" fontId="101" fillId="35" borderId="72" xfId="78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49" fontId="74" fillId="0" borderId="0" xfId="82" applyNumberFormat="1" applyFont="1" applyFill="1" applyBorder="1" applyAlignment="1">
      <alignment horizontal="center" vertical="center" wrapText="1"/>
    </xf>
    <xf numFmtId="0" fontId="48" fillId="0" borderId="54" xfId="79" applyNumberFormat="1" applyFont="1" applyFill="1" applyBorder="1" applyAlignment="1">
      <alignment horizontal="center" vertical="center" wrapText="1"/>
    </xf>
    <xf numFmtId="0" fontId="48" fillId="0" borderId="73" xfId="79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4" xfId="79" applyNumberFormat="1" applyFont="1" applyFill="1" applyBorder="1" applyAlignment="1">
      <alignment horizontal="center" vertical="center"/>
    </xf>
    <xf numFmtId="220" fontId="60" fillId="37" borderId="0" xfId="0" applyNumberFormat="1" applyFont="1" applyFill="1" applyBorder="1" applyAlignment="1">
      <alignment horizontal="center" vertical="center" wrapText="1"/>
    </xf>
    <xf numFmtId="220" fontId="60" fillId="37" borderId="74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4" xfId="0" applyNumberFormat="1" applyFont="1" applyFill="1" applyBorder="1" applyAlignment="1">
      <alignment horizontal="center" vertical="center"/>
    </xf>
    <xf numFmtId="220" fontId="60" fillId="37" borderId="0" xfId="0" applyNumberFormat="1" applyFont="1" applyFill="1" applyAlignment="1">
      <alignment horizontal="center" vertical="center"/>
    </xf>
    <xf numFmtId="220" fontId="60" fillId="37" borderId="74" xfId="0" applyNumberFormat="1" applyFont="1" applyFill="1" applyBorder="1" applyAlignment="1">
      <alignment horizontal="center" vertical="center"/>
    </xf>
    <xf numFmtId="220" fontId="98" fillId="37" borderId="0" xfId="113" applyNumberFormat="1" applyFont="1" applyFill="1" applyBorder="1" applyAlignment="1">
      <alignment horizontal="center" vertical="center" wrapText="1"/>
    </xf>
    <xf numFmtId="220" fontId="98" fillId="37" borderId="74" xfId="113" applyNumberFormat="1" applyFont="1" applyFill="1" applyBorder="1" applyAlignment="1">
      <alignment horizontal="center" vertical="center" wrapText="1"/>
    </xf>
    <xf numFmtId="220" fontId="98" fillId="37" borderId="0" xfId="113" applyNumberFormat="1" applyFont="1" applyFill="1" applyBorder="1" applyAlignment="1">
      <alignment horizontal="center" vertical="center"/>
    </xf>
    <xf numFmtId="220" fontId="98" fillId="37" borderId="74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4" xfId="0" applyNumberFormat="1" applyFont="1" applyFill="1" applyBorder="1" applyAlignment="1">
      <alignment horizontal="center" vertical="center"/>
    </xf>
    <xf numFmtId="220" fontId="48" fillId="37" borderId="0" xfId="0" applyNumberFormat="1" applyFont="1" applyFill="1" applyBorder="1" applyAlignment="1">
      <alignment horizontal="center" vertical="center"/>
    </xf>
    <xf numFmtId="220" fontId="48" fillId="37" borderId="74" xfId="0" applyNumberFormat="1" applyFont="1" applyFill="1" applyBorder="1" applyAlignment="1">
      <alignment horizontal="center" vertical="center"/>
    </xf>
    <xf numFmtId="220" fontId="60" fillId="37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49" fontId="1" fillId="0" borderId="41" xfId="78" applyNumberFormat="1" applyFont="1" applyFill="1" applyBorder="1" applyAlignment="1">
      <alignment horizontal="center" vertical="center"/>
    </xf>
    <xf numFmtId="49" fontId="1" fillId="0" borderId="43" xfId="78" applyNumberFormat="1" applyFont="1" applyFill="1" applyBorder="1" applyAlignment="1">
      <alignment horizontal="center" vertical="center"/>
    </xf>
    <xf numFmtId="0" fontId="7" fillId="28" borderId="41" xfId="0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58" xfId="0" applyNumberFormat="1" applyFont="1" applyFill="1" applyBorder="1" applyAlignment="1">
      <alignment horizontal="center" vertical="center" wrapText="1"/>
    </xf>
    <xf numFmtId="0" fontId="7" fillId="28" borderId="72" xfId="0" applyNumberFormat="1" applyFont="1" applyFill="1" applyBorder="1" applyAlignment="1">
      <alignment horizontal="center" vertical="center" wrapText="1"/>
    </xf>
    <xf numFmtId="196" fontId="1" fillId="0" borderId="41" xfId="78" applyNumberFormat="1" applyFont="1" applyFill="1" applyBorder="1" applyAlignment="1">
      <alignment horizontal="center" vertical="center"/>
    </xf>
    <xf numFmtId="196" fontId="1" fillId="0" borderId="43" xfId="78" applyNumberFormat="1" applyFont="1" applyFill="1" applyBorder="1" applyAlignment="1">
      <alignment horizontal="center" vertical="center"/>
    </xf>
    <xf numFmtId="0" fontId="67" fillId="0" borderId="52" xfId="0" applyNumberFormat="1" applyFont="1" applyBorder="1" applyAlignment="1">
      <alignment horizontal="center" vertical="center"/>
    </xf>
    <xf numFmtId="0" fontId="67" fillId="0" borderId="56" xfId="0" applyNumberFormat="1" applyFont="1" applyBorder="1" applyAlignment="1">
      <alignment horizontal="center" vertical="center"/>
    </xf>
    <xf numFmtId="0" fontId="67" fillId="0" borderId="53" xfId="0" applyNumberFormat="1" applyFont="1" applyBorder="1" applyAlignment="1">
      <alignment horizontal="center" vertical="center"/>
    </xf>
    <xf numFmtId="0" fontId="67" fillId="32" borderId="52" xfId="0" applyFont="1" applyFill="1" applyBorder="1" applyAlignment="1">
      <alignment horizontal="center" vertical="center" wrapText="1"/>
    </xf>
    <xf numFmtId="0" fontId="67" fillId="32" borderId="56" xfId="0" applyFont="1" applyFill="1" applyBorder="1" applyAlignment="1">
      <alignment horizontal="center" vertical="center" wrapText="1"/>
    </xf>
    <xf numFmtId="0" fontId="67" fillId="32" borderId="53" xfId="0" applyFont="1" applyFill="1" applyBorder="1" applyAlignment="1">
      <alignment horizontal="center" vertical="center" wrapText="1"/>
    </xf>
    <xf numFmtId="0" fontId="67" fillId="32" borderId="45" xfId="0" applyFont="1" applyFill="1" applyBorder="1" applyAlignment="1">
      <alignment horizontal="center" vertical="center" wrapText="1"/>
    </xf>
    <xf numFmtId="0" fontId="67" fillId="32" borderId="40" xfId="0" applyFont="1" applyFill="1" applyBorder="1" applyAlignment="1">
      <alignment horizontal="center" vertical="center" wrapText="1"/>
    </xf>
    <xf numFmtId="0" fontId="67" fillId="32" borderId="46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69" xfId="0" applyFont="1" applyFill="1" applyBorder="1" applyAlignment="1">
      <alignment horizontal="center" vertical="center" wrapText="1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44" xfId="0" applyFont="1" applyFill="1" applyBorder="1" applyAlignment="1">
      <alignment horizontal="center" vertical="center"/>
    </xf>
    <xf numFmtId="192" fontId="67" fillId="0" borderId="44" xfId="0" applyNumberFormat="1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52" fillId="32" borderId="44" xfId="0" applyNumberFormat="1" applyFont="1" applyFill="1" applyBorder="1" applyAlignment="1">
      <alignment horizontal="center" vertical="center" shrinkToFit="1"/>
    </xf>
    <xf numFmtId="0" fontId="52" fillId="32" borderId="44" xfId="0" applyNumberFormat="1" applyFont="1" applyFill="1" applyBorder="1" applyAlignment="1">
      <alignment horizontal="center" vertical="center"/>
    </xf>
    <xf numFmtId="0" fontId="67" fillId="0" borderId="44" xfId="0" applyNumberFormat="1" applyFont="1" applyBorder="1" applyAlignment="1">
      <alignment horizontal="center" vertical="center" shrinkToFit="1"/>
    </xf>
    <xf numFmtId="0" fontId="52" fillId="29" borderId="44" xfId="0" applyNumberFormat="1" applyFont="1" applyFill="1" applyBorder="1" applyAlignment="1">
      <alignment horizontal="center" vertical="center"/>
    </xf>
    <xf numFmtId="216" fontId="67" fillId="0" borderId="44" xfId="0" applyNumberFormat="1" applyFont="1" applyBorder="1" applyAlignment="1">
      <alignment horizontal="center" vertical="center"/>
    </xf>
    <xf numFmtId="0" fontId="67" fillId="32" borderId="54" xfId="0" applyFont="1" applyFill="1" applyBorder="1" applyAlignment="1">
      <alignment horizontal="center" vertical="center"/>
    </xf>
    <xf numFmtId="218" fontId="67" fillId="32" borderId="52" xfId="0" applyNumberFormat="1" applyFont="1" applyFill="1" applyBorder="1" applyAlignment="1">
      <alignment horizontal="center" vertical="center"/>
    </xf>
    <xf numFmtId="218" fontId="67" fillId="32" borderId="56" xfId="0" applyNumberFormat="1" applyFont="1" applyFill="1" applyBorder="1" applyAlignment="1">
      <alignment horizontal="center" vertical="center"/>
    </xf>
    <xf numFmtId="218" fontId="67" fillId="32" borderId="53" xfId="0" applyNumberFormat="1" applyFont="1" applyFill="1" applyBorder="1" applyAlignment="1">
      <alignment horizontal="center" vertical="center"/>
    </xf>
    <xf numFmtId="216" fontId="67" fillId="32" borderId="52" xfId="0" applyNumberFormat="1" applyFont="1" applyFill="1" applyBorder="1" applyAlignment="1">
      <alignment horizontal="center" vertical="center"/>
    </xf>
    <xf numFmtId="216" fontId="67" fillId="32" borderId="56" xfId="0" applyNumberFormat="1" applyFont="1" applyFill="1" applyBorder="1" applyAlignment="1">
      <alignment horizontal="center" vertical="center"/>
    </xf>
    <xf numFmtId="216" fontId="67" fillId="32" borderId="53" xfId="0" applyNumberFormat="1" applyFont="1" applyFill="1" applyBorder="1" applyAlignment="1">
      <alignment horizontal="center" vertical="center"/>
    </xf>
    <xf numFmtId="218" fontId="67" fillId="32" borderId="45" xfId="0" applyNumberFormat="1" applyFont="1" applyFill="1" applyBorder="1" applyAlignment="1">
      <alignment horizontal="center" vertical="center"/>
    </xf>
    <xf numFmtId="218" fontId="67" fillId="32" borderId="40" xfId="0" applyNumberFormat="1" applyFont="1" applyFill="1" applyBorder="1" applyAlignment="1">
      <alignment horizontal="center" vertical="center"/>
    </xf>
    <xf numFmtId="218" fontId="67" fillId="32" borderId="46" xfId="0" applyNumberFormat="1" applyFont="1" applyFill="1" applyBorder="1" applyAlignment="1">
      <alignment horizontal="center" vertical="center"/>
    </xf>
    <xf numFmtId="218" fontId="67" fillId="32" borderId="37" xfId="0" applyNumberFormat="1" applyFont="1" applyFill="1" applyBorder="1" applyAlignment="1">
      <alignment horizontal="center" vertical="center"/>
    </xf>
    <xf numFmtId="218" fontId="67" fillId="32" borderId="69" xfId="0" applyNumberFormat="1" applyFont="1" applyFill="1" applyBorder="1" applyAlignment="1">
      <alignment horizontal="center" vertical="center"/>
    </xf>
    <xf numFmtId="218" fontId="67" fillId="32" borderId="47" xfId="0" applyNumberFormat="1" applyFont="1" applyFill="1" applyBorder="1" applyAlignment="1">
      <alignment horizontal="center" vertical="center"/>
    </xf>
    <xf numFmtId="217" fontId="67" fillId="0" borderId="44" xfId="0" applyNumberFormat="1" applyFont="1" applyBorder="1" applyAlignment="1">
      <alignment horizontal="center" vertical="center"/>
    </xf>
    <xf numFmtId="218" fontId="67" fillId="32" borderId="45" xfId="0" applyNumberFormat="1" applyFont="1" applyFill="1" applyBorder="1" applyAlignment="1">
      <alignment horizontal="center" vertical="center" wrapText="1"/>
    </xf>
    <xf numFmtId="218" fontId="67" fillId="32" borderId="40" xfId="0" applyNumberFormat="1" applyFont="1" applyFill="1" applyBorder="1" applyAlignment="1">
      <alignment horizontal="center" vertical="center" wrapText="1"/>
    </xf>
    <xf numFmtId="218" fontId="67" fillId="32" borderId="46" xfId="0" applyNumberFormat="1" applyFont="1" applyFill="1" applyBorder="1" applyAlignment="1">
      <alignment horizontal="center" vertical="center" wrapText="1"/>
    </xf>
    <xf numFmtId="218" fontId="67" fillId="32" borderId="37" xfId="0" applyNumberFormat="1" applyFont="1" applyFill="1" applyBorder="1" applyAlignment="1">
      <alignment horizontal="center" vertical="center" wrapText="1"/>
    </xf>
    <xf numFmtId="218" fontId="67" fillId="32" borderId="69" xfId="0" applyNumberFormat="1" applyFont="1" applyFill="1" applyBorder="1" applyAlignment="1">
      <alignment horizontal="center" vertical="center" wrapText="1"/>
    </xf>
    <xf numFmtId="218" fontId="67" fillId="32" borderId="47" xfId="0" applyNumberFormat="1" applyFont="1" applyFill="1" applyBorder="1" applyAlignment="1">
      <alignment horizontal="center" vertical="center" wrapText="1"/>
    </xf>
    <xf numFmtId="0" fontId="67" fillId="0" borderId="69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horizontal="right" vertical="center"/>
    </xf>
    <xf numFmtId="0" fontId="67" fillId="0" borderId="69" xfId="0" applyFont="1" applyBorder="1" applyAlignment="1">
      <alignment horizontal="center"/>
    </xf>
    <xf numFmtId="0" fontId="69" fillId="0" borderId="0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215" fontId="67" fillId="0" borderId="0" xfId="0" applyNumberFormat="1" applyFont="1" applyAlignment="1">
      <alignment vertical="center"/>
    </xf>
    <xf numFmtId="2" fontId="67" fillId="0" borderId="0" xfId="0" applyNumberFormat="1" applyFont="1" applyAlignment="1">
      <alignment vertical="center"/>
    </xf>
    <xf numFmtId="215" fontId="67" fillId="0" borderId="0" xfId="0" applyNumberFormat="1" applyFont="1" applyBorder="1" applyAlignment="1">
      <alignment vertical="center" shrinkToFit="1"/>
    </xf>
    <xf numFmtId="213" fontId="67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right" vertical="center"/>
    </xf>
    <xf numFmtId="202" fontId="67" fillId="0" borderId="0" xfId="0" applyNumberFormat="1" applyFont="1" applyBorder="1" applyAlignment="1">
      <alignment horizontal="center" vertical="center"/>
    </xf>
    <xf numFmtId="194" fontId="67" fillId="0" borderId="69" xfId="0" applyNumberFormat="1" applyFont="1" applyBorder="1" applyAlignment="1">
      <alignment vertical="center"/>
    </xf>
    <xf numFmtId="0" fontId="67" fillId="0" borderId="40" xfId="0" applyFont="1" applyBorder="1" applyAlignment="1">
      <alignment horizontal="center" vertical="center"/>
    </xf>
    <xf numFmtId="0" fontId="67" fillId="0" borderId="45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67" fillId="0" borderId="7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69" xfId="0" applyFont="1" applyBorder="1" applyAlignment="1">
      <alignment horizontal="center" vertical="center"/>
    </xf>
    <xf numFmtId="0" fontId="65" fillId="0" borderId="47" xfId="0" applyFont="1" applyBorder="1" applyAlignment="1">
      <alignment horizontal="center" vertical="center"/>
    </xf>
    <xf numFmtId="0" fontId="69" fillId="0" borderId="55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69" xfId="0" applyFont="1" applyBorder="1" applyAlignment="1">
      <alignment horizontal="center" vertical="center"/>
    </xf>
    <xf numFmtId="0" fontId="69" fillId="0" borderId="47" xfId="0" applyFont="1" applyBorder="1" applyAlignment="1">
      <alignment horizontal="center" vertical="center"/>
    </xf>
    <xf numFmtId="191" fontId="67" fillId="0" borderId="56" xfId="0" applyNumberFormat="1" applyFont="1" applyBorder="1" applyAlignment="1">
      <alignment vertical="center"/>
    </xf>
    <xf numFmtId="191" fontId="67" fillId="0" borderId="53" xfId="0" applyNumberFormat="1" applyFont="1" applyBorder="1" applyAlignment="1">
      <alignment vertical="center"/>
    </xf>
    <xf numFmtId="0" fontId="65" fillId="0" borderId="52" xfId="0" applyFont="1" applyBorder="1" applyAlignment="1">
      <alignment horizontal="center" vertical="center"/>
    </xf>
    <xf numFmtId="0" fontId="65" fillId="0" borderId="56" xfId="0" applyFont="1" applyBorder="1" applyAlignment="1">
      <alignment horizontal="center" vertical="center"/>
    </xf>
    <xf numFmtId="0" fontId="65" fillId="0" borderId="53" xfId="0" applyFont="1" applyBorder="1" applyAlignment="1">
      <alignment horizontal="center" vertical="center"/>
    </xf>
    <xf numFmtId="0" fontId="67" fillId="0" borderId="52" xfId="0" applyNumberFormat="1" applyFont="1" applyBorder="1" applyAlignment="1">
      <alignment horizontal="right" vertical="center"/>
    </xf>
    <xf numFmtId="0" fontId="67" fillId="0" borderId="56" xfId="0" applyNumberFormat="1" applyFont="1" applyBorder="1" applyAlignment="1">
      <alignment horizontal="right" vertical="center"/>
    </xf>
    <xf numFmtId="0" fontId="67" fillId="0" borderId="56" xfId="0" applyNumberFormat="1" applyFont="1" applyBorder="1" applyAlignment="1">
      <alignment vertical="center"/>
    </xf>
    <xf numFmtId="0" fontId="67" fillId="0" borderId="53" xfId="0" applyNumberFormat="1" applyFont="1" applyBorder="1" applyAlignment="1">
      <alignment vertical="center"/>
    </xf>
    <xf numFmtId="219" fontId="67" fillId="0" borderId="52" xfId="0" applyNumberFormat="1" applyFont="1" applyBorder="1" applyAlignment="1">
      <alignment vertical="center"/>
    </xf>
    <xf numFmtId="219" fontId="67" fillId="0" borderId="56" xfId="0" applyNumberFormat="1" applyFont="1" applyBorder="1" applyAlignment="1">
      <alignment vertical="center"/>
    </xf>
    <xf numFmtId="0" fontId="67" fillId="0" borderId="52" xfId="0" applyNumberFormat="1" applyFont="1" applyBorder="1" applyAlignment="1">
      <alignment vertical="center"/>
    </xf>
    <xf numFmtId="0" fontId="67" fillId="0" borderId="56" xfId="0" applyFont="1" applyBorder="1" applyAlignment="1">
      <alignment horizontal="left" vertical="center"/>
    </xf>
    <xf numFmtId="0" fontId="67" fillId="0" borderId="53" xfId="0" applyFont="1" applyBorder="1" applyAlignment="1">
      <alignment horizontal="left" vertical="center"/>
    </xf>
    <xf numFmtId="194" fontId="67" fillId="0" borderId="52" xfId="0" applyNumberFormat="1" applyFont="1" applyBorder="1" applyAlignment="1">
      <alignment vertical="center"/>
    </xf>
    <xf numFmtId="194" fontId="67" fillId="0" borderId="56" xfId="0" applyNumberFormat="1" applyFont="1" applyBorder="1" applyAlignment="1">
      <alignment vertical="center"/>
    </xf>
    <xf numFmtId="188" fontId="67" fillId="0" borderId="0" xfId="0" applyNumberFormat="1" applyFont="1" applyBorder="1" applyAlignment="1">
      <alignment vertical="center"/>
    </xf>
    <xf numFmtId="193" fontId="67" fillId="0" borderId="69" xfId="0" applyNumberFormat="1" applyFont="1" applyBorder="1" applyAlignment="1">
      <alignment vertical="center"/>
    </xf>
    <xf numFmtId="0" fontId="65" fillId="0" borderId="40" xfId="0" applyFont="1" applyBorder="1" applyAlignment="1">
      <alignment horizontal="center" vertical="center"/>
    </xf>
    <xf numFmtId="0" fontId="67" fillId="0" borderId="69" xfId="0" applyFont="1" applyBorder="1" applyAlignment="1">
      <alignment horizontal="right" vertical="center"/>
    </xf>
    <xf numFmtId="0" fontId="67" fillId="0" borderId="69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01" fontId="52" fillId="0" borderId="0" xfId="0" applyNumberFormat="1" applyFont="1" applyBorder="1" applyAlignment="1">
      <alignment vertical="center"/>
    </xf>
    <xf numFmtId="200" fontId="67" fillId="0" borderId="0" xfId="0" applyNumberFormat="1" applyFont="1" applyBorder="1" applyAlignment="1">
      <alignment horizontal="center" vertical="center"/>
    </xf>
    <xf numFmtId="194" fontId="67" fillId="0" borderId="69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69" xfId="0" applyFont="1" applyBorder="1" applyAlignment="1">
      <alignment vertical="center"/>
    </xf>
    <xf numFmtId="194" fontId="65" fillId="0" borderId="40" xfId="0" applyNumberFormat="1" applyFont="1" applyBorder="1" applyAlignment="1">
      <alignment horizontal="center" vertical="center"/>
    </xf>
    <xf numFmtId="191" fontId="67" fillId="0" borderId="40" xfId="0" applyNumberFormat="1" applyFont="1" applyBorder="1" applyAlignment="1">
      <alignment horizontal="center" vertical="center"/>
    </xf>
    <xf numFmtId="0" fontId="81" fillId="28" borderId="41" xfId="0" applyNumberFormat="1" applyFont="1" applyFill="1" applyBorder="1" applyAlignment="1">
      <alignment horizontal="center" vertical="center" wrapText="1"/>
    </xf>
    <xf numFmtId="0" fontId="81" fillId="28" borderId="43" xfId="0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 wrapText="1"/>
    </xf>
    <xf numFmtId="0" fontId="81" fillId="28" borderId="58" xfId="0" applyNumberFormat="1" applyFont="1" applyFill="1" applyBorder="1" applyAlignment="1">
      <alignment horizontal="center" vertical="center" wrapText="1"/>
    </xf>
    <xf numFmtId="0" fontId="81" fillId="28" borderId="72" xfId="0" applyNumberFormat="1" applyFont="1" applyFill="1" applyBorder="1" applyAlignment="1">
      <alignment horizontal="center" vertical="center" wrapText="1"/>
    </xf>
    <xf numFmtId="0" fontId="81" fillId="28" borderId="58" xfId="0" applyNumberFormat="1" applyFont="1" applyFill="1" applyBorder="1" applyAlignment="1">
      <alignment horizontal="center" vertical="center"/>
    </xf>
    <xf numFmtId="0" fontId="81" fillId="28" borderId="72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/>
    </xf>
    <xf numFmtId="0" fontId="81" fillId="28" borderId="41" xfId="0" applyNumberFormat="1" applyFont="1" applyFill="1" applyBorder="1" applyAlignment="1">
      <alignment horizontal="center" vertical="center"/>
    </xf>
    <xf numFmtId="0" fontId="81" fillId="28" borderId="42" xfId="0" applyNumberFormat="1" applyFont="1" applyFill="1" applyBorder="1" applyAlignment="1">
      <alignment horizontal="center" vertical="center"/>
    </xf>
    <xf numFmtId="0" fontId="81" fillId="28" borderId="43" xfId="0" applyNumberFormat="1" applyFont="1" applyFill="1" applyBorder="1" applyAlignment="1">
      <alignment horizontal="center" vertical="center"/>
    </xf>
    <xf numFmtId="188" fontId="80" fillId="0" borderId="63" xfId="0" applyNumberFormat="1" applyFont="1" applyFill="1" applyBorder="1" applyAlignment="1">
      <alignment horizontal="center" vertical="center"/>
    </xf>
    <xf numFmtId="211" fontId="80" fillId="32" borderId="58" xfId="112" applyNumberFormat="1" applyFont="1" applyFill="1" applyBorder="1" applyAlignment="1">
      <alignment horizontal="center" vertical="center" wrapText="1"/>
    </xf>
    <xf numFmtId="211" fontId="80" fillId="32" borderId="72" xfId="112" applyNumberFormat="1" applyFont="1" applyFill="1" applyBorder="1" applyAlignment="1">
      <alignment horizontal="center" vertical="center" wrapText="1"/>
    </xf>
    <xf numFmtId="0" fontId="81" fillId="28" borderId="76" xfId="0" applyNumberFormat="1" applyFont="1" applyFill="1" applyBorder="1" applyAlignment="1">
      <alignment horizontal="center" vertical="center" wrapText="1"/>
    </xf>
    <xf numFmtId="0" fontId="81" fillId="28" borderId="75" xfId="0" applyNumberFormat="1" applyFont="1" applyFill="1" applyBorder="1" applyAlignment="1">
      <alignment horizontal="center" vertical="center" wrapText="1"/>
    </xf>
    <xf numFmtId="192" fontId="80" fillId="0" borderId="41" xfId="0" applyNumberFormat="1" applyFont="1" applyFill="1" applyBorder="1" applyAlignment="1">
      <alignment horizontal="center" vertical="center"/>
    </xf>
    <xf numFmtId="192" fontId="80" fillId="0" borderId="42" xfId="0" applyNumberFormat="1" applyFont="1" applyFill="1" applyBorder="1" applyAlignment="1">
      <alignment horizontal="center" vertical="center"/>
    </xf>
    <xf numFmtId="192" fontId="80" fillId="0" borderId="43" xfId="0" applyNumberFormat="1" applyFont="1" applyFill="1" applyBorder="1" applyAlignment="1">
      <alignment horizontal="center" vertical="center"/>
    </xf>
    <xf numFmtId="41" fontId="52" fillId="0" borderId="54" xfId="86" applyFont="1" applyBorder="1" applyAlignment="1">
      <alignment horizontal="center" vertical="center" wrapText="1"/>
    </xf>
    <xf numFmtId="41" fontId="52" fillId="0" borderId="17" xfId="86" applyFont="1" applyBorder="1" applyAlignment="1">
      <alignment horizontal="center" vertical="center" wrapText="1"/>
    </xf>
    <xf numFmtId="41" fontId="52" fillId="0" borderId="73" xfId="86" applyFont="1" applyBorder="1" applyAlignment="1">
      <alignment horizontal="center" vertical="center" wrapText="1"/>
    </xf>
    <xf numFmtId="204" fontId="52" fillId="0" borderId="54" xfId="86" applyNumberFormat="1" applyFont="1" applyBorder="1" applyAlignment="1">
      <alignment horizontal="center" vertical="center"/>
    </xf>
    <xf numFmtId="204" fontId="52" fillId="0" borderId="73" xfId="86" applyNumberFormat="1" applyFont="1" applyBorder="1" applyAlignment="1">
      <alignment horizontal="center" vertical="center"/>
    </xf>
    <xf numFmtId="189" fontId="81" fillId="28" borderId="63" xfId="0" applyNumberFormat="1" applyFont="1" applyFill="1" applyBorder="1" applyAlignment="1">
      <alignment horizontal="center" vertical="center" wrapText="1"/>
    </xf>
    <xf numFmtId="189" fontId="81" fillId="28" borderId="63" xfId="0" applyNumberFormat="1" applyFont="1" applyFill="1" applyBorder="1" applyAlignment="1">
      <alignment horizontal="center" vertical="center"/>
    </xf>
    <xf numFmtId="189" fontId="81" fillId="28" borderId="41" xfId="0" applyNumberFormat="1" applyFont="1" applyFill="1" applyBorder="1" applyAlignment="1">
      <alignment horizontal="center" vertical="center" wrapText="1"/>
    </xf>
    <xf numFmtId="189" fontId="81" fillId="28" borderId="43" xfId="0" applyNumberFormat="1" applyFont="1" applyFill="1" applyBorder="1" applyAlignment="1">
      <alignment horizontal="center" vertical="center" wrapText="1"/>
    </xf>
    <xf numFmtId="204" fontId="52" fillId="0" borderId="70" xfId="86" applyNumberFormat="1" applyFont="1" applyBorder="1" applyAlignment="1">
      <alignment horizontal="center" vertical="center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03"/>
    <cellStyle name="Input [yellow] 3" xfId="96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4"/>
    <cellStyle name="계산 3" xfId="97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5"/>
    <cellStyle name="메모 3" xfId="98"/>
    <cellStyle name="백분율" xfId="112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2 2 2" xfId="111"/>
    <cellStyle name="쉼표 [0] 2 3" xfId="109"/>
    <cellStyle name="쉼표 [0] 3" xfId="94"/>
    <cellStyle name="쉼표 [0] 3 2" xfId="110"/>
    <cellStyle name="쉼표 [0] 4" xfId="102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6"/>
    <cellStyle name="요약 3" xfId="99"/>
    <cellStyle name="입력" xfId="59" builtinId="20" customBuiltin="1"/>
    <cellStyle name="입력 2" xfId="91"/>
    <cellStyle name="입력 2 2" xfId="107"/>
    <cellStyle name="입력 3" xfId="100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08"/>
    <cellStyle name="출력 3" xfId="101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11</xdr:row>
      <xdr:rowOff>9524</xdr:rowOff>
    </xdr:from>
    <xdr:to>
      <xdr:col>8</xdr:col>
      <xdr:colOff>13620</xdr:colOff>
      <xdr:row>22</xdr:row>
      <xdr:rowOff>152399</xdr:rowOff>
    </xdr:to>
    <xdr:pic>
      <xdr:nvPicPr>
        <xdr:cNvPr id="4" name="그림 3" descr="링게이지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4925" y="2514599"/>
          <a:ext cx="4385595" cy="2238375"/>
        </a:xfrm>
        <a:prstGeom prst="rect">
          <a:avLst/>
        </a:prstGeom>
      </xdr:spPr>
    </xdr:pic>
    <xdr:clientData/>
  </xdr:twoCellAnchor>
  <xdr:oneCellAnchor>
    <xdr:from>
      <xdr:col>6</xdr:col>
      <xdr:colOff>838200</xdr:colOff>
      <xdr:row>33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324350" y="6710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324350" y="6710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11</xdr:row>
      <xdr:rowOff>9524</xdr:rowOff>
    </xdr:from>
    <xdr:to>
      <xdr:col>8</xdr:col>
      <xdr:colOff>4095</xdr:colOff>
      <xdr:row>22</xdr:row>
      <xdr:rowOff>152399</xdr:rowOff>
    </xdr:to>
    <xdr:pic>
      <xdr:nvPicPr>
        <xdr:cNvPr id="3" name="그림 2" descr="링게이지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4925" y="2514599"/>
          <a:ext cx="4385595" cy="2238375"/>
        </a:xfrm>
        <a:prstGeom prst="rect">
          <a:avLst/>
        </a:prstGeom>
      </xdr:spPr>
    </xdr:pic>
    <xdr:clientData/>
  </xdr:twoCellAnchor>
  <xdr:oneCellAnchor>
    <xdr:from>
      <xdr:col>6</xdr:col>
      <xdr:colOff>838200</xdr:colOff>
      <xdr:row>36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324350" y="6710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324350" y="6710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21</xdr:row>
      <xdr:rowOff>9525</xdr:rowOff>
    </xdr:from>
    <xdr:to>
      <xdr:col>7</xdr:col>
      <xdr:colOff>267929</xdr:colOff>
      <xdr:row>21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127</xdr:row>
      <xdr:rowOff>57150</xdr:rowOff>
    </xdr:from>
    <xdr:ext cx="1937903" cy="359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4"/>
            <xdr:cNvSpPr txBox="1"/>
          </xdr:nvSpPr>
          <xdr:spPr>
            <a:xfrm>
              <a:off x="1247775" y="30460950"/>
              <a:ext cx="1937903" cy="359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=1−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4"/>
            <xdr:cNvSpPr txBox="1"/>
          </xdr:nvSpPr>
          <xdr:spPr>
            <a:xfrm>
              <a:off x="1247775" y="30460950"/>
              <a:ext cx="1937903" cy="359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𝑐_(𝑑_𝑏^′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𝑑_𝑏^′ )=1−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 (𝑡_𝑥−20)=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46</xdr:row>
      <xdr:rowOff>80961</xdr:rowOff>
    </xdr:from>
    <xdr:to>
      <xdr:col>45</xdr:col>
      <xdr:colOff>0</xdr:colOff>
      <xdr:row>47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>
              <a:spLocks noChangeAspect="1"/>
            </xdr:cNvSpPr>
          </xdr:nvSpPr>
          <xdr:spPr>
            <a:xfrm>
              <a:off x="161925" y="11196636"/>
              <a:ext cx="66960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begChr m:val="{"/>
                            <m:endChr m:val="}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20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sub>
                                </m:s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−20</m:t>
                                </m:r>
                              </m:e>
                            </m:d>
                          </m:e>
                        </m:d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p>
                      <m:sSup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p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2" name="TextBox 61"/>
            <xdr:cNvSpPr txBox="1">
              <a:spLocks noChangeAspect="1"/>
            </xdr:cNvSpPr>
          </xdr:nvSpPr>
          <xdr:spPr>
            <a:xfrm>
              <a:off x="161925" y="11196636"/>
              <a:ext cx="66960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𝑙_𝑥=[𝑑^′ {1+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_𝑠 (𝑡_𝑠−20)}+𝑑_𝑏^′+𝑏]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∙{1−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_𝑥 (𝑡_𝑥−20)}+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𝑑^′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16</xdr:col>
      <xdr:colOff>47624</xdr:colOff>
      <xdr:row>123</xdr:row>
      <xdr:rowOff>0</xdr:rowOff>
    </xdr:from>
    <xdr:ext cx="1524001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"/>
            <xdr:cNvSpPr txBox="1"/>
          </xdr:nvSpPr>
          <xdr:spPr>
            <a:xfrm>
              <a:off x="2486024" y="2945130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6"/>
            <xdr:cNvSpPr txBox="1"/>
          </xdr:nvSpPr>
          <xdr:spPr>
            <a:xfrm>
              <a:off x="2486024" y="2945130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47624</xdr:colOff>
      <xdr:row>123</xdr:row>
      <xdr:rowOff>0</xdr:rowOff>
    </xdr:from>
    <xdr:ext cx="215265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"/>
            <xdr:cNvSpPr txBox="1"/>
          </xdr:nvSpPr>
          <xdr:spPr>
            <a:xfrm>
              <a:off x="4467224" y="2945130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"/>
            <xdr:cNvSpPr txBox="1"/>
          </xdr:nvSpPr>
          <xdr:spPr>
            <a:xfrm>
              <a:off x="4467224" y="2945130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89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5"/>
            <xdr:cNvSpPr txBox="1"/>
          </xdr:nvSpPr>
          <xdr:spPr>
            <a:xfrm>
              <a:off x="2171700" y="213741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5"/>
            <xdr:cNvSpPr txBox="1"/>
          </xdr:nvSpPr>
          <xdr:spPr>
            <a:xfrm>
              <a:off x="2171700" y="213741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89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2867025" y="213741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2867025" y="213741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91</xdr:row>
      <xdr:rowOff>57150</xdr:rowOff>
    </xdr:from>
    <xdr:ext cx="75116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4"/>
            <xdr:cNvSpPr txBox="1"/>
          </xdr:nvSpPr>
          <xdr:spPr>
            <a:xfrm>
              <a:off x="1228725" y="21888450"/>
              <a:ext cx="75116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4"/>
            <xdr:cNvSpPr txBox="1"/>
          </xdr:nvSpPr>
          <xdr:spPr>
            <a:xfrm>
              <a:off x="1228725" y="21888450"/>
              <a:ext cx="75116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𝑐_(𝑑^′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𝑑^′ )=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4</xdr:col>
      <xdr:colOff>142875</xdr:colOff>
      <xdr:row>181</xdr:row>
      <xdr:rowOff>38101</xdr:rowOff>
    </xdr:from>
    <xdr:to>
      <xdr:col>10</xdr:col>
      <xdr:colOff>104775</xdr:colOff>
      <xdr:row>182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2"/>
            <xdr:cNvSpPr txBox="1">
              <a:spLocks/>
            </xdr:cNvSpPr>
          </xdr:nvSpPr>
          <xdr:spPr>
            <a:xfrm>
              <a:off x="7524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2"/>
            <xdr:cNvSpPr txBox="1">
              <a:spLocks/>
            </xdr:cNvSpPr>
          </xdr:nvSpPr>
          <xdr:spPr>
            <a:xfrm>
              <a:off x="7524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181</xdr:row>
      <xdr:rowOff>38101</xdr:rowOff>
    </xdr:from>
    <xdr:to>
      <xdr:col>17</xdr:col>
      <xdr:colOff>104775</xdr:colOff>
      <xdr:row>182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18192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18192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181</xdr:row>
      <xdr:rowOff>38101</xdr:rowOff>
    </xdr:from>
    <xdr:to>
      <xdr:col>24</xdr:col>
      <xdr:colOff>104775</xdr:colOff>
      <xdr:row>182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28860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28860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183</xdr:row>
      <xdr:rowOff>38101</xdr:rowOff>
    </xdr:from>
    <xdr:to>
      <xdr:col>10</xdr:col>
      <xdr:colOff>104775</xdr:colOff>
      <xdr:row>184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2"/>
            <xdr:cNvSpPr txBox="1">
              <a:spLocks/>
            </xdr:cNvSpPr>
          </xdr:nvSpPr>
          <xdr:spPr>
            <a:xfrm>
              <a:off x="752475" y="4377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2"/>
            <xdr:cNvSpPr txBox="1">
              <a:spLocks/>
            </xdr:cNvSpPr>
          </xdr:nvSpPr>
          <xdr:spPr>
            <a:xfrm>
              <a:off x="752475" y="4377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59</xdr:row>
      <xdr:rowOff>28575</xdr:rowOff>
    </xdr:from>
    <xdr:to>
      <xdr:col>48</xdr:col>
      <xdr:colOff>0</xdr:colOff>
      <xdr:row>60</xdr:row>
      <xdr:rowOff>23814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2"/>
            <xdr:cNvSpPr txBox="1">
              <a:spLocks/>
            </xdr:cNvSpPr>
          </xdr:nvSpPr>
          <xdr:spPr>
            <a:xfrm>
              <a:off x="161925" y="14239875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2"/>
            <xdr:cNvSpPr txBox="1">
              <a:spLocks/>
            </xdr:cNvSpPr>
          </xdr:nvSpPr>
          <xdr:spPr>
            <a:xfrm>
              <a:off x="161925" y="14239875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(𝑑^′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(𝑡_𝑠)+𝑢^2 (𝑑_𝑏^′)+𝑢^2 (𝑏)+𝑢^2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(𝑡〗_𝑥)+𝑢^2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𝑑^′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2</xdr:col>
      <xdr:colOff>9525</xdr:colOff>
      <xdr:row>61</xdr:row>
      <xdr:rowOff>57149</xdr:rowOff>
    </xdr:from>
    <xdr:ext cx="6848475" cy="14859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314325" y="14744699"/>
              <a:ext cx="6848475" cy="14859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sub>
                    </m:sSub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Sup>
                          <m:sSub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begChr m:val="{"/>
                            <m:endChr m:val="}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−20</m:t>
                                </m:r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′</m:t>
                            </m:r>
                          </m:sup>
                        </m:sSub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begChr m:val="{"/>
                            <m:endChr m:val="}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−20</m:t>
                                </m:r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′</m:t>
                            </m:r>
                          </m:sup>
                        </m:sSub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 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314325" y="14744699"/>
              <a:ext cx="6848475" cy="14859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𝑐_(𝑑^′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𝑑^′ )={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 (𝑡_𝑠−20)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(𝑡_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−20)}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 )=𝑑^′ (𝑡_𝑠−20)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(𝑡_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−20)}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_𝑠 {1−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_𝑥 (𝑡_𝑥−20)},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𝑐_(𝑑_𝑏^′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𝑑_𝑏^′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)=1−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(𝑡_𝑥−20),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=1−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_𝑥 (𝑡_𝑥−20),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)=−(𝑡_𝑥−20)∙[𝑑^′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∙{1+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_𝑠 (𝑡_𝑠−20)}+𝑑_𝑏^′+𝑏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𝑐_(𝑡_𝑥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𝑡_𝑥 )=−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[𝑑^′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∙{1+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_𝑠 (𝑡_𝑠−20)}+𝑑_𝑏^′+𝑏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𝑑^′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96</xdr:row>
      <xdr:rowOff>47625</xdr:rowOff>
    </xdr:from>
    <xdr:ext cx="3758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3514725" y="23069550"/>
              <a:ext cx="3758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3514725" y="23069550"/>
              <a:ext cx="3758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66674</xdr:colOff>
      <xdr:row>99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5"/>
            <xdr:cNvSpPr txBox="1"/>
          </xdr:nvSpPr>
          <xdr:spPr>
            <a:xfrm>
              <a:off x="3724274" y="23755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5"/>
            <xdr:cNvSpPr txBox="1"/>
          </xdr:nvSpPr>
          <xdr:spPr>
            <a:xfrm>
              <a:off x="3724274" y="23755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101</xdr:row>
      <xdr:rowOff>57150</xdr:rowOff>
    </xdr:from>
    <xdr:ext cx="289560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1228725" y="24269700"/>
              <a:ext cx="28956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1228725" y="24269700"/>
              <a:ext cx="28956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)=𝑑^′ (𝑡_𝑠−20)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∙{1−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_𝑥 (𝑡_𝑥−20)}=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104</xdr:row>
      <xdr:rowOff>9524</xdr:rowOff>
    </xdr:from>
    <xdr:ext cx="2286001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5"/>
            <xdr:cNvSpPr txBox="1"/>
          </xdr:nvSpPr>
          <xdr:spPr>
            <a:xfrm>
              <a:off x="1076324" y="24936449"/>
              <a:ext cx="2286001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9" name="TextBox 5"/>
            <xdr:cNvSpPr txBox="1"/>
          </xdr:nvSpPr>
          <xdr:spPr>
            <a:xfrm>
              <a:off x="1076324" y="24936449"/>
              <a:ext cx="2286001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114</xdr:row>
      <xdr:rowOff>57150</xdr:rowOff>
    </xdr:from>
    <xdr:ext cx="2346412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27365325"/>
              <a:ext cx="234641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sub>
                    </m:sSub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27365325"/>
              <a:ext cx="234641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𝑐_(𝑡_𝑠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𝑡_𝑠 )=𝑑^′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_𝑠 {1−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_𝑥 (𝑡_𝑥−20)}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112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2124074" y="2686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2124074" y="2686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117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5"/>
            <xdr:cNvSpPr txBox="1"/>
          </xdr:nvSpPr>
          <xdr:spPr>
            <a:xfrm>
              <a:off x="1076325" y="280320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=∞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2" name="TextBox 5"/>
            <xdr:cNvSpPr txBox="1"/>
          </xdr:nvSpPr>
          <xdr:spPr>
            <a:xfrm>
              <a:off x="1076325" y="280320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𝜈(𝑡_𝑠 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100/0)^2=∞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76200</xdr:colOff>
      <xdr:row>180</xdr:row>
      <xdr:rowOff>28575</xdr:rowOff>
    </xdr:from>
    <xdr:ext cx="5099794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228600" y="43053000"/>
              <a:ext cx="509979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′</m:t>
                            </m:r>
                          </m:sup>
                        </m:sSup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228600" y="43053000"/>
              <a:ext cx="509979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(𝑑^′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 )+𝑢^2 (𝑡_𝑠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(𝑑_𝑏^′ 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𝑏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)+𝑢^2 (𝑡_𝑥 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𝑑^′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142875</xdr:colOff>
      <xdr:row>181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2"/>
            <xdr:cNvSpPr txBox="1">
              <a:spLocks/>
            </xdr:cNvSpPr>
          </xdr:nvSpPr>
          <xdr:spPr>
            <a:xfrm>
              <a:off x="39528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2"/>
            <xdr:cNvSpPr txBox="1">
              <a:spLocks/>
            </xdr:cNvSpPr>
          </xdr:nvSpPr>
          <xdr:spPr>
            <a:xfrm>
              <a:off x="39528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142875</xdr:colOff>
      <xdr:row>181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2"/>
            <xdr:cNvSpPr txBox="1">
              <a:spLocks/>
            </xdr:cNvSpPr>
          </xdr:nvSpPr>
          <xdr:spPr>
            <a:xfrm>
              <a:off x="50196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2"/>
            <xdr:cNvSpPr txBox="1">
              <a:spLocks/>
            </xdr:cNvSpPr>
          </xdr:nvSpPr>
          <xdr:spPr>
            <a:xfrm>
              <a:off x="50196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39</xdr:col>
      <xdr:colOff>142875</xdr:colOff>
      <xdr:row>181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60864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6086475" y="433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142875</xdr:colOff>
      <xdr:row>182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2"/>
            <xdr:cNvSpPr txBox="1">
              <a:spLocks/>
            </xdr:cNvSpPr>
          </xdr:nvSpPr>
          <xdr:spPr>
            <a:xfrm>
              <a:off x="1057275" y="4353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2"/>
            <xdr:cNvSpPr txBox="1">
              <a:spLocks/>
            </xdr:cNvSpPr>
          </xdr:nvSpPr>
          <xdr:spPr>
            <a:xfrm>
              <a:off x="1057275" y="4353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142875</xdr:colOff>
      <xdr:row>182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2124075" y="4353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2124075" y="4353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189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1838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1838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19050</xdr:colOff>
      <xdr:row>188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/>
            <xdr:cNvSpPr txBox="1"/>
          </xdr:nvSpPr>
          <xdr:spPr>
            <a:xfrm>
              <a:off x="3371850" y="449627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112"/>
            <xdr:cNvSpPr txBox="1"/>
          </xdr:nvSpPr>
          <xdr:spPr>
            <a:xfrm>
              <a:off x="3371850" y="449627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189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/>
            <xdr:cNvSpPr txBox="1"/>
          </xdr:nvSpPr>
          <xdr:spPr>
            <a:xfrm>
              <a:off x="2600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113"/>
            <xdr:cNvSpPr txBox="1"/>
          </xdr:nvSpPr>
          <xdr:spPr>
            <a:xfrm>
              <a:off x="2600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189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/>
            <xdr:cNvSpPr txBox="1"/>
          </xdr:nvSpPr>
          <xdr:spPr>
            <a:xfrm>
              <a:off x="3362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114"/>
            <xdr:cNvSpPr txBox="1"/>
          </xdr:nvSpPr>
          <xdr:spPr>
            <a:xfrm>
              <a:off x="3362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189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4124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4124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</xdr:colOff>
      <xdr:row>189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4886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4886325" y="452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188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/>
            <xdr:cNvSpPr txBox="1"/>
          </xdr:nvSpPr>
          <xdr:spPr>
            <a:xfrm>
              <a:off x="161925" y="449770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117"/>
            <xdr:cNvSpPr txBox="1"/>
          </xdr:nvSpPr>
          <xdr:spPr>
            <a:xfrm>
              <a:off x="161925" y="449770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189</xdr:row>
      <xdr:rowOff>52387</xdr:rowOff>
    </xdr:from>
    <xdr:ext cx="3952876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1685924" y="4521993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1685924" y="4521993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9525</xdr:colOff>
      <xdr:row>191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1990725" y="456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1990725" y="456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191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/>
            <xdr:cNvSpPr txBox="1"/>
          </xdr:nvSpPr>
          <xdr:spPr>
            <a:xfrm>
              <a:off x="2752725" y="456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120"/>
            <xdr:cNvSpPr txBox="1"/>
          </xdr:nvSpPr>
          <xdr:spPr>
            <a:xfrm>
              <a:off x="2752725" y="456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191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/>
            <xdr:cNvSpPr txBox="1"/>
          </xdr:nvSpPr>
          <xdr:spPr>
            <a:xfrm>
              <a:off x="3514725" y="456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121"/>
            <xdr:cNvSpPr txBox="1"/>
          </xdr:nvSpPr>
          <xdr:spPr>
            <a:xfrm>
              <a:off x="3514725" y="456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137</xdr:row>
      <xdr:rowOff>57150</xdr:rowOff>
    </xdr:from>
    <xdr:ext cx="183640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4"/>
            <xdr:cNvSpPr txBox="1"/>
          </xdr:nvSpPr>
          <xdr:spPr>
            <a:xfrm>
              <a:off x="1247775" y="32842200"/>
              <a:ext cx="18364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=1−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4"/>
            <xdr:cNvSpPr txBox="1"/>
          </xdr:nvSpPr>
          <xdr:spPr>
            <a:xfrm>
              <a:off x="1247775" y="32842200"/>
              <a:ext cx="18364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𝑐_𝑏=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𝑏=1−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 (𝑡_𝑥−20)=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142</xdr:row>
      <xdr:rowOff>47625</xdr:rowOff>
    </xdr:from>
    <xdr:ext cx="3874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3362325" y="34023300"/>
              <a:ext cx="387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3362325" y="34023300"/>
              <a:ext cx="387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66674</xdr:colOff>
      <xdr:row>145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5"/>
            <xdr:cNvSpPr txBox="1"/>
          </xdr:nvSpPr>
          <xdr:spPr>
            <a:xfrm>
              <a:off x="3724274" y="3470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5"/>
            <xdr:cNvSpPr txBox="1"/>
          </xdr:nvSpPr>
          <xdr:spPr>
            <a:xfrm>
              <a:off x="3724274" y="3470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147</xdr:row>
      <xdr:rowOff>57150</xdr:rowOff>
    </xdr:from>
    <xdr:ext cx="35623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/>
            <xdr:cNvSpPr txBox="1"/>
          </xdr:nvSpPr>
          <xdr:spPr>
            <a:xfrm>
              <a:off x="1228725" y="35223450"/>
              <a:ext cx="35623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begChr m:val="{"/>
                            <m:endChr m:val="}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−20</m:t>
                                </m:r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1228725" y="35223450"/>
              <a:ext cx="35623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)=−(𝑡_𝑥−20)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∙[𝑑^′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{1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(𝑡_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−20)}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+𝑑_𝑏^′+𝑏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]=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150</xdr:row>
      <xdr:rowOff>9524</xdr:rowOff>
    </xdr:from>
    <xdr:ext cx="2286001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5"/>
            <xdr:cNvSpPr txBox="1"/>
          </xdr:nvSpPr>
          <xdr:spPr>
            <a:xfrm>
              <a:off x="1076324" y="35890199"/>
              <a:ext cx="2286001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7" name="TextBox 5"/>
            <xdr:cNvSpPr txBox="1"/>
          </xdr:nvSpPr>
          <xdr:spPr>
            <a:xfrm>
              <a:off x="1076324" y="35890199"/>
              <a:ext cx="2286001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160</xdr:row>
      <xdr:rowOff>57150</xdr:rowOff>
    </xdr:from>
    <xdr:ext cx="2981325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/>
            <xdr:cNvSpPr txBox="1"/>
          </xdr:nvSpPr>
          <xdr:spPr>
            <a:xfrm>
              <a:off x="1228725" y="38319075"/>
              <a:ext cx="2981325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begChr m:val="{"/>
                            <m:endChr m:val="}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−20</m:t>
                                </m:r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1228725" y="38319075"/>
              <a:ext cx="2981325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𝑐_(𝑡_𝑥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𝑡_𝑥 )=−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[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𝑑^′ {1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(𝑡_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−20)}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+𝑑_𝑏^′+𝑏]=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158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5"/>
            <xdr:cNvSpPr txBox="1"/>
          </xdr:nvSpPr>
          <xdr:spPr>
            <a:xfrm>
              <a:off x="2124074" y="3781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5"/>
            <xdr:cNvSpPr txBox="1"/>
          </xdr:nvSpPr>
          <xdr:spPr>
            <a:xfrm>
              <a:off x="2124074" y="3781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163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5"/>
            <xdr:cNvSpPr txBox="1"/>
          </xdr:nvSpPr>
          <xdr:spPr>
            <a:xfrm>
              <a:off x="1076325" y="389858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=∞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0" name="TextBox 5"/>
            <xdr:cNvSpPr txBox="1"/>
          </xdr:nvSpPr>
          <xdr:spPr>
            <a:xfrm>
              <a:off x="1076325" y="389858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𝜈(𝑡_𝑠 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100/0)^2=∞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19050</xdr:colOff>
      <xdr:row>171</xdr:row>
      <xdr:rowOff>23812</xdr:rowOff>
    </xdr:from>
    <xdr:ext cx="242246" cy="19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2152650" y="40905112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2152650" y="40905112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173</xdr:row>
      <xdr:rowOff>61912</xdr:rowOff>
    </xdr:from>
    <xdr:ext cx="981551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228725" y="4141946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228725" y="4141946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𝑑^′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176</xdr:row>
      <xdr:rowOff>9524</xdr:rowOff>
    </xdr:from>
    <xdr:ext cx="2266950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076325" y="4208144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latin typeface="Cambria Math" panose="02040503050406030204" pitchFamily="18" charset="0"/>
                      </a:rPr>
                      <m:t>𝜈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076325" y="4208144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𝑑^′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=1/2 (100/𝑅)^2=1/2 (100/0)^2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321</xdr:row>
      <xdr:rowOff>57150</xdr:rowOff>
    </xdr:from>
    <xdr:ext cx="789447" cy="359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4"/>
            <xdr:cNvSpPr txBox="1"/>
          </xdr:nvSpPr>
          <xdr:spPr>
            <a:xfrm>
              <a:off x="1247775" y="76657200"/>
              <a:ext cx="789447" cy="359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4"/>
            <xdr:cNvSpPr txBox="1"/>
          </xdr:nvSpPr>
          <xdr:spPr>
            <a:xfrm>
              <a:off x="1247775" y="76657200"/>
              <a:ext cx="789447" cy="359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𝑐_(𝑑_𝑏^′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𝑏/(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𝑑_𝑏^′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206</xdr:row>
      <xdr:rowOff>80961</xdr:rowOff>
    </xdr:from>
    <xdr:ext cx="6381749" cy="344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>
              <a:spLocks noChangeAspect="1"/>
            </xdr:cNvSpPr>
          </xdr:nvSpPr>
          <xdr:spPr>
            <a:xfrm>
              <a:off x="161925" y="49296636"/>
              <a:ext cx="6381749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d>
                      <m:dPr>
                        <m:begChr m:val="{"/>
                        <m:endChr m:val="}"/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begChr m:val="{"/>
                        <m:endChr m:val="}"/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  <m:sup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p>
                      <m:sSup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p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35" name="TextBox 134"/>
            <xdr:cNvSpPr txBox="1">
              <a:spLocks noChangeAspect="1"/>
            </xdr:cNvSpPr>
          </xdr:nvSpPr>
          <xdr:spPr>
            <a:xfrm>
              <a:off x="161925" y="49296636"/>
              <a:ext cx="6381749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𝑏=𝑙_𝑟 {1+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_𝑟 (𝑡_𝑟−20)}−𝑑^′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{1+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_𝑠 (𝑡_𝑠−20)}+𝑑_𝑏^′+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𝑑^′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16</xdr:col>
      <xdr:colOff>47624</xdr:colOff>
      <xdr:row>317</xdr:row>
      <xdr:rowOff>0</xdr:rowOff>
    </xdr:from>
    <xdr:ext cx="1524001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6"/>
            <xdr:cNvSpPr txBox="1"/>
          </xdr:nvSpPr>
          <xdr:spPr>
            <a:xfrm>
              <a:off x="2486024" y="7564755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6"/>
            <xdr:cNvSpPr txBox="1"/>
          </xdr:nvSpPr>
          <xdr:spPr>
            <a:xfrm>
              <a:off x="2486024" y="7564755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47624</xdr:colOff>
      <xdr:row>317</xdr:row>
      <xdr:rowOff>0</xdr:rowOff>
    </xdr:from>
    <xdr:ext cx="215265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6"/>
            <xdr:cNvSpPr txBox="1"/>
          </xdr:nvSpPr>
          <xdr:spPr>
            <a:xfrm>
              <a:off x="4467224" y="7564755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6"/>
            <xdr:cNvSpPr txBox="1"/>
          </xdr:nvSpPr>
          <xdr:spPr>
            <a:xfrm>
              <a:off x="4467224" y="7564755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283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2171700" y="675703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2171700" y="675703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283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5"/>
            <xdr:cNvSpPr txBox="1"/>
          </xdr:nvSpPr>
          <xdr:spPr>
            <a:xfrm>
              <a:off x="2867025" y="675703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5"/>
            <xdr:cNvSpPr txBox="1"/>
          </xdr:nvSpPr>
          <xdr:spPr>
            <a:xfrm>
              <a:off x="2867025" y="675703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285</xdr:row>
      <xdr:rowOff>57150</xdr:rowOff>
    </xdr:from>
    <xdr:ext cx="209095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4"/>
            <xdr:cNvSpPr txBox="1"/>
          </xdr:nvSpPr>
          <xdr:spPr>
            <a:xfrm>
              <a:off x="1228725" y="68084700"/>
              <a:ext cx="209095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4"/>
            <xdr:cNvSpPr txBox="1"/>
          </xdr:nvSpPr>
          <xdr:spPr>
            <a:xfrm>
              <a:off x="1228725" y="68084700"/>
              <a:ext cx="209095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𝑐_(𝑑^′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𝑏/(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𝑑^′ )=−{1+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(𝑡_𝑠−20)}=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341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2"/>
            <xdr:cNvSpPr txBox="1">
              <a:spLocks/>
            </xdr:cNvSpPr>
          </xdr:nvSpPr>
          <xdr:spPr>
            <a:xfrm>
              <a:off x="7524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2"/>
            <xdr:cNvSpPr txBox="1">
              <a:spLocks/>
            </xdr:cNvSpPr>
          </xdr:nvSpPr>
          <xdr:spPr>
            <a:xfrm>
              <a:off x="7524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142875</xdr:colOff>
      <xdr:row>341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18192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18192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142875</xdr:colOff>
      <xdr:row>341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2"/>
            <xdr:cNvSpPr txBox="1">
              <a:spLocks/>
            </xdr:cNvSpPr>
          </xdr:nvSpPr>
          <xdr:spPr>
            <a:xfrm>
              <a:off x="28860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2"/>
            <xdr:cNvSpPr txBox="1">
              <a:spLocks/>
            </xdr:cNvSpPr>
          </xdr:nvSpPr>
          <xdr:spPr>
            <a:xfrm>
              <a:off x="28860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343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2"/>
            <xdr:cNvSpPr txBox="1">
              <a:spLocks/>
            </xdr:cNvSpPr>
          </xdr:nvSpPr>
          <xdr:spPr>
            <a:xfrm>
              <a:off x="752475" y="8187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2"/>
            <xdr:cNvSpPr txBox="1">
              <a:spLocks/>
            </xdr:cNvSpPr>
          </xdr:nvSpPr>
          <xdr:spPr>
            <a:xfrm>
              <a:off x="752475" y="8187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9526</xdr:colOff>
      <xdr:row>219</xdr:row>
      <xdr:rowOff>28575</xdr:rowOff>
    </xdr:from>
    <xdr:ext cx="6419850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161926" y="52339875"/>
              <a:ext cx="641985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161926" y="52339875"/>
              <a:ext cx="641985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(𝑏)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_𝑟)+〖𝑢^2 (𝑡〗_𝑟)+𝑢^2 (𝑑^′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(𝑡_𝑠)+𝑢^2 (𝑑_𝑏^′)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𝑑^′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221</xdr:row>
      <xdr:rowOff>57150</xdr:rowOff>
    </xdr:from>
    <xdr:ext cx="5467350" cy="1133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/>
            <xdr:cNvSpPr txBox="1"/>
          </xdr:nvSpPr>
          <xdr:spPr>
            <a:xfrm>
              <a:off x="314326" y="52844700"/>
              <a:ext cx="5467350" cy="1133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−20</m:t>
                            </m:r>
                          </m:e>
                        </m:d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Sup>
                          <m:sSub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 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145"/>
            <xdr:cNvSpPr txBox="1"/>
          </xdr:nvSpPr>
          <xdr:spPr>
            <a:xfrm>
              <a:off x="314326" y="52844700"/>
              <a:ext cx="5467350" cy="1133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(𝑡_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−20),  𝑐_(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)=(𝑡_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−20)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𝑐_(𝑡_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∙𝑙_𝑟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 </a:t>
              </a:r>
              <a:endParaRPr lang="ko-KR" altLang="ko-KR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𝑐_(𝑑^′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𝑏/(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𝑑^′ )=−{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_𝑠 (𝑡_𝑠−20)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 )=−𝑑^′ (𝑡_𝑠−20),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_𝑠,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𝑐_(𝑑_𝑏^′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𝑑_𝑏^′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𝑑^′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290</xdr:row>
      <xdr:rowOff>47625</xdr:rowOff>
    </xdr:from>
    <xdr:ext cx="3758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4"/>
            <xdr:cNvSpPr txBox="1"/>
          </xdr:nvSpPr>
          <xdr:spPr>
            <a:xfrm>
              <a:off x="3514725" y="69265800"/>
              <a:ext cx="3758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4"/>
            <xdr:cNvSpPr txBox="1"/>
          </xdr:nvSpPr>
          <xdr:spPr>
            <a:xfrm>
              <a:off x="3514725" y="69265800"/>
              <a:ext cx="3758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66674</xdr:colOff>
      <xdr:row>293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5"/>
            <xdr:cNvSpPr txBox="1"/>
          </xdr:nvSpPr>
          <xdr:spPr>
            <a:xfrm>
              <a:off x="3724274" y="699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5"/>
            <xdr:cNvSpPr txBox="1"/>
          </xdr:nvSpPr>
          <xdr:spPr>
            <a:xfrm>
              <a:off x="3724274" y="699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295</xdr:row>
      <xdr:rowOff>57150</xdr:rowOff>
    </xdr:from>
    <xdr:ext cx="1685925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/>
            <xdr:cNvSpPr txBox="1"/>
          </xdr:nvSpPr>
          <xdr:spPr>
            <a:xfrm>
              <a:off x="1228725" y="70465950"/>
              <a:ext cx="1685925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148"/>
            <xdr:cNvSpPr txBox="1"/>
          </xdr:nvSpPr>
          <xdr:spPr>
            <a:xfrm>
              <a:off x="1228725" y="70465950"/>
              <a:ext cx="1685925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)=−𝑑^′ (𝑡_𝑠−20)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298</xdr:row>
      <xdr:rowOff>9524</xdr:rowOff>
    </xdr:from>
    <xdr:ext cx="2286001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5"/>
            <xdr:cNvSpPr txBox="1"/>
          </xdr:nvSpPr>
          <xdr:spPr>
            <a:xfrm>
              <a:off x="1076324" y="71132699"/>
              <a:ext cx="2286001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0" name="TextBox 5"/>
            <xdr:cNvSpPr txBox="1"/>
          </xdr:nvSpPr>
          <xdr:spPr>
            <a:xfrm>
              <a:off x="1076324" y="71132699"/>
              <a:ext cx="2286001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308</xdr:row>
      <xdr:rowOff>57150</xdr:rowOff>
    </xdr:from>
    <xdr:ext cx="137524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/>
            <xdr:cNvSpPr txBox="1"/>
          </xdr:nvSpPr>
          <xdr:spPr>
            <a:xfrm>
              <a:off x="1228725" y="73561575"/>
              <a:ext cx="137524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150"/>
            <xdr:cNvSpPr txBox="1"/>
          </xdr:nvSpPr>
          <xdr:spPr>
            <a:xfrm>
              <a:off x="1228725" y="73561575"/>
              <a:ext cx="137524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𝑐_(𝑡_𝑠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𝑡_𝑠 )=−𝑑^′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306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5"/>
            <xdr:cNvSpPr txBox="1"/>
          </xdr:nvSpPr>
          <xdr:spPr>
            <a:xfrm>
              <a:off x="2124074" y="7305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5"/>
            <xdr:cNvSpPr txBox="1"/>
          </xdr:nvSpPr>
          <xdr:spPr>
            <a:xfrm>
              <a:off x="2124074" y="7305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311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5"/>
            <xdr:cNvSpPr txBox="1"/>
          </xdr:nvSpPr>
          <xdr:spPr>
            <a:xfrm>
              <a:off x="1076325" y="74228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=∞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3" name="TextBox 5"/>
            <xdr:cNvSpPr txBox="1"/>
          </xdr:nvSpPr>
          <xdr:spPr>
            <a:xfrm>
              <a:off x="1076325" y="74228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𝜈(𝑡_𝑠 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100/0)^2=∞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76200</xdr:colOff>
      <xdr:row>340</xdr:row>
      <xdr:rowOff>28575</xdr:rowOff>
    </xdr:from>
    <xdr:ext cx="5099794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/>
            <xdr:cNvSpPr txBox="1"/>
          </xdr:nvSpPr>
          <xdr:spPr>
            <a:xfrm>
              <a:off x="228600" y="81153000"/>
              <a:ext cx="509979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′</m:t>
                            </m:r>
                          </m:sup>
                        </m:sSup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153"/>
            <xdr:cNvSpPr txBox="1"/>
          </xdr:nvSpPr>
          <xdr:spPr>
            <a:xfrm>
              <a:off x="228600" y="81153000"/>
              <a:ext cx="509979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(𝑏)=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)+𝑢^2 (𝑡_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𝑢〗^2 (𝑑^′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 )+𝑢^2 (𝑡_𝑠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(𝑑_𝑏^′ 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𝑑^′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142875</xdr:colOff>
      <xdr:row>341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9528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9528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142875</xdr:colOff>
      <xdr:row>341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50196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50196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39</xdr:col>
      <xdr:colOff>142875</xdr:colOff>
      <xdr:row>341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60864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6086475" y="8140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142875</xdr:colOff>
      <xdr:row>342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057275" y="8163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057275" y="8163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142875</xdr:colOff>
      <xdr:row>342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124075" y="8163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124075" y="8163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349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/>
            <xdr:cNvSpPr txBox="1"/>
          </xdr:nvSpPr>
          <xdr:spPr>
            <a:xfrm>
              <a:off x="1838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159"/>
            <xdr:cNvSpPr txBox="1"/>
          </xdr:nvSpPr>
          <xdr:spPr>
            <a:xfrm>
              <a:off x="1838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19050</xdr:colOff>
      <xdr:row>348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/>
            <xdr:cNvSpPr txBox="1"/>
          </xdr:nvSpPr>
          <xdr:spPr>
            <a:xfrm>
              <a:off x="3371850" y="830627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160"/>
            <xdr:cNvSpPr txBox="1"/>
          </xdr:nvSpPr>
          <xdr:spPr>
            <a:xfrm>
              <a:off x="3371850" y="830627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349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/>
            <xdr:cNvSpPr txBox="1"/>
          </xdr:nvSpPr>
          <xdr:spPr>
            <a:xfrm>
              <a:off x="2600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161"/>
            <xdr:cNvSpPr txBox="1"/>
          </xdr:nvSpPr>
          <xdr:spPr>
            <a:xfrm>
              <a:off x="2600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349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3362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3362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349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/>
            <xdr:cNvSpPr txBox="1"/>
          </xdr:nvSpPr>
          <xdr:spPr>
            <a:xfrm>
              <a:off x="4124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163"/>
            <xdr:cNvSpPr txBox="1"/>
          </xdr:nvSpPr>
          <xdr:spPr>
            <a:xfrm>
              <a:off x="4124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</xdr:colOff>
      <xdr:row>349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/>
            <xdr:cNvSpPr txBox="1"/>
          </xdr:nvSpPr>
          <xdr:spPr>
            <a:xfrm>
              <a:off x="4886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164"/>
            <xdr:cNvSpPr txBox="1"/>
          </xdr:nvSpPr>
          <xdr:spPr>
            <a:xfrm>
              <a:off x="4886325" y="8330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348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/>
            <xdr:cNvSpPr txBox="1"/>
          </xdr:nvSpPr>
          <xdr:spPr>
            <a:xfrm>
              <a:off x="161925" y="830770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165"/>
            <xdr:cNvSpPr txBox="1"/>
          </xdr:nvSpPr>
          <xdr:spPr>
            <a:xfrm>
              <a:off x="161925" y="830770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349</xdr:row>
      <xdr:rowOff>52387</xdr:rowOff>
    </xdr:from>
    <xdr:ext cx="3952876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/>
            <xdr:cNvSpPr txBox="1"/>
          </xdr:nvSpPr>
          <xdr:spPr>
            <a:xfrm>
              <a:off x="1685924" y="8331993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7" name="TextBox 166"/>
            <xdr:cNvSpPr txBox="1"/>
          </xdr:nvSpPr>
          <xdr:spPr>
            <a:xfrm>
              <a:off x="1685924" y="8331993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9525</xdr:colOff>
      <xdr:row>351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1990725" y="837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1990725" y="837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351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/>
            <xdr:cNvSpPr txBox="1"/>
          </xdr:nvSpPr>
          <xdr:spPr>
            <a:xfrm>
              <a:off x="2752725" y="837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168"/>
            <xdr:cNvSpPr txBox="1"/>
          </xdr:nvSpPr>
          <xdr:spPr>
            <a:xfrm>
              <a:off x="2752725" y="837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351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3514725" y="837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3514725" y="8377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248</xdr:row>
      <xdr:rowOff>57150</xdr:rowOff>
    </xdr:from>
    <xdr:ext cx="183640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4"/>
            <xdr:cNvSpPr txBox="1"/>
          </xdr:nvSpPr>
          <xdr:spPr>
            <a:xfrm>
              <a:off x="1247775" y="59274075"/>
              <a:ext cx="18364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−20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4"/>
            <xdr:cNvSpPr txBox="1"/>
          </xdr:nvSpPr>
          <xdr:spPr>
            <a:xfrm>
              <a:off x="1247775" y="59274075"/>
              <a:ext cx="18364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𝑐_(𝑙_𝑟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𝑏/(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)=1+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_𝑟 (𝑡_𝑟−20)=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253</xdr:row>
      <xdr:rowOff>47625</xdr:rowOff>
    </xdr:from>
    <xdr:ext cx="3816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4"/>
            <xdr:cNvSpPr txBox="1"/>
          </xdr:nvSpPr>
          <xdr:spPr>
            <a:xfrm>
              <a:off x="3362325" y="60455175"/>
              <a:ext cx="381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4"/>
            <xdr:cNvSpPr txBox="1"/>
          </xdr:nvSpPr>
          <xdr:spPr>
            <a:xfrm>
              <a:off x="3362325" y="60455175"/>
              <a:ext cx="381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66674</xdr:colOff>
      <xdr:row>256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5"/>
            <xdr:cNvSpPr txBox="1"/>
          </xdr:nvSpPr>
          <xdr:spPr>
            <a:xfrm>
              <a:off x="3724274" y="6114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5"/>
            <xdr:cNvSpPr txBox="1"/>
          </xdr:nvSpPr>
          <xdr:spPr>
            <a:xfrm>
              <a:off x="3724274" y="6114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258</xdr:row>
      <xdr:rowOff>57150</xdr:rowOff>
    </xdr:from>
    <xdr:ext cx="16192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228725" y="61655325"/>
              <a:ext cx="16192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e>
                    </m:d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228725" y="61655325"/>
              <a:ext cx="16192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_𝑟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)=(𝑡_𝑟−20) 𝑙_𝑟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261</xdr:row>
      <xdr:rowOff>9524</xdr:rowOff>
    </xdr:from>
    <xdr:ext cx="2286001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5"/>
            <xdr:cNvSpPr txBox="1"/>
          </xdr:nvSpPr>
          <xdr:spPr>
            <a:xfrm>
              <a:off x="1076324" y="62322074"/>
              <a:ext cx="2286001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5" name="TextBox 5"/>
            <xdr:cNvSpPr txBox="1"/>
          </xdr:nvSpPr>
          <xdr:spPr>
            <a:xfrm>
              <a:off x="1076324" y="62322074"/>
              <a:ext cx="2286001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_𝑟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9526</xdr:colOff>
      <xdr:row>271</xdr:row>
      <xdr:rowOff>57150</xdr:rowOff>
    </xdr:from>
    <xdr:ext cx="1238250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/>
            <xdr:cNvSpPr txBox="1"/>
          </xdr:nvSpPr>
          <xdr:spPr>
            <a:xfrm>
              <a:off x="1228726" y="64750950"/>
              <a:ext cx="123825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175"/>
            <xdr:cNvSpPr txBox="1"/>
          </xdr:nvSpPr>
          <xdr:spPr>
            <a:xfrm>
              <a:off x="1228726" y="64750950"/>
              <a:ext cx="123825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𝑐_(𝑡_𝑟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𝑡_𝑟 )=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∙𝑙_𝑟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269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5"/>
            <xdr:cNvSpPr txBox="1"/>
          </xdr:nvSpPr>
          <xdr:spPr>
            <a:xfrm>
              <a:off x="2124074" y="6424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5"/>
            <xdr:cNvSpPr txBox="1"/>
          </xdr:nvSpPr>
          <xdr:spPr>
            <a:xfrm>
              <a:off x="2124074" y="6424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274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5"/>
            <xdr:cNvSpPr txBox="1"/>
          </xdr:nvSpPr>
          <xdr:spPr>
            <a:xfrm>
              <a:off x="1076325" y="654176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=∞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8" name="TextBox 5"/>
            <xdr:cNvSpPr txBox="1"/>
          </xdr:nvSpPr>
          <xdr:spPr>
            <a:xfrm>
              <a:off x="1076325" y="654176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𝜈(𝑡_𝑟 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100/0)^2=∞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19050</xdr:colOff>
      <xdr:row>331</xdr:row>
      <xdr:rowOff>23812</xdr:rowOff>
    </xdr:from>
    <xdr:ext cx="242246" cy="19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/>
            <xdr:cNvSpPr txBox="1"/>
          </xdr:nvSpPr>
          <xdr:spPr>
            <a:xfrm>
              <a:off x="2152650" y="79005112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178"/>
            <xdr:cNvSpPr txBox="1"/>
          </xdr:nvSpPr>
          <xdr:spPr>
            <a:xfrm>
              <a:off x="2152650" y="79005112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333</xdr:row>
      <xdr:rowOff>61912</xdr:rowOff>
    </xdr:from>
    <xdr:ext cx="981551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/>
          </xdr:nvSpPr>
          <xdr:spPr>
            <a:xfrm>
              <a:off x="1228725" y="7951946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179"/>
            <xdr:cNvSpPr txBox="1"/>
          </xdr:nvSpPr>
          <xdr:spPr>
            <a:xfrm>
              <a:off x="1228725" y="7951946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𝑑^′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𝑏/(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336</xdr:row>
      <xdr:rowOff>9524</xdr:rowOff>
    </xdr:from>
    <xdr:ext cx="2266950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/>
          </xdr:nvSpPr>
          <xdr:spPr>
            <a:xfrm>
              <a:off x="1076325" y="8018144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latin typeface="Cambria Math" panose="02040503050406030204" pitchFamily="18" charset="0"/>
                      </a:rPr>
                      <m:t>𝜈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/>
          </xdr:nvSpPr>
          <xdr:spPr>
            <a:xfrm>
              <a:off x="1076325" y="8018144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𝑑^′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=1/2 (100/𝑅)^2=1/2 (100/0)^2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07" t="s">
        <v>0</v>
      </c>
      <c r="B1" s="308"/>
      <c r="C1" s="308"/>
      <c r="D1" s="308"/>
      <c r="E1" s="308"/>
      <c r="F1" s="308"/>
      <c r="G1" s="308"/>
      <c r="H1" s="309"/>
      <c r="I1" s="310"/>
      <c r="J1" s="311"/>
    </row>
    <row r="2" spans="1:13" ht="12.95" customHeight="1">
      <c r="A2" s="287" t="s">
        <v>1</v>
      </c>
      <c r="B2" s="287"/>
      <c r="C2" s="287"/>
      <c r="D2" s="287"/>
      <c r="E2" s="287"/>
      <c r="F2" s="287"/>
      <c r="G2" s="287"/>
      <c r="H2" s="287"/>
      <c r="I2" s="287"/>
      <c r="J2" s="287"/>
    </row>
    <row r="3" spans="1:13" ht="12.95" customHeight="1">
      <c r="A3" s="288" t="s">
        <v>2</v>
      </c>
      <c r="B3" s="289"/>
      <c r="C3" s="312"/>
      <c r="D3" s="312"/>
      <c r="E3" s="312"/>
      <c r="F3" s="289" t="s">
        <v>3</v>
      </c>
      <c r="G3" s="289"/>
      <c r="H3" s="303"/>
      <c r="I3" s="302"/>
      <c r="J3" s="302"/>
    </row>
    <row r="4" spans="1:13" ht="12.95" customHeight="1">
      <c r="A4" s="289" t="s">
        <v>4</v>
      </c>
      <c r="B4" s="289"/>
      <c r="C4" s="313"/>
      <c r="D4" s="289"/>
      <c r="E4" s="289"/>
      <c r="F4" s="289" t="s">
        <v>5</v>
      </c>
      <c r="G4" s="289"/>
      <c r="H4" s="289"/>
      <c r="I4" s="302"/>
      <c r="J4" s="302"/>
    </row>
    <row r="5" spans="1:13" ht="12.95" customHeight="1">
      <c r="A5" s="289" t="s">
        <v>6</v>
      </c>
      <c r="B5" s="289"/>
      <c r="C5" s="289"/>
      <c r="D5" s="302"/>
      <c r="E5" s="302"/>
      <c r="F5" s="288" t="s">
        <v>7</v>
      </c>
      <c r="G5" s="289"/>
      <c r="H5" s="290"/>
      <c r="I5" s="291"/>
      <c r="J5" s="291"/>
    </row>
    <row r="6" spans="1:13" ht="12.95" customHeight="1">
      <c r="A6" s="289" t="s">
        <v>8</v>
      </c>
      <c r="B6" s="289"/>
      <c r="C6" s="289"/>
      <c r="D6" s="302"/>
      <c r="E6" s="302"/>
      <c r="F6" s="288" t="s">
        <v>9</v>
      </c>
      <c r="G6" s="289"/>
      <c r="H6" s="290"/>
      <c r="I6" s="291"/>
      <c r="J6" s="291"/>
    </row>
    <row r="7" spans="1:13" ht="12.95" customHeight="1">
      <c r="A7" s="289" t="s">
        <v>10</v>
      </c>
      <c r="B7" s="289"/>
      <c r="C7" s="305"/>
      <c r="D7" s="302"/>
      <c r="E7" s="302"/>
      <c r="F7" s="288" t="s">
        <v>11</v>
      </c>
      <c r="G7" s="289"/>
      <c r="H7" s="289"/>
      <c r="I7" s="302"/>
      <c r="J7" s="302"/>
    </row>
    <row r="8" spans="1:13" ht="12.95" customHeight="1">
      <c r="A8" s="289" t="s">
        <v>12</v>
      </c>
      <c r="B8" s="289"/>
      <c r="C8" s="303"/>
      <c r="D8" s="304"/>
      <c r="E8" s="304"/>
      <c r="F8" s="288" t="s">
        <v>13</v>
      </c>
      <c r="G8" s="289"/>
      <c r="H8" s="289"/>
      <c r="I8" s="302"/>
      <c r="J8" s="302"/>
    </row>
    <row r="9" spans="1:13" ht="12.95" customHeight="1">
      <c r="A9" s="288" t="s">
        <v>35</v>
      </c>
      <c r="B9" s="289"/>
      <c r="C9" s="290"/>
      <c r="D9" s="291"/>
      <c r="E9" s="291"/>
      <c r="F9" s="306" t="s">
        <v>14</v>
      </c>
      <c r="G9" s="306"/>
      <c r="H9" s="290"/>
      <c r="I9" s="291"/>
      <c r="J9" s="291"/>
    </row>
    <row r="10" spans="1:13" ht="23.25" customHeight="1">
      <c r="A10" s="289" t="s">
        <v>15</v>
      </c>
      <c r="B10" s="289"/>
      <c r="C10" s="290"/>
      <c r="D10" s="291"/>
      <c r="E10" s="291"/>
      <c r="F10" s="289" t="s">
        <v>16</v>
      </c>
      <c r="G10" s="289"/>
      <c r="H10" s="34"/>
      <c r="I10" s="294" t="s">
        <v>17</v>
      </c>
      <c r="J10" s="295"/>
      <c r="K10" s="4"/>
    </row>
    <row r="11" spans="1:13" ht="12.95" customHeight="1">
      <c r="A11" s="287" t="s">
        <v>18</v>
      </c>
      <c r="B11" s="287"/>
      <c r="C11" s="287"/>
      <c r="D11" s="287"/>
      <c r="E11" s="287"/>
      <c r="F11" s="287"/>
      <c r="G11" s="287"/>
      <c r="H11" s="287"/>
      <c r="I11" s="287"/>
      <c r="J11" s="287"/>
      <c r="K11" s="5"/>
    </row>
    <row r="12" spans="1:13" ht="17.25" customHeight="1">
      <c r="A12" s="3" t="s">
        <v>19</v>
      </c>
      <c r="B12" s="84"/>
      <c r="C12" s="6" t="s">
        <v>20</v>
      </c>
      <c r="D12" s="85"/>
      <c r="E12" s="6" t="s">
        <v>21</v>
      </c>
      <c r="F12" s="86"/>
      <c r="G12" s="296" t="s">
        <v>22</v>
      </c>
      <c r="H12" s="292"/>
      <c r="I12" s="298" t="s">
        <v>23</v>
      </c>
      <c r="J12" s="299"/>
      <c r="K12" s="4"/>
      <c r="L12" s="7"/>
      <c r="M12" s="7"/>
    </row>
    <row r="13" spans="1:13" ht="17.25" customHeight="1">
      <c r="A13" s="8" t="s">
        <v>24</v>
      </c>
      <c r="B13" s="84"/>
      <c r="C13" s="8" t="s">
        <v>25</v>
      </c>
      <c r="D13" s="85"/>
      <c r="E13" s="6" t="s">
        <v>26</v>
      </c>
      <c r="F13" s="86"/>
      <c r="G13" s="297"/>
      <c r="H13" s="293"/>
      <c r="I13" s="300"/>
      <c r="J13" s="301"/>
      <c r="K13" s="5"/>
    </row>
    <row r="14" spans="1:13" ht="12.95" customHeight="1">
      <c r="A14" s="287" t="s">
        <v>27</v>
      </c>
      <c r="B14" s="287"/>
      <c r="C14" s="287"/>
      <c r="D14" s="287"/>
      <c r="E14" s="287"/>
      <c r="F14" s="287"/>
      <c r="G14" s="287"/>
      <c r="H14" s="287"/>
      <c r="I14" s="287"/>
      <c r="J14" s="287"/>
      <c r="K14" s="5"/>
    </row>
    <row r="15" spans="1:13" ht="39" customHeight="1">
      <c r="A15" s="284"/>
      <c r="B15" s="285"/>
      <c r="C15" s="285"/>
      <c r="D15" s="285"/>
      <c r="E15" s="285"/>
      <c r="F15" s="285"/>
      <c r="G15" s="285"/>
      <c r="H15" s="285"/>
      <c r="I15" s="285"/>
      <c r="J15" s="286"/>
    </row>
    <row r="16" spans="1:13" ht="12.95" customHeight="1">
      <c r="A16" s="287" t="s">
        <v>28</v>
      </c>
      <c r="B16" s="287"/>
      <c r="C16" s="287"/>
      <c r="D16" s="287"/>
      <c r="E16" s="287"/>
      <c r="F16" s="287"/>
      <c r="G16" s="287"/>
      <c r="H16" s="287"/>
      <c r="I16" s="287"/>
      <c r="J16" s="287"/>
    </row>
    <row r="17" spans="1:12" ht="12.95" customHeight="1">
      <c r="A17" s="3" t="s">
        <v>29</v>
      </c>
      <c r="B17" s="288" t="s">
        <v>30</v>
      </c>
      <c r="C17" s="289"/>
      <c r="D17" s="289"/>
      <c r="E17" s="289"/>
      <c r="F17" s="288" t="s">
        <v>31</v>
      </c>
      <c r="G17" s="289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82"/>
      <c r="C18" s="283"/>
      <c r="D18" s="283"/>
      <c r="E18" s="283"/>
      <c r="F18" s="282"/>
      <c r="G18" s="283"/>
      <c r="H18" s="40"/>
      <c r="I18" s="18"/>
      <c r="J18" s="83"/>
      <c r="L18" s="5"/>
    </row>
    <row r="19" spans="1:12" ht="12.95" customHeight="1">
      <c r="A19" s="35"/>
      <c r="B19" s="282"/>
      <c r="C19" s="283"/>
      <c r="D19" s="283"/>
      <c r="E19" s="283"/>
      <c r="F19" s="282"/>
      <c r="G19" s="283"/>
      <c r="H19" s="21"/>
      <c r="I19" s="21"/>
      <c r="J19" s="83"/>
      <c r="L19" s="5"/>
    </row>
    <row r="20" spans="1:12" ht="12.95" customHeight="1">
      <c r="A20" s="35"/>
      <c r="B20" s="282"/>
      <c r="C20" s="283"/>
      <c r="D20" s="283"/>
      <c r="E20" s="283"/>
      <c r="F20" s="282"/>
      <c r="G20" s="283"/>
      <c r="H20" s="32"/>
      <c r="I20" s="32"/>
      <c r="J20" s="83"/>
      <c r="L20" s="5"/>
    </row>
    <row r="21" spans="1:12" ht="12.95" customHeight="1">
      <c r="A21" s="35"/>
      <c r="B21" s="282"/>
      <c r="C21" s="283"/>
      <c r="D21" s="283"/>
      <c r="E21" s="283"/>
      <c r="F21" s="282"/>
      <c r="G21" s="283"/>
      <c r="H21" s="32"/>
      <c r="I21" s="9"/>
      <c r="J21" s="83"/>
      <c r="L21" s="5"/>
    </row>
    <row r="22" spans="1:12" ht="12.95" customHeight="1">
      <c r="A22" s="35"/>
      <c r="B22" s="282"/>
      <c r="C22" s="283"/>
      <c r="D22" s="283"/>
      <c r="E22" s="283"/>
      <c r="F22" s="282"/>
      <c r="G22" s="283"/>
      <c r="H22" s="20"/>
      <c r="I22" s="11"/>
      <c r="J22" s="83"/>
      <c r="L22" s="5"/>
    </row>
    <row r="23" spans="1:12" ht="12.95" customHeight="1">
      <c r="A23" s="35"/>
      <c r="B23" s="282"/>
      <c r="C23" s="283"/>
      <c r="D23" s="283"/>
      <c r="E23" s="283"/>
      <c r="F23" s="282"/>
      <c r="G23" s="283"/>
      <c r="H23" s="11"/>
      <c r="I23" s="9"/>
      <c r="J23" s="83"/>
      <c r="L23" s="5"/>
    </row>
    <row r="24" spans="1:12" ht="12.95" customHeight="1">
      <c r="A24" s="35"/>
      <c r="B24" s="282"/>
      <c r="C24" s="283"/>
      <c r="D24" s="283"/>
      <c r="E24" s="283"/>
      <c r="F24" s="282"/>
      <c r="G24" s="283"/>
      <c r="H24" s="16"/>
      <c r="I24" s="9"/>
      <c r="J24" s="83"/>
      <c r="L24" s="5"/>
    </row>
    <row r="25" spans="1:12" ht="12.95" customHeight="1">
      <c r="A25" s="35"/>
      <c r="B25" s="282"/>
      <c r="C25" s="283"/>
      <c r="D25" s="283"/>
      <c r="E25" s="283"/>
      <c r="F25" s="282"/>
      <c r="G25" s="283"/>
      <c r="H25" s="16"/>
      <c r="I25" s="9"/>
      <c r="J25" s="83"/>
      <c r="L25" s="5"/>
    </row>
    <row r="26" spans="1:12" ht="12.95" customHeight="1">
      <c r="A26" s="35"/>
      <c r="B26" s="282"/>
      <c r="C26" s="283"/>
      <c r="D26" s="283"/>
      <c r="E26" s="283"/>
      <c r="F26" s="282"/>
      <c r="G26" s="283"/>
      <c r="H26" s="16"/>
      <c r="I26" s="9"/>
      <c r="J26" s="83"/>
      <c r="L26" s="5"/>
    </row>
    <row r="27" spans="1:12" ht="12.95" customHeight="1">
      <c r="A27" s="35"/>
      <c r="B27" s="282"/>
      <c r="C27" s="283"/>
      <c r="D27" s="283"/>
      <c r="E27" s="283"/>
      <c r="F27" s="282"/>
      <c r="G27" s="283"/>
      <c r="H27" s="9"/>
      <c r="I27" s="9"/>
      <c r="J27" s="83"/>
    </row>
    <row r="28" spans="1:12" ht="12.95" customHeight="1">
      <c r="A28" s="35"/>
      <c r="B28" s="282"/>
      <c r="C28" s="283"/>
      <c r="D28" s="283"/>
      <c r="E28" s="283"/>
      <c r="F28" s="282"/>
      <c r="G28" s="283"/>
      <c r="H28" s="9"/>
      <c r="I28" s="9"/>
      <c r="J28" s="83"/>
    </row>
    <row r="29" spans="1:12" ht="12.95" customHeight="1">
      <c r="A29" s="35"/>
      <c r="B29" s="282"/>
      <c r="C29" s="283"/>
      <c r="D29" s="283"/>
      <c r="E29" s="283"/>
      <c r="F29" s="282"/>
      <c r="G29" s="283"/>
      <c r="H29" s="9"/>
      <c r="I29" s="9"/>
      <c r="J29" s="83"/>
    </row>
    <row r="30" spans="1:12" ht="12.95" customHeight="1">
      <c r="A30" s="35"/>
      <c r="B30" s="282"/>
      <c r="C30" s="283"/>
      <c r="D30" s="283"/>
      <c r="E30" s="283"/>
      <c r="F30" s="282"/>
      <c r="G30" s="283"/>
      <c r="H30" s="9"/>
      <c r="I30" s="9"/>
      <c r="J30" s="83"/>
    </row>
    <row r="31" spans="1:12" ht="12.95" customHeight="1">
      <c r="A31" s="35"/>
      <c r="B31" s="282"/>
      <c r="C31" s="283"/>
      <c r="D31" s="283"/>
      <c r="E31" s="283"/>
      <c r="F31" s="282"/>
      <c r="G31" s="283"/>
      <c r="H31" s="9"/>
      <c r="I31" s="9"/>
      <c r="J31" s="83"/>
    </row>
    <row r="32" spans="1:12" ht="12.95" customHeight="1">
      <c r="A32" s="35"/>
      <c r="B32" s="282"/>
      <c r="C32" s="283"/>
      <c r="D32" s="283"/>
      <c r="E32" s="283"/>
      <c r="F32" s="282"/>
      <c r="G32" s="283"/>
      <c r="H32" s="9"/>
      <c r="I32" s="9"/>
      <c r="J32" s="83"/>
    </row>
    <row r="33" spans="1:10" ht="12.95" customHeight="1">
      <c r="A33" s="35"/>
      <c r="B33" s="282"/>
      <c r="C33" s="283"/>
      <c r="D33" s="283"/>
      <c r="E33" s="283"/>
      <c r="F33" s="282"/>
      <c r="G33" s="283"/>
      <c r="H33" s="9"/>
      <c r="I33" s="9"/>
      <c r="J33" s="83"/>
    </row>
    <row r="34" spans="1:10" ht="12.95" customHeight="1">
      <c r="A34" s="35"/>
      <c r="B34" s="282"/>
      <c r="C34" s="283"/>
      <c r="D34" s="283"/>
      <c r="E34" s="283"/>
      <c r="F34" s="282"/>
      <c r="G34" s="283"/>
      <c r="H34" s="9"/>
      <c r="I34" s="9"/>
      <c r="J34" s="83"/>
    </row>
    <row r="35" spans="1:10" ht="12.95" customHeight="1">
      <c r="A35" s="35"/>
      <c r="B35" s="282"/>
      <c r="C35" s="283"/>
      <c r="D35" s="283"/>
      <c r="E35" s="283"/>
      <c r="F35" s="282"/>
      <c r="G35" s="283"/>
      <c r="H35" s="9"/>
      <c r="I35" s="9"/>
      <c r="J35" s="83"/>
    </row>
    <row r="36" spans="1:10" ht="12.95" customHeight="1">
      <c r="A36" s="35"/>
      <c r="B36" s="282"/>
      <c r="C36" s="283"/>
      <c r="D36" s="283"/>
      <c r="E36" s="283"/>
      <c r="F36" s="282"/>
      <c r="G36" s="283"/>
      <c r="H36" s="9"/>
      <c r="I36" s="9"/>
      <c r="J36" s="83"/>
    </row>
    <row r="37" spans="1:10" ht="12.95" customHeight="1">
      <c r="A37" s="35"/>
      <c r="B37" s="282"/>
      <c r="C37" s="283"/>
      <c r="D37" s="283"/>
      <c r="E37" s="283"/>
      <c r="F37" s="282"/>
      <c r="G37" s="283"/>
      <c r="H37" s="9"/>
      <c r="I37" s="9"/>
      <c r="J37" s="83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68" t="s">
        <v>37</v>
      </c>
      <c r="B39" s="268"/>
      <c r="C39" s="268"/>
      <c r="D39" s="268"/>
      <c r="E39" s="268"/>
      <c r="F39" s="269" t="s">
        <v>38</v>
      </c>
      <c r="G39" s="272"/>
      <c r="H39" s="273"/>
      <c r="I39" s="273"/>
      <c r="J39" s="274"/>
    </row>
    <row r="40" spans="1:10" ht="12.95" customHeight="1">
      <c r="A40" s="268" t="s">
        <v>39</v>
      </c>
      <c r="B40" s="268"/>
      <c r="C40" s="268"/>
      <c r="D40" s="268"/>
      <c r="E40" s="268"/>
      <c r="F40" s="270"/>
      <c r="G40" s="275"/>
      <c r="H40" s="276"/>
      <c r="I40" s="276"/>
      <c r="J40" s="277"/>
    </row>
    <row r="41" spans="1:10" ht="12.95" customHeight="1">
      <c r="A41" s="268" t="s">
        <v>40</v>
      </c>
      <c r="B41" s="268"/>
      <c r="C41" s="268"/>
      <c r="D41" s="268"/>
      <c r="E41" s="268"/>
      <c r="F41" s="270"/>
      <c r="G41" s="275"/>
      <c r="H41" s="276"/>
      <c r="I41" s="276"/>
      <c r="J41" s="277"/>
    </row>
    <row r="42" spans="1:10" ht="12.95" customHeight="1">
      <c r="A42" s="268" t="s">
        <v>41</v>
      </c>
      <c r="B42" s="268"/>
      <c r="C42" s="281" t="s">
        <v>42</v>
      </c>
      <c r="D42" s="281"/>
      <c r="E42" s="281"/>
      <c r="F42" s="271"/>
      <c r="G42" s="278"/>
      <c r="H42" s="279"/>
      <c r="I42" s="279"/>
      <c r="J42" s="280"/>
    </row>
    <row r="43" spans="1:10" ht="12.95" customHeight="1">
      <c r="A43" s="267" t="s">
        <v>52</v>
      </c>
      <c r="B43" s="267"/>
      <c r="C43" s="267" t="e">
        <f ca="1">Calcu!Q3</f>
        <v>#VALUE!</v>
      </c>
      <c r="D43" s="267"/>
      <c r="E43" s="267"/>
    </row>
    <row r="46" spans="1:10" ht="12.95" customHeight="1">
      <c r="B46" s="1" t="s">
        <v>96</v>
      </c>
    </row>
    <row r="47" spans="1:10" ht="12.95" customHeight="1">
      <c r="B47" s="1" t="s">
        <v>97</v>
      </c>
    </row>
    <row r="48" spans="1:10" ht="12.95" customHeight="1">
      <c r="A48" s="1">
        <f>Calcu!K82</f>
        <v>13000</v>
      </c>
      <c r="B48" s="1" t="s">
        <v>98</v>
      </c>
    </row>
    <row r="49" spans="1:2" ht="12.95" customHeight="1">
      <c r="A49" s="106"/>
    </row>
    <row r="50" spans="1:2" ht="12.95" customHeight="1">
      <c r="A50" s="1" t="str">
        <f>Calcu!R3</f>
        <v>PASS</v>
      </c>
      <c r="B50" s="1" t="s">
        <v>99</v>
      </c>
    </row>
    <row r="52" spans="1:2" ht="12.95" customHeight="1">
      <c r="B52" s="1" t="s">
        <v>761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2" bestFit="1" customWidth="1"/>
    <col min="2" max="2" width="6.6640625" style="92" bestFit="1" customWidth="1"/>
    <col min="3" max="3" width="8.88671875" style="92"/>
    <col min="4" max="4" width="6.6640625" style="92" bestFit="1" customWidth="1"/>
    <col min="5" max="13" width="1.77734375" style="92" customWidth="1"/>
    <col min="14" max="15" width="6" style="92" bestFit="1" customWidth="1"/>
    <col min="16" max="16" width="7.5546875" style="92" bestFit="1" customWidth="1"/>
    <col min="17" max="17" width="4" style="92" bestFit="1" customWidth="1"/>
    <col min="18" max="18" width="5.33203125" style="92" bestFit="1" customWidth="1"/>
    <col min="19" max="19" width="4" style="92" bestFit="1" customWidth="1"/>
    <col min="20" max="21" width="6.5546875" style="92" bestFit="1" customWidth="1"/>
    <col min="22" max="22" width="8.44140625" style="92" bestFit="1" customWidth="1"/>
    <col min="23" max="23" width="6.6640625" style="92" bestFit="1" customWidth="1"/>
    <col min="24" max="24" width="5.33203125" style="92" bestFit="1" customWidth="1"/>
    <col min="25" max="25" width="6.6640625" style="92" bestFit="1" customWidth="1"/>
    <col min="26" max="26" width="5.33203125" style="92" bestFit="1" customWidth="1"/>
    <col min="27" max="27" width="4" style="92" bestFit="1" customWidth="1"/>
    <col min="28" max="28" width="8" style="92" bestFit="1" customWidth="1"/>
    <col min="29" max="34" width="1.77734375" style="92" customWidth="1"/>
    <col min="35" max="35" width="7.5546875" style="92" bestFit="1" customWidth="1"/>
    <col min="36" max="16384" width="8.88671875" style="92"/>
  </cols>
  <sheetData>
    <row r="1" spans="1:36">
      <c r="A1" s="112" t="s">
        <v>82</v>
      </c>
      <c r="B1" s="112" t="s">
        <v>63</v>
      </c>
      <c r="C1" s="112" t="s">
        <v>64</v>
      </c>
      <c r="D1" s="112" t="s">
        <v>83</v>
      </c>
      <c r="E1" s="112"/>
      <c r="F1" s="112"/>
      <c r="G1" s="112"/>
      <c r="H1" s="112"/>
      <c r="I1" s="112"/>
      <c r="J1" s="112"/>
      <c r="K1" s="112"/>
      <c r="L1" s="112"/>
      <c r="M1" s="112"/>
      <c r="N1" s="112" t="s">
        <v>84</v>
      </c>
      <c r="O1" s="112" t="s">
        <v>85</v>
      </c>
      <c r="P1" s="112" t="s">
        <v>65</v>
      </c>
      <c r="Q1" s="112" t="s">
        <v>86</v>
      </c>
      <c r="R1" s="112" t="s">
        <v>67</v>
      </c>
      <c r="S1" s="112" t="s">
        <v>66</v>
      </c>
      <c r="T1" s="112" t="s">
        <v>68</v>
      </c>
      <c r="U1" s="112" t="s">
        <v>87</v>
      </c>
      <c r="V1" s="112" t="s">
        <v>69</v>
      </c>
      <c r="W1" s="112" t="s">
        <v>193</v>
      </c>
      <c r="X1" s="112"/>
      <c r="Y1" s="112" t="s">
        <v>189</v>
      </c>
      <c r="Z1" s="112" t="s">
        <v>190</v>
      </c>
      <c r="AA1" s="112" t="s">
        <v>191</v>
      </c>
      <c r="AB1" s="112" t="s">
        <v>192</v>
      </c>
      <c r="AC1" s="112"/>
      <c r="AD1" s="112"/>
      <c r="AE1" s="112"/>
      <c r="AF1" s="112"/>
      <c r="AG1" s="112"/>
      <c r="AH1" s="112"/>
      <c r="AI1" s="112" t="s">
        <v>88</v>
      </c>
      <c r="AJ1" s="146" t="s">
        <v>95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54"/>
  <sheetViews>
    <sheetView zoomScaleNormal="100" workbookViewId="0"/>
  </sheetViews>
  <sheetFormatPr defaultColWidth="9" defaultRowHeight="17.100000000000001" customHeight="1"/>
  <cols>
    <col min="1" max="35" width="10.44140625" style="33" customWidth="1"/>
    <col min="36" max="16384" width="9" style="33"/>
  </cols>
  <sheetData>
    <row r="1" spans="1:24" s="12" customFormat="1" ht="33" customHeight="1">
      <c r="A1" s="15" t="s">
        <v>79</v>
      </c>
    </row>
    <row r="2" spans="1:24" s="12" customFormat="1" ht="17.100000000000001" customHeight="1">
      <c r="A2" s="17" t="s">
        <v>43</v>
      </c>
      <c r="E2" s="93" t="s">
        <v>62</v>
      </c>
      <c r="H2" s="93" t="s">
        <v>71</v>
      </c>
      <c r="L2" s="17" t="s">
        <v>44</v>
      </c>
      <c r="O2" s="17" t="s">
        <v>45</v>
      </c>
      <c r="T2" s="17" t="s">
        <v>168</v>
      </c>
    </row>
    <row r="3" spans="1:24" s="12" customFormat="1" ht="13.5">
      <c r="A3" s="14" t="s">
        <v>166</v>
      </c>
      <c r="B3" s="14" t="s">
        <v>167</v>
      </c>
      <c r="C3" s="14" t="s">
        <v>80</v>
      </c>
      <c r="D3" s="14" t="s">
        <v>60</v>
      </c>
      <c r="E3" s="14" t="s">
        <v>55</v>
      </c>
      <c r="F3" s="14" t="s">
        <v>56</v>
      </c>
      <c r="G3" s="14" t="s">
        <v>51</v>
      </c>
      <c r="H3" s="13" t="s">
        <v>46</v>
      </c>
      <c r="I3" s="14" t="s">
        <v>61</v>
      </c>
      <c r="J3" s="14" t="s">
        <v>72</v>
      </c>
      <c r="K3" s="14" t="s">
        <v>47</v>
      </c>
      <c r="L3" s="14" t="s">
        <v>48</v>
      </c>
      <c r="M3" s="41" t="s">
        <v>49</v>
      </c>
      <c r="N3" s="41" t="s">
        <v>50</v>
      </c>
      <c r="O3" s="41" t="s">
        <v>161</v>
      </c>
      <c r="P3" s="41" t="s">
        <v>162</v>
      </c>
      <c r="Q3" s="108" t="s">
        <v>163</v>
      </c>
      <c r="R3" s="108" t="s">
        <v>164</v>
      </c>
      <c r="S3" s="41" t="s">
        <v>165</v>
      </c>
      <c r="T3" s="41" t="s">
        <v>161</v>
      </c>
      <c r="U3" s="41" t="s">
        <v>162</v>
      </c>
      <c r="V3" s="108" t="s">
        <v>163</v>
      </c>
      <c r="W3" s="108" t="s">
        <v>164</v>
      </c>
      <c r="X3" s="41" t="s">
        <v>165</v>
      </c>
    </row>
    <row r="4" spans="1:24" s="12" customFormat="1" ht="17.100000000000001" customHeight="1">
      <c r="A4" s="107"/>
      <c r="B4" s="107"/>
      <c r="C4" s="107"/>
      <c r="D4" s="23"/>
      <c r="E4" s="23"/>
      <c r="F4" s="55"/>
      <c r="G4" s="42"/>
      <c r="H4" s="23"/>
      <c r="I4" s="23"/>
      <c r="J4" s="94"/>
      <c r="K4" s="42"/>
      <c r="L4" s="23"/>
      <c r="M4" s="23"/>
      <c r="N4" s="23"/>
      <c r="O4" s="23"/>
      <c r="P4" s="23"/>
      <c r="Q4" s="109"/>
      <c r="R4" s="109"/>
      <c r="S4" s="23"/>
      <c r="T4" s="23"/>
      <c r="U4" s="23"/>
      <c r="V4" s="109"/>
      <c r="W4" s="109"/>
      <c r="X4" s="23"/>
    </row>
    <row r="5" spans="1:24" s="12" customFormat="1" ht="17.100000000000001" customHeight="1">
      <c r="A5" s="107"/>
      <c r="B5" s="107"/>
      <c r="C5" s="107"/>
      <c r="D5" s="23"/>
      <c r="E5" s="23"/>
      <c r="F5" s="55"/>
      <c r="G5" s="42"/>
      <c r="H5" s="23"/>
      <c r="I5" s="23"/>
      <c r="J5" s="94"/>
      <c r="K5" s="42"/>
      <c r="L5" s="23"/>
      <c r="M5" s="24"/>
      <c r="N5" s="24"/>
      <c r="O5" s="24"/>
      <c r="P5" s="24"/>
      <c r="Q5" s="110"/>
      <c r="R5" s="110"/>
      <c r="S5" s="24"/>
    </row>
    <row r="6" spans="1:24" s="12" customFormat="1" ht="17.100000000000001" customHeight="1">
      <c r="A6" s="107"/>
      <c r="B6" s="107"/>
      <c r="C6" s="107"/>
      <c r="D6" s="23"/>
      <c r="E6" s="23"/>
      <c r="F6" s="55"/>
      <c r="G6" s="42"/>
      <c r="H6" s="23"/>
      <c r="I6" s="23"/>
      <c r="J6" s="94"/>
      <c r="K6" s="42"/>
      <c r="L6" s="23"/>
      <c r="M6" s="24"/>
      <c r="N6" s="24"/>
      <c r="O6" s="24"/>
      <c r="P6" s="24"/>
      <c r="Q6" s="110"/>
      <c r="R6" s="110"/>
      <c r="S6" s="24"/>
      <c r="T6" s="17" t="s">
        <v>169</v>
      </c>
    </row>
    <row r="7" spans="1:24" s="12" customFormat="1" ht="17.100000000000001" customHeight="1">
      <c r="A7" s="107"/>
      <c r="B7" s="107"/>
      <c r="C7" s="107"/>
      <c r="D7" s="23"/>
      <c r="E7" s="23"/>
      <c r="F7" s="55"/>
      <c r="G7" s="42"/>
      <c r="H7" s="23"/>
      <c r="I7" s="23"/>
      <c r="J7" s="94"/>
      <c r="K7" s="42"/>
      <c r="L7" s="23"/>
      <c r="M7" s="24"/>
      <c r="N7" s="24"/>
      <c r="O7" s="24"/>
      <c r="P7" s="24"/>
      <c r="Q7" s="110"/>
      <c r="R7" s="110"/>
      <c r="S7" s="24"/>
      <c r="T7" s="41" t="s">
        <v>161</v>
      </c>
    </row>
    <row r="8" spans="1:24" s="12" customFormat="1" ht="17.100000000000001" customHeight="1">
      <c r="A8" s="107"/>
      <c r="B8" s="107"/>
      <c r="C8" s="107"/>
      <c r="D8" s="23"/>
      <c r="E8" s="23"/>
      <c r="F8" s="55"/>
      <c r="G8" s="42"/>
      <c r="H8" s="23"/>
      <c r="I8" s="23"/>
      <c r="J8" s="94"/>
      <c r="K8" s="42"/>
      <c r="L8" s="23"/>
      <c r="M8" s="24"/>
      <c r="N8" s="24"/>
      <c r="O8" s="24"/>
      <c r="P8" s="24"/>
      <c r="Q8" s="110"/>
      <c r="R8" s="110"/>
      <c r="S8" s="24"/>
      <c r="T8" s="23"/>
    </row>
    <row r="9" spans="1:24" s="12" customFormat="1" ht="17.100000000000001" customHeight="1">
      <c r="A9" s="107"/>
      <c r="B9" s="107"/>
      <c r="C9" s="107"/>
      <c r="D9" s="23"/>
      <c r="E9" s="23"/>
      <c r="F9" s="55"/>
      <c r="G9" s="42"/>
      <c r="H9" s="23"/>
      <c r="I9" s="23"/>
      <c r="J9" s="94"/>
      <c r="K9" s="42"/>
      <c r="L9" s="23"/>
      <c r="M9" s="24"/>
      <c r="N9" s="24"/>
      <c r="O9" s="24"/>
      <c r="P9" s="24"/>
      <c r="Q9" s="110"/>
      <c r="R9" s="110"/>
      <c r="S9" s="24"/>
    </row>
    <row r="10" spans="1:24" s="12" customFormat="1" ht="17.100000000000001" customHeight="1">
      <c r="A10" s="107"/>
      <c r="B10" s="107"/>
      <c r="C10" s="107"/>
      <c r="D10" s="23"/>
      <c r="E10" s="23"/>
      <c r="F10" s="55"/>
      <c r="G10" s="42"/>
      <c r="H10" s="23"/>
      <c r="I10" s="23"/>
      <c r="J10" s="94"/>
      <c r="K10" s="42"/>
      <c r="L10" s="23"/>
      <c r="M10" s="24"/>
      <c r="N10" s="24"/>
      <c r="O10" s="24"/>
      <c r="P10" s="24"/>
      <c r="Q10" s="110"/>
      <c r="R10" s="110"/>
      <c r="S10" s="24"/>
    </row>
    <row r="11" spans="1:24" s="12" customFormat="1" ht="17.100000000000001" customHeight="1">
      <c r="A11" s="107"/>
      <c r="B11" s="107"/>
      <c r="C11" s="107"/>
      <c r="D11" s="23"/>
      <c r="E11" s="23"/>
      <c r="F11" s="55"/>
      <c r="G11" s="42"/>
      <c r="H11" s="23"/>
      <c r="I11" s="23"/>
      <c r="J11" s="94"/>
      <c r="K11" s="42"/>
      <c r="L11" s="23"/>
      <c r="M11" s="24"/>
      <c r="N11" s="24"/>
      <c r="O11" s="24"/>
      <c r="P11" s="24"/>
      <c r="Q11" s="110"/>
      <c r="R11" s="110"/>
      <c r="S11" s="24"/>
    </row>
    <row r="12" spans="1:24" s="12" customFormat="1" ht="17.100000000000001" customHeight="1">
      <c r="A12" s="107"/>
      <c r="B12" s="107"/>
      <c r="C12" s="107"/>
      <c r="D12" s="23"/>
      <c r="E12" s="23"/>
      <c r="F12" s="55"/>
      <c r="G12" s="42"/>
      <c r="H12" s="23"/>
      <c r="I12" s="23"/>
      <c r="J12" s="94"/>
      <c r="K12" s="42"/>
      <c r="L12" s="23"/>
      <c r="M12" s="24"/>
      <c r="N12" s="24"/>
      <c r="O12" s="24"/>
      <c r="P12" s="24"/>
      <c r="Q12" s="110"/>
      <c r="R12" s="110"/>
      <c r="S12" s="24"/>
    </row>
    <row r="13" spans="1:24" s="12" customFormat="1" ht="17.100000000000001" customHeight="1">
      <c r="A13" s="107"/>
      <c r="B13" s="107"/>
      <c r="C13" s="107"/>
      <c r="D13" s="23"/>
      <c r="E13" s="23"/>
      <c r="F13" s="55"/>
      <c r="G13" s="42"/>
      <c r="H13" s="23"/>
      <c r="I13" s="23"/>
      <c r="J13" s="94"/>
      <c r="K13" s="42"/>
      <c r="L13" s="23"/>
      <c r="M13" s="24"/>
      <c r="N13" s="24"/>
      <c r="O13" s="24"/>
      <c r="P13" s="24"/>
      <c r="Q13" s="110"/>
      <c r="R13" s="110"/>
      <c r="S13" s="24"/>
    </row>
    <row r="14" spans="1:24" s="12" customFormat="1" ht="17.100000000000001" customHeight="1">
      <c r="A14" s="107"/>
      <c r="B14" s="107"/>
      <c r="C14" s="107"/>
      <c r="D14" s="23"/>
      <c r="E14" s="23"/>
      <c r="F14" s="55"/>
      <c r="G14" s="42"/>
      <c r="H14" s="23"/>
      <c r="I14" s="23"/>
      <c r="J14" s="94"/>
      <c r="K14" s="42"/>
      <c r="L14" s="23"/>
      <c r="M14" s="24"/>
      <c r="N14" s="24"/>
      <c r="O14" s="24"/>
      <c r="P14" s="24"/>
      <c r="Q14" s="110"/>
      <c r="R14" s="110"/>
      <c r="S14" s="24"/>
    </row>
    <row r="15" spans="1:24" s="12" customFormat="1" ht="17.100000000000001" customHeight="1">
      <c r="A15" s="107"/>
      <c r="B15" s="107"/>
      <c r="C15" s="107"/>
      <c r="D15" s="23"/>
      <c r="E15" s="23"/>
      <c r="F15" s="55"/>
      <c r="G15" s="42"/>
      <c r="H15" s="23"/>
      <c r="I15" s="23"/>
      <c r="J15" s="94"/>
      <c r="K15" s="42"/>
      <c r="L15" s="24"/>
      <c r="M15" s="24"/>
      <c r="N15" s="24"/>
      <c r="O15" s="24"/>
      <c r="P15" s="24"/>
      <c r="Q15" s="110"/>
      <c r="R15" s="110"/>
      <c r="S15" s="24"/>
    </row>
    <row r="16" spans="1:24" s="12" customFormat="1" ht="17.100000000000001" customHeight="1">
      <c r="A16" s="107"/>
      <c r="B16" s="107"/>
      <c r="C16" s="107"/>
      <c r="D16" s="23"/>
      <c r="E16" s="23"/>
      <c r="F16" s="55"/>
      <c r="G16" s="42"/>
      <c r="H16" s="23"/>
      <c r="I16" s="23"/>
      <c r="J16" s="94"/>
      <c r="K16" s="42"/>
      <c r="L16" s="24"/>
      <c r="M16" s="24"/>
      <c r="N16" s="24"/>
      <c r="O16" s="24"/>
      <c r="P16" s="24"/>
      <c r="Q16" s="110"/>
      <c r="R16" s="110"/>
      <c r="S16" s="24"/>
    </row>
    <row r="17" spans="1:19" s="12" customFormat="1" ht="17.100000000000001" customHeight="1">
      <c r="A17" s="107"/>
      <c r="B17" s="107"/>
      <c r="C17" s="107"/>
      <c r="D17" s="23"/>
      <c r="E17" s="23"/>
      <c r="F17" s="55"/>
      <c r="G17" s="42"/>
      <c r="H17" s="23"/>
      <c r="I17" s="23"/>
      <c r="J17" s="94"/>
      <c r="K17" s="42"/>
      <c r="L17" s="24"/>
      <c r="M17" s="24"/>
      <c r="N17" s="24"/>
      <c r="O17" s="24"/>
      <c r="P17" s="24"/>
      <c r="Q17" s="110"/>
      <c r="R17" s="110"/>
      <c r="S17" s="24"/>
    </row>
    <row r="18" spans="1:19" s="12" customFormat="1" ht="17.100000000000001" customHeight="1">
      <c r="A18" s="107"/>
      <c r="B18" s="107"/>
      <c r="C18" s="107"/>
      <c r="D18" s="23"/>
      <c r="E18" s="23"/>
      <c r="F18" s="55"/>
      <c r="G18" s="42"/>
      <c r="H18" s="23"/>
      <c r="I18" s="23"/>
      <c r="J18" s="94"/>
      <c r="K18" s="42"/>
      <c r="L18" s="24"/>
      <c r="M18" s="24"/>
      <c r="N18" s="24"/>
      <c r="O18" s="24"/>
      <c r="P18" s="24"/>
      <c r="Q18" s="110"/>
      <c r="R18" s="110"/>
      <c r="S18" s="24"/>
    </row>
    <row r="19" spans="1:19" s="12" customFormat="1" ht="17.100000000000001" customHeight="1">
      <c r="A19" s="107"/>
      <c r="B19" s="107"/>
      <c r="C19" s="107"/>
      <c r="D19" s="109"/>
      <c r="E19" s="109"/>
      <c r="F19" s="109"/>
      <c r="G19" s="109"/>
      <c r="H19" s="109"/>
      <c r="I19" s="109"/>
      <c r="J19" s="109"/>
      <c r="K19" s="109"/>
      <c r="L19" s="110"/>
      <c r="M19" s="110"/>
      <c r="N19" s="110"/>
      <c r="O19" s="110"/>
      <c r="P19" s="110"/>
      <c r="Q19" s="110"/>
      <c r="R19" s="110"/>
      <c r="S19" s="110"/>
    </row>
    <row r="20" spans="1:19" s="12" customFormat="1" ht="17.100000000000001" customHeight="1">
      <c r="A20" s="107"/>
      <c r="B20" s="107"/>
      <c r="C20" s="107"/>
      <c r="D20" s="109"/>
      <c r="E20" s="109"/>
      <c r="F20" s="109"/>
      <c r="G20" s="109"/>
      <c r="H20" s="109"/>
      <c r="I20" s="109"/>
      <c r="J20" s="109"/>
      <c r="K20" s="109"/>
      <c r="L20" s="110"/>
      <c r="M20" s="110"/>
      <c r="N20" s="110"/>
      <c r="O20" s="110"/>
      <c r="P20" s="110"/>
      <c r="Q20" s="110"/>
      <c r="R20" s="110"/>
      <c r="S20" s="110"/>
    </row>
    <row r="21" spans="1:19" s="12" customFormat="1" ht="17.100000000000001" customHeight="1">
      <c r="A21" s="107"/>
      <c r="B21" s="107"/>
      <c r="C21" s="107"/>
      <c r="D21" s="109"/>
      <c r="E21" s="109"/>
      <c r="F21" s="109"/>
      <c r="G21" s="109"/>
      <c r="H21" s="109"/>
      <c r="I21" s="109"/>
      <c r="J21" s="109"/>
      <c r="K21" s="109"/>
      <c r="L21" s="110"/>
      <c r="M21" s="110"/>
      <c r="N21" s="110"/>
      <c r="O21" s="110"/>
      <c r="P21" s="110"/>
      <c r="Q21" s="110"/>
      <c r="R21" s="110"/>
      <c r="S21" s="110"/>
    </row>
    <row r="22" spans="1:19" s="12" customFormat="1" ht="17.100000000000001" customHeight="1">
      <c r="A22" s="107"/>
      <c r="B22" s="107"/>
      <c r="C22" s="107"/>
      <c r="D22" s="109"/>
      <c r="E22" s="109"/>
      <c r="F22" s="109"/>
      <c r="G22" s="109"/>
      <c r="H22" s="109"/>
      <c r="I22" s="109"/>
      <c r="J22" s="109"/>
      <c r="K22" s="109"/>
      <c r="L22" s="110"/>
      <c r="M22" s="110"/>
      <c r="N22" s="110"/>
      <c r="O22" s="110"/>
      <c r="P22" s="110"/>
      <c r="Q22" s="110"/>
      <c r="R22" s="110"/>
      <c r="S22" s="110"/>
    </row>
    <row r="23" spans="1:19" s="12" customFormat="1" ht="17.100000000000001" customHeight="1">
      <c r="A23" s="107"/>
      <c r="B23" s="107"/>
      <c r="C23" s="107"/>
      <c r="D23" s="109"/>
      <c r="E23" s="109"/>
      <c r="F23" s="109"/>
      <c r="G23" s="109"/>
      <c r="H23" s="109"/>
      <c r="I23" s="109"/>
      <c r="J23" s="109"/>
      <c r="K23" s="109"/>
      <c r="L23" s="110"/>
      <c r="M23" s="110"/>
      <c r="N23" s="110"/>
      <c r="O23" s="110"/>
      <c r="P23" s="110"/>
      <c r="Q23" s="110"/>
      <c r="R23" s="110"/>
      <c r="S23" s="110"/>
    </row>
    <row r="24" spans="1:19" s="12" customFormat="1" ht="17.100000000000001" customHeight="1"/>
    <row r="25" spans="1:19" s="12" customFormat="1" ht="17.100000000000001" customHeight="1">
      <c r="A25" s="17" t="s">
        <v>81</v>
      </c>
    </row>
    <row r="26" spans="1:19" s="19" customFormat="1" ht="18" customHeight="1">
      <c r="A26" s="154" t="s">
        <v>170</v>
      </c>
      <c r="B26" s="154" t="s">
        <v>201</v>
      </c>
      <c r="C26" s="154" t="s">
        <v>202</v>
      </c>
      <c r="D26" s="154" t="s">
        <v>207</v>
      </c>
      <c r="E26" s="154" t="s">
        <v>206</v>
      </c>
      <c r="F26" s="154" t="s">
        <v>759</v>
      </c>
      <c r="G26" s="154" t="s">
        <v>760</v>
      </c>
      <c r="H26" s="154" t="s">
        <v>203</v>
      </c>
      <c r="I26" s="154" t="s">
        <v>127</v>
      </c>
      <c r="J26" s="154" t="s">
        <v>758</v>
      </c>
      <c r="K26" s="154" t="s">
        <v>205</v>
      </c>
      <c r="L26" s="12"/>
      <c r="M26" s="12"/>
    </row>
    <row r="27" spans="1:19" ht="17.100000000000001" customHeight="1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2"/>
      <c r="M27" s="12"/>
    </row>
    <row r="28" spans="1:19" ht="17.100000000000001" customHeight="1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2"/>
      <c r="M28" s="12"/>
    </row>
    <row r="29" spans="1:19" ht="17.100000000000001" customHeight="1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2"/>
      <c r="M29" s="12"/>
    </row>
    <row r="30" spans="1:19" ht="17.100000000000001" customHeight="1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2"/>
      <c r="M30" s="12"/>
    </row>
    <row r="31" spans="1:19" ht="17.100000000000001" customHeight="1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2"/>
      <c r="M31" s="12"/>
    </row>
    <row r="32" spans="1:19" ht="17.100000000000001" customHeight="1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2"/>
      <c r="M32" s="12"/>
    </row>
    <row r="33" spans="1:13" ht="17.100000000000001" customHeight="1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2"/>
      <c r="M33" s="12"/>
    </row>
    <row r="34" spans="1:13" ht="17.100000000000001" customHeight="1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2"/>
      <c r="M34" s="12"/>
    </row>
    <row r="35" spans="1:13" ht="17.100000000000001" customHeight="1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2"/>
      <c r="M35" s="12"/>
    </row>
    <row r="36" spans="1:13" ht="17.100000000000001" customHeight="1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2"/>
      <c r="M36" s="12"/>
    </row>
    <row r="37" spans="1:13" ht="17.100000000000001" customHeight="1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2"/>
      <c r="M37" s="12"/>
    </row>
    <row r="38" spans="1:13" ht="17.100000000000001" customHeight="1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2"/>
      <c r="M38" s="12"/>
    </row>
    <row r="39" spans="1:13" ht="17.100000000000001" customHeight="1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2"/>
      <c r="M39" s="12"/>
    </row>
    <row r="40" spans="1:13" ht="17.100000000000001" customHeight="1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2"/>
      <c r="M40" s="12"/>
    </row>
    <row r="41" spans="1:13" ht="17.100000000000001" customHeight="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2"/>
      <c r="M41" s="12"/>
    </row>
    <row r="42" spans="1:13" ht="17.100000000000001" customHeight="1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2"/>
      <c r="M42" s="12"/>
    </row>
    <row r="43" spans="1:13" ht="17.100000000000001" customHeight="1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2"/>
      <c r="M43" s="12"/>
    </row>
    <row r="44" spans="1:13" ht="17.100000000000001" customHeight="1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2"/>
      <c r="M44" s="12"/>
    </row>
    <row r="45" spans="1:13" ht="17.100000000000001" customHeight="1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2"/>
      <c r="M45" s="12"/>
    </row>
    <row r="46" spans="1:13" ht="17.100000000000001" customHeight="1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2"/>
      <c r="M46" s="12"/>
    </row>
    <row r="48" spans="1:13" ht="17.100000000000001" customHeight="1">
      <c r="A48" s="17" t="s">
        <v>199</v>
      </c>
    </row>
    <row r="49" spans="1:36" ht="17.100000000000001" customHeight="1">
      <c r="A49" s="154" t="s">
        <v>173</v>
      </c>
      <c r="B49" s="154" t="s">
        <v>174</v>
      </c>
      <c r="C49" s="154" t="s">
        <v>175</v>
      </c>
      <c r="D49" s="154" t="s">
        <v>176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 t="s">
        <v>171</v>
      </c>
      <c r="O49" s="154" t="s">
        <v>177</v>
      </c>
      <c r="P49" s="154" t="s">
        <v>178</v>
      </c>
      <c r="Q49" s="154" t="s">
        <v>179</v>
      </c>
      <c r="R49" s="154" t="s">
        <v>180</v>
      </c>
      <c r="S49" s="154" t="s">
        <v>172</v>
      </c>
      <c r="T49" s="154" t="s">
        <v>181</v>
      </c>
      <c r="U49" s="154"/>
      <c r="V49" s="154" t="s">
        <v>182</v>
      </c>
      <c r="W49" s="154" t="s">
        <v>183</v>
      </c>
      <c r="X49" s="154"/>
      <c r="Y49" s="154" t="s">
        <v>184</v>
      </c>
      <c r="Z49" s="154" t="s">
        <v>185</v>
      </c>
      <c r="AA49" s="154" t="s">
        <v>172</v>
      </c>
      <c r="AB49" s="154" t="s">
        <v>186</v>
      </c>
      <c r="AC49" s="154"/>
      <c r="AD49" s="154"/>
      <c r="AE49" s="154"/>
      <c r="AF49" s="154"/>
      <c r="AG49" s="154"/>
      <c r="AH49" s="154"/>
      <c r="AI49" s="154" t="s">
        <v>187</v>
      </c>
      <c r="AJ49" s="154" t="s">
        <v>188</v>
      </c>
    </row>
    <row r="50" spans="1:36" ht="17.100000000000001" customHeight="1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</row>
    <row r="52" spans="1:36" ht="17.100000000000001" customHeight="1">
      <c r="A52" s="17" t="s">
        <v>81</v>
      </c>
      <c r="B52" s="12"/>
      <c r="C52" s="12"/>
      <c r="D52" s="12"/>
      <c r="E52" s="12"/>
      <c r="F52" s="12"/>
      <c r="G52" s="12"/>
      <c r="H52" s="12"/>
      <c r="I52" s="12"/>
      <c r="J52" s="12"/>
    </row>
    <row r="53" spans="1:36" ht="17.100000000000001" customHeight="1">
      <c r="A53" s="154" t="s">
        <v>200</v>
      </c>
      <c r="B53" s="154" t="s">
        <v>201</v>
      </c>
      <c r="C53" s="154" t="s">
        <v>202</v>
      </c>
      <c r="D53" s="154" t="s">
        <v>180</v>
      </c>
      <c r="E53" s="154" t="s">
        <v>202</v>
      </c>
      <c r="F53" s="154" t="s">
        <v>759</v>
      </c>
      <c r="G53" s="154" t="s">
        <v>760</v>
      </c>
      <c r="H53" s="154" t="s">
        <v>203</v>
      </c>
      <c r="I53" s="154" t="s">
        <v>204</v>
      </c>
      <c r="J53" s="154" t="s">
        <v>758</v>
      </c>
      <c r="K53" s="154" t="s">
        <v>205</v>
      </c>
    </row>
    <row r="54" spans="1:36" ht="17.100000000000001" customHeight="1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7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8" width="12.77734375" style="37" customWidth="1"/>
    <col min="9" max="12" width="3.77734375" style="37" customWidth="1"/>
    <col min="13" max="16384" width="10.77734375" style="37"/>
  </cols>
  <sheetData>
    <row r="1" spans="1:12" s="47" customFormat="1" ht="33" customHeight="1">
      <c r="A1" s="314" t="s">
        <v>34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12" s="47" customFormat="1" ht="33" customHeight="1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</row>
    <row r="3" spans="1:12" s="47" customFormat="1" ht="12.75" customHeight="1">
      <c r="A3" s="48" t="s">
        <v>75</v>
      </c>
      <c r="B3" s="48"/>
      <c r="C3" s="22"/>
      <c r="D3" s="22"/>
      <c r="E3" s="22"/>
      <c r="F3" s="22"/>
      <c r="G3" s="22"/>
      <c r="H3" s="22"/>
      <c r="I3" s="22"/>
      <c r="J3" s="22"/>
      <c r="K3" s="48"/>
      <c r="L3" s="22"/>
    </row>
    <row r="4" spans="1:12" s="49" customFormat="1" ht="13.5" customHeight="1">
      <c r="A4" s="87" t="str">
        <f>" 교   정   번   호(Calibration No) : "&amp;기본정보!H3</f>
        <v xml:space="preserve"> 교   정   번   호(Calibration No) : </v>
      </c>
      <c r="B4" s="200"/>
      <c r="C4" s="88"/>
      <c r="D4" s="88"/>
      <c r="E4" s="96"/>
      <c r="F4" s="88"/>
      <c r="G4" s="97"/>
      <c r="H4" s="89"/>
      <c r="I4" s="199"/>
      <c r="J4" s="199"/>
      <c r="K4" s="200"/>
      <c r="L4" s="96"/>
    </row>
    <row r="5" spans="1:12" s="36" customFormat="1" ht="15" customHeight="1"/>
    <row r="6" spans="1:12" ht="15" customHeight="1">
      <c r="E6" s="54" t="str">
        <f>"○ 품명 : "&amp;기본정보!C$5</f>
        <v xml:space="preserve">○ 품명 : </v>
      </c>
      <c r="F6" s="54"/>
    </row>
    <row r="7" spans="1:12" ht="15" customHeight="1">
      <c r="E7" s="54" t="str">
        <f>"○ 제작회사 : "&amp;기본정보!C$6</f>
        <v xml:space="preserve">○ 제작회사 : </v>
      </c>
      <c r="F7" s="54"/>
    </row>
    <row r="8" spans="1:12" ht="15" customHeight="1">
      <c r="E8" s="54" t="str">
        <f>"○ 형식 : "&amp;기본정보!C$7</f>
        <v xml:space="preserve">○ 형식 : </v>
      </c>
      <c r="F8" s="54"/>
    </row>
    <row r="9" spans="1:12" ht="15" customHeight="1">
      <c r="E9" s="54" t="str">
        <f>"○ 기기번호 : "&amp;기본정보!C$8</f>
        <v xml:space="preserve">○ 기기번호 : </v>
      </c>
      <c r="F9" s="54"/>
    </row>
    <row r="10" spans="1:12" ht="15" customHeight="1">
      <c r="E10" s="54"/>
      <c r="F10" s="54"/>
    </row>
    <row r="11" spans="1:12" ht="15" customHeight="1">
      <c r="E11" s="54" t="s">
        <v>434</v>
      </c>
      <c r="F11" s="54"/>
    </row>
    <row r="12" spans="1:12" ht="15" customHeight="1">
      <c r="E12" s="54"/>
      <c r="F12" s="54"/>
    </row>
    <row r="13" spans="1:12" ht="15" customHeight="1">
      <c r="E13" s="54"/>
      <c r="F13" s="54"/>
    </row>
    <row r="14" spans="1:12" ht="15" customHeight="1">
      <c r="E14" s="54"/>
      <c r="F14" s="54"/>
    </row>
    <row r="15" spans="1:12" ht="15" customHeight="1">
      <c r="E15" s="54"/>
      <c r="F15" s="54"/>
    </row>
    <row r="16" spans="1:12" ht="15" customHeight="1">
      <c r="E16" s="54"/>
      <c r="F16" s="54"/>
    </row>
    <row r="17" spans="1:10" ht="15" customHeight="1">
      <c r="E17" s="54"/>
      <c r="F17" s="54"/>
    </row>
    <row r="18" spans="1:10" ht="15" customHeight="1">
      <c r="E18" s="54"/>
      <c r="F18" s="54"/>
    </row>
    <row r="19" spans="1:10" ht="15" customHeight="1">
      <c r="E19" s="54"/>
      <c r="F19" s="54"/>
    </row>
    <row r="20" spans="1:10" ht="15" customHeight="1">
      <c r="E20" s="54"/>
      <c r="F20" s="54"/>
    </row>
    <row r="21" spans="1:10" ht="15" customHeight="1">
      <c r="E21" s="54"/>
      <c r="F21" s="54"/>
    </row>
    <row r="22" spans="1:10" ht="15" customHeight="1">
      <c r="E22" s="54"/>
      <c r="F22" s="54"/>
    </row>
    <row r="23" spans="1:10" ht="15" customHeight="1">
      <c r="E23" s="54"/>
      <c r="F23" s="54"/>
    </row>
    <row r="24" spans="1:10" ht="15" customHeight="1">
      <c r="E24" s="38" t="s">
        <v>435</v>
      </c>
      <c r="F24" s="38"/>
    </row>
    <row r="25" spans="1:10" ht="15" customHeight="1">
      <c r="A25" s="44"/>
      <c r="B25" s="44"/>
      <c r="C25" s="44"/>
      <c r="D25" s="44"/>
      <c r="E25" s="223" t="s">
        <v>436</v>
      </c>
      <c r="F25" s="223" t="s">
        <v>429</v>
      </c>
      <c r="G25" s="223" t="s">
        <v>437</v>
      </c>
      <c r="H25" s="223" t="s">
        <v>438</v>
      </c>
      <c r="I25" s="44"/>
      <c r="J25" s="44"/>
    </row>
    <row r="26" spans="1:10" ht="15" customHeight="1">
      <c r="A26" s="44"/>
      <c r="B26" s="44"/>
      <c r="C26" s="44"/>
      <c r="D26" s="44"/>
      <c r="E26" s="224" t="s">
        <v>439</v>
      </c>
      <c r="F26" s="224"/>
      <c r="G26" s="224"/>
      <c r="H26" s="224" t="s">
        <v>439</v>
      </c>
      <c r="I26" s="44"/>
      <c r="J26" s="44"/>
    </row>
    <row r="27" spans="1:10" ht="15" customHeight="1">
      <c r="A27" s="44"/>
      <c r="B27" s="44"/>
      <c r="C27" s="44"/>
      <c r="D27" s="44"/>
      <c r="E27" s="315" t="str">
        <f>Calcu!AA15</f>
        <v>-</v>
      </c>
      <c r="F27" s="315" t="s">
        <v>440</v>
      </c>
      <c r="G27" s="129" t="s">
        <v>441</v>
      </c>
      <c r="H27" s="129" t="str">
        <f>Calcu!AB15</f>
        <v>-</v>
      </c>
      <c r="I27" s="44"/>
      <c r="J27" s="44"/>
    </row>
    <row r="28" spans="1:10" ht="15" customHeight="1">
      <c r="A28" s="44"/>
      <c r="B28" s="44"/>
      <c r="C28" s="44"/>
      <c r="D28" s="44"/>
      <c r="E28" s="316"/>
      <c r="F28" s="316"/>
      <c r="G28" s="129" t="s">
        <v>442</v>
      </c>
      <c r="H28" s="129" t="str">
        <f>Calcu!AB16</f>
        <v>-</v>
      </c>
      <c r="I28" s="44"/>
      <c r="J28" s="44"/>
    </row>
    <row r="29" spans="1:10" ht="15" customHeight="1">
      <c r="A29" s="44"/>
      <c r="B29" s="44"/>
      <c r="C29" s="44"/>
      <c r="D29" s="44"/>
      <c r="E29" s="316"/>
      <c r="F29" s="317"/>
      <c r="G29" s="129" t="s">
        <v>443</v>
      </c>
      <c r="H29" s="129" t="str">
        <f>Calcu!AB17</f>
        <v>-</v>
      </c>
      <c r="I29" s="44"/>
      <c r="J29" s="44"/>
    </row>
    <row r="30" spans="1:10" ht="15" customHeight="1">
      <c r="A30" s="44"/>
      <c r="B30" s="44"/>
      <c r="C30" s="44"/>
      <c r="D30" s="44"/>
      <c r="E30" s="316"/>
      <c r="F30" s="315" t="s">
        <v>444</v>
      </c>
      <c r="G30" s="129" t="s">
        <v>445</v>
      </c>
      <c r="H30" s="129" t="str">
        <f>Calcu!AB18</f>
        <v>-</v>
      </c>
      <c r="I30" s="44"/>
      <c r="J30" s="44"/>
    </row>
    <row r="31" spans="1:10" ht="15" customHeight="1">
      <c r="A31" s="44"/>
      <c r="B31" s="44"/>
      <c r="C31" s="44"/>
      <c r="D31" s="44"/>
      <c r="E31" s="316"/>
      <c r="F31" s="316"/>
      <c r="G31" s="129" t="s">
        <v>446</v>
      </c>
      <c r="H31" s="129" t="str">
        <f>Calcu!AB19</f>
        <v>-</v>
      </c>
      <c r="I31" s="44"/>
      <c r="J31" s="44"/>
    </row>
    <row r="32" spans="1:10" ht="15" customHeight="1">
      <c r="A32" s="44"/>
      <c r="B32" s="44"/>
      <c r="C32" s="44"/>
      <c r="D32" s="44"/>
      <c r="E32" s="317"/>
      <c r="F32" s="317"/>
      <c r="G32" s="129" t="s">
        <v>443</v>
      </c>
      <c r="H32" s="129" t="str">
        <f>Calcu!AB20</f>
        <v>-</v>
      </c>
      <c r="I32" s="44"/>
      <c r="J32" s="44"/>
    </row>
    <row r="33" spans="1:10" s="51" customFormat="1" ht="15" customHeight="1">
      <c r="A33" s="203"/>
      <c r="B33" s="202"/>
      <c r="C33" s="202"/>
      <c r="D33" s="202"/>
      <c r="E33" s="148"/>
      <c r="F33" s="148"/>
      <c r="H33" s="148"/>
      <c r="I33" s="202"/>
      <c r="J33" s="202"/>
    </row>
    <row r="34" spans="1:10" ht="15" customHeight="1">
      <c r="A34" s="44"/>
      <c r="B34" s="44"/>
      <c r="C34" s="44"/>
      <c r="D34" s="44"/>
      <c r="E34" s="38" t="e">
        <f ca="1">"3. 측정불확도 : "&amp;Calcu!T64</f>
        <v>#VALUE!</v>
      </c>
      <c r="F34" s="38"/>
      <c r="G34" s="244" t="e">
        <f>IF(Calcu!E74="사다리꼴","(신뢰수준 95 %,","(신뢰수준 약 95 %,")</f>
        <v>#VALUE!</v>
      </c>
      <c r="H34" s="50" t="e">
        <f ca="1">Calcu!E75&amp;IF(Calcu!E74="사다리꼴",", 사다리꼴 확률분포)",")")</f>
        <v>#VALUE!</v>
      </c>
      <c r="I34" s="38"/>
      <c r="J34" s="38"/>
    </row>
    <row r="35" spans="1:10" ht="15" customHeight="1">
      <c r="A35" s="44"/>
      <c r="B35" s="44"/>
      <c r="C35" s="44"/>
      <c r="D35" s="44"/>
      <c r="E35" s="38"/>
      <c r="F35" s="38"/>
      <c r="G35" s="53"/>
      <c r="H35" s="155"/>
      <c r="I35" s="38"/>
      <c r="J35" s="38"/>
    </row>
    <row r="36" spans="1:10" ht="15" customHeight="1">
      <c r="A36" s="44" t="str">
        <f>IF(RAWDATA!B44="","삭제","")</f>
        <v>삭제</v>
      </c>
      <c r="B36" s="44"/>
      <c r="C36" s="44"/>
      <c r="D36" s="44"/>
      <c r="E36" s="38" t="str">
        <f>"4. 원통도 : "&amp;RAWDATA!B44&amp;" μm"</f>
        <v>4. 원통도 :  μm</v>
      </c>
      <c r="F36" s="38"/>
      <c r="G36" s="53"/>
      <c r="H36" s="155"/>
      <c r="I36" s="38"/>
      <c r="J36" s="38"/>
    </row>
    <row r="37" spans="1:10" ht="15" customHeight="1">
      <c r="E37" s="72"/>
      <c r="F37" s="72"/>
      <c r="G37" s="72"/>
      <c r="H37" s="72"/>
      <c r="I37" s="72"/>
    </row>
  </sheetData>
  <mergeCells count="4">
    <mergeCell ref="A1:L2"/>
    <mergeCell ref="E27:E32"/>
    <mergeCell ref="F27:F29"/>
    <mergeCell ref="F30:F3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7" width="12.77734375" style="37" customWidth="1"/>
    <col min="8" max="8" width="12.88671875" style="37" bestFit="1" customWidth="1"/>
    <col min="9" max="12" width="3.77734375" style="37" customWidth="1"/>
    <col min="13" max="16384" width="10.77734375" style="37"/>
  </cols>
  <sheetData>
    <row r="1" spans="1:12" s="77" customFormat="1" ht="33" customHeight="1">
      <c r="A1" s="318" t="s">
        <v>58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</row>
    <row r="2" spans="1:12" s="77" customFormat="1" ht="33" customHeight="1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</row>
    <row r="3" spans="1:12" s="47" customFormat="1" ht="12.75" customHeight="1">
      <c r="A3" s="48" t="s">
        <v>57</v>
      </c>
      <c r="B3" s="48"/>
      <c r="C3" s="48"/>
      <c r="D3" s="48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76" t="str">
        <f>" 교   정   번   호(Calibration No) : "&amp;기본정보!H3</f>
        <v xml:space="preserve"> 교   정   번   호(Calibration No) : </v>
      </c>
      <c r="B4" s="248"/>
      <c r="C4" s="248"/>
      <c r="D4" s="87"/>
      <c r="E4" s="75"/>
      <c r="F4" s="74"/>
      <c r="G4" s="201"/>
      <c r="H4" s="201"/>
      <c r="I4" s="89"/>
      <c r="J4" s="251"/>
      <c r="K4" s="251"/>
      <c r="L4" s="74"/>
    </row>
    <row r="5" spans="1:12" s="36" customFormat="1" ht="15" customHeight="1"/>
    <row r="6" spans="1:12" ht="15" customHeight="1">
      <c r="E6" s="54" t="str">
        <f>"○ Description : "&amp;기본정보!C$5</f>
        <v xml:space="preserve">○ Description : </v>
      </c>
    </row>
    <row r="7" spans="1:12" ht="15" customHeight="1">
      <c r="E7" s="54" t="str">
        <f>"○ Manufacturer  : "&amp;기본정보!C$6</f>
        <v xml:space="preserve">○ Manufacturer  : </v>
      </c>
    </row>
    <row r="8" spans="1:12" ht="15" customHeight="1">
      <c r="E8" s="54" t="str">
        <f>"○ Model Name : "&amp;기본정보!C$7</f>
        <v xml:space="preserve">○ Model Name : </v>
      </c>
    </row>
    <row r="9" spans="1:12" ht="15" customHeight="1">
      <c r="E9" s="54" t="str">
        <f>"○ Serial Number : "&amp;기본정보!C$8</f>
        <v xml:space="preserve">○ Serial Number : </v>
      </c>
    </row>
    <row r="11" spans="1:12" ht="15" customHeight="1">
      <c r="E11" s="54" t="s">
        <v>710</v>
      </c>
      <c r="F11" s="54"/>
    </row>
    <row r="12" spans="1:12" ht="15" customHeight="1">
      <c r="E12" s="54"/>
      <c r="F12" s="54"/>
    </row>
    <row r="13" spans="1:12" ht="15" customHeight="1">
      <c r="E13" s="54"/>
      <c r="F13" s="54"/>
    </row>
    <row r="14" spans="1:12" ht="15" customHeight="1">
      <c r="E14" s="54"/>
      <c r="F14" s="54"/>
    </row>
    <row r="15" spans="1:12" ht="15" customHeight="1">
      <c r="E15" s="54"/>
      <c r="F15" s="54"/>
    </row>
    <row r="16" spans="1:12" ht="15" customHeight="1">
      <c r="E16" s="54"/>
      <c r="F16" s="54"/>
    </row>
    <row r="17" spans="1:8" ht="15" customHeight="1">
      <c r="E17" s="54"/>
      <c r="F17" s="54"/>
    </row>
    <row r="18" spans="1:8" ht="15" customHeight="1">
      <c r="E18" s="54"/>
      <c r="F18" s="54"/>
    </row>
    <row r="19" spans="1:8" ht="15" customHeight="1">
      <c r="E19" s="54"/>
      <c r="F19" s="54"/>
    </row>
    <row r="20" spans="1:8" ht="15" customHeight="1">
      <c r="E20" s="54"/>
      <c r="F20" s="54"/>
    </row>
    <row r="21" spans="1:8" ht="15" customHeight="1">
      <c r="E21" s="54"/>
      <c r="F21" s="54"/>
    </row>
    <row r="22" spans="1:8" ht="15" customHeight="1">
      <c r="E22" s="54"/>
      <c r="F22" s="54"/>
    </row>
    <row r="23" spans="1:8" ht="15" customHeight="1">
      <c r="E23" s="54"/>
      <c r="F23" s="54"/>
    </row>
    <row r="24" spans="1:8" ht="15" customHeight="1">
      <c r="E24" s="38" t="s">
        <v>711</v>
      </c>
      <c r="F24" s="38"/>
    </row>
    <row r="25" spans="1:8" ht="15" customHeight="1">
      <c r="A25" s="44"/>
      <c r="B25" s="44"/>
      <c r="C25" s="44"/>
      <c r="D25" s="44"/>
      <c r="E25" s="245" t="s">
        <v>715</v>
      </c>
      <c r="F25" s="319" t="s">
        <v>712</v>
      </c>
      <c r="G25" s="319" t="s">
        <v>713</v>
      </c>
      <c r="H25" s="245" t="s">
        <v>714</v>
      </c>
    </row>
    <row r="26" spans="1:8" ht="15" customHeight="1">
      <c r="A26" s="44"/>
      <c r="B26" s="44"/>
      <c r="C26" s="44"/>
      <c r="D26" s="44"/>
      <c r="E26" s="246" t="s">
        <v>439</v>
      </c>
      <c r="F26" s="320"/>
      <c r="G26" s="320"/>
      <c r="H26" s="246" t="s">
        <v>439</v>
      </c>
    </row>
    <row r="27" spans="1:8" ht="15" customHeight="1">
      <c r="A27" s="44"/>
      <c r="B27" s="44"/>
      <c r="C27" s="44"/>
      <c r="D27" s="44"/>
      <c r="E27" s="315" t="str">
        <f>Calcu!AA15</f>
        <v>-</v>
      </c>
      <c r="F27" s="315" t="s">
        <v>440</v>
      </c>
      <c r="G27" s="129" t="s">
        <v>441</v>
      </c>
      <c r="H27" s="129" t="str">
        <f>Calcu!AB15</f>
        <v>-</v>
      </c>
    </row>
    <row r="28" spans="1:8" ht="15" customHeight="1">
      <c r="A28" s="44"/>
      <c r="B28" s="44"/>
      <c r="C28" s="44"/>
      <c r="D28" s="44"/>
      <c r="E28" s="316"/>
      <c r="F28" s="316"/>
      <c r="G28" s="129" t="s">
        <v>442</v>
      </c>
      <c r="H28" s="129" t="str">
        <f>Calcu!AB16</f>
        <v>-</v>
      </c>
    </row>
    <row r="29" spans="1:8" ht="15" customHeight="1">
      <c r="A29" s="44"/>
      <c r="B29" s="44"/>
      <c r="C29" s="44"/>
      <c r="D29" s="44"/>
      <c r="E29" s="316"/>
      <c r="F29" s="317"/>
      <c r="G29" s="129" t="s">
        <v>443</v>
      </c>
      <c r="H29" s="129" t="str">
        <f>Calcu!AB17</f>
        <v>-</v>
      </c>
    </row>
    <row r="30" spans="1:8" ht="15" customHeight="1">
      <c r="A30" s="44"/>
      <c r="B30" s="44"/>
      <c r="C30" s="44"/>
      <c r="D30" s="44"/>
      <c r="E30" s="316"/>
      <c r="F30" s="315" t="s">
        <v>444</v>
      </c>
      <c r="G30" s="129" t="s">
        <v>445</v>
      </c>
      <c r="H30" s="129" t="str">
        <f>Calcu!AB18</f>
        <v>-</v>
      </c>
    </row>
    <row r="31" spans="1:8" ht="15" customHeight="1">
      <c r="A31" s="44"/>
      <c r="B31" s="44"/>
      <c r="C31" s="44"/>
      <c r="D31" s="44"/>
      <c r="E31" s="316"/>
      <c r="F31" s="316"/>
      <c r="G31" s="129" t="s">
        <v>446</v>
      </c>
      <c r="H31" s="129" t="str">
        <f>Calcu!AB19</f>
        <v>-</v>
      </c>
    </row>
    <row r="32" spans="1:8" ht="15" customHeight="1">
      <c r="A32" s="44"/>
      <c r="B32" s="44"/>
      <c r="C32" s="44"/>
      <c r="D32" s="44"/>
      <c r="E32" s="317"/>
      <c r="F32" s="317"/>
      <c r="G32" s="129" t="s">
        <v>443</v>
      </c>
      <c r="H32" s="129" t="str">
        <f>Calcu!AB20</f>
        <v>-</v>
      </c>
    </row>
    <row r="33" spans="1:11" s="51" customFormat="1" ht="15" customHeight="1">
      <c r="A33" s="203"/>
      <c r="B33" s="202"/>
      <c r="C33" s="202"/>
      <c r="D33" s="202"/>
      <c r="E33" s="148"/>
      <c r="F33" s="148"/>
      <c r="H33" s="148"/>
    </row>
    <row r="34" spans="1:11" ht="15" customHeight="1">
      <c r="A34" s="44" t="str">
        <f>IF(RAWDATA!B44="","삭제","")</f>
        <v>삭제</v>
      </c>
      <c r="B34" s="44"/>
      <c r="C34" s="44"/>
      <c r="D34" s="44"/>
      <c r="E34" s="38" t="str">
        <f>"4. Cylindricity : "&amp;RAWDATA!B44&amp;" μm"</f>
        <v>4. Cylindricity :  μm</v>
      </c>
      <c r="F34" s="38"/>
      <c r="G34" s="53"/>
      <c r="H34" s="155"/>
    </row>
    <row r="35" spans="1:11" ht="15" customHeight="1">
      <c r="A35" s="44"/>
      <c r="B35" s="44"/>
      <c r="C35" s="44"/>
      <c r="D35" s="44"/>
      <c r="E35" s="51"/>
      <c r="F35" s="51"/>
      <c r="G35" s="51"/>
      <c r="H35" s="51"/>
    </row>
    <row r="36" spans="1:11" ht="15" customHeight="1">
      <c r="A36" s="44"/>
      <c r="B36" s="44"/>
      <c r="C36" s="44"/>
      <c r="D36" s="44"/>
      <c r="E36" s="38" t="e">
        <f ca="1">"● Measurement uncertainty : "&amp;Calcu!T64</f>
        <v>#VALUE!</v>
      </c>
      <c r="F36" s="38"/>
      <c r="I36" s="50"/>
      <c r="J36" s="50"/>
      <c r="K36" s="50"/>
    </row>
    <row r="37" spans="1:11" ht="15" customHeight="1">
      <c r="B37" s="44"/>
      <c r="C37" s="44"/>
      <c r="G37" s="244" t="e">
        <f>IF(Calcu!E74="사다리꼴","(Confidence level 95 %,","(Confidence level about 95 %,")</f>
        <v>#VALUE!</v>
      </c>
      <c r="H37" s="50" t="e">
        <f ca="1">Calcu!E75&amp;")"</f>
        <v>#VALUE!</v>
      </c>
      <c r="I37" s="50"/>
      <c r="J37" s="50"/>
      <c r="K37" s="50"/>
    </row>
    <row r="38" spans="1:11" ht="15" customHeight="1">
      <c r="A38" s="44" t="e">
        <f>IF(Calcu!E74="사다리꼴","","삭제")</f>
        <v>#VALUE!</v>
      </c>
      <c r="B38" s="44"/>
      <c r="C38" s="44"/>
      <c r="E38" s="50" t="e">
        <f>IF(Calcu!E74="사다리꼴","※ Trapezoid probability distribution.","")</f>
        <v>#VALUE!</v>
      </c>
      <c r="G38" s="244"/>
      <c r="H38" s="50"/>
      <c r="I38" s="50"/>
      <c r="J38" s="50"/>
      <c r="K38" s="50"/>
    </row>
    <row r="39" spans="1:11" ht="15" customHeight="1">
      <c r="E39" s="72"/>
      <c r="F39" s="72"/>
      <c r="G39" s="72"/>
      <c r="H39" s="72"/>
      <c r="I39" s="73"/>
      <c r="J39" s="50"/>
      <c r="K39" s="50"/>
    </row>
  </sheetData>
  <mergeCells count="6">
    <mergeCell ref="A1:L2"/>
    <mergeCell ref="E27:E32"/>
    <mergeCell ref="F27:F29"/>
    <mergeCell ref="F30:F32"/>
    <mergeCell ref="F25:F26"/>
    <mergeCell ref="G25:G2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3" width="1.77734375" style="37" hidden="1" customWidth="1"/>
    <col min="4" max="5" width="7.109375" style="37" bestFit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14" t="s">
        <v>34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17" s="47" customFormat="1" ht="33" customHeight="1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17" s="47" customFormat="1" ht="12.75" customHeight="1">
      <c r="A3" s="48" t="s">
        <v>734</v>
      </c>
      <c r="B3" s="259"/>
      <c r="C3" s="259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48" t="str">
        <f>" 교   정   번   호(Calibration No) : "&amp;기본정보!H3</f>
        <v xml:space="preserve"> 교   정   번   호(Calibration No) : </v>
      </c>
      <c r="B4" s="256"/>
      <c r="C4" s="256"/>
      <c r="D4" s="248"/>
      <c r="E4" s="248"/>
      <c r="F4" s="255"/>
      <c r="G4" s="255"/>
      <c r="H4" s="255"/>
      <c r="I4" s="255"/>
      <c r="J4" s="255"/>
      <c r="K4" s="252"/>
      <c r="L4" s="251"/>
      <c r="M4" s="256"/>
      <c r="N4" s="256"/>
      <c r="O4" s="256"/>
      <c r="P4" s="256"/>
      <c r="Q4" s="256"/>
    </row>
    <row r="5" spans="1:17" s="36" customFormat="1" ht="15" customHeight="1">
      <c r="B5" s="51"/>
      <c r="C5" s="51"/>
    </row>
    <row r="6" spans="1:17" ht="15" customHeight="1">
      <c r="D6" s="54" t="str">
        <f>"○ 품명 : "&amp;기본정보!C$5</f>
        <v xml:space="preserve">○ 품명 : </v>
      </c>
      <c r="G6" s="54"/>
    </row>
    <row r="7" spans="1:17" ht="15" customHeight="1">
      <c r="D7" s="54" t="str">
        <f>"○ 제작회사 : "&amp;기본정보!C$6</f>
        <v xml:space="preserve">○ 제작회사 : </v>
      </c>
      <c r="G7" s="54"/>
    </row>
    <row r="8" spans="1:17" ht="15" customHeight="1">
      <c r="D8" s="54" t="str">
        <f>"○ 형식 : "&amp;기본정보!C$7</f>
        <v xml:space="preserve">○ 형식 : </v>
      </c>
      <c r="G8" s="54"/>
    </row>
    <row r="9" spans="1:17" ht="15" customHeight="1">
      <c r="D9" s="54" t="str">
        <f>"○ 기기번호 : "&amp;기본정보!C$8</f>
        <v xml:space="preserve">○ 기기번호 : </v>
      </c>
      <c r="G9" s="54"/>
    </row>
    <row r="11" spans="1:17" ht="15" customHeight="1">
      <c r="D11" s="38" t="s">
        <v>735</v>
      </c>
      <c r="G11" s="38"/>
    </row>
    <row r="12" spans="1:17" ht="15" customHeight="1">
      <c r="A12" s="44"/>
      <c r="B12" s="91"/>
      <c r="C12" s="91"/>
      <c r="D12" s="44"/>
      <c r="E12" s="44"/>
    </row>
    <row r="13" spans="1:17" s="257" customFormat="1" ht="15" customHeight="1">
      <c r="B13" s="326"/>
      <c r="C13" s="326"/>
      <c r="D13" s="326" t="s">
        <v>166</v>
      </c>
      <c r="E13" s="328" t="s">
        <v>167</v>
      </c>
      <c r="F13" s="330" t="s">
        <v>748</v>
      </c>
      <c r="G13" s="332" t="s">
        <v>736</v>
      </c>
      <c r="H13" s="334" t="s">
        <v>737</v>
      </c>
      <c r="I13" s="336"/>
      <c r="J13" s="338" t="s">
        <v>738</v>
      </c>
      <c r="K13" s="338"/>
      <c r="L13" s="338"/>
      <c r="M13" s="321" t="s">
        <v>739</v>
      </c>
      <c r="N13" s="321"/>
      <c r="O13" s="321"/>
      <c r="P13" s="322"/>
      <c r="Q13" s="324" t="s">
        <v>740</v>
      </c>
    </row>
    <row r="14" spans="1:17" s="258" customFormat="1" ht="22.5">
      <c r="B14" s="327"/>
      <c r="C14" s="327"/>
      <c r="D14" s="327"/>
      <c r="E14" s="329"/>
      <c r="F14" s="331"/>
      <c r="G14" s="333"/>
      <c r="H14" s="335"/>
      <c r="I14" s="337"/>
      <c r="J14" s="260" t="s">
        <v>755</v>
      </c>
      <c r="K14" s="261" t="s">
        <v>756</v>
      </c>
      <c r="L14" s="261" t="s">
        <v>757</v>
      </c>
      <c r="M14" s="260" t="s">
        <v>755</v>
      </c>
      <c r="N14" s="261" t="s">
        <v>756</v>
      </c>
      <c r="O14" s="261" t="s">
        <v>757</v>
      </c>
      <c r="P14" s="323"/>
      <c r="Q14" s="325"/>
    </row>
    <row r="15" spans="1:17" ht="15" customHeight="1">
      <c r="A15" s="44"/>
      <c r="D15" s="37" t="s">
        <v>749</v>
      </c>
      <c r="E15" s="37" t="s">
        <v>344</v>
      </c>
      <c r="F15" s="51" t="str">
        <f>Calcu!AA15</f>
        <v>-</v>
      </c>
      <c r="G15" s="51" t="s">
        <v>741</v>
      </c>
      <c r="H15" s="51" t="str">
        <f>Calcu!AD15</f>
        <v>-</v>
      </c>
      <c r="J15" s="37" t="str">
        <f>Calcu!AB15</f>
        <v>-</v>
      </c>
      <c r="K15" s="37" t="str">
        <f>Calcu!AC15</f>
        <v>-</v>
      </c>
      <c r="L15" s="37" t="str">
        <f>LEFT(Calcu!AE15)</f>
        <v/>
      </c>
      <c r="M15" s="37" t="s">
        <v>742</v>
      </c>
      <c r="N15" s="37" t="s">
        <v>742</v>
      </c>
      <c r="O15" s="37" t="s">
        <v>743</v>
      </c>
      <c r="Q15" s="37" t="e">
        <f ca="1">Calcu!AF15</f>
        <v>#VALUE!</v>
      </c>
    </row>
    <row r="16" spans="1:17" ht="15" customHeight="1">
      <c r="A16" s="44"/>
      <c r="D16" s="37" t="s">
        <v>440</v>
      </c>
      <c r="E16" s="37" t="s">
        <v>754</v>
      </c>
      <c r="F16" s="51" t="str">
        <f>Calcu!AA16</f>
        <v>-</v>
      </c>
      <c r="G16" s="51" t="s">
        <v>744</v>
      </c>
      <c r="H16" s="51" t="str">
        <f>Calcu!AD16</f>
        <v>-</v>
      </c>
      <c r="J16" s="37" t="str">
        <f>Calcu!AB16</f>
        <v>-</v>
      </c>
      <c r="K16" s="37" t="str">
        <f>Calcu!AC16</f>
        <v>-</v>
      </c>
      <c r="L16" s="37" t="str">
        <f>LEFT(Calcu!AE16)</f>
        <v/>
      </c>
      <c r="M16" s="37" t="s">
        <v>745</v>
      </c>
      <c r="N16" s="37" t="s">
        <v>742</v>
      </c>
      <c r="O16" s="37" t="s">
        <v>745</v>
      </c>
      <c r="Q16" s="37" t="e">
        <f ca="1">Calcu!AF16</f>
        <v>#VALUE!</v>
      </c>
    </row>
    <row r="17" spans="1:17" ht="15" customHeight="1">
      <c r="A17" s="44"/>
      <c r="D17" s="37" t="s">
        <v>750</v>
      </c>
      <c r="E17" s="37" t="s">
        <v>443</v>
      </c>
      <c r="F17" s="51" t="str">
        <f>Calcu!AA17</f>
        <v>-</v>
      </c>
      <c r="G17" s="51" t="s">
        <v>741</v>
      </c>
      <c r="H17" s="51" t="str">
        <f>Calcu!AD17</f>
        <v>-</v>
      </c>
      <c r="J17" s="37" t="str">
        <f>Calcu!AB17</f>
        <v>-</v>
      </c>
      <c r="K17" s="37" t="str">
        <f>Calcu!AC17</f>
        <v>-</v>
      </c>
      <c r="L17" s="37" t="str">
        <f>LEFT(Calcu!AE17)</f>
        <v/>
      </c>
      <c r="M17" s="37" t="s">
        <v>743</v>
      </c>
      <c r="N17" s="37" t="s">
        <v>746</v>
      </c>
      <c r="O17" s="37" t="s">
        <v>743</v>
      </c>
      <c r="Q17" s="37" t="e">
        <f ca="1">Calcu!AF17</f>
        <v>#VALUE!</v>
      </c>
    </row>
    <row r="18" spans="1:17" ht="15" customHeight="1">
      <c r="A18" s="44"/>
      <c r="D18" s="37" t="s">
        <v>751</v>
      </c>
      <c r="E18" s="37" t="s">
        <v>344</v>
      </c>
      <c r="F18" s="51" t="str">
        <f>Calcu!AA18</f>
        <v>-</v>
      </c>
      <c r="G18" s="51" t="s">
        <v>747</v>
      </c>
      <c r="H18" s="51" t="str">
        <f>Calcu!AD18</f>
        <v>-</v>
      </c>
      <c r="J18" s="37" t="str">
        <f>Calcu!AB18</f>
        <v>-</v>
      </c>
      <c r="K18" s="37" t="str">
        <f>Calcu!AC18</f>
        <v>-</v>
      </c>
      <c r="L18" s="37" t="str">
        <f>LEFT(Calcu!AE18)</f>
        <v/>
      </c>
      <c r="M18" s="37" t="s">
        <v>742</v>
      </c>
      <c r="N18" s="37" t="s">
        <v>746</v>
      </c>
      <c r="O18" s="37" t="s">
        <v>745</v>
      </c>
      <c r="Q18" s="37" t="e">
        <f ca="1">Calcu!AF18</f>
        <v>#VALUE!</v>
      </c>
    </row>
    <row r="19" spans="1:17" ht="15" customHeight="1">
      <c r="A19" s="44"/>
      <c r="D19" s="37" t="s">
        <v>752</v>
      </c>
      <c r="E19" s="37" t="s">
        <v>348</v>
      </c>
      <c r="F19" s="51" t="str">
        <f>Calcu!AA19</f>
        <v>-</v>
      </c>
      <c r="G19" s="51" t="s">
        <v>741</v>
      </c>
      <c r="H19" s="51" t="str">
        <f>Calcu!AD19</f>
        <v>-</v>
      </c>
      <c r="J19" s="37" t="str">
        <f>Calcu!AB19</f>
        <v>-</v>
      </c>
      <c r="K19" s="37" t="str">
        <f>Calcu!AC19</f>
        <v>-</v>
      </c>
      <c r="L19" s="37" t="str">
        <f>LEFT(Calcu!AE19)</f>
        <v/>
      </c>
      <c r="M19" s="37" t="s">
        <v>743</v>
      </c>
      <c r="N19" s="37" t="s">
        <v>745</v>
      </c>
      <c r="O19" s="37" t="s">
        <v>743</v>
      </c>
      <c r="Q19" s="37" t="e">
        <f ca="1">Calcu!AF19</f>
        <v>#VALUE!</v>
      </c>
    </row>
    <row r="20" spans="1:17" ht="15" customHeight="1">
      <c r="A20" s="44"/>
      <c r="D20" s="37" t="s">
        <v>753</v>
      </c>
      <c r="E20" s="37" t="s">
        <v>443</v>
      </c>
      <c r="F20" s="51" t="str">
        <f>Calcu!AA20</f>
        <v>-</v>
      </c>
      <c r="G20" s="51" t="s">
        <v>747</v>
      </c>
      <c r="H20" s="51" t="str">
        <f>Calcu!AD20</f>
        <v>-</v>
      </c>
      <c r="J20" s="37" t="str">
        <f>Calcu!AB20</f>
        <v>-</v>
      </c>
      <c r="K20" s="37" t="str">
        <f>Calcu!AC20</f>
        <v>-</v>
      </c>
      <c r="L20" s="37" t="str">
        <f>LEFT(Calcu!AE20)</f>
        <v/>
      </c>
      <c r="M20" s="37" t="s">
        <v>743</v>
      </c>
      <c r="N20" s="37" t="s">
        <v>745</v>
      </c>
      <c r="O20" s="37" t="s">
        <v>745</v>
      </c>
      <c r="Q20" s="37" t="e">
        <f ca="1">Calcu!AF20</f>
        <v>#VALUE!</v>
      </c>
    </row>
    <row r="21" spans="1:17" ht="15" customHeight="1">
      <c r="A21" s="44"/>
      <c r="F21" s="51"/>
      <c r="G21" s="51"/>
      <c r="H21" s="51"/>
    </row>
    <row r="22" spans="1:17" ht="15" customHeight="1">
      <c r="A22" s="44"/>
      <c r="G22" s="53" t="e">
        <f>IF(Calcu!E74="사다리꼴","※ 신뢰수준 95 %,","※ 신뢰수준 약 95 %,")</f>
        <v>#VALUE!</v>
      </c>
      <c r="H22" s="155" t="e">
        <f ca="1">Calcu!E75&amp;IF(Calcu!E74="사다리꼴",", 사다리꼴 확률분포","")</f>
        <v>#VALUE!</v>
      </c>
      <c r="K22" s="50"/>
      <c r="Q22" s="53"/>
    </row>
    <row r="23" spans="1:17" ht="15" customHeight="1"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</row>
  </sheetData>
  <mergeCells count="13">
    <mergeCell ref="M13:O13"/>
    <mergeCell ref="P13:P14"/>
    <mergeCell ref="Q13:Q14"/>
    <mergeCell ref="A1:Q2"/>
    <mergeCell ref="D13:D14"/>
    <mergeCell ref="E13:E14"/>
    <mergeCell ref="F13:F14"/>
    <mergeCell ref="G13:G14"/>
    <mergeCell ref="H13:H14"/>
    <mergeCell ref="I13:I14"/>
    <mergeCell ref="J13:L13"/>
    <mergeCell ref="B13:B14"/>
    <mergeCell ref="C13:C14"/>
  </mergeCells>
  <phoneticPr fontId="4" type="noConversion"/>
  <printOptions horizontalCentered="1"/>
  <pageMargins left="0" right="0" top="0.35433070866141736" bottom="0.59055118110236227" header="0" footer="0"/>
  <pageSetup paperSize="9" scale="8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7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3" width="3.77734375" style="37" customWidth="1"/>
    <col min="4" max="9" width="8.77734375" style="37" customWidth="1"/>
    <col min="10" max="11" width="3.77734375" style="37" customWidth="1"/>
    <col min="12" max="12" width="3.77734375" style="90" customWidth="1"/>
    <col min="13" max="13" width="6.77734375" style="101" customWidth="1"/>
    <col min="14" max="16384" width="10.77734375" style="90"/>
  </cols>
  <sheetData>
    <row r="1" spans="1:13" s="77" customFormat="1" ht="33" customHeight="1">
      <c r="A1" s="339" t="s">
        <v>70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79"/>
    </row>
    <row r="2" spans="1:13" s="77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79"/>
    </row>
    <row r="3" spans="1:13" s="77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78"/>
      <c r="M3" s="100"/>
    </row>
    <row r="4" spans="1:13" s="79" customFormat="1" ht="13.5" customHeight="1">
      <c r="A4" s="87"/>
      <c r="B4" s="248"/>
      <c r="C4" s="248"/>
      <c r="D4" s="88"/>
      <c r="E4" s="96"/>
      <c r="F4" s="88"/>
      <c r="G4" s="88"/>
      <c r="H4" s="97"/>
      <c r="I4" s="204"/>
      <c r="J4" s="204"/>
      <c r="K4" s="252"/>
      <c r="L4" s="87"/>
      <c r="M4" s="36"/>
    </row>
    <row r="5" spans="1:13" s="80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2" customFormat="1" ht="15" customHeight="1">
      <c r="A6" s="43"/>
      <c r="B6" s="43"/>
      <c r="C6" s="43"/>
      <c r="D6" s="38" t="s">
        <v>92</v>
      </c>
      <c r="G6" s="37"/>
      <c r="H6" s="52"/>
      <c r="I6" s="52"/>
      <c r="J6" s="52"/>
      <c r="K6" s="52"/>
      <c r="L6" s="91"/>
    </row>
    <row r="7" spans="1:13" s="82" customFormat="1" ht="15" customHeight="1">
      <c r="A7" s="43"/>
      <c r="B7" s="43"/>
      <c r="C7" s="43"/>
      <c r="D7" s="128" t="s">
        <v>716</v>
      </c>
      <c r="E7" s="128" t="s">
        <v>717</v>
      </c>
      <c r="F7" s="128" t="s">
        <v>100</v>
      </c>
      <c r="G7" s="128" t="s">
        <v>77</v>
      </c>
      <c r="H7" s="249" t="s">
        <v>76</v>
      </c>
      <c r="I7" s="249" t="s">
        <v>78</v>
      </c>
    </row>
    <row r="8" spans="1:13" s="82" customFormat="1" ht="15" customHeight="1">
      <c r="A8" s="43"/>
      <c r="B8" s="43"/>
      <c r="C8" s="43"/>
      <c r="D8" s="127"/>
      <c r="E8" s="127"/>
      <c r="F8" s="127" t="s">
        <v>93</v>
      </c>
      <c r="G8" s="127" t="s">
        <v>93</v>
      </c>
      <c r="H8" s="127" t="s">
        <v>91</v>
      </c>
      <c r="I8" s="250"/>
    </row>
    <row r="9" spans="1:13" s="82" customFormat="1" ht="15" customHeight="1">
      <c r="A9" s="43"/>
      <c r="B9" s="43"/>
      <c r="C9" s="43"/>
      <c r="D9" s="157" t="s">
        <v>718</v>
      </c>
      <c r="E9" s="157" t="s">
        <v>722</v>
      </c>
      <c r="F9" s="157" t="str">
        <f>Calcu!AA15</f>
        <v>-</v>
      </c>
      <c r="G9" s="157" t="str">
        <f>Calcu!AB15</f>
        <v>-</v>
      </c>
      <c r="H9" s="157" t="str">
        <f>Calcu!AD15</f>
        <v>-</v>
      </c>
      <c r="I9" s="157" t="str">
        <f>Calcu!AE15</f>
        <v/>
      </c>
    </row>
    <row r="10" spans="1:13" s="82" customFormat="1" ht="15" customHeight="1">
      <c r="A10" s="43"/>
      <c r="B10" s="43"/>
      <c r="C10" s="43"/>
      <c r="D10" s="157" t="s">
        <v>719</v>
      </c>
      <c r="E10" s="157" t="s">
        <v>723</v>
      </c>
      <c r="F10" s="157" t="str">
        <f>Calcu!AA16</f>
        <v>-</v>
      </c>
      <c r="G10" s="157" t="str">
        <f>Calcu!AB16</f>
        <v>-</v>
      </c>
      <c r="H10" s="157" t="str">
        <f>Calcu!AD16</f>
        <v>-</v>
      </c>
      <c r="I10" s="157" t="str">
        <f>Calcu!AE16</f>
        <v/>
      </c>
    </row>
    <row r="11" spans="1:13" s="82" customFormat="1" ht="15" customHeight="1">
      <c r="A11" s="43"/>
      <c r="B11" s="43"/>
      <c r="C11" s="43"/>
      <c r="D11" s="157" t="s">
        <v>719</v>
      </c>
      <c r="E11" s="157" t="s">
        <v>724</v>
      </c>
      <c r="F11" s="157" t="str">
        <f>Calcu!AA17</f>
        <v>-</v>
      </c>
      <c r="G11" s="157" t="str">
        <f>Calcu!AB17</f>
        <v>-</v>
      </c>
      <c r="H11" s="157" t="str">
        <f>Calcu!AD17</f>
        <v>-</v>
      </c>
      <c r="I11" s="157" t="str">
        <f>Calcu!AE17</f>
        <v/>
      </c>
    </row>
    <row r="12" spans="1:13" s="82" customFormat="1" ht="15" customHeight="1">
      <c r="A12" s="43"/>
      <c r="B12" s="43"/>
      <c r="C12" s="43"/>
      <c r="D12" s="157" t="s">
        <v>720</v>
      </c>
      <c r="E12" s="157" t="s">
        <v>725</v>
      </c>
      <c r="F12" s="157" t="str">
        <f>Calcu!AA18</f>
        <v>-</v>
      </c>
      <c r="G12" s="157" t="str">
        <f>Calcu!AB18</f>
        <v>-</v>
      </c>
      <c r="H12" s="157" t="str">
        <f>Calcu!AD18</f>
        <v>-</v>
      </c>
      <c r="I12" s="157" t="str">
        <f>Calcu!AE18</f>
        <v/>
      </c>
    </row>
    <row r="13" spans="1:13" s="82" customFormat="1" ht="15" customHeight="1">
      <c r="A13" s="43"/>
      <c r="B13" s="43"/>
      <c r="C13" s="43"/>
      <c r="D13" s="157" t="s">
        <v>721</v>
      </c>
      <c r="E13" s="157" t="s">
        <v>726</v>
      </c>
      <c r="F13" s="157" t="str">
        <f>Calcu!AA19</f>
        <v>-</v>
      </c>
      <c r="G13" s="157" t="str">
        <f>Calcu!AB19</f>
        <v>-</v>
      </c>
      <c r="H13" s="157" t="str">
        <f>Calcu!AD19</f>
        <v>-</v>
      </c>
      <c r="I13" s="157" t="str">
        <f>Calcu!AE19</f>
        <v/>
      </c>
    </row>
    <row r="14" spans="1:13" s="82" customFormat="1" ht="15" customHeight="1">
      <c r="A14" s="43"/>
      <c r="B14" s="43"/>
      <c r="C14" s="43"/>
      <c r="D14" s="157" t="s">
        <v>720</v>
      </c>
      <c r="E14" s="157" t="s">
        <v>727</v>
      </c>
      <c r="F14" s="157" t="str">
        <f>Calcu!AA20</f>
        <v>-</v>
      </c>
      <c r="G14" s="157" t="str">
        <f>Calcu!AB20</f>
        <v>-</v>
      </c>
      <c r="H14" s="157" t="str">
        <f>Calcu!AD20</f>
        <v>-</v>
      </c>
      <c r="I14" s="157" t="str">
        <f>Calcu!AE20</f>
        <v/>
      </c>
    </row>
    <row r="15" spans="1:13" ht="15" customHeight="1">
      <c r="D15" s="102"/>
      <c r="E15" s="102"/>
      <c r="F15" s="102"/>
      <c r="G15" s="102"/>
      <c r="H15" s="72"/>
      <c r="I15" s="72"/>
      <c r="J15" s="72"/>
      <c r="K15" s="82"/>
      <c r="M15" s="90"/>
    </row>
    <row r="16" spans="1:13" ht="15" customHeight="1">
      <c r="M16" s="90"/>
    </row>
    <row r="17" spans="13:13" ht="15" customHeight="1">
      <c r="M17" s="90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0" customWidth="1"/>
    <col min="13" max="16384" width="10.77734375" style="82"/>
  </cols>
  <sheetData>
    <row r="1" spans="1:12" s="77" customFormat="1" ht="33" customHeight="1">
      <c r="A1" s="339" t="s">
        <v>59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</row>
    <row r="2" spans="1:12" s="77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</row>
    <row r="3" spans="1:12" s="77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78"/>
    </row>
    <row r="4" spans="1:12" s="79" customFormat="1" ht="13.5" customHeight="1">
      <c r="A4" s="87"/>
      <c r="B4" s="87"/>
      <c r="C4" s="88"/>
      <c r="D4" s="88"/>
      <c r="E4" s="96"/>
      <c r="F4" s="88"/>
      <c r="G4" s="88"/>
      <c r="H4" s="97"/>
      <c r="I4" s="89"/>
      <c r="J4" s="96"/>
      <c r="K4" s="96"/>
      <c r="L4" s="87"/>
    </row>
    <row r="5" spans="1:12" s="81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0"/>
    </row>
    <row r="6" spans="1:12" s="37" customFormat="1" ht="15" customHeight="1">
      <c r="C6" s="54" t="str">
        <f>"○ 품명 : "&amp;기본정보!C$5</f>
        <v xml:space="preserve">○ 품명 : </v>
      </c>
      <c r="L6" s="90"/>
    </row>
    <row r="7" spans="1:12" s="37" customFormat="1" ht="15" customHeight="1">
      <c r="C7" s="54" t="str">
        <f>"○ 제작회사 : "&amp;기본정보!C$6</f>
        <v xml:space="preserve">○ 제작회사 : </v>
      </c>
      <c r="L7" s="90"/>
    </row>
    <row r="8" spans="1:12" s="37" customFormat="1" ht="15" customHeight="1">
      <c r="C8" s="54" t="str">
        <f>"○ 형식 : "&amp;기본정보!C$7</f>
        <v xml:space="preserve">○ 형식 : </v>
      </c>
      <c r="L8" s="90"/>
    </row>
    <row r="9" spans="1:12" s="37" customFormat="1" ht="15" customHeight="1">
      <c r="C9" s="54" t="str">
        <f>"○ 기기번호 : "&amp;기본정보!C$8</f>
        <v xml:space="preserve">○ 기기번호 : </v>
      </c>
      <c r="L9" s="90"/>
    </row>
    <row r="10" spans="1:12" s="37" customFormat="1" ht="15" customHeight="1">
      <c r="L10" s="90"/>
    </row>
    <row r="11" spans="1:12" ht="15" customHeight="1">
      <c r="B11" s="72"/>
      <c r="C11" s="102"/>
      <c r="D11" s="102"/>
      <c r="E11" s="102"/>
      <c r="F11" s="102"/>
      <c r="G11" s="102"/>
      <c r="H11" s="103"/>
      <c r="I11" s="103"/>
      <c r="J11" s="102"/>
      <c r="K11" s="72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4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9" width="8.77734375" style="27" customWidth="1"/>
    <col min="10" max="10" width="3.77734375" style="45" customWidth="1"/>
    <col min="11" max="14" width="8.88671875" style="45" customWidth="1"/>
    <col min="15" max="17" width="8.88671875" style="45"/>
    <col min="18" max="16384" width="8.88671875" style="29"/>
  </cols>
  <sheetData>
    <row r="1" spans="1:28" s="65" customFormat="1" ht="25.5">
      <c r="A1" s="62" t="s">
        <v>417</v>
      </c>
      <c r="B1" s="31"/>
      <c r="C1" s="31"/>
      <c r="D1" s="31"/>
      <c r="E1" s="63"/>
      <c r="F1" s="27"/>
      <c r="G1" s="27"/>
      <c r="H1" s="27"/>
      <c r="I1" s="27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spans="1:28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28" s="28" customFormat="1" ht="15" customHeight="1">
      <c r="A3" s="46"/>
      <c r="B3" s="177" t="s">
        <v>418</v>
      </c>
      <c r="C3" s="178">
        <f>기본정보!C3</f>
        <v>0</v>
      </c>
      <c r="D3" s="177" t="s">
        <v>419</v>
      </c>
      <c r="E3" s="340">
        <f>기본정보!H3</f>
        <v>0</v>
      </c>
      <c r="F3" s="341"/>
      <c r="G3" s="177" t="s">
        <v>420</v>
      </c>
      <c r="H3" s="197">
        <f>기본정보!H8</f>
        <v>0</v>
      </c>
      <c r="I3" s="25"/>
    </row>
    <row r="4" spans="1:28" s="28" customFormat="1" ht="15" customHeight="1">
      <c r="A4" s="46"/>
      <c r="B4" s="177" t="s">
        <v>184</v>
      </c>
      <c r="C4" s="198">
        <f>기본정보!C8</f>
        <v>0</v>
      </c>
      <c r="D4" s="177" t="s">
        <v>421</v>
      </c>
      <c r="E4" s="347">
        <f>기본정보!H4</f>
        <v>0</v>
      </c>
      <c r="F4" s="348"/>
      <c r="G4" s="177" t="s">
        <v>422</v>
      </c>
      <c r="H4" s="197">
        <f>기본정보!H9</f>
        <v>0</v>
      </c>
      <c r="I4" s="25"/>
    </row>
    <row r="5" spans="1:28" s="28" customFormat="1" ht="15" customHeight="1">
      <c r="A5" s="46"/>
      <c r="D5" s="25"/>
      <c r="E5" s="25"/>
      <c r="F5" s="25"/>
      <c r="G5" s="25"/>
      <c r="H5" s="25"/>
      <c r="I5" s="25"/>
    </row>
    <row r="6" spans="1:28" s="28" customFormat="1" ht="15" customHeight="1">
      <c r="A6" s="46"/>
      <c r="B6" s="46" t="s">
        <v>423</v>
      </c>
      <c r="D6" s="25"/>
      <c r="E6" s="25"/>
      <c r="F6" s="25"/>
      <c r="G6" s="25"/>
      <c r="H6" s="25"/>
      <c r="I6" s="25"/>
    </row>
    <row r="7" spans="1:28" s="28" customFormat="1" ht="15" customHeight="1">
      <c r="A7" s="46"/>
      <c r="B7" s="177" t="s">
        <v>424</v>
      </c>
      <c r="C7" s="177" t="s">
        <v>172</v>
      </c>
      <c r="D7" s="25"/>
      <c r="E7" s="25"/>
      <c r="F7" s="25"/>
      <c r="G7" s="25"/>
      <c r="H7" s="25"/>
      <c r="I7" s="25"/>
    </row>
    <row r="8" spans="1:28" s="28" customFormat="1" ht="15" customHeight="1">
      <c r="A8" s="46"/>
      <c r="B8" s="178" t="str">
        <f>Calcu!E15</f>
        <v/>
      </c>
      <c r="C8" s="178" t="str">
        <f>Calcu!F15</f>
        <v/>
      </c>
      <c r="D8" s="25"/>
      <c r="E8" s="25"/>
      <c r="F8" s="25"/>
      <c r="G8" s="25"/>
      <c r="H8" s="25"/>
      <c r="I8" s="25"/>
    </row>
    <row r="9" spans="1:28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28" s="28" customFormat="1" ht="15" customHeight="1">
      <c r="A10" s="46"/>
      <c r="B10" s="98" t="s">
        <v>425</v>
      </c>
      <c r="C10" s="25"/>
      <c r="D10" s="25"/>
      <c r="E10" s="25"/>
      <c r="F10" s="25"/>
      <c r="G10" s="25"/>
      <c r="H10" s="25"/>
      <c r="I10" s="25"/>
    </row>
    <row r="11" spans="1:28" ht="13.5" customHeight="1">
      <c r="A11" s="29"/>
      <c r="B11" s="99" t="s">
        <v>426</v>
      </c>
      <c r="F11" s="25"/>
      <c r="G11" s="25"/>
      <c r="H11" s="25"/>
      <c r="I11" s="25"/>
      <c r="J11" s="28"/>
      <c r="K11" s="28"/>
    </row>
    <row r="12" spans="1:28" ht="13.5" customHeight="1">
      <c r="B12" s="342" t="str">
        <f>Calcu!C6</f>
        <v>표준 측장기 지시값</v>
      </c>
      <c r="C12" s="343"/>
      <c r="D12" s="343"/>
      <c r="E12" s="343"/>
      <c r="F12" s="344"/>
      <c r="G12" s="28"/>
      <c r="H12" s="28"/>
      <c r="I12" s="28"/>
      <c r="P12" s="29"/>
      <c r="Q12" s="29"/>
    </row>
    <row r="13" spans="1:28" ht="13.5" customHeight="1">
      <c r="B13" s="160" t="s">
        <v>427</v>
      </c>
      <c r="C13" s="160" t="s">
        <v>195</v>
      </c>
      <c r="D13" s="160" t="s">
        <v>196</v>
      </c>
      <c r="E13" s="160" t="s">
        <v>197</v>
      </c>
      <c r="F13" s="160" t="s">
        <v>198</v>
      </c>
      <c r="G13" s="28"/>
      <c r="H13" s="28"/>
      <c r="I13" s="28"/>
      <c r="P13" s="29"/>
      <c r="Q13" s="29"/>
    </row>
    <row r="14" spans="1:28" ht="13.5" customHeight="1">
      <c r="B14" s="177" t="str">
        <f>Calcu!C8</f>
        <v>mm</v>
      </c>
      <c r="C14" s="177" t="str">
        <f>Calcu!D8</f>
        <v>mm</v>
      </c>
      <c r="D14" s="177" t="str">
        <f>Calcu!E8</f>
        <v>mm</v>
      </c>
      <c r="E14" s="177" t="str">
        <f>Calcu!F8</f>
        <v>mm</v>
      </c>
      <c r="F14" s="177" t="str">
        <f>Calcu!G8</f>
        <v>mm</v>
      </c>
      <c r="G14" s="28"/>
      <c r="H14" s="28"/>
      <c r="I14" s="28"/>
      <c r="P14" s="29"/>
      <c r="Q14" s="29"/>
    </row>
    <row r="15" spans="1:28" ht="13.5" customHeight="1">
      <c r="B15" s="178" t="str">
        <f ca="1">TEXT(Calcu!C9,Calcu!$Q$64)</f>
        <v>0</v>
      </c>
      <c r="C15" s="178" t="str">
        <f ca="1">TEXT(Calcu!D9,Calcu!$Q$64)</f>
        <v>0</v>
      </c>
      <c r="D15" s="178" t="str">
        <f ca="1">TEXT(Calcu!E9,Calcu!$Q$64)</f>
        <v>0</v>
      </c>
      <c r="E15" s="178" t="str">
        <f ca="1">TEXT(Calcu!F9,Calcu!$Q$64)</f>
        <v>0</v>
      </c>
      <c r="F15" s="178" t="str">
        <f ca="1">TEXT(Calcu!G9,Calcu!$Q$64)</f>
        <v>0</v>
      </c>
      <c r="G15" s="28"/>
      <c r="H15" s="28"/>
      <c r="I15" s="28"/>
      <c r="P15" s="29"/>
      <c r="Q15" s="29"/>
    </row>
    <row r="17" spans="1:18" ht="13.5" customHeight="1">
      <c r="A17" s="29"/>
      <c r="B17" s="99" t="s">
        <v>428</v>
      </c>
      <c r="F17" s="25"/>
      <c r="G17" s="25"/>
      <c r="H17" s="25"/>
      <c r="I17" s="25"/>
      <c r="J17" s="28"/>
      <c r="K17" s="28"/>
    </row>
    <row r="18" spans="1:18" ht="13.5" customHeight="1">
      <c r="B18" s="345" t="s">
        <v>430</v>
      </c>
      <c r="C18" s="345" t="s">
        <v>167</v>
      </c>
      <c r="D18" s="345" t="s">
        <v>431</v>
      </c>
      <c r="E18" s="342" t="str">
        <f>Calcu!G12</f>
        <v>표준 측장기 지시값</v>
      </c>
      <c r="F18" s="343"/>
      <c r="G18" s="343"/>
      <c r="H18" s="343"/>
      <c r="I18" s="344"/>
      <c r="J18" s="28"/>
      <c r="K18" s="28"/>
      <c r="L18" s="28"/>
      <c r="R18" s="45"/>
    </row>
    <row r="19" spans="1:18" ht="13.5" customHeight="1">
      <c r="B19" s="346"/>
      <c r="C19" s="346"/>
      <c r="D19" s="346"/>
      <c r="E19" s="160" t="s">
        <v>427</v>
      </c>
      <c r="F19" s="160" t="s">
        <v>195</v>
      </c>
      <c r="G19" s="160" t="s">
        <v>196</v>
      </c>
      <c r="H19" s="160" t="s">
        <v>197</v>
      </c>
      <c r="I19" s="160" t="s">
        <v>198</v>
      </c>
      <c r="J19" s="28"/>
      <c r="K19" s="28"/>
      <c r="L19" s="28"/>
      <c r="R19" s="45"/>
    </row>
    <row r="20" spans="1:18" ht="13.5" customHeight="1">
      <c r="B20" s="177"/>
      <c r="C20" s="177"/>
      <c r="D20" s="177" t="str">
        <f>C8</f>
        <v/>
      </c>
      <c r="E20" s="177">
        <f>Calcu!G14</f>
        <v>0</v>
      </c>
      <c r="F20" s="177">
        <f>Calcu!H14</f>
        <v>0</v>
      </c>
      <c r="G20" s="177">
        <f>Calcu!I14</f>
        <v>0</v>
      </c>
      <c r="H20" s="177">
        <f>Calcu!J14</f>
        <v>0</v>
      </c>
      <c r="I20" s="177">
        <f>Calcu!K14</f>
        <v>0</v>
      </c>
      <c r="J20" s="28"/>
      <c r="K20" s="28"/>
      <c r="L20" s="28"/>
      <c r="R20" s="45"/>
    </row>
    <row r="21" spans="1:18" ht="13.5" customHeight="1">
      <c r="B21" s="178" t="str">
        <f>Calcu!C15</f>
        <v/>
      </c>
      <c r="C21" s="178" t="str">
        <f>Calcu!D15</f>
        <v/>
      </c>
      <c r="D21" s="178" t="str">
        <f>Calcu!E15</f>
        <v/>
      </c>
      <c r="E21" s="178" t="str">
        <f ca="1">TEXT(Calcu!G15,Calcu!$Q$64)</f>
        <v/>
      </c>
      <c r="F21" s="178" t="str">
        <f ca="1">TEXT(Calcu!H15,Calcu!$Q$64)</f>
        <v/>
      </c>
      <c r="G21" s="178" t="str">
        <f ca="1">TEXT(Calcu!I15,Calcu!$Q$64)</f>
        <v/>
      </c>
      <c r="H21" s="178" t="str">
        <f ca="1">TEXT(Calcu!J15,Calcu!$Q$64)</f>
        <v/>
      </c>
      <c r="I21" s="178" t="str">
        <f ca="1">TEXT(Calcu!K15,Calcu!$Q$64)</f>
        <v/>
      </c>
      <c r="J21" s="28"/>
      <c r="K21" s="28"/>
      <c r="L21" s="28"/>
      <c r="R21" s="45"/>
    </row>
    <row r="22" spans="1:18" ht="13.5" customHeight="1">
      <c r="B22" s="178" t="str">
        <f>Calcu!C16</f>
        <v/>
      </c>
      <c r="C22" s="178" t="str">
        <f>Calcu!D16</f>
        <v/>
      </c>
      <c r="D22" s="178" t="str">
        <f>Calcu!E16</f>
        <v/>
      </c>
      <c r="E22" s="178" t="str">
        <f ca="1">TEXT(Calcu!G16,Calcu!$Q$64)</f>
        <v/>
      </c>
      <c r="F22" s="178" t="str">
        <f ca="1">TEXT(Calcu!H16,Calcu!$Q$64)</f>
        <v/>
      </c>
      <c r="G22" s="178" t="str">
        <f ca="1">TEXT(Calcu!I16,Calcu!$Q$64)</f>
        <v/>
      </c>
      <c r="H22" s="178" t="str">
        <f ca="1">TEXT(Calcu!J16,Calcu!$Q$64)</f>
        <v/>
      </c>
      <c r="I22" s="178" t="str">
        <f ca="1">TEXT(Calcu!K16,Calcu!$Q$64)</f>
        <v/>
      </c>
      <c r="J22" s="28"/>
      <c r="K22" s="28"/>
      <c r="L22" s="28"/>
      <c r="R22" s="45"/>
    </row>
    <row r="23" spans="1:18" ht="13.5" customHeight="1">
      <c r="B23" s="178" t="str">
        <f>Calcu!C17</f>
        <v/>
      </c>
      <c r="C23" s="178" t="str">
        <f>Calcu!D17</f>
        <v/>
      </c>
      <c r="D23" s="178" t="str">
        <f>Calcu!E17</f>
        <v/>
      </c>
      <c r="E23" s="178" t="str">
        <f ca="1">TEXT(Calcu!G17,Calcu!$Q$64)</f>
        <v/>
      </c>
      <c r="F23" s="178" t="str">
        <f ca="1">TEXT(Calcu!H17,Calcu!$Q$64)</f>
        <v/>
      </c>
      <c r="G23" s="178" t="str">
        <f ca="1">TEXT(Calcu!I17,Calcu!$Q$64)</f>
        <v/>
      </c>
      <c r="H23" s="178" t="str">
        <f ca="1">TEXT(Calcu!J17,Calcu!$Q$64)</f>
        <v/>
      </c>
      <c r="I23" s="178" t="str">
        <f ca="1">TEXT(Calcu!K17,Calcu!$Q$64)</f>
        <v/>
      </c>
      <c r="J23" s="28"/>
      <c r="K23" s="28"/>
      <c r="L23" s="28"/>
      <c r="R23" s="45"/>
    </row>
    <row r="24" spans="1:18" ht="13.5" customHeight="1">
      <c r="B24" s="178" t="str">
        <f>Calcu!C18</f>
        <v/>
      </c>
      <c r="C24" s="178" t="str">
        <f>Calcu!D18</f>
        <v/>
      </c>
      <c r="D24" s="178" t="str">
        <f>Calcu!E18</f>
        <v/>
      </c>
      <c r="E24" s="178" t="str">
        <f ca="1">TEXT(Calcu!G18,Calcu!$Q$64)</f>
        <v/>
      </c>
      <c r="F24" s="178" t="str">
        <f ca="1">TEXT(Calcu!H18,Calcu!$Q$64)</f>
        <v/>
      </c>
      <c r="G24" s="178" t="str">
        <f ca="1">TEXT(Calcu!I18,Calcu!$Q$64)</f>
        <v/>
      </c>
      <c r="H24" s="178" t="str">
        <f ca="1">TEXT(Calcu!J18,Calcu!$Q$64)</f>
        <v/>
      </c>
      <c r="I24" s="178" t="str">
        <f ca="1">TEXT(Calcu!K18,Calcu!$Q$64)</f>
        <v/>
      </c>
      <c r="J24" s="28"/>
      <c r="K24" s="28"/>
      <c r="L24" s="28"/>
      <c r="R24" s="45"/>
    </row>
    <row r="25" spans="1:18" ht="13.5" customHeight="1">
      <c r="B25" s="178" t="str">
        <f>Calcu!C19</f>
        <v/>
      </c>
      <c r="C25" s="178" t="str">
        <f>Calcu!D19</f>
        <v/>
      </c>
      <c r="D25" s="178" t="str">
        <f>Calcu!E19</f>
        <v/>
      </c>
      <c r="E25" s="178" t="str">
        <f ca="1">TEXT(Calcu!G19,Calcu!$Q$64)</f>
        <v/>
      </c>
      <c r="F25" s="178" t="str">
        <f ca="1">TEXT(Calcu!H19,Calcu!$Q$64)</f>
        <v/>
      </c>
      <c r="G25" s="178" t="str">
        <f ca="1">TEXT(Calcu!I19,Calcu!$Q$64)</f>
        <v/>
      </c>
      <c r="H25" s="178" t="str">
        <f ca="1">TEXT(Calcu!J19,Calcu!$Q$64)</f>
        <v/>
      </c>
      <c r="I25" s="178" t="str">
        <f ca="1">TEXT(Calcu!K19,Calcu!$Q$64)</f>
        <v/>
      </c>
      <c r="J25" s="28"/>
      <c r="K25" s="28"/>
      <c r="L25" s="28"/>
      <c r="R25" s="45"/>
    </row>
    <row r="26" spans="1:18" ht="13.5" customHeight="1">
      <c r="B26" s="178" t="str">
        <f>Calcu!C20</f>
        <v/>
      </c>
      <c r="C26" s="178" t="str">
        <f>Calcu!D20</f>
        <v/>
      </c>
      <c r="D26" s="178" t="str">
        <f>Calcu!E20</f>
        <v/>
      </c>
      <c r="E26" s="178" t="str">
        <f ca="1">TEXT(Calcu!G20,Calcu!$Q$64)</f>
        <v/>
      </c>
      <c r="F26" s="178" t="str">
        <f ca="1">TEXT(Calcu!H20,Calcu!$Q$64)</f>
        <v/>
      </c>
      <c r="G26" s="178" t="str">
        <f ca="1">TEXT(Calcu!I20,Calcu!$Q$64)</f>
        <v/>
      </c>
      <c r="H26" s="178" t="str">
        <f ca="1">TEXT(Calcu!J20,Calcu!$Q$64)</f>
        <v/>
      </c>
      <c r="I26" s="178" t="str">
        <f ca="1">TEXT(Calcu!K20,Calcu!$Q$64)</f>
        <v/>
      </c>
      <c r="J26" s="28"/>
      <c r="K26" s="28"/>
      <c r="L26" s="28"/>
      <c r="R26" s="45"/>
    </row>
    <row r="27" spans="1:18" ht="13.5" customHeight="1">
      <c r="B27" s="178" t="str">
        <f>Calcu!C21</f>
        <v/>
      </c>
      <c r="C27" s="178" t="str">
        <f>Calcu!D21</f>
        <v/>
      </c>
      <c r="D27" s="178" t="str">
        <f>Calcu!E21</f>
        <v/>
      </c>
      <c r="E27" s="178" t="str">
        <f ca="1">TEXT(Calcu!G21,Calcu!$Q$64)</f>
        <v/>
      </c>
      <c r="F27" s="178" t="str">
        <f ca="1">TEXT(Calcu!H21,Calcu!$Q$64)</f>
        <v/>
      </c>
      <c r="G27" s="178" t="str">
        <f ca="1">TEXT(Calcu!I21,Calcu!$Q$64)</f>
        <v/>
      </c>
      <c r="H27" s="178" t="str">
        <f ca="1">TEXT(Calcu!J21,Calcu!$Q$64)</f>
        <v/>
      </c>
      <c r="I27" s="178" t="str">
        <f ca="1">TEXT(Calcu!K21,Calcu!$Q$64)</f>
        <v/>
      </c>
      <c r="J27" s="28"/>
      <c r="K27" s="28"/>
      <c r="L27" s="28"/>
      <c r="R27" s="45"/>
    </row>
    <row r="28" spans="1:18" ht="13.5" customHeight="1">
      <c r="B28" s="178" t="str">
        <f>Calcu!C22</f>
        <v/>
      </c>
      <c r="C28" s="178" t="str">
        <f>Calcu!D22</f>
        <v/>
      </c>
      <c r="D28" s="178" t="str">
        <f>Calcu!E22</f>
        <v/>
      </c>
      <c r="E28" s="178" t="str">
        <f ca="1">TEXT(Calcu!G22,Calcu!$Q$64)</f>
        <v/>
      </c>
      <c r="F28" s="178" t="str">
        <f ca="1">TEXT(Calcu!H22,Calcu!$Q$64)</f>
        <v/>
      </c>
      <c r="G28" s="178" t="str">
        <f ca="1">TEXT(Calcu!I22,Calcu!$Q$64)</f>
        <v/>
      </c>
      <c r="H28" s="178" t="str">
        <f ca="1">TEXT(Calcu!J22,Calcu!$Q$64)</f>
        <v/>
      </c>
      <c r="I28" s="178" t="str">
        <f ca="1">TEXT(Calcu!K22,Calcu!$Q$64)</f>
        <v/>
      </c>
      <c r="J28" s="28"/>
      <c r="K28" s="28"/>
      <c r="L28" s="28"/>
      <c r="R28" s="45"/>
    </row>
    <row r="29" spans="1:18" ht="13.5" customHeight="1">
      <c r="B29" s="178" t="str">
        <f>Calcu!C23</f>
        <v/>
      </c>
      <c r="C29" s="178" t="str">
        <f>Calcu!D23</f>
        <v/>
      </c>
      <c r="D29" s="178" t="str">
        <f>Calcu!E23</f>
        <v/>
      </c>
      <c r="E29" s="178" t="str">
        <f ca="1">TEXT(Calcu!G23,Calcu!$Q$64)</f>
        <v/>
      </c>
      <c r="F29" s="178" t="str">
        <f ca="1">TEXT(Calcu!H23,Calcu!$Q$64)</f>
        <v/>
      </c>
      <c r="G29" s="178" t="str">
        <f ca="1">TEXT(Calcu!I23,Calcu!$Q$64)</f>
        <v/>
      </c>
      <c r="H29" s="178" t="str">
        <f ca="1">TEXT(Calcu!J23,Calcu!$Q$64)</f>
        <v/>
      </c>
      <c r="I29" s="178" t="str">
        <f ca="1">TEXT(Calcu!K23,Calcu!$Q$64)</f>
        <v/>
      </c>
      <c r="J29" s="28"/>
      <c r="K29" s="28"/>
      <c r="L29" s="28"/>
      <c r="R29" s="45"/>
    </row>
    <row r="30" spans="1:18" ht="13.5" customHeight="1">
      <c r="B30" s="178" t="str">
        <f>Calcu!C24</f>
        <v/>
      </c>
      <c r="C30" s="178" t="str">
        <f>Calcu!D24</f>
        <v/>
      </c>
      <c r="D30" s="178" t="str">
        <f>Calcu!E24</f>
        <v/>
      </c>
      <c r="E30" s="178" t="str">
        <f ca="1">TEXT(Calcu!G24,Calcu!$Q$64)</f>
        <v/>
      </c>
      <c r="F30" s="178" t="str">
        <f ca="1">TEXT(Calcu!H24,Calcu!$Q$64)</f>
        <v/>
      </c>
      <c r="G30" s="178" t="str">
        <f ca="1">TEXT(Calcu!I24,Calcu!$Q$64)</f>
        <v/>
      </c>
      <c r="H30" s="178" t="str">
        <f ca="1">TEXT(Calcu!J24,Calcu!$Q$64)</f>
        <v/>
      </c>
      <c r="I30" s="178" t="str">
        <f ca="1">TEXT(Calcu!K24,Calcu!$Q$64)</f>
        <v/>
      </c>
      <c r="J30" s="28"/>
      <c r="K30" s="28"/>
      <c r="L30" s="28"/>
      <c r="R30" s="45"/>
    </row>
    <row r="31" spans="1:18" ht="13.5" customHeight="1">
      <c r="B31" s="178" t="str">
        <f>Calcu!C25</f>
        <v/>
      </c>
      <c r="C31" s="178" t="str">
        <f>Calcu!D25</f>
        <v/>
      </c>
      <c r="D31" s="178" t="str">
        <f>Calcu!E25</f>
        <v/>
      </c>
      <c r="E31" s="178" t="str">
        <f ca="1">TEXT(Calcu!G25,Calcu!$Q$64)</f>
        <v/>
      </c>
      <c r="F31" s="178" t="str">
        <f ca="1">TEXT(Calcu!H25,Calcu!$Q$64)</f>
        <v/>
      </c>
      <c r="G31" s="178" t="str">
        <f ca="1">TEXT(Calcu!I25,Calcu!$Q$64)</f>
        <v/>
      </c>
      <c r="H31" s="178" t="str">
        <f ca="1">TEXT(Calcu!J25,Calcu!$Q$64)</f>
        <v/>
      </c>
      <c r="I31" s="178" t="str">
        <f ca="1">TEXT(Calcu!K25,Calcu!$Q$64)</f>
        <v/>
      </c>
      <c r="J31" s="28"/>
      <c r="K31" s="28"/>
      <c r="L31" s="28"/>
      <c r="R31" s="45"/>
    </row>
    <row r="32" spans="1:18" ht="13.5" customHeight="1">
      <c r="B32" s="178" t="str">
        <f>Calcu!C26</f>
        <v/>
      </c>
      <c r="C32" s="178" t="str">
        <f>Calcu!D26</f>
        <v/>
      </c>
      <c r="D32" s="178" t="str">
        <f>Calcu!E26</f>
        <v/>
      </c>
      <c r="E32" s="178" t="str">
        <f ca="1">TEXT(Calcu!G26,Calcu!$Q$64)</f>
        <v/>
      </c>
      <c r="F32" s="178" t="str">
        <f ca="1">TEXT(Calcu!H26,Calcu!$Q$64)</f>
        <v/>
      </c>
      <c r="G32" s="178" t="str">
        <f ca="1">TEXT(Calcu!I26,Calcu!$Q$64)</f>
        <v/>
      </c>
      <c r="H32" s="178" t="str">
        <f ca="1">TEXT(Calcu!J26,Calcu!$Q$64)</f>
        <v/>
      </c>
      <c r="I32" s="178" t="str">
        <f ca="1">TEXT(Calcu!K26,Calcu!$Q$64)</f>
        <v/>
      </c>
      <c r="J32" s="28"/>
      <c r="K32" s="28"/>
      <c r="L32" s="28"/>
      <c r="R32" s="45"/>
    </row>
    <row r="33" spans="2:18" ht="13.5" customHeight="1">
      <c r="B33" s="178" t="str">
        <f>Calcu!C27</f>
        <v/>
      </c>
      <c r="C33" s="178" t="str">
        <f>Calcu!D27</f>
        <v/>
      </c>
      <c r="D33" s="178" t="str">
        <f>Calcu!E27</f>
        <v/>
      </c>
      <c r="E33" s="178" t="str">
        <f ca="1">TEXT(Calcu!G27,Calcu!$Q$64)</f>
        <v/>
      </c>
      <c r="F33" s="178" t="str">
        <f ca="1">TEXT(Calcu!H27,Calcu!$Q$64)</f>
        <v/>
      </c>
      <c r="G33" s="178" t="str">
        <f ca="1">TEXT(Calcu!I27,Calcu!$Q$64)</f>
        <v/>
      </c>
      <c r="H33" s="178" t="str">
        <f ca="1">TEXT(Calcu!J27,Calcu!$Q$64)</f>
        <v/>
      </c>
      <c r="I33" s="178" t="str">
        <f ca="1">TEXT(Calcu!K27,Calcu!$Q$64)</f>
        <v/>
      </c>
      <c r="J33" s="28"/>
      <c r="K33" s="28"/>
      <c r="L33" s="28"/>
      <c r="R33" s="45"/>
    </row>
    <row r="34" spans="2:18" ht="13.5" customHeight="1">
      <c r="B34" s="178" t="str">
        <f>Calcu!C28</f>
        <v/>
      </c>
      <c r="C34" s="178" t="str">
        <f>Calcu!D28</f>
        <v/>
      </c>
      <c r="D34" s="178" t="str">
        <f>Calcu!E28</f>
        <v/>
      </c>
      <c r="E34" s="178" t="str">
        <f ca="1">TEXT(Calcu!G28,Calcu!$Q$64)</f>
        <v/>
      </c>
      <c r="F34" s="178" t="str">
        <f ca="1">TEXT(Calcu!H28,Calcu!$Q$64)</f>
        <v/>
      </c>
      <c r="G34" s="178" t="str">
        <f ca="1">TEXT(Calcu!I28,Calcu!$Q$64)</f>
        <v/>
      </c>
      <c r="H34" s="178" t="str">
        <f ca="1">TEXT(Calcu!J28,Calcu!$Q$64)</f>
        <v/>
      </c>
      <c r="I34" s="178" t="str">
        <f ca="1">TEXT(Calcu!K28,Calcu!$Q$64)</f>
        <v/>
      </c>
      <c r="J34" s="28"/>
      <c r="K34" s="28"/>
      <c r="L34" s="28"/>
      <c r="R34" s="45"/>
    </row>
    <row r="35" spans="2:18" ht="13.5" customHeight="1">
      <c r="B35" s="178" t="str">
        <f>Calcu!C29</f>
        <v/>
      </c>
      <c r="C35" s="178" t="str">
        <f>Calcu!D29</f>
        <v/>
      </c>
      <c r="D35" s="178" t="str">
        <f>Calcu!E29</f>
        <v/>
      </c>
      <c r="E35" s="178" t="str">
        <f ca="1">TEXT(Calcu!G29,Calcu!$Q$64)</f>
        <v/>
      </c>
      <c r="F35" s="178" t="str">
        <f ca="1">TEXT(Calcu!H29,Calcu!$Q$64)</f>
        <v/>
      </c>
      <c r="G35" s="178" t="str">
        <f ca="1">TEXT(Calcu!I29,Calcu!$Q$64)</f>
        <v/>
      </c>
      <c r="H35" s="178" t="str">
        <f ca="1">TEXT(Calcu!J29,Calcu!$Q$64)</f>
        <v/>
      </c>
      <c r="I35" s="178" t="str">
        <f ca="1">TEXT(Calcu!K29,Calcu!$Q$64)</f>
        <v/>
      </c>
      <c r="J35" s="28"/>
      <c r="K35" s="28"/>
      <c r="L35" s="28"/>
      <c r="R35" s="45"/>
    </row>
    <row r="36" spans="2:18" ht="13.5" customHeight="1">
      <c r="B36" s="178" t="str">
        <f>Calcu!C30</f>
        <v/>
      </c>
      <c r="C36" s="178" t="str">
        <f>Calcu!D30</f>
        <v/>
      </c>
      <c r="D36" s="178" t="str">
        <f>Calcu!E30</f>
        <v/>
      </c>
      <c r="E36" s="178" t="str">
        <f ca="1">TEXT(Calcu!G30,Calcu!$Q$64)</f>
        <v/>
      </c>
      <c r="F36" s="178" t="str">
        <f ca="1">TEXT(Calcu!H30,Calcu!$Q$64)</f>
        <v/>
      </c>
      <c r="G36" s="178" t="str">
        <f ca="1">TEXT(Calcu!I30,Calcu!$Q$64)</f>
        <v/>
      </c>
      <c r="H36" s="178" t="str">
        <f ca="1">TEXT(Calcu!J30,Calcu!$Q$64)</f>
        <v/>
      </c>
      <c r="I36" s="178" t="str">
        <f ca="1">TEXT(Calcu!K30,Calcu!$Q$64)</f>
        <v/>
      </c>
      <c r="J36" s="28"/>
      <c r="K36" s="28"/>
      <c r="L36" s="28"/>
      <c r="R36" s="45"/>
    </row>
    <row r="37" spans="2:18" ht="13.5" customHeight="1">
      <c r="B37" s="178" t="str">
        <f>Calcu!C31</f>
        <v/>
      </c>
      <c r="C37" s="178" t="str">
        <f>Calcu!D31</f>
        <v/>
      </c>
      <c r="D37" s="178" t="str">
        <f>Calcu!E31</f>
        <v/>
      </c>
      <c r="E37" s="178" t="str">
        <f ca="1">TEXT(Calcu!G31,Calcu!$Q$64)</f>
        <v/>
      </c>
      <c r="F37" s="178" t="str">
        <f ca="1">TEXT(Calcu!H31,Calcu!$Q$64)</f>
        <v/>
      </c>
      <c r="G37" s="178" t="str">
        <f ca="1">TEXT(Calcu!I31,Calcu!$Q$64)</f>
        <v/>
      </c>
      <c r="H37" s="178" t="str">
        <f ca="1">TEXT(Calcu!J31,Calcu!$Q$64)</f>
        <v/>
      </c>
      <c r="I37" s="178" t="str">
        <f ca="1">TEXT(Calcu!K31,Calcu!$Q$64)</f>
        <v/>
      </c>
      <c r="J37" s="28"/>
      <c r="K37" s="28"/>
      <c r="L37" s="28"/>
      <c r="R37" s="45"/>
    </row>
    <row r="38" spans="2:18" ht="13.5" customHeight="1">
      <c r="B38" s="178" t="str">
        <f>Calcu!C32</f>
        <v/>
      </c>
      <c r="C38" s="178" t="str">
        <f>Calcu!D32</f>
        <v/>
      </c>
      <c r="D38" s="178" t="str">
        <f>Calcu!E32</f>
        <v/>
      </c>
      <c r="E38" s="178" t="str">
        <f ca="1">TEXT(Calcu!G32,Calcu!$Q$64)</f>
        <v/>
      </c>
      <c r="F38" s="178" t="str">
        <f ca="1">TEXT(Calcu!H32,Calcu!$Q$64)</f>
        <v/>
      </c>
      <c r="G38" s="178" t="str">
        <f ca="1">TEXT(Calcu!I32,Calcu!$Q$64)</f>
        <v/>
      </c>
      <c r="H38" s="178" t="str">
        <f ca="1">TEXT(Calcu!J32,Calcu!$Q$64)</f>
        <v/>
      </c>
      <c r="I38" s="178" t="str">
        <f ca="1">TEXT(Calcu!K32,Calcu!$Q$64)</f>
        <v/>
      </c>
      <c r="J38" s="28"/>
      <c r="K38" s="28"/>
      <c r="L38" s="28"/>
      <c r="R38" s="45"/>
    </row>
    <row r="39" spans="2:18" ht="13.5" customHeight="1">
      <c r="B39" s="178" t="str">
        <f>Calcu!C33</f>
        <v/>
      </c>
      <c r="C39" s="178" t="str">
        <f>Calcu!D33</f>
        <v/>
      </c>
      <c r="D39" s="178" t="str">
        <f>Calcu!E33</f>
        <v/>
      </c>
      <c r="E39" s="178" t="str">
        <f ca="1">TEXT(Calcu!G33,Calcu!$Q$64)</f>
        <v/>
      </c>
      <c r="F39" s="178" t="str">
        <f ca="1">TEXT(Calcu!H33,Calcu!$Q$64)</f>
        <v/>
      </c>
      <c r="G39" s="178" t="str">
        <f ca="1">TEXT(Calcu!I33,Calcu!$Q$64)</f>
        <v/>
      </c>
      <c r="H39" s="178" t="str">
        <f ca="1">TEXT(Calcu!J33,Calcu!$Q$64)</f>
        <v/>
      </c>
      <c r="I39" s="178" t="str">
        <f ca="1">TEXT(Calcu!K33,Calcu!$Q$64)</f>
        <v/>
      </c>
      <c r="J39" s="28"/>
      <c r="K39" s="28"/>
      <c r="L39" s="28"/>
      <c r="R39" s="45"/>
    </row>
    <row r="40" spans="2:18" ht="13.5" customHeight="1">
      <c r="B40" s="178" t="str">
        <f>Calcu!C34</f>
        <v/>
      </c>
      <c r="C40" s="178" t="str">
        <f>Calcu!D34</f>
        <v/>
      </c>
      <c r="D40" s="178" t="str">
        <f>Calcu!E34</f>
        <v/>
      </c>
      <c r="E40" s="178" t="str">
        <f ca="1">TEXT(Calcu!G34,Calcu!$Q$64)</f>
        <v/>
      </c>
      <c r="F40" s="178" t="str">
        <f ca="1">TEXT(Calcu!H34,Calcu!$Q$64)</f>
        <v/>
      </c>
      <c r="G40" s="178" t="str">
        <f ca="1">TEXT(Calcu!I34,Calcu!$Q$64)</f>
        <v/>
      </c>
      <c r="H40" s="178" t="str">
        <f ca="1">TEXT(Calcu!J34,Calcu!$Q$64)</f>
        <v/>
      </c>
      <c r="I40" s="178" t="str">
        <f ca="1">TEXT(Calcu!K34,Calcu!$Q$64)</f>
        <v/>
      </c>
      <c r="J40" s="28"/>
      <c r="K40" s="28"/>
      <c r="L40" s="28"/>
      <c r="R40" s="45"/>
    </row>
    <row r="42" spans="2:18" ht="13.5" customHeight="1">
      <c r="B42" s="99" t="s">
        <v>432</v>
      </c>
    </row>
    <row r="43" spans="2:18" ht="13.5" customHeight="1">
      <c r="B43" s="177" t="s">
        <v>433</v>
      </c>
    </row>
    <row r="44" spans="2:18" ht="13.5" customHeight="1">
      <c r="B44" s="178" t="str">
        <f>IF(Length_13_Result3="","",Length_13_Result3)</f>
        <v/>
      </c>
    </row>
  </sheetData>
  <sortState ref="W5:X14">
    <sortCondition descending="1" ref="W5"/>
  </sortState>
  <mergeCells count="7">
    <mergeCell ref="E3:F3"/>
    <mergeCell ref="B12:F12"/>
    <mergeCell ref="B18:B19"/>
    <mergeCell ref="C18:C19"/>
    <mergeCell ref="D18:D19"/>
    <mergeCell ref="E18:I18"/>
    <mergeCell ref="E4:F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354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52" s="67" customFormat="1" ht="31.5">
      <c r="A1" s="66" t="s">
        <v>451</v>
      </c>
    </row>
    <row r="2" spans="1:52" s="67" customFormat="1" ht="18.75" customHeight="1"/>
    <row r="3" spans="1:52" s="67" customFormat="1" ht="18.75" customHeight="1">
      <c r="A3" s="68" t="s">
        <v>452</v>
      </c>
    </row>
    <row r="4" spans="1:52" s="67" customFormat="1" ht="18.75" customHeight="1">
      <c r="B4" s="364" t="s">
        <v>101</v>
      </c>
      <c r="C4" s="364"/>
      <c r="D4" s="364"/>
      <c r="E4" s="364"/>
      <c r="F4" s="364"/>
      <c r="G4" s="364"/>
      <c r="H4" s="365" t="s">
        <v>453</v>
      </c>
      <c r="I4" s="365"/>
      <c r="J4" s="365"/>
      <c r="K4" s="365"/>
      <c r="L4" s="365"/>
      <c r="M4" s="365"/>
      <c r="N4" s="364" t="s">
        <v>454</v>
      </c>
      <c r="O4" s="364"/>
      <c r="P4" s="364"/>
      <c r="Q4" s="364"/>
      <c r="R4" s="364"/>
      <c r="S4" s="364"/>
      <c r="T4" s="364" t="s">
        <v>455</v>
      </c>
      <c r="U4" s="364"/>
      <c r="V4" s="364"/>
      <c r="W4" s="364"/>
      <c r="X4" s="364"/>
      <c r="Y4" s="364"/>
    </row>
    <row r="5" spans="1:52" s="67" customFormat="1" ht="18.75" customHeight="1">
      <c r="B5" s="366" t="str">
        <f>Calcu!I3</f>
        <v/>
      </c>
      <c r="C5" s="366"/>
      <c r="D5" s="366"/>
      <c r="E5" s="366"/>
      <c r="F5" s="366"/>
      <c r="G5" s="366"/>
      <c r="H5" s="367">
        <f>Calcu!J3</f>
        <v>1</v>
      </c>
      <c r="I5" s="367"/>
      <c r="J5" s="367"/>
      <c r="K5" s="367"/>
      <c r="L5" s="367"/>
      <c r="M5" s="367"/>
      <c r="N5" s="366" t="s">
        <v>456</v>
      </c>
      <c r="O5" s="366"/>
      <c r="P5" s="366"/>
      <c r="Q5" s="366"/>
      <c r="R5" s="366"/>
      <c r="S5" s="366"/>
      <c r="T5" s="366" t="str">
        <f>Calcu!H3</f>
        <v>표준 측장기</v>
      </c>
      <c r="U5" s="366"/>
      <c r="V5" s="366"/>
      <c r="W5" s="366"/>
      <c r="X5" s="366"/>
      <c r="Y5" s="366"/>
    </row>
    <row r="6" spans="1:52" s="67" customFormat="1" ht="18.75" customHeight="1"/>
    <row r="7" spans="1:52" ht="18.75" customHeight="1">
      <c r="A7" s="57" t="s">
        <v>457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3"/>
      <c r="AT7" s="243"/>
      <c r="AU7" s="243"/>
      <c r="AV7" s="243"/>
    </row>
    <row r="8" spans="1:52" ht="18.75" customHeight="1">
      <c r="A8" s="60"/>
      <c r="B8" s="361" t="s">
        <v>458</v>
      </c>
      <c r="C8" s="361"/>
      <c r="D8" s="361"/>
      <c r="E8" s="361"/>
      <c r="F8" s="361"/>
      <c r="G8" s="361"/>
      <c r="H8" s="361"/>
      <c r="I8" s="368">
        <f>기본정보!B12</f>
        <v>0</v>
      </c>
      <c r="J8" s="368"/>
      <c r="K8" s="368"/>
      <c r="L8" s="368"/>
      <c r="M8" s="368"/>
      <c r="N8" s="368"/>
      <c r="O8" s="368"/>
      <c r="P8" s="361" t="s">
        <v>459</v>
      </c>
      <c r="Q8" s="361"/>
      <c r="R8" s="361"/>
      <c r="S8" s="361"/>
      <c r="T8" s="361"/>
      <c r="U8" s="361"/>
      <c r="V8" s="361"/>
      <c r="W8" s="363">
        <f>기본정보!D12</f>
        <v>0</v>
      </c>
      <c r="X8" s="363"/>
      <c r="Y8" s="363"/>
      <c r="Z8" s="363"/>
      <c r="AA8" s="363"/>
      <c r="AB8" s="363"/>
      <c r="AC8" s="363"/>
      <c r="AD8" s="361" t="s">
        <v>460</v>
      </c>
      <c r="AE8" s="361"/>
      <c r="AF8" s="361"/>
      <c r="AG8" s="361"/>
      <c r="AH8" s="361"/>
      <c r="AI8" s="361"/>
      <c r="AJ8" s="361"/>
      <c r="AK8" s="362">
        <f>AVERAGE(I8:O9)</f>
        <v>0</v>
      </c>
      <c r="AL8" s="362"/>
      <c r="AM8" s="362"/>
      <c r="AN8" s="362"/>
      <c r="AO8" s="362"/>
      <c r="AP8" s="362"/>
      <c r="AQ8" s="362"/>
      <c r="AR8" s="243"/>
      <c r="AS8" s="243"/>
      <c r="AT8" s="243"/>
      <c r="AU8" s="243"/>
      <c r="AV8" s="243"/>
    </row>
    <row r="9" spans="1:52" ht="18.75" customHeight="1">
      <c r="A9" s="60"/>
      <c r="B9" s="361" t="s">
        <v>461</v>
      </c>
      <c r="C9" s="361"/>
      <c r="D9" s="361"/>
      <c r="E9" s="361"/>
      <c r="F9" s="361"/>
      <c r="G9" s="361"/>
      <c r="H9" s="361"/>
      <c r="I9" s="368">
        <f>기본정보!B13</f>
        <v>0</v>
      </c>
      <c r="J9" s="368"/>
      <c r="K9" s="368"/>
      <c r="L9" s="368"/>
      <c r="M9" s="368"/>
      <c r="N9" s="368"/>
      <c r="O9" s="368"/>
      <c r="P9" s="369" t="s">
        <v>462</v>
      </c>
      <c r="Q9" s="369"/>
      <c r="R9" s="369"/>
      <c r="S9" s="369"/>
      <c r="T9" s="361"/>
      <c r="U9" s="361"/>
      <c r="V9" s="361"/>
      <c r="W9" s="363">
        <f>기본정보!D13</f>
        <v>0</v>
      </c>
      <c r="X9" s="363"/>
      <c r="Y9" s="363"/>
      <c r="Z9" s="363"/>
      <c r="AA9" s="363"/>
      <c r="AB9" s="363"/>
      <c r="AC9" s="363"/>
      <c r="AD9" s="361" t="s">
        <v>463</v>
      </c>
      <c r="AE9" s="361"/>
      <c r="AF9" s="361"/>
      <c r="AG9" s="361"/>
      <c r="AH9" s="361"/>
      <c r="AI9" s="361"/>
      <c r="AJ9" s="361"/>
      <c r="AK9" s="363">
        <f>AVERAGE(W8:AC9)</f>
        <v>0</v>
      </c>
      <c r="AL9" s="363"/>
      <c r="AM9" s="363"/>
      <c r="AN9" s="363"/>
      <c r="AO9" s="363"/>
      <c r="AP9" s="363"/>
      <c r="AQ9" s="363"/>
      <c r="AR9" s="243"/>
      <c r="AS9" s="243"/>
      <c r="AT9" s="243"/>
      <c r="AU9" s="243"/>
      <c r="AV9" s="243"/>
    </row>
    <row r="10" spans="1:52" ht="18.75" customHeight="1">
      <c r="A10" s="60"/>
      <c r="B10" s="361" t="s">
        <v>464</v>
      </c>
      <c r="C10" s="361"/>
      <c r="D10" s="361"/>
      <c r="E10" s="361"/>
      <c r="F10" s="361"/>
      <c r="G10" s="361"/>
      <c r="H10" s="361"/>
      <c r="I10" s="373" t="s">
        <v>465</v>
      </c>
      <c r="J10" s="374"/>
      <c r="K10" s="374"/>
      <c r="L10" s="374"/>
      <c r="M10" s="374"/>
      <c r="N10" s="374"/>
      <c r="O10" s="374"/>
      <c r="P10" s="374"/>
      <c r="Q10" s="374"/>
      <c r="R10" s="374"/>
      <c r="S10" s="375"/>
      <c r="T10" s="382">
        <f>Calcu!F3</f>
        <v>0</v>
      </c>
      <c r="U10" s="382"/>
      <c r="V10" s="382"/>
      <c r="W10" s="382"/>
      <c r="X10" s="382"/>
      <c r="Y10" s="382"/>
      <c r="Z10" s="382"/>
      <c r="AA10" s="382"/>
      <c r="AB10" s="382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43"/>
      <c r="AS10" s="243"/>
      <c r="AT10" s="243"/>
      <c r="AU10" s="243"/>
      <c r="AV10" s="243"/>
    </row>
    <row r="11" spans="1:52" ht="18.75" customHeight="1">
      <c r="A11" s="60"/>
      <c r="B11" s="361"/>
      <c r="C11" s="361"/>
      <c r="D11" s="361"/>
      <c r="E11" s="361"/>
      <c r="F11" s="361"/>
      <c r="G11" s="361"/>
      <c r="H11" s="361"/>
      <c r="I11" s="373" t="s">
        <v>466</v>
      </c>
      <c r="J11" s="374"/>
      <c r="K11" s="374"/>
      <c r="L11" s="374"/>
      <c r="M11" s="374"/>
      <c r="N11" s="374"/>
      <c r="O11" s="374"/>
      <c r="P11" s="374"/>
      <c r="Q11" s="374"/>
      <c r="R11" s="374"/>
      <c r="S11" s="375"/>
      <c r="T11" s="382">
        <f>Calcu!E3</f>
        <v>1.15E-5</v>
      </c>
      <c r="U11" s="382"/>
      <c r="V11" s="382"/>
      <c r="W11" s="382"/>
      <c r="X11" s="382"/>
      <c r="Y11" s="382"/>
      <c r="Z11" s="382"/>
      <c r="AA11" s="382"/>
      <c r="AB11" s="382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229"/>
      <c r="AQ11" s="229"/>
      <c r="AR11" s="243"/>
      <c r="AS11" s="243"/>
      <c r="AT11" s="243"/>
      <c r="AU11" s="243"/>
      <c r="AV11" s="243"/>
    </row>
    <row r="12" spans="1:52" ht="18.75" customHeight="1">
      <c r="A12" s="60"/>
      <c r="B12" s="361"/>
      <c r="C12" s="361"/>
      <c r="D12" s="361"/>
      <c r="E12" s="361"/>
      <c r="F12" s="361"/>
      <c r="G12" s="361"/>
      <c r="H12" s="361"/>
      <c r="I12" s="373" t="s">
        <v>467</v>
      </c>
      <c r="J12" s="374"/>
      <c r="K12" s="374"/>
      <c r="L12" s="374"/>
      <c r="M12" s="374"/>
      <c r="N12" s="374"/>
      <c r="O12" s="374"/>
      <c r="P12" s="374"/>
      <c r="Q12" s="374"/>
      <c r="R12" s="374"/>
      <c r="S12" s="375"/>
      <c r="T12" s="382">
        <f>Calcu!G3</f>
        <v>0</v>
      </c>
      <c r="U12" s="382"/>
      <c r="V12" s="382"/>
      <c r="W12" s="382"/>
      <c r="X12" s="382"/>
      <c r="Y12" s="382"/>
      <c r="Z12" s="382"/>
      <c r="AA12" s="382"/>
      <c r="AB12" s="382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229"/>
      <c r="AQ12" s="229"/>
      <c r="AR12" s="243"/>
      <c r="AS12" s="243"/>
      <c r="AT12" s="243"/>
      <c r="AU12" s="243"/>
      <c r="AV12" s="243"/>
    </row>
    <row r="13" spans="1:52" ht="18.75" customHeight="1">
      <c r="A13" s="60"/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</row>
    <row r="14" spans="1:52" ht="18.75" customHeight="1">
      <c r="A14" s="57" t="s">
        <v>468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229"/>
      <c r="AQ14" s="229"/>
      <c r="AR14" s="229"/>
    </row>
    <row r="15" spans="1:52" ht="18.75" customHeight="1">
      <c r="A15" s="57"/>
      <c r="B15" s="57" t="s">
        <v>469</v>
      </c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43"/>
      <c r="N15" s="243"/>
      <c r="O15" s="243"/>
      <c r="P15" s="243"/>
      <c r="Q15" s="243"/>
      <c r="R15" s="243"/>
      <c r="S15" s="243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229"/>
      <c r="AQ15" s="229"/>
      <c r="AR15" s="229"/>
    </row>
    <row r="16" spans="1:52" ht="18.75" customHeight="1">
      <c r="A16" s="57"/>
      <c r="B16" s="355" t="s">
        <v>470</v>
      </c>
      <c r="C16" s="356"/>
      <c r="D16" s="356"/>
      <c r="E16" s="356"/>
      <c r="F16" s="356"/>
      <c r="G16" s="357"/>
      <c r="H16" s="352" t="str">
        <f>$T$5&amp;" 지시값"</f>
        <v>표준 측장기 지시값</v>
      </c>
      <c r="I16" s="353"/>
      <c r="J16" s="353"/>
      <c r="K16" s="353"/>
      <c r="L16" s="353"/>
      <c r="M16" s="353"/>
      <c r="N16" s="353"/>
      <c r="O16" s="353"/>
      <c r="P16" s="353"/>
      <c r="Q16" s="353"/>
      <c r="R16" s="353"/>
      <c r="S16" s="353"/>
      <c r="T16" s="353"/>
      <c r="U16" s="353"/>
      <c r="V16" s="353"/>
      <c r="W16" s="353"/>
      <c r="X16" s="353"/>
      <c r="Y16" s="353"/>
      <c r="Z16" s="353"/>
      <c r="AA16" s="353"/>
      <c r="AB16" s="353"/>
      <c r="AC16" s="353"/>
      <c r="AD16" s="353"/>
      <c r="AE16" s="353"/>
      <c r="AF16" s="354"/>
      <c r="AG16" s="376" t="s">
        <v>471</v>
      </c>
      <c r="AH16" s="377"/>
      <c r="AI16" s="377"/>
      <c r="AJ16" s="377"/>
      <c r="AK16" s="378"/>
      <c r="AL16" s="376" t="s">
        <v>472</v>
      </c>
      <c r="AM16" s="377"/>
      <c r="AN16" s="377"/>
      <c r="AO16" s="377"/>
      <c r="AP16" s="378"/>
      <c r="AQ16" s="376" t="s">
        <v>473</v>
      </c>
      <c r="AR16" s="377"/>
      <c r="AS16" s="377"/>
      <c r="AT16" s="377"/>
      <c r="AU16" s="378"/>
      <c r="AV16" s="376" t="s">
        <v>474</v>
      </c>
      <c r="AW16" s="377"/>
      <c r="AX16" s="377"/>
      <c r="AY16" s="377"/>
      <c r="AZ16" s="378"/>
    </row>
    <row r="17" spans="1:61" ht="18.75" customHeight="1">
      <c r="A17" s="57"/>
      <c r="B17" s="358"/>
      <c r="C17" s="359"/>
      <c r="D17" s="359"/>
      <c r="E17" s="359"/>
      <c r="F17" s="359"/>
      <c r="G17" s="360"/>
      <c r="H17" s="370" t="s">
        <v>475</v>
      </c>
      <c r="I17" s="371"/>
      <c r="J17" s="371"/>
      <c r="K17" s="371"/>
      <c r="L17" s="372"/>
      <c r="M17" s="370" t="s">
        <v>476</v>
      </c>
      <c r="N17" s="371"/>
      <c r="O17" s="371"/>
      <c r="P17" s="371"/>
      <c r="Q17" s="372"/>
      <c r="R17" s="370" t="s">
        <v>477</v>
      </c>
      <c r="S17" s="371"/>
      <c r="T17" s="371"/>
      <c r="U17" s="371"/>
      <c r="V17" s="372"/>
      <c r="W17" s="370" t="s">
        <v>478</v>
      </c>
      <c r="X17" s="371"/>
      <c r="Y17" s="371"/>
      <c r="Z17" s="371"/>
      <c r="AA17" s="372"/>
      <c r="AB17" s="370" t="s">
        <v>479</v>
      </c>
      <c r="AC17" s="371"/>
      <c r="AD17" s="371"/>
      <c r="AE17" s="371"/>
      <c r="AF17" s="372"/>
      <c r="AG17" s="379"/>
      <c r="AH17" s="380"/>
      <c r="AI17" s="380"/>
      <c r="AJ17" s="380"/>
      <c r="AK17" s="381"/>
      <c r="AL17" s="379"/>
      <c r="AM17" s="380"/>
      <c r="AN17" s="380"/>
      <c r="AO17" s="380"/>
      <c r="AP17" s="381"/>
      <c r="AQ17" s="379"/>
      <c r="AR17" s="380"/>
      <c r="AS17" s="380"/>
      <c r="AT17" s="380"/>
      <c r="AU17" s="381"/>
      <c r="AV17" s="379"/>
      <c r="AW17" s="380"/>
      <c r="AX17" s="380"/>
      <c r="AY17" s="380"/>
      <c r="AZ17" s="381"/>
    </row>
    <row r="18" spans="1:61" ht="18.75" customHeight="1">
      <c r="A18" s="57"/>
      <c r="B18" s="352" t="str">
        <f>Calcu!J8</f>
        <v>mm</v>
      </c>
      <c r="C18" s="353"/>
      <c r="D18" s="353"/>
      <c r="E18" s="353"/>
      <c r="F18" s="353"/>
      <c r="G18" s="354"/>
      <c r="H18" s="352" t="str">
        <f>Calcu!C8</f>
        <v>mm</v>
      </c>
      <c r="I18" s="353"/>
      <c r="J18" s="353"/>
      <c r="K18" s="353"/>
      <c r="L18" s="354"/>
      <c r="M18" s="352" t="str">
        <f>Calcu!D8</f>
        <v>mm</v>
      </c>
      <c r="N18" s="353"/>
      <c r="O18" s="353"/>
      <c r="P18" s="353"/>
      <c r="Q18" s="354"/>
      <c r="R18" s="352" t="str">
        <f>Calcu!E8</f>
        <v>mm</v>
      </c>
      <c r="S18" s="353"/>
      <c r="T18" s="353"/>
      <c r="U18" s="353"/>
      <c r="V18" s="354"/>
      <c r="W18" s="352" t="str">
        <f>Calcu!F8</f>
        <v>mm</v>
      </c>
      <c r="X18" s="353"/>
      <c r="Y18" s="353"/>
      <c r="Z18" s="353"/>
      <c r="AA18" s="354"/>
      <c r="AB18" s="352" t="str">
        <f>Calcu!G8</f>
        <v>mm</v>
      </c>
      <c r="AC18" s="353"/>
      <c r="AD18" s="353"/>
      <c r="AE18" s="353"/>
      <c r="AF18" s="354"/>
      <c r="AG18" s="352" t="str">
        <f>Calcu!H8</f>
        <v>mm</v>
      </c>
      <c r="AH18" s="353"/>
      <c r="AI18" s="353"/>
      <c r="AJ18" s="353"/>
      <c r="AK18" s="354"/>
      <c r="AL18" s="352" t="str">
        <f>Calcu!I8</f>
        <v>μm</v>
      </c>
      <c r="AM18" s="353"/>
      <c r="AN18" s="353"/>
      <c r="AO18" s="353"/>
      <c r="AP18" s="354"/>
      <c r="AQ18" s="352" t="str">
        <f>Calcu!P8</f>
        <v>mm</v>
      </c>
      <c r="AR18" s="353"/>
      <c r="AS18" s="353"/>
      <c r="AT18" s="353"/>
      <c r="AU18" s="354"/>
      <c r="AV18" s="352" t="str">
        <f>Calcu!Q8</f>
        <v>mm</v>
      </c>
      <c r="AW18" s="353"/>
      <c r="AX18" s="353"/>
      <c r="AY18" s="353"/>
      <c r="AZ18" s="354"/>
    </row>
    <row r="19" spans="1:61" ht="18.75" customHeight="1">
      <c r="A19" s="57"/>
      <c r="B19" s="349">
        <f>Calcu!J9</f>
        <v>0</v>
      </c>
      <c r="C19" s="350"/>
      <c r="D19" s="350"/>
      <c r="E19" s="350"/>
      <c r="F19" s="350"/>
      <c r="G19" s="351"/>
      <c r="H19" s="349">
        <f>Calcu!C9</f>
        <v>0</v>
      </c>
      <c r="I19" s="350"/>
      <c r="J19" s="350"/>
      <c r="K19" s="350"/>
      <c r="L19" s="351"/>
      <c r="M19" s="349">
        <f>Calcu!D9</f>
        <v>0</v>
      </c>
      <c r="N19" s="350"/>
      <c r="O19" s="350"/>
      <c r="P19" s="350"/>
      <c r="Q19" s="351"/>
      <c r="R19" s="349">
        <f>Calcu!E9</f>
        <v>0</v>
      </c>
      <c r="S19" s="350"/>
      <c r="T19" s="350"/>
      <c r="U19" s="350"/>
      <c r="V19" s="351"/>
      <c r="W19" s="349">
        <f>Calcu!F9</f>
        <v>0</v>
      </c>
      <c r="X19" s="350"/>
      <c r="Y19" s="350"/>
      <c r="Z19" s="350"/>
      <c r="AA19" s="351"/>
      <c r="AB19" s="349">
        <f>Calcu!G9</f>
        <v>0</v>
      </c>
      <c r="AC19" s="350"/>
      <c r="AD19" s="350"/>
      <c r="AE19" s="350"/>
      <c r="AF19" s="351"/>
      <c r="AG19" s="349">
        <f>Calcu!H9</f>
        <v>0</v>
      </c>
      <c r="AH19" s="350"/>
      <c r="AI19" s="350"/>
      <c r="AJ19" s="350"/>
      <c r="AK19" s="351"/>
      <c r="AL19" s="349">
        <f>Calcu!I9</f>
        <v>0</v>
      </c>
      <c r="AM19" s="350"/>
      <c r="AN19" s="350"/>
      <c r="AO19" s="350"/>
      <c r="AP19" s="351"/>
      <c r="AQ19" s="349">
        <f>Calcu!P9</f>
        <v>0</v>
      </c>
      <c r="AR19" s="350"/>
      <c r="AS19" s="350"/>
      <c r="AT19" s="350"/>
      <c r="AU19" s="351"/>
      <c r="AV19" s="349" t="e">
        <f>Calcu!Q9</f>
        <v>#DIV/0!</v>
      </c>
      <c r="AW19" s="350"/>
      <c r="AX19" s="350"/>
      <c r="AY19" s="350"/>
      <c r="AZ19" s="351"/>
    </row>
    <row r="20" spans="1:61" ht="18.75" customHeight="1">
      <c r="A20" s="57"/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229"/>
      <c r="AQ20" s="229"/>
      <c r="AR20" s="229"/>
    </row>
    <row r="21" spans="1:61" ht="18.75" customHeight="1">
      <c r="A21" s="57"/>
      <c r="B21" s="57" t="s">
        <v>480</v>
      </c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229"/>
      <c r="AQ21" s="229"/>
      <c r="AR21" s="229"/>
    </row>
    <row r="22" spans="1:61" ht="18.75" customHeight="1">
      <c r="A22" s="57"/>
      <c r="B22" s="355" t="s">
        <v>80</v>
      </c>
      <c r="C22" s="356"/>
      <c r="D22" s="356"/>
      <c r="E22" s="356"/>
      <c r="F22" s="357"/>
      <c r="G22" s="355" t="s">
        <v>166</v>
      </c>
      <c r="H22" s="356"/>
      <c r="I22" s="356"/>
      <c r="J22" s="356"/>
      <c r="K22" s="357"/>
      <c r="L22" s="355" t="s">
        <v>167</v>
      </c>
      <c r="M22" s="356"/>
      <c r="N22" s="356"/>
      <c r="O22" s="356"/>
      <c r="P22" s="357"/>
      <c r="Q22" s="352" t="str">
        <f>$T$5&amp;" 지시값"</f>
        <v>표준 측장기 지시값</v>
      </c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4"/>
      <c r="AP22" s="355" t="s">
        <v>102</v>
      </c>
      <c r="AQ22" s="356"/>
      <c r="AR22" s="356"/>
      <c r="AS22" s="356"/>
      <c r="AT22" s="357"/>
      <c r="AU22" s="355" t="s">
        <v>103</v>
      </c>
      <c r="AV22" s="356"/>
      <c r="AW22" s="356"/>
      <c r="AX22" s="356"/>
      <c r="AY22" s="357"/>
      <c r="AZ22" s="376" t="s">
        <v>481</v>
      </c>
      <c r="BA22" s="377"/>
      <c r="BB22" s="377"/>
      <c r="BC22" s="377"/>
      <c r="BD22" s="378"/>
      <c r="BE22" s="383" t="s">
        <v>482</v>
      </c>
      <c r="BF22" s="384"/>
      <c r="BG22" s="384"/>
      <c r="BH22" s="384"/>
      <c r="BI22" s="385"/>
    </row>
    <row r="23" spans="1:61" ht="18.75" customHeight="1">
      <c r="A23" s="57"/>
      <c r="B23" s="358"/>
      <c r="C23" s="359"/>
      <c r="D23" s="359"/>
      <c r="E23" s="359"/>
      <c r="F23" s="360"/>
      <c r="G23" s="358"/>
      <c r="H23" s="359"/>
      <c r="I23" s="359"/>
      <c r="J23" s="359"/>
      <c r="K23" s="360"/>
      <c r="L23" s="358"/>
      <c r="M23" s="359"/>
      <c r="N23" s="359"/>
      <c r="O23" s="359"/>
      <c r="P23" s="360"/>
      <c r="Q23" s="352" t="s">
        <v>427</v>
      </c>
      <c r="R23" s="353"/>
      <c r="S23" s="353"/>
      <c r="T23" s="353"/>
      <c r="U23" s="354"/>
      <c r="V23" s="352" t="s">
        <v>195</v>
      </c>
      <c r="W23" s="353"/>
      <c r="X23" s="353"/>
      <c r="Y23" s="353"/>
      <c r="Z23" s="354"/>
      <c r="AA23" s="352" t="s">
        <v>196</v>
      </c>
      <c r="AB23" s="353"/>
      <c r="AC23" s="353"/>
      <c r="AD23" s="353"/>
      <c r="AE23" s="354"/>
      <c r="AF23" s="352" t="s">
        <v>197</v>
      </c>
      <c r="AG23" s="353"/>
      <c r="AH23" s="353"/>
      <c r="AI23" s="353"/>
      <c r="AJ23" s="354"/>
      <c r="AK23" s="352" t="s">
        <v>198</v>
      </c>
      <c r="AL23" s="353"/>
      <c r="AM23" s="353"/>
      <c r="AN23" s="353"/>
      <c r="AO23" s="354"/>
      <c r="AP23" s="358"/>
      <c r="AQ23" s="359"/>
      <c r="AR23" s="359"/>
      <c r="AS23" s="359"/>
      <c r="AT23" s="360"/>
      <c r="AU23" s="358"/>
      <c r="AV23" s="359"/>
      <c r="AW23" s="359"/>
      <c r="AX23" s="359"/>
      <c r="AY23" s="360"/>
      <c r="AZ23" s="379"/>
      <c r="BA23" s="380"/>
      <c r="BB23" s="380"/>
      <c r="BC23" s="380"/>
      <c r="BD23" s="381"/>
      <c r="BE23" s="386"/>
      <c r="BF23" s="387"/>
      <c r="BG23" s="387"/>
      <c r="BH23" s="387"/>
      <c r="BI23" s="388"/>
    </row>
    <row r="24" spans="1:61" ht="18.75" customHeight="1">
      <c r="A24" s="57"/>
      <c r="B24" s="352" t="str">
        <f>B5</f>
        <v/>
      </c>
      <c r="C24" s="353"/>
      <c r="D24" s="353"/>
      <c r="E24" s="353"/>
      <c r="F24" s="354"/>
      <c r="G24" s="352"/>
      <c r="H24" s="353"/>
      <c r="I24" s="353"/>
      <c r="J24" s="353"/>
      <c r="K24" s="354"/>
      <c r="L24" s="352"/>
      <c r="M24" s="353"/>
      <c r="N24" s="353"/>
      <c r="O24" s="353"/>
      <c r="P24" s="354"/>
      <c r="Q24" s="352">
        <f>Calcu!G14</f>
        <v>0</v>
      </c>
      <c r="R24" s="353"/>
      <c r="S24" s="353"/>
      <c r="T24" s="353"/>
      <c r="U24" s="354"/>
      <c r="V24" s="352">
        <f>Calcu!H14</f>
        <v>0</v>
      </c>
      <c r="W24" s="353"/>
      <c r="X24" s="353"/>
      <c r="Y24" s="353"/>
      <c r="Z24" s="354"/>
      <c r="AA24" s="352">
        <f>Calcu!I14</f>
        <v>0</v>
      </c>
      <c r="AB24" s="353"/>
      <c r="AC24" s="353"/>
      <c r="AD24" s="353"/>
      <c r="AE24" s="354"/>
      <c r="AF24" s="352">
        <f>Calcu!J14</f>
        <v>0</v>
      </c>
      <c r="AG24" s="353"/>
      <c r="AH24" s="353"/>
      <c r="AI24" s="353"/>
      <c r="AJ24" s="354"/>
      <c r="AK24" s="352">
        <f>Calcu!K14</f>
        <v>0</v>
      </c>
      <c r="AL24" s="353"/>
      <c r="AM24" s="353"/>
      <c r="AN24" s="353"/>
      <c r="AO24" s="354"/>
      <c r="AP24" s="352">
        <f>Calcu!L14</f>
        <v>0</v>
      </c>
      <c r="AQ24" s="353"/>
      <c r="AR24" s="353"/>
      <c r="AS24" s="353"/>
      <c r="AT24" s="354"/>
      <c r="AU24" s="352" t="str">
        <f>Calcu!M14</f>
        <v>mm</v>
      </c>
      <c r="AV24" s="353"/>
      <c r="AW24" s="353"/>
      <c r="AX24" s="353"/>
      <c r="AY24" s="354"/>
      <c r="AZ24" s="352" t="str">
        <f>Calcu!S14</f>
        <v>mm</v>
      </c>
      <c r="BA24" s="353"/>
      <c r="BB24" s="353"/>
      <c r="BC24" s="353"/>
      <c r="BD24" s="354"/>
      <c r="BE24" s="352" t="str">
        <f>Calcu!U14</f>
        <v>mm</v>
      </c>
      <c r="BF24" s="353"/>
      <c r="BG24" s="353"/>
      <c r="BH24" s="353"/>
      <c r="BI24" s="354"/>
    </row>
    <row r="25" spans="1:61" ht="18.75" customHeight="1">
      <c r="A25" s="57"/>
      <c r="B25" s="349" t="str">
        <f>Calcu!E15</f>
        <v/>
      </c>
      <c r="C25" s="350"/>
      <c r="D25" s="350"/>
      <c r="E25" s="350"/>
      <c r="F25" s="351"/>
      <c r="G25" s="349" t="str">
        <f>Calcu!C15</f>
        <v/>
      </c>
      <c r="H25" s="350"/>
      <c r="I25" s="350"/>
      <c r="J25" s="350"/>
      <c r="K25" s="351"/>
      <c r="L25" s="349" t="str">
        <f>Calcu!D15</f>
        <v/>
      </c>
      <c r="M25" s="350"/>
      <c r="N25" s="350"/>
      <c r="O25" s="350"/>
      <c r="P25" s="351"/>
      <c r="Q25" s="349" t="str">
        <f>Calcu!G15</f>
        <v/>
      </c>
      <c r="R25" s="350"/>
      <c r="S25" s="350"/>
      <c r="T25" s="350"/>
      <c r="U25" s="351"/>
      <c r="V25" s="349" t="str">
        <f>Calcu!H15</f>
        <v/>
      </c>
      <c r="W25" s="350"/>
      <c r="X25" s="350"/>
      <c r="Y25" s="350"/>
      <c r="Z25" s="351"/>
      <c r="AA25" s="349" t="str">
        <f>Calcu!I15</f>
        <v/>
      </c>
      <c r="AB25" s="350"/>
      <c r="AC25" s="350"/>
      <c r="AD25" s="350"/>
      <c r="AE25" s="351"/>
      <c r="AF25" s="349" t="str">
        <f>Calcu!J15</f>
        <v/>
      </c>
      <c r="AG25" s="350"/>
      <c r="AH25" s="350"/>
      <c r="AI25" s="350"/>
      <c r="AJ25" s="351"/>
      <c r="AK25" s="349" t="str">
        <f>Calcu!K15</f>
        <v/>
      </c>
      <c r="AL25" s="350"/>
      <c r="AM25" s="350"/>
      <c r="AN25" s="350"/>
      <c r="AO25" s="351"/>
      <c r="AP25" s="349" t="str">
        <f>Calcu!L15</f>
        <v/>
      </c>
      <c r="AQ25" s="350"/>
      <c r="AR25" s="350"/>
      <c r="AS25" s="350"/>
      <c r="AT25" s="351"/>
      <c r="AU25" s="349" t="str">
        <f>Calcu!M15</f>
        <v/>
      </c>
      <c r="AV25" s="350"/>
      <c r="AW25" s="350"/>
      <c r="AX25" s="350"/>
      <c r="AY25" s="351"/>
      <c r="AZ25" s="349" t="str">
        <f>Calcu!S15</f>
        <v/>
      </c>
      <c r="BA25" s="350"/>
      <c r="BB25" s="350"/>
      <c r="BC25" s="350"/>
      <c r="BD25" s="351"/>
      <c r="BE25" s="349" t="str">
        <f>Calcu!U15</f>
        <v/>
      </c>
      <c r="BF25" s="350"/>
      <c r="BG25" s="350"/>
      <c r="BH25" s="350"/>
      <c r="BI25" s="351"/>
    </row>
    <row r="26" spans="1:61" ht="18.75" customHeight="1">
      <c r="A26" s="57"/>
      <c r="B26" s="349" t="str">
        <f>Calcu!E16</f>
        <v/>
      </c>
      <c r="C26" s="350"/>
      <c r="D26" s="350"/>
      <c r="E26" s="350"/>
      <c r="F26" s="351"/>
      <c r="G26" s="349" t="str">
        <f>Calcu!C16</f>
        <v/>
      </c>
      <c r="H26" s="350"/>
      <c r="I26" s="350"/>
      <c r="J26" s="350"/>
      <c r="K26" s="351"/>
      <c r="L26" s="349" t="str">
        <f>Calcu!D16</f>
        <v/>
      </c>
      <c r="M26" s="350"/>
      <c r="N26" s="350"/>
      <c r="O26" s="350"/>
      <c r="P26" s="351"/>
      <c r="Q26" s="349" t="str">
        <f>Calcu!G16</f>
        <v/>
      </c>
      <c r="R26" s="350"/>
      <c r="S26" s="350"/>
      <c r="T26" s="350"/>
      <c r="U26" s="351"/>
      <c r="V26" s="349" t="str">
        <f>Calcu!H16</f>
        <v/>
      </c>
      <c r="W26" s="350"/>
      <c r="X26" s="350"/>
      <c r="Y26" s="350"/>
      <c r="Z26" s="351"/>
      <c r="AA26" s="349" t="str">
        <f>Calcu!I16</f>
        <v/>
      </c>
      <c r="AB26" s="350"/>
      <c r="AC26" s="350"/>
      <c r="AD26" s="350"/>
      <c r="AE26" s="351"/>
      <c r="AF26" s="349" t="str">
        <f>Calcu!J16</f>
        <v/>
      </c>
      <c r="AG26" s="350"/>
      <c r="AH26" s="350"/>
      <c r="AI26" s="350"/>
      <c r="AJ26" s="351"/>
      <c r="AK26" s="349" t="str">
        <f>Calcu!K16</f>
        <v/>
      </c>
      <c r="AL26" s="350"/>
      <c r="AM26" s="350"/>
      <c r="AN26" s="350"/>
      <c r="AO26" s="351"/>
      <c r="AP26" s="349" t="str">
        <f>Calcu!L16</f>
        <v/>
      </c>
      <c r="AQ26" s="350"/>
      <c r="AR26" s="350"/>
      <c r="AS26" s="350"/>
      <c r="AT26" s="351"/>
      <c r="AU26" s="349" t="str">
        <f>Calcu!M16</f>
        <v/>
      </c>
      <c r="AV26" s="350"/>
      <c r="AW26" s="350"/>
      <c r="AX26" s="350"/>
      <c r="AY26" s="351"/>
      <c r="AZ26" s="349" t="str">
        <f>Calcu!S16</f>
        <v/>
      </c>
      <c r="BA26" s="350"/>
      <c r="BB26" s="350"/>
      <c r="BC26" s="350"/>
      <c r="BD26" s="351"/>
      <c r="BE26" s="349" t="str">
        <f>Calcu!U16</f>
        <v/>
      </c>
      <c r="BF26" s="350"/>
      <c r="BG26" s="350"/>
      <c r="BH26" s="350"/>
      <c r="BI26" s="351"/>
    </row>
    <row r="27" spans="1:61" ht="18.75" customHeight="1">
      <c r="A27" s="57"/>
      <c r="B27" s="349" t="str">
        <f>Calcu!E17</f>
        <v/>
      </c>
      <c r="C27" s="350"/>
      <c r="D27" s="350"/>
      <c r="E27" s="350"/>
      <c r="F27" s="351"/>
      <c r="G27" s="349" t="str">
        <f>Calcu!C17</f>
        <v/>
      </c>
      <c r="H27" s="350"/>
      <c r="I27" s="350"/>
      <c r="J27" s="350"/>
      <c r="K27" s="351"/>
      <c r="L27" s="349" t="str">
        <f>Calcu!D17</f>
        <v/>
      </c>
      <c r="M27" s="350"/>
      <c r="N27" s="350"/>
      <c r="O27" s="350"/>
      <c r="P27" s="351"/>
      <c r="Q27" s="349" t="str">
        <f>Calcu!G17</f>
        <v/>
      </c>
      <c r="R27" s="350"/>
      <c r="S27" s="350"/>
      <c r="T27" s="350"/>
      <c r="U27" s="351"/>
      <c r="V27" s="349" t="str">
        <f>Calcu!H17</f>
        <v/>
      </c>
      <c r="W27" s="350"/>
      <c r="X27" s="350"/>
      <c r="Y27" s="350"/>
      <c r="Z27" s="351"/>
      <c r="AA27" s="349" t="str">
        <f>Calcu!I17</f>
        <v/>
      </c>
      <c r="AB27" s="350"/>
      <c r="AC27" s="350"/>
      <c r="AD27" s="350"/>
      <c r="AE27" s="351"/>
      <c r="AF27" s="349" t="str">
        <f>Calcu!J17</f>
        <v/>
      </c>
      <c r="AG27" s="350"/>
      <c r="AH27" s="350"/>
      <c r="AI27" s="350"/>
      <c r="AJ27" s="351"/>
      <c r="AK27" s="349" t="str">
        <f>Calcu!K17</f>
        <v/>
      </c>
      <c r="AL27" s="350"/>
      <c r="AM27" s="350"/>
      <c r="AN27" s="350"/>
      <c r="AO27" s="351"/>
      <c r="AP27" s="349" t="str">
        <f>Calcu!L17</f>
        <v/>
      </c>
      <c r="AQ27" s="350"/>
      <c r="AR27" s="350"/>
      <c r="AS27" s="350"/>
      <c r="AT27" s="351"/>
      <c r="AU27" s="349" t="str">
        <f>Calcu!M17</f>
        <v/>
      </c>
      <c r="AV27" s="350"/>
      <c r="AW27" s="350"/>
      <c r="AX27" s="350"/>
      <c r="AY27" s="351"/>
      <c r="AZ27" s="349" t="str">
        <f>Calcu!S17</f>
        <v/>
      </c>
      <c r="BA27" s="350"/>
      <c r="BB27" s="350"/>
      <c r="BC27" s="350"/>
      <c r="BD27" s="351"/>
      <c r="BE27" s="349" t="str">
        <f>Calcu!U17</f>
        <v/>
      </c>
      <c r="BF27" s="350"/>
      <c r="BG27" s="350"/>
      <c r="BH27" s="350"/>
      <c r="BI27" s="351"/>
    </row>
    <row r="28" spans="1:61" ht="18.75" customHeight="1">
      <c r="A28" s="57"/>
      <c r="B28" s="349" t="str">
        <f>Calcu!E18</f>
        <v/>
      </c>
      <c r="C28" s="350"/>
      <c r="D28" s="350"/>
      <c r="E28" s="350"/>
      <c r="F28" s="351"/>
      <c r="G28" s="349" t="str">
        <f>Calcu!C18</f>
        <v/>
      </c>
      <c r="H28" s="350"/>
      <c r="I28" s="350"/>
      <c r="J28" s="350"/>
      <c r="K28" s="351"/>
      <c r="L28" s="349" t="str">
        <f>Calcu!D18</f>
        <v/>
      </c>
      <c r="M28" s="350"/>
      <c r="N28" s="350"/>
      <c r="O28" s="350"/>
      <c r="P28" s="351"/>
      <c r="Q28" s="349" t="str">
        <f>Calcu!G18</f>
        <v/>
      </c>
      <c r="R28" s="350"/>
      <c r="S28" s="350"/>
      <c r="T28" s="350"/>
      <c r="U28" s="351"/>
      <c r="V28" s="349" t="str">
        <f>Calcu!H18</f>
        <v/>
      </c>
      <c r="W28" s="350"/>
      <c r="X28" s="350"/>
      <c r="Y28" s="350"/>
      <c r="Z28" s="351"/>
      <c r="AA28" s="349" t="str">
        <f>Calcu!I18</f>
        <v/>
      </c>
      <c r="AB28" s="350"/>
      <c r="AC28" s="350"/>
      <c r="AD28" s="350"/>
      <c r="AE28" s="351"/>
      <c r="AF28" s="349" t="str">
        <f>Calcu!J18</f>
        <v/>
      </c>
      <c r="AG28" s="350"/>
      <c r="AH28" s="350"/>
      <c r="AI28" s="350"/>
      <c r="AJ28" s="351"/>
      <c r="AK28" s="349" t="str">
        <f>Calcu!K18</f>
        <v/>
      </c>
      <c r="AL28" s="350"/>
      <c r="AM28" s="350"/>
      <c r="AN28" s="350"/>
      <c r="AO28" s="351"/>
      <c r="AP28" s="349" t="str">
        <f>Calcu!L18</f>
        <v/>
      </c>
      <c r="AQ28" s="350"/>
      <c r="AR28" s="350"/>
      <c r="AS28" s="350"/>
      <c r="AT28" s="351"/>
      <c r="AU28" s="349" t="str">
        <f>Calcu!M18</f>
        <v/>
      </c>
      <c r="AV28" s="350"/>
      <c r="AW28" s="350"/>
      <c r="AX28" s="350"/>
      <c r="AY28" s="351"/>
      <c r="AZ28" s="349" t="str">
        <f>Calcu!S18</f>
        <v/>
      </c>
      <c r="BA28" s="350"/>
      <c r="BB28" s="350"/>
      <c r="BC28" s="350"/>
      <c r="BD28" s="351"/>
      <c r="BE28" s="349" t="str">
        <f>Calcu!U18</f>
        <v/>
      </c>
      <c r="BF28" s="350"/>
      <c r="BG28" s="350"/>
      <c r="BH28" s="350"/>
      <c r="BI28" s="351"/>
    </row>
    <row r="29" spans="1:61" ht="18.75" customHeight="1">
      <c r="A29" s="57"/>
      <c r="B29" s="349" t="str">
        <f>Calcu!E19</f>
        <v/>
      </c>
      <c r="C29" s="350"/>
      <c r="D29" s="350"/>
      <c r="E29" s="350"/>
      <c r="F29" s="351"/>
      <c r="G29" s="349" t="str">
        <f>Calcu!C19</f>
        <v/>
      </c>
      <c r="H29" s="350"/>
      <c r="I29" s="350"/>
      <c r="J29" s="350"/>
      <c r="K29" s="351"/>
      <c r="L29" s="349" t="str">
        <f>Calcu!D19</f>
        <v/>
      </c>
      <c r="M29" s="350"/>
      <c r="N29" s="350"/>
      <c r="O29" s="350"/>
      <c r="P29" s="351"/>
      <c r="Q29" s="349" t="str">
        <f>Calcu!G19</f>
        <v/>
      </c>
      <c r="R29" s="350"/>
      <c r="S29" s="350"/>
      <c r="T29" s="350"/>
      <c r="U29" s="351"/>
      <c r="V29" s="349" t="str">
        <f>Calcu!H19</f>
        <v/>
      </c>
      <c r="W29" s="350"/>
      <c r="X29" s="350"/>
      <c r="Y29" s="350"/>
      <c r="Z29" s="351"/>
      <c r="AA29" s="349" t="str">
        <f>Calcu!I19</f>
        <v/>
      </c>
      <c r="AB29" s="350"/>
      <c r="AC29" s="350"/>
      <c r="AD29" s="350"/>
      <c r="AE29" s="351"/>
      <c r="AF29" s="349" t="str">
        <f>Calcu!J19</f>
        <v/>
      </c>
      <c r="AG29" s="350"/>
      <c r="AH29" s="350"/>
      <c r="AI29" s="350"/>
      <c r="AJ29" s="351"/>
      <c r="AK29" s="349" t="str">
        <f>Calcu!K19</f>
        <v/>
      </c>
      <c r="AL29" s="350"/>
      <c r="AM29" s="350"/>
      <c r="AN29" s="350"/>
      <c r="AO29" s="351"/>
      <c r="AP29" s="349" t="str">
        <f>Calcu!L19</f>
        <v/>
      </c>
      <c r="AQ29" s="350"/>
      <c r="AR29" s="350"/>
      <c r="AS29" s="350"/>
      <c r="AT29" s="351"/>
      <c r="AU29" s="349" t="str">
        <f>Calcu!M19</f>
        <v/>
      </c>
      <c r="AV29" s="350"/>
      <c r="AW29" s="350"/>
      <c r="AX29" s="350"/>
      <c r="AY29" s="351"/>
      <c r="AZ29" s="349" t="str">
        <f>Calcu!S19</f>
        <v/>
      </c>
      <c r="BA29" s="350"/>
      <c r="BB29" s="350"/>
      <c r="BC29" s="350"/>
      <c r="BD29" s="351"/>
      <c r="BE29" s="349" t="str">
        <f>Calcu!U19</f>
        <v/>
      </c>
      <c r="BF29" s="350"/>
      <c r="BG29" s="350"/>
      <c r="BH29" s="350"/>
      <c r="BI29" s="351"/>
    </row>
    <row r="30" spans="1:61" ht="18.75" customHeight="1">
      <c r="A30" s="57"/>
      <c r="B30" s="349" t="str">
        <f>Calcu!E20</f>
        <v/>
      </c>
      <c r="C30" s="350"/>
      <c r="D30" s="350"/>
      <c r="E30" s="350"/>
      <c r="F30" s="351"/>
      <c r="G30" s="349" t="str">
        <f>Calcu!C20</f>
        <v/>
      </c>
      <c r="H30" s="350"/>
      <c r="I30" s="350"/>
      <c r="J30" s="350"/>
      <c r="K30" s="351"/>
      <c r="L30" s="349" t="str">
        <f>Calcu!D20</f>
        <v/>
      </c>
      <c r="M30" s="350"/>
      <c r="N30" s="350"/>
      <c r="O30" s="350"/>
      <c r="P30" s="351"/>
      <c r="Q30" s="349" t="str">
        <f>Calcu!G20</f>
        <v/>
      </c>
      <c r="R30" s="350"/>
      <c r="S30" s="350"/>
      <c r="T30" s="350"/>
      <c r="U30" s="351"/>
      <c r="V30" s="349" t="str">
        <f>Calcu!H20</f>
        <v/>
      </c>
      <c r="W30" s="350"/>
      <c r="X30" s="350"/>
      <c r="Y30" s="350"/>
      <c r="Z30" s="351"/>
      <c r="AA30" s="349" t="str">
        <f>Calcu!I20</f>
        <v/>
      </c>
      <c r="AB30" s="350"/>
      <c r="AC30" s="350"/>
      <c r="AD30" s="350"/>
      <c r="AE30" s="351"/>
      <c r="AF30" s="349" t="str">
        <f>Calcu!J20</f>
        <v/>
      </c>
      <c r="AG30" s="350"/>
      <c r="AH30" s="350"/>
      <c r="AI30" s="350"/>
      <c r="AJ30" s="351"/>
      <c r="AK30" s="349" t="str">
        <f>Calcu!K20</f>
        <v/>
      </c>
      <c r="AL30" s="350"/>
      <c r="AM30" s="350"/>
      <c r="AN30" s="350"/>
      <c r="AO30" s="351"/>
      <c r="AP30" s="349" t="str">
        <f>Calcu!L20</f>
        <v/>
      </c>
      <c r="AQ30" s="350"/>
      <c r="AR30" s="350"/>
      <c r="AS30" s="350"/>
      <c r="AT30" s="351"/>
      <c r="AU30" s="349" t="str">
        <f>Calcu!M20</f>
        <v/>
      </c>
      <c r="AV30" s="350"/>
      <c r="AW30" s="350"/>
      <c r="AX30" s="350"/>
      <c r="AY30" s="351"/>
      <c r="AZ30" s="349" t="str">
        <f>Calcu!S20</f>
        <v/>
      </c>
      <c r="BA30" s="350"/>
      <c r="BB30" s="350"/>
      <c r="BC30" s="350"/>
      <c r="BD30" s="351"/>
      <c r="BE30" s="349" t="str">
        <f>Calcu!U20</f>
        <v/>
      </c>
      <c r="BF30" s="350"/>
      <c r="BG30" s="350"/>
      <c r="BH30" s="350"/>
      <c r="BI30" s="351"/>
    </row>
    <row r="31" spans="1:61" ht="18.75" customHeight="1">
      <c r="A31" s="57"/>
      <c r="B31" s="349" t="str">
        <f>Calcu!E21</f>
        <v/>
      </c>
      <c r="C31" s="350"/>
      <c r="D31" s="350"/>
      <c r="E31" s="350"/>
      <c r="F31" s="351"/>
      <c r="G31" s="349" t="str">
        <f>Calcu!C21</f>
        <v/>
      </c>
      <c r="H31" s="350"/>
      <c r="I31" s="350"/>
      <c r="J31" s="350"/>
      <c r="K31" s="351"/>
      <c r="L31" s="349" t="str">
        <f>Calcu!D21</f>
        <v/>
      </c>
      <c r="M31" s="350"/>
      <c r="N31" s="350"/>
      <c r="O31" s="350"/>
      <c r="P31" s="351"/>
      <c r="Q31" s="349" t="str">
        <f>Calcu!G21</f>
        <v/>
      </c>
      <c r="R31" s="350"/>
      <c r="S31" s="350"/>
      <c r="T31" s="350"/>
      <c r="U31" s="351"/>
      <c r="V31" s="349" t="str">
        <f>Calcu!H21</f>
        <v/>
      </c>
      <c r="W31" s="350"/>
      <c r="X31" s="350"/>
      <c r="Y31" s="350"/>
      <c r="Z31" s="351"/>
      <c r="AA31" s="349" t="str">
        <f>Calcu!I21</f>
        <v/>
      </c>
      <c r="AB31" s="350"/>
      <c r="AC31" s="350"/>
      <c r="AD31" s="350"/>
      <c r="AE31" s="351"/>
      <c r="AF31" s="349" t="str">
        <f>Calcu!J21</f>
        <v/>
      </c>
      <c r="AG31" s="350"/>
      <c r="AH31" s="350"/>
      <c r="AI31" s="350"/>
      <c r="AJ31" s="351"/>
      <c r="AK31" s="349" t="str">
        <f>Calcu!K21</f>
        <v/>
      </c>
      <c r="AL31" s="350"/>
      <c r="AM31" s="350"/>
      <c r="AN31" s="350"/>
      <c r="AO31" s="351"/>
      <c r="AP31" s="349" t="str">
        <f>Calcu!L21</f>
        <v/>
      </c>
      <c r="AQ31" s="350"/>
      <c r="AR31" s="350"/>
      <c r="AS31" s="350"/>
      <c r="AT31" s="351"/>
      <c r="AU31" s="349" t="str">
        <f>Calcu!M21</f>
        <v/>
      </c>
      <c r="AV31" s="350"/>
      <c r="AW31" s="350"/>
      <c r="AX31" s="350"/>
      <c r="AY31" s="351"/>
      <c r="AZ31" s="349" t="str">
        <f>Calcu!S21</f>
        <v/>
      </c>
      <c r="BA31" s="350"/>
      <c r="BB31" s="350"/>
      <c r="BC31" s="350"/>
      <c r="BD31" s="351"/>
      <c r="BE31" s="349" t="str">
        <f>Calcu!U21</f>
        <v/>
      </c>
      <c r="BF31" s="350"/>
      <c r="BG31" s="350"/>
      <c r="BH31" s="350"/>
      <c r="BI31" s="351"/>
    </row>
    <row r="32" spans="1:61" ht="18.75" customHeight="1">
      <c r="A32" s="57"/>
      <c r="B32" s="349" t="str">
        <f>Calcu!E22</f>
        <v/>
      </c>
      <c r="C32" s="350"/>
      <c r="D32" s="350"/>
      <c r="E32" s="350"/>
      <c r="F32" s="351"/>
      <c r="G32" s="349" t="str">
        <f>Calcu!C22</f>
        <v/>
      </c>
      <c r="H32" s="350"/>
      <c r="I32" s="350"/>
      <c r="J32" s="350"/>
      <c r="K32" s="351"/>
      <c r="L32" s="349" t="str">
        <f>Calcu!D22</f>
        <v/>
      </c>
      <c r="M32" s="350"/>
      <c r="N32" s="350"/>
      <c r="O32" s="350"/>
      <c r="P32" s="351"/>
      <c r="Q32" s="349" t="str">
        <f>Calcu!G22</f>
        <v/>
      </c>
      <c r="R32" s="350"/>
      <c r="S32" s="350"/>
      <c r="T32" s="350"/>
      <c r="U32" s="351"/>
      <c r="V32" s="349" t="str">
        <f>Calcu!H22</f>
        <v/>
      </c>
      <c r="W32" s="350"/>
      <c r="X32" s="350"/>
      <c r="Y32" s="350"/>
      <c r="Z32" s="351"/>
      <c r="AA32" s="349" t="str">
        <f>Calcu!I22</f>
        <v/>
      </c>
      <c r="AB32" s="350"/>
      <c r="AC32" s="350"/>
      <c r="AD32" s="350"/>
      <c r="AE32" s="351"/>
      <c r="AF32" s="349" t="str">
        <f>Calcu!J22</f>
        <v/>
      </c>
      <c r="AG32" s="350"/>
      <c r="AH32" s="350"/>
      <c r="AI32" s="350"/>
      <c r="AJ32" s="351"/>
      <c r="AK32" s="349" t="str">
        <f>Calcu!K22</f>
        <v/>
      </c>
      <c r="AL32" s="350"/>
      <c r="AM32" s="350"/>
      <c r="AN32" s="350"/>
      <c r="AO32" s="351"/>
      <c r="AP32" s="349" t="str">
        <f>Calcu!L22</f>
        <v/>
      </c>
      <c r="AQ32" s="350"/>
      <c r="AR32" s="350"/>
      <c r="AS32" s="350"/>
      <c r="AT32" s="351"/>
      <c r="AU32" s="349" t="str">
        <f>Calcu!M22</f>
        <v/>
      </c>
      <c r="AV32" s="350"/>
      <c r="AW32" s="350"/>
      <c r="AX32" s="350"/>
      <c r="AY32" s="351"/>
      <c r="AZ32" s="349" t="str">
        <f>Calcu!S22</f>
        <v/>
      </c>
      <c r="BA32" s="350"/>
      <c r="BB32" s="350"/>
      <c r="BC32" s="350"/>
      <c r="BD32" s="351"/>
      <c r="BE32" s="349" t="str">
        <f>Calcu!U22</f>
        <v/>
      </c>
      <c r="BF32" s="350"/>
      <c r="BG32" s="350"/>
      <c r="BH32" s="350"/>
      <c r="BI32" s="351"/>
    </row>
    <row r="33" spans="1:61" ht="18.75" customHeight="1">
      <c r="A33" s="57"/>
      <c r="B33" s="349" t="str">
        <f>Calcu!E23</f>
        <v/>
      </c>
      <c r="C33" s="350"/>
      <c r="D33" s="350"/>
      <c r="E33" s="350"/>
      <c r="F33" s="351"/>
      <c r="G33" s="349" t="str">
        <f>Calcu!C23</f>
        <v/>
      </c>
      <c r="H33" s="350"/>
      <c r="I33" s="350"/>
      <c r="J33" s="350"/>
      <c r="K33" s="351"/>
      <c r="L33" s="349" t="str">
        <f>Calcu!D23</f>
        <v/>
      </c>
      <c r="M33" s="350"/>
      <c r="N33" s="350"/>
      <c r="O33" s="350"/>
      <c r="P33" s="351"/>
      <c r="Q33" s="349" t="str">
        <f>Calcu!G23</f>
        <v/>
      </c>
      <c r="R33" s="350"/>
      <c r="S33" s="350"/>
      <c r="T33" s="350"/>
      <c r="U33" s="351"/>
      <c r="V33" s="349" t="str">
        <f>Calcu!H23</f>
        <v/>
      </c>
      <c r="W33" s="350"/>
      <c r="X33" s="350"/>
      <c r="Y33" s="350"/>
      <c r="Z33" s="351"/>
      <c r="AA33" s="349" t="str">
        <f>Calcu!I23</f>
        <v/>
      </c>
      <c r="AB33" s="350"/>
      <c r="AC33" s="350"/>
      <c r="AD33" s="350"/>
      <c r="AE33" s="351"/>
      <c r="AF33" s="349" t="str">
        <f>Calcu!J23</f>
        <v/>
      </c>
      <c r="AG33" s="350"/>
      <c r="AH33" s="350"/>
      <c r="AI33" s="350"/>
      <c r="AJ33" s="351"/>
      <c r="AK33" s="349" t="str">
        <f>Calcu!K23</f>
        <v/>
      </c>
      <c r="AL33" s="350"/>
      <c r="AM33" s="350"/>
      <c r="AN33" s="350"/>
      <c r="AO33" s="351"/>
      <c r="AP33" s="349" t="str">
        <f>Calcu!L23</f>
        <v/>
      </c>
      <c r="AQ33" s="350"/>
      <c r="AR33" s="350"/>
      <c r="AS33" s="350"/>
      <c r="AT33" s="351"/>
      <c r="AU33" s="349" t="str">
        <f>Calcu!M23</f>
        <v/>
      </c>
      <c r="AV33" s="350"/>
      <c r="AW33" s="350"/>
      <c r="AX33" s="350"/>
      <c r="AY33" s="351"/>
      <c r="AZ33" s="349" t="str">
        <f>Calcu!S23</f>
        <v/>
      </c>
      <c r="BA33" s="350"/>
      <c r="BB33" s="350"/>
      <c r="BC33" s="350"/>
      <c r="BD33" s="351"/>
      <c r="BE33" s="349" t="str">
        <f>Calcu!U23</f>
        <v/>
      </c>
      <c r="BF33" s="350"/>
      <c r="BG33" s="350"/>
      <c r="BH33" s="350"/>
      <c r="BI33" s="351"/>
    </row>
    <row r="34" spans="1:61" ht="18.75" customHeight="1">
      <c r="A34" s="57"/>
      <c r="B34" s="349" t="str">
        <f>Calcu!E24</f>
        <v/>
      </c>
      <c r="C34" s="350"/>
      <c r="D34" s="350"/>
      <c r="E34" s="350"/>
      <c r="F34" s="351"/>
      <c r="G34" s="349" t="str">
        <f>Calcu!C24</f>
        <v/>
      </c>
      <c r="H34" s="350"/>
      <c r="I34" s="350"/>
      <c r="J34" s="350"/>
      <c r="K34" s="351"/>
      <c r="L34" s="349" t="str">
        <f>Calcu!D24</f>
        <v/>
      </c>
      <c r="M34" s="350"/>
      <c r="N34" s="350"/>
      <c r="O34" s="350"/>
      <c r="P34" s="351"/>
      <c r="Q34" s="349" t="str">
        <f>Calcu!G24</f>
        <v/>
      </c>
      <c r="R34" s="350"/>
      <c r="S34" s="350"/>
      <c r="T34" s="350"/>
      <c r="U34" s="351"/>
      <c r="V34" s="349" t="str">
        <f>Calcu!H24</f>
        <v/>
      </c>
      <c r="W34" s="350"/>
      <c r="X34" s="350"/>
      <c r="Y34" s="350"/>
      <c r="Z34" s="351"/>
      <c r="AA34" s="349" t="str">
        <f>Calcu!I24</f>
        <v/>
      </c>
      <c r="AB34" s="350"/>
      <c r="AC34" s="350"/>
      <c r="AD34" s="350"/>
      <c r="AE34" s="351"/>
      <c r="AF34" s="349" t="str">
        <f>Calcu!J24</f>
        <v/>
      </c>
      <c r="AG34" s="350"/>
      <c r="AH34" s="350"/>
      <c r="AI34" s="350"/>
      <c r="AJ34" s="351"/>
      <c r="AK34" s="349" t="str">
        <f>Calcu!K24</f>
        <v/>
      </c>
      <c r="AL34" s="350"/>
      <c r="AM34" s="350"/>
      <c r="AN34" s="350"/>
      <c r="AO34" s="351"/>
      <c r="AP34" s="349" t="str">
        <f>Calcu!L24</f>
        <v/>
      </c>
      <c r="AQ34" s="350"/>
      <c r="AR34" s="350"/>
      <c r="AS34" s="350"/>
      <c r="AT34" s="351"/>
      <c r="AU34" s="349" t="str">
        <f>Calcu!M24</f>
        <v/>
      </c>
      <c r="AV34" s="350"/>
      <c r="AW34" s="350"/>
      <c r="AX34" s="350"/>
      <c r="AY34" s="351"/>
      <c r="AZ34" s="349" t="str">
        <f>Calcu!S24</f>
        <v/>
      </c>
      <c r="BA34" s="350"/>
      <c r="BB34" s="350"/>
      <c r="BC34" s="350"/>
      <c r="BD34" s="351"/>
      <c r="BE34" s="349" t="str">
        <f>Calcu!U24</f>
        <v/>
      </c>
      <c r="BF34" s="350"/>
      <c r="BG34" s="350"/>
      <c r="BH34" s="350"/>
      <c r="BI34" s="351"/>
    </row>
    <row r="35" spans="1:61" ht="18.75" customHeight="1">
      <c r="A35" s="57"/>
      <c r="B35" s="349" t="str">
        <f>Calcu!E25</f>
        <v/>
      </c>
      <c r="C35" s="350"/>
      <c r="D35" s="350"/>
      <c r="E35" s="350"/>
      <c r="F35" s="351"/>
      <c r="G35" s="349" t="str">
        <f>Calcu!C25</f>
        <v/>
      </c>
      <c r="H35" s="350"/>
      <c r="I35" s="350"/>
      <c r="J35" s="350"/>
      <c r="K35" s="351"/>
      <c r="L35" s="349" t="str">
        <f>Calcu!D25</f>
        <v/>
      </c>
      <c r="M35" s="350"/>
      <c r="N35" s="350"/>
      <c r="O35" s="350"/>
      <c r="P35" s="351"/>
      <c r="Q35" s="349" t="str">
        <f>Calcu!G25</f>
        <v/>
      </c>
      <c r="R35" s="350"/>
      <c r="S35" s="350"/>
      <c r="T35" s="350"/>
      <c r="U35" s="351"/>
      <c r="V35" s="349" t="str">
        <f>Calcu!H25</f>
        <v/>
      </c>
      <c r="W35" s="350"/>
      <c r="X35" s="350"/>
      <c r="Y35" s="350"/>
      <c r="Z35" s="351"/>
      <c r="AA35" s="349" t="str">
        <f>Calcu!I25</f>
        <v/>
      </c>
      <c r="AB35" s="350"/>
      <c r="AC35" s="350"/>
      <c r="AD35" s="350"/>
      <c r="AE35" s="351"/>
      <c r="AF35" s="349" t="str">
        <f>Calcu!J25</f>
        <v/>
      </c>
      <c r="AG35" s="350"/>
      <c r="AH35" s="350"/>
      <c r="AI35" s="350"/>
      <c r="AJ35" s="351"/>
      <c r="AK35" s="349" t="str">
        <f>Calcu!K25</f>
        <v/>
      </c>
      <c r="AL35" s="350"/>
      <c r="AM35" s="350"/>
      <c r="AN35" s="350"/>
      <c r="AO35" s="351"/>
      <c r="AP35" s="349" t="str">
        <f>Calcu!L25</f>
        <v/>
      </c>
      <c r="AQ35" s="350"/>
      <c r="AR35" s="350"/>
      <c r="AS35" s="350"/>
      <c r="AT35" s="351"/>
      <c r="AU35" s="349" t="str">
        <f>Calcu!M25</f>
        <v/>
      </c>
      <c r="AV35" s="350"/>
      <c r="AW35" s="350"/>
      <c r="AX35" s="350"/>
      <c r="AY35" s="351"/>
      <c r="AZ35" s="349" t="str">
        <f>Calcu!S25</f>
        <v/>
      </c>
      <c r="BA35" s="350"/>
      <c r="BB35" s="350"/>
      <c r="BC35" s="350"/>
      <c r="BD35" s="351"/>
      <c r="BE35" s="349" t="str">
        <f>Calcu!U25</f>
        <v/>
      </c>
      <c r="BF35" s="350"/>
      <c r="BG35" s="350"/>
      <c r="BH35" s="350"/>
      <c r="BI35" s="351"/>
    </row>
    <row r="36" spans="1:61" ht="18.75" customHeight="1">
      <c r="A36" s="57"/>
      <c r="B36" s="349" t="str">
        <f>Calcu!E26</f>
        <v/>
      </c>
      <c r="C36" s="350"/>
      <c r="D36" s="350"/>
      <c r="E36" s="350"/>
      <c r="F36" s="351"/>
      <c r="G36" s="349" t="str">
        <f>Calcu!C26</f>
        <v/>
      </c>
      <c r="H36" s="350"/>
      <c r="I36" s="350"/>
      <c r="J36" s="350"/>
      <c r="K36" s="351"/>
      <c r="L36" s="349" t="str">
        <f>Calcu!D26</f>
        <v/>
      </c>
      <c r="M36" s="350"/>
      <c r="N36" s="350"/>
      <c r="O36" s="350"/>
      <c r="P36" s="351"/>
      <c r="Q36" s="349" t="str">
        <f>Calcu!G26</f>
        <v/>
      </c>
      <c r="R36" s="350"/>
      <c r="S36" s="350"/>
      <c r="T36" s="350"/>
      <c r="U36" s="351"/>
      <c r="V36" s="349" t="str">
        <f>Calcu!H26</f>
        <v/>
      </c>
      <c r="W36" s="350"/>
      <c r="X36" s="350"/>
      <c r="Y36" s="350"/>
      <c r="Z36" s="351"/>
      <c r="AA36" s="349" t="str">
        <f>Calcu!I26</f>
        <v/>
      </c>
      <c r="AB36" s="350"/>
      <c r="AC36" s="350"/>
      <c r="AD36" s="350"/>
      <c r="AE36" s="351"/>
      <c r="AF36" s="349" t="str">
        <f>Calcu!J26</f>
        <v/>
      </c>
      <c r="AG36" s="350"/>
      <c r="AH36" s="350"/>
      <c r="AI36" s="350"/>
      <c r="AJ36" s="351"/>
      <c r="AK36" s="349" t="str">
        <f>Calcu!K26</f>
        <v/>
      </c>
      <c r="AL36" s="350"/>
      <c r="AM36" s="350"/>
      <c r="AN36" s="350"/>
      <c r="AO36" s="351"/>
      <c r="AP36" s="349" t="str">
        <f>Calcu!L26</f>
        <v/>
      </c>
      <c r="AQ36" s="350"/>
      <c r="AR36" s="350"/>
      <c r="AS36" s="350"/>
      <c r="AT36" s="351"/>
      <c r="AU36" s="349" t="str">
        <f>Calcu!M26</f>
        <v/>
      </c>
      <c r="AV36" s="350"/>
      <c r="AW36" s="350"/>
      <c r="AX36" s="350"/>
      <c r="AY36" s="351"/>
      <c r="AZ36" s="349" t="str">
        <f>Calcu!S26</f>
        <v/>
      </c>
      <c r="BA36" s="350"/>
      <c r="BB36" s="350"/>
      <c r="BC36" s="350"/>
      <c r="BD36" s="351"/>
      <c r="BE36" s="349" t="str">
        <f>Calcu!U26</f>
        <v/>
      </c>
      <c r="BF36" s="350"/>
      <c r="BG36" s="350"/>
      <c r="BH36" s="350"/>
      <c r="BI36" s="351"/>
    </row>
    <row r="37" spans="1:61" ht="18.75" customHeight="1">
      <c r="A37" s="57"/>
      <c r="B37" s="349" t="str">
        <f>Calcu!E27</f>
        <v/>
      </c>
      <c r="C37" s="350"/>
      <c r="D37" s="350"/>
      <c r="E37" s="350"/>
      <c r="F37" s="351"/>
      <c r="G37" s="349" t="str">
        <f>Calcu!C27</f>
        <v/>
      </c>
      <c r="H37" s="350"/>
      <c r="I37" s="350"/>
      <c r="J37" s="350"/>
      <c r="K37" s="351"/>
      <c r="L37" s="349" t="str">
        <f>Calcu!D27</f>
        <v/>
      </c>
      <c r="M37" s="350"/>
      <c r="N37" s="350"/>
      <c r="O37" s="350"/>
      <c r="P37" s="351"/>
      <c r="Q37" s="349" t="str">
        <f>Calcu!G27</f>
        <v/>
      </c>
      <c r="R37" s="350"/>
      <c r="S37" s="350"/>
      <c r="T37" s="350"/>
      <c r="U37" s="351"/>
      <c r="V37" s="349" t="str">
        <f>Calcu!H27</f>
        <v/>
      </c>
      <c r="W37" s="350"/>
      <c r="X37" s="350"/>
      <c r="Y37" s="350"/>
      <c r="Z37" s="351"/>
      <c r="AA37" s="349" t="str">
        <f>Calcu!I27</f>
        <v/>
      </c>
      <c r="AB37" s="350"/>
      <c r="AC37" s="350"/>
      <c r="AD37" s="350"/>
      <c r="AE37" s="351"/>
      <c r="AF37" s="349" t="str">
        <f>Calcu!J27</f>
        <v/>
      </c>
      <c r="AG37" s="350"/>
      <c r="AH37" s="350"/>
      <c r="AI37" s="350"/>
      <c r="AJ37" s="351"/>
      <c r="AK37" s="349" t="str">
        <f>Calcu!K27</f>
        <v/>
      </c>
      <c r="AL37" s="350"/>
      <c r="AM37" s="350"/>
      <c r="AN37" s="350"/>
      <c r="AO37" s="351"/>
      <c r="AP37" s="349" t="str">
        <f>Calcu!L27</f>
        <v/>
      </c>
      <c r="AQ37" s="350"/>
      <c r="AR37" s="350"/>
      <c r="AS37" s="350"/>
      <c r="AT37" s="351"/>
      <c r="AU37" s="349" t="str">
        <f>Calcu!M27</f>
        <v/>
      </c>
      <c r="AV37" s="350"/>
      <c r="AW37" s="350"/>
      <c r="AX37" s="350"/>
      <c r="AY37" s="351"/>
      <c r="AZ37" s="349" t="str">
        <f>Calcu!S27</f>
        <v/>
      </c>
      <c r="BA37" s="350"/>
      <c r="BB37" s="350"/>
      <c r="BC37" s="350"/>
      <c r="BD37" s="351"/>
      <c r="BE37" s="349" t="str">
        <f>Calcu!U27</f>
        <v/>
      </c>
      <c r="BF37" s="350"/>
      <c r="BG37" s="350"/>
      <c r="BH37" s="350"/>
      <c r="BI37" s="351"/>
    </row>
    <row r="38" spans="1:61" ht="18.75" customHeight="1">
      <c r="A38" s="57"/>
      <c r="B38" s="349" t="str">
        <f>Calcu!E28</f>
        <v/>
      </c>
      <c r="C38" s="350"/>
      <c r="D38" s="350"/>
      <c r="E38" s="350"/>
      <c r="F38" s="351"/>
      <c r="G38" s="349" t="str">
        <f>Calcu!C28</f>
        <v/>
      </c>
      <c r="H38" s="350"/>
      <c r="I38" s="350"/>
      <c r="J38" s="350"/>
      <c r="K38" s="351"/>
      <c r="L38" s="349" t="str">
        <f>Calcu!D28</f>
        <v/>
      </c>
      <c r="M38" s="350"/>
      <c r="N38" s="350"/>
      <c r="O38" s="350"/>
      <c r="P38" s="351"/>
      <c r="Q38" s="349" t="str">
        <f>Calcu!G28</f>
        <v/>
      </c>
      <c r="R38" s="350"/>
      <c r="S38" s="350"/>
      <c r="T38" s="350"/>
      <c r="U38" s="351"/>
      <c r="V38" s="349" t="str">
        <f>Calcu!H28</f>
        <v/>
      </c>
      <c r="W38" s="350"/>
      <c r="X38" s="350"/>
      <c r="Y38" s="350"/>
      <c r="Z38" s="351"/>
      <c r="AA38" s="349" t="str">
        <f>Calcu!I28</f>
        <v/>
      </c>
      <c r="AB38" s="350"/>
      <c r="AC38" s="350"/>
      <c r="AD38" s="350"/>
      <c r="AE38" s="351"/>
      <c r="AF38" s="349" t="str">
        <f>Calcu!J28</f>
        <v/>
      </c>
      <c r="AG38" s="350"/>
      <c r="AH38" s="350"/>
      <c r="AI38" s="350"/>
      <c r="AJ38" s="351"/>
      <c r="AK38" s="349" t="str">
        <f>Calcu!K28</f>
        <v/>
      </c>
      <c r="AL38" s="350"/>
      <c r="AM38" s="350"/>
      <c r="AN38" s="350"/>
      <c r="AO38" s="351"/>
      <c r="AP38" s="349" t="str">
        <f>Calcu!L28</f>
        <v/>
      </c>
      <c r="AQ38" s="350"/>
      <c r="AR38" s="350"/>
      <c r="AS38" s="350"/>
      <c r="AT38" s="351"/>
      <c r="AU38" s="349" t="str">
        <f>Calcu!M28</f>
        <v/>
      </c>
      <c r="AV38" s="350"/>
      <c r="AW38" s="350"/>
      <c r="AX38" s="350"/>
      <c r="AY38" s="351"/>
      <c r="AZ38" s="349" t="str">
        <f>Calcu!S28</f>
        <v/>
      </c>
      <c r="BA38" s="350"/>
      <c r="BB38" s="350"/>
      <c r="BC38" s="350"/>
      <c r="BD38" s="351"/>
      <c r="BE38" s="349" t="str">
        <f>Calcu!U28</f>
        <v/>
      </c>
      <c r="BF38" s="350"/>
      <c r="BG38" s="350"/>
      <c r="BH38" s="350"/>
      <c r="BI38" s="351"/>
    </row>
    <row r="39" spans="1:61" ht="18.75" customHeight="1">
      <c r="A39" s="57"/>
      <c r="B39" s="349" t="str">
        <f>Calcu!E29</f>
        <v/>
      </c>
      <c r="C39" s="350"/>
      <c r="D39" s="350"/>
      <c r="E39" s="350"/>
      <c r="F39" s="351"/>
      <c r="G39" s="349" t="str">
        <f>Calcu!C29</f>
        <v/>
      </c>
      <c r="H39" s="350"/>
      <c r="I39" s="350"/>
      <c r="J39" s="350"/>
      <c r="K39" s="351"/>
      <c r="L39" s="349" t="str">
        <f>Calcu!D29</f>
        <v/>
      </c>
      <c r="M39" s="350"/>
      <c r="N39" s="350"/>
      <c r="O39" s="350"/>
      <c r="P39" s="351"/>
      <c r="Q39" s="349" t="str">
        <f>Calcu!G29</f>
        <v/>
      </c>
      <c r="R39" s="350"/>
      <c r="S39" s="350"/>
      <c r="T39" s="350"/>
      <c r="U39" s="351"/>
      <c r="V39" s="349" t="str">
        <f>Calcu!H29</f>
        <v/>
      </c>
      <c r="W39" s="350"/>
      <c r="X39" s="350"/>
      <c r="Y39" s="350"/>
      <c r="Z39" s="351"/>
      <c r="AA39" s="349" t="str">
        <f>Calcu!I29</f>
        <v/>
      </c>
      <c r="AB39" s="350"/>
      <c r="AC39" s="350"/>
      <c r="AD39" s="350"/>
      <c r="AE39" s="351"/>
      <c r="AF39" s="349" t="str">
        <f>Calcu!J29</f>
        <v/>
      </c>
      <c r="AG39" s="350"/>
      <c r="AH39" s="350"/>
      <c r="AI39" s="350"/>
      <c r="AJ39" s="351"/>
      <c r="AK39" s="349" t="str">
        <f>Calcu!K29</f>
        <v/>
      </c>
      <c r="AL39" s="350"/>
      <c r="AM39" s="350"/>
      <c r="AN39" s="350"/>
      <c r="AO39" s="351"/>
      <c r="AP39" s="349" t="str">
        <f>Calcu!L29</f>
        <v/>
      </c>
      <c r="AQ39" s="350"/>
      <c r="AR39" s="350"/>
      <c r="AS39" s="350"/>
      <c r="AT39" s="351"/>
      <c r="AU39" s="349" t="str">
        <f>Calcu!M29</f>
        <v/>
      </c>
      <c r="AV39" s="350"/>
      <c r="AW39" s="350"/>
      <c r="AX39" s="350"/>
      <c r="AY39" s="351"/>
      <c r="AZ39" s="349" t="str">
        <f>Calcu!S29</f>
        <v/>
      </c>
      <c r="BA39" s="350"/>
      <c r="BB39" s="350"/>
      <c r="BC39" s="350"/>
      <c r="BD39" s="351"/>
      <c r="BE39" s="349" t="str">
        <f>Calcu!U29</f>
        <v/>
      </c>
      <c r="BF39" s="350"/>
      <c r="BG39" s="350"/>
      <c r="BH39" s="350"/>
      <c r="BI39" s="351"/>
    </row>
    <row r="40" spans="1:61" ht="18.75" customHeight="1">
      <c r="A40" s="57"/>
      <c r="B40" s="349" t="str">
        <f>Calcu!E30</f>
        <v/>
      </c>
      <c r="C40" s="350"/>
      <c r="D40" s="350"/>
      <c r="E40" s="350"/>
      <c r="F40" s="351"/>
      <c r="G40" s="349" t="str">
        <f>Calcu!C30</f>
        <v/>
      </c>
      <c r="H40" s="350"/>
      <c r="I40" s="350"/>
      <c r="J40" s="350"/>
      <c r="K40" s="351"/>
      <c r="L40" s="349" t="str">
        <f>Calcu!D30</f>
        <v/>
      </c>
      <c r="M40" s="350"/>
      <c r="N40" s="350"/>
      <c r="O40" s="350"/>
      <c r="P40" s="351"/>
      <c r="Q40" s="349" t="str">
        <f>Calcu!G30</f>
        <v/>
      </c>
      <c r="R40" s="350"/>
      <c r="S40" s="350"/>
      <c r="T40" s="350"/>
      <c r="U40" s="351"/>
      <c r="V40" s="349" t="str">
        <f>Calcu!H30</f>
        <v/>
      </c>
      <c r="W40" s="350"/>
      <c r="X40" s="350"/>
      <c r="Y40" s="350"/>
      <c r="Z40" s="351"/>
      <c r="AA40" s="349" t="str">
        <f>Calcu!I30</f>
        <v/>
      </c>
      <c r="AB40" s="350"/>
      <c r="AC40" s="350"/>
      <c r="AD40" s="350"/>
      <c r="AE40" s="351"/>
      <c r="AF40" s="349" t="str">
        <f>Calcu!J30</f>
        <v/>
      </c>
      <c r="AG40" s="350"/>
      <c r="AH40" s="350"/>
      <c r="AI40" s="350"/>
      <c r="AJ40" s="351"/>
      <c r="AK40" s="349" t="str">
        <f>Calcu!K30</f>
        <v/>
      </c>
      <c r="AL40" s="350"/>
      <c r="AM40" s="350"/>
      <c r="AN40" s="350"/>
      <c r="AO40" s="351"/>
      <c r="AP40" s="349" t="str">
        <f>Calcu!L30</f>
        <v/>
      </c>
      <c r="AQ40" s="350"/>
      <c r="AR40" s="350"/>
      <c r="AS40" s="350"/>
      <c r="AT40" s="351"/>
      <c r="AU40" s="349" t="str">
        <f>Calcu!M30</f>
        <v/>
      </c>
      <c r="AV40" s="350"/>
      <c r="AW40" s="350"/>
      <c r="AX40" s="350"/>
      <c r="AY40" s="351"/>
      <c r="AZ40" s="349" t="str">
        <f>Calcu!S30</f>
        <v/>
      </c>
      <c r="BA40" s="350"/>
      <c r="BB40" s="350"/>
      <c r="BC40" s="350"/>
      <c r="BD40" s="351"/>
      <c r="BE40" s="349" t="str">
        <f>Calcu!U30</f>
        <v/>
      </c>
      <c r="BF40" s="350"/>
      <c r="BG40" s="350"/>
      <c r="BH40" s="350"/>
      <c r="BI40" s="351"/>
    </row>
    <row r="41" spans="1:61" ht="18.75" customHeight="1">
      <c r="A41" s="57"/>
      <c r="B41" s="349" t="str">
        <f>Calcu!E31</f>
        <v/>
      </c>
      <c r="C41" s="350"/>
      <c r="D41" s="350"/>
      <c r="E41" s="350"/>
      <c r="F41" s="351"/>
      <c r="G41" s="349" t="str">
        <f>Calcu!C31</f>
        <v/>
      </c>
      <c r="H41" s="350"/>
      <c r="I41" s="350"/>
      <c r="J41" s="350"/>
      <c r="K41" s="351"/>
      <c r="L41" s="349" t="str">
        <f>Calcu!D31</f>
        <v/>
      </c>
      <c r="M41" s="350"/>
      <c r="N41" s="350"/>
      <c r="O41" s="350"/>
      <c r="P41" s="351"/>
      <c r="Q41" s="349" t="str">
        <f>Calcu!G31</f>
        <v/>
      </c>
      <c r="R41" s="350"/>
      <c r="S41" s="350"/>
      <c r="T41" s="350"/>
      <c r="U41" s="351"/>
      <c r="V41" s="349" t="str">
        <f>Calcu!H31</f>
        <v/>
      </c>
      <c r="W41" s="350"/>
      <c r="X41" s="350"/>
      <c r="Y41" s="350"/>
      <c r="Z41" s="351"/>
      <c r="AA41" s="349" t="str">
        <f>Calcu!I31</f>
        <v/>
      </c>
      <c r="AB41" s="350"/>
      <c r="AC41" s="350"/>
      <c r="AD41" s="350"/>
      <c r="AE41" s="351"/>
      <c r="AF41" s="349" t="str">
        <f>Calcu!J31</f>
        <v/>
      </c>
      <c r="AG41" s="350"/>
      <c r="AH41" s="350"/>
      <c r="AI41" s="350"/>
      <c r="AJ41" s="351"/>
      <c r="AK41" s="349" t="str">
        <f>Calcu!K31</f>
        <v/>
      </c>
      <c r="AL41" s="350"/>
      <c r="AM41" s="350"/>
      <c r="AN41" s="350"/>
      <c r="AO41" s="351"/>
      <c r="AP41" s="349" t="str">
        <f>Calcu!L31</f>
        <v/>
      </c>
      <c r="AQ41" s="350"/>
      <c r="AR41" s="350"/>
      <c r="AS41" s="350"/>
      <c r="AT41" s="351"/>
      <c r="AU41" s="349" t="str">
        <f>Calcu!M31</f>
        <v/>
      </c>
      <c r="AV41" s="350"/>
      <c r="AW41" s="350"/>
      <c r="AX41" s="350"/>
      <c r="AY41" s="351"/>
      <c r="AZ41" s="349" t="str">
        <f>Calcu!S31</f>
        <v/>
      </c>
      <c r="BA41" s="350"/>
      <c r="BB41" s="350"/>
      <c r="BC41" s="350"/>
      <c r="BD41" s="351"/>
      <c r="BE41" s="349" t="str">
        <f>Calcu!U31</f>
        <v/>
      </c>
      <c r="BF41" s="350"/>
      <c r="BG41" s="350"/>
      <c r="BH41" s="350"/>
      <c r="BI41" s="351"/>
    </row>
    <row r="42" spans="1:61" ht="18.75" customHeight="1">
      <c r="A42" s="57"/>
      <c r="B42" s="349" t="str">
        <f>Calcu!E32</f>
        <v/>
      </c>
      <c r="C42" s="350"/>
      <c r="D42" s="350"/>
      <c r="E42" s="350"/>
      <c r="F42" s="351"/>
      <c r="G42" s="349" t="str">
        <f>Calcu!C32</f>
        <v/>
      </c>
      <c r="H42" s="350"/>
      <c r="I42" s="350"/>
      <c r="J42" s="350"/>
      <c r="K42" s="351"/>
      <c r="L42" s="349" t="str">
        <f>Calcu!D32</f>
        <v/>
      </c>
      <c r="M42" s="350"/>
      <c r="N42" s="350"/>
      <c r="O42" s="350"/>
      <c r="P42" s="351"/>
      <c r="Q42" s="349" t="str">
        <f>Calcu!G32</f>
        <v/>
      </c>
      <c r="R42" s="350"/>
      <c r="S42" s="350"/>
      <c r="T42" s="350"/>
      <c r="U42" s="351"/>
      <c r="V42" s="349" t="str">
        <f>Calcu!H32</f>
        <v/>
      </c>
      <c r="W42" s="350"/>
      <c r="X42" s="350"/>
      <c r="Y42" s="350"/>
      <c r="Z42" s="351"/>
      <c r="AA42" s="349" t="str">
        <f>Calcu!I32</f>
        <v/>
      </c>
      <c r="AB42" s="350"/>
      <c r="AC42" s="350"/>
      <c r="AD42" s="350"/>
      <c r="AE42" s="351"/>
      <c r="AF42" s="349" t="str">
        <f>Calcu!J32</f>
        <v/>
      </c>
      <c r="AG42" s="350"/>
      <c r="AH42" s="350"/>
      <c r="AI42" s="350"/>
      <c r="AJ42" s="351"/>
      <c r="AK42" s="349" t="str">
        <f>Calcu!K32</f>
        <v/>
      </c>
      <c r="AL42" s="350"/>
      <c r="AM42" s="350"/>
      <c r="AN42" s="350"/>
      <c r="AO42" s="351"/>
      <c r="AP42" s="349" t="str">
        <f>Calcu!L32</f>
        <v/>
      </c>
      <c r="AQ42" s="350"/>
      <c r="AR42" s="350"/>
      <c r="AS42" s="350"/>
      <c r="AT42" s="351"/>
      <c r="AU42" s="349" t="str">
        <f>Calcu!M32</f>
        <v/>
      </c>
      <c r="AV42" s="350"/>
      <c r="AW42" s="350"/>
      <c r="AX42" s="350"/>
      <c r="AY42" s="351"/>
      <c r="AZ42" s="349" t="str">
        <f>Calcu!S32</f>
        <v/>
      </c>
      <c r="BA42" s="350"/>
      <c r="BB42" s="350"/>
      <c r="BC42" s="350"/>
      <c r="BD42" s="351"/>
      <c r="BE42" s="349" t="str">
        <f>Calcu!U32</f>
        <v/>
      </c>
      <c r="BF42" s="350"/>
      <c r="BG42" s="350"/>
      <c r="BH42" s="350"/>
      <c r="BI42" s="351"/>
    </row>
    <row r="43" spans="1:61" ht="18.75" customHeight="1">
      <c r="A43" s="57"/>
      <c r="B43" s="349" t="str">
        <f>Calcu!E33</f>
        <v/>
      </c>
      <c r="C43" s="350"/>
      <c r="D43" s="350"/>
      <c r="E43" s="350"/>
      <c r="F43" s="351"/>
      <c r="G43" s="349" t="str">
        <f>Calcu!C33</f>
        <v/>
      </c>
      <c r="H43" s="350"/>
      <c r="I43" s="350"/>
      <c r="J43" s="350"/>
      <c r="K43" s="351"/>
      <c r="L43" s="349" t="str">
        <f>Calcu!D33</f>
        <v/>
      </c>
      <c r="M43" s="350"/>
      <c r="N43" s="350"/>
      <c r="O43" s="350"/>
      <c r="P43" s="351"/>
      <c r="Q43" s="349" t="str">
        <f>Calcu!G33</f>
        <v/>
      </c>
      <c r="R43" s="350"/>
      <c r="S43" s="350"/>
      <c r="T43" s="350"/>
      <c r="U43" s="351"/>
      <c r="V43" s="349" t="str">
        <f>Calcu!H33</f>
        <v/>
      </c>
      <c r="W43" s="350"/>
      <c r="X43" s="350"/>
      <c r="Y43" s="350"/>
      <c r="Z43" s="351"/>
      <c r="AA43" s="349" t="str">
        <f>Calcu!I33</f>
        <v/>
      </c>
      <c r="AB43" s="350"/>
      <c r="AC43" s="350"/>
      <c r="AD43" s="350"/>
      <c r="AE43" s="351"/>
      <c r="AF43" s="349" t="str">
        <f>Calcu!J33</f>
        <v/>
      </c>
      <c r="AG43" s="350"/>
      <c r="AH43" s="350"/>
      <c r="AI43" s="350"/>
      <c r="AJ43" s="351"/>
      <c r="AK43" s="349" t="str">
        <f>Calcu!K33</f>
        <v/>
      </c>
      <c r="AL43" s="350"/>
      <c r="AM43" s="350"/>
      <c r="AN43" s="350"/>
      <c r="AO43" s="351"/>
      <c r="AP43" s="349" t="str">
        <f>Calcu!L33</f>
        <v/>
      </c>
      <c r="AQ43" s="350"/>
      <c r="AR43" s="350"/>
      <c r="AS43" s="350"/>
      <c r="AT43" s="351"/>
      <c r="AU43" s="349" t="str">
        <f>Calcu!M33</f>
        <v/>
      </c>
      <c r="AV43" s="350"/>
      <c r="AW43" s="350"/>
      <c r="AX43" s="350"/>
      <c r="AY43" s="351"/>
      <c r="AZ43" s="349" t="str">
        <f>Calcu!S33</f>
        <v/>
      </c>
      <c r="BA43" s="350"/>
      <c r="BB43" s="350"/>
      <c r="BC43" s="350"/>
      <c r="BD43" s="351"/>
      <c r="BE43" s="349" t="str">
        <f>Calcu!U33</f>
        <v/>
      </c>
      <c r="BF43" s="350"/>
      <c r="BG43" s="350"/>
      <c r="BH43" s="350"/>
      <c r="BI43" s="351"/>
    </row>
    <row r="44" spans="1:61" ht="18.75" customHeight="1">
      <c r="A44" s="57"/>
      <c r="B44" s="349" t="str">
        <f>Calcu!E34</f>
        <v/>
      </c>
      <c r="C44" s="350"/>
      <c r="D44" s="350"/>
      <c r="E44" s="350"/>
      <c r="F44" s="351"/>
      <c r="G44" s="349" t="str">
        <f>Calcu!C34</f>
        <v/>
      </c>
      <c r="H44" s="350"/>
      <c r="I44" s="350"/>
      <c r="J44" s="350"/>
      <c r="K44" s="351"/>
      <c r="L44" s="349" t="str">
        <f>Calcu!D34</f>
        <v/>
      </c>
      <c r="M44" s="350"/>
      <c r="N44" s="350"/>
      <c r="O44" s="350"/>
      <c r="P44" s="351"/>
      <c r="Q44" s="349" t="str">
        <f>Calcu!G34</f>
        <v/>
      </c>
      <c r="R44" s="350"/>
      <c r="S44" s="350"/>
      <c r="T44" s="350"/>
      <c r="U44" s="351"/>
      <c r="V44" s="349" t="str">
        <f>Calcu!H34</f>
        <v/>
      </c>
      <c r="W44" s="350"/>
      <c r="X44" s="350"/>
      <c r="Y44" s="350"/>
      <c r="Z44" s="351"/>
      <c r="AA44" s="349" t="str">
        <f>Calcu!I34</f>
        <v/>
      </c>
      <c r="AB44" s="350"/>
      <c r="AC44" s="350"/>
      <c r="AD44" s="350"/>
      <c r="AE44" s="351"/>
      <c r="AF44" s="349" t="str">
        <f>Calcu!J34</f>
        <v/>
      </c>
      <c r="AG44" s="350"/>
      <c r="AH44" s="350"/>
      <c r="AI44" s="350"/>
      <c r="AJ44" s="351"/>
      <c r="AK44" s="349" t="str">
        <f>Calcu!K34</f>
        <v/>
      </c>
      <c r="AL44" s="350"/>
      <c r="AM44" s="350"/>
      <c r="AN44" s="350"/>
      <c r="AO44" s="351"/>
      <c r="AP44" s="349" t="str">
        <f>Calcu!L34</f>
        <v/>
      </c>
      <c r="AQ44" s="350"/>
      <c r="AR44" s="350"/>
      <c r="AS44" s="350"/>
      <c r="AT44" s="351"/>
      <c r="AU44" s="349" t="str">
        <f>Calcu!M34</f>
        <v/>
      </c>
      <c r="AV44" s="350"/>
      <c r="AW44" s="350"/>
      <c r="AX44" s="350"/>
      <c r="AY44" s="351"/>
      <c r="AZ44" s="349" t="str">
        <f>Calcu!S34</f>
        <v/>
      </c>
      <c r="BA44" s="350"/>
      <c r="BB44" s="350"/>
      <c r="BC44" s="350"/>
      <c r="BD44" s="351"/>
      <c r="BE44" s="349" t="str">
        <f>Calcu!U34</f>
        <v/>
      </c>
      <c r="BF44" s="350"/>
      <c r="BG44" s="350"/>
      <c r="BH44" s="350"/>
      <c r="BI44" s="351"/>
    </row>
    <row r="45" spans="1:61" ht="18.75" customHeight="1">
      <c r="A45" s="57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29"/>
      <c r="AI45" s="229"/>
      <c r="AJ45" s="229"/>
      <c r="AK45" s="229"/>
      <c r="AL45" s="229"/>
      <c r="AM45" s="229"/>
      <c r="AN45" s="229"/>
      <c r="AO45" s="229"/>
      <c r="AP45" s="229"/>
      <c r="AQ45" s="229"/>
      <c r="AR45" s="229"/>
      <c r="AS45" s="229"/>
      <c r="AT45" s="229"/>
    </row>
    <row r="46" spans="1:61" ht="18.75" customHeight="1">
      <c r="A46" s="57" t="s">
        <v>483</v>
      </c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  <c r="AN46" s="243"/>
      <c r="AO46" s="243"/>
      <c r="AP46" s="243"/>
      <c r="AQ46" s="243"/>
      <c r="AR46" s="243"/>
      <c r="AS46" s="243"/>
      <c r="AT46" s="243"/>
    </row>
    <row r="47" spans="1:61" ht="18.75" customHeight="1">
      <c r="A47" s="69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43"/>
      <c r="AT47" s="243"/>
    </row>
    <row r="48" spans="1:61" ht="18.75" customHeight="1">
      <c r="A48" s="69"/>
      <c r="B48" s="243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43"/>
      <c r="AN48" s="243"/>
      <c r="AO48" s="243"/>
      <c r="AP48" s="243"/>
      <c r="AQ48" s="243"/>
      <c r="AR48" s="243"/>
      <c r="AS48" s="243"/>
      <c r="AT48" s="243"/>
    </row>
    <row r="49" spans="1:69" ht="18.75" customHeight="1">
      <c r="A49" s="69"/>
      <c r="B49" s="243"/>
      <c r="C49" s="390" t="s">
        <v>484</v>
      </c>
      <c r="D49" s="390"/>
      <c r="E49" s="390"/>
      <c r="F49" s="229" t="s">
        <v>108</v>
      </c>
      <c r="G49" s="243" t="str">
        <f>"표준온도에서 "&amp;$N$5&amp;"의 교정값"</f>
        <v>표준온도에서 원통형 링 게이지의 교정값</v>
      </c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W49" s="59"/>
      <c r="X49" s="59"/>
      <c r="Y49" s="59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43"/>
      <c r="AS49" s="243"/>
      <c r="AT49" s="243"/>
    </row>
    <row r="50" spans="1:69" ht="18.75" customHeight="1">
      <c r="A50" s="69"/>
      <c r="B50" s="243"/>
      <c r="C50" s="390" t="s">
        <v>240</v>
      </c>
      <c r="D50" s="390"/>
      <c r="E50" s="390"/>
      <c r="F50" s="229" t="s">
        <v>108</v>
      </c>
      <c r="G50" s="243" t="str">
        <f>$T$5&amp;"로 "&amp;$N$5&amp;"의 안지름을 측정한 지시값"</f>
        <v>표준 측장기로 원통형 링 게이지의 안지름을 측정한 지시값</v>
      </c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43"/>
      <c r="AS50" s="243"/>
      <c r="AT50" s="243"/>
      <c r="AU50" s="243"/>
      <c r="AV50" s="243"/>
      <c r="AW50" s="243"/>
      <c r="AX50" s="243"/>
      <c r="AY50" s="243"/>
      <c r="AZ50" s="243"/>
      <c r="BA50" s="243"/>
      <c r="BB50" s="243"/>
    </row>
    <row r="51" spans="1:69" ht="18.75" customHeight="1">
      <c r="A51" s="69"/>
      <c r="B51" s="243"/>
      <c r="C51" s="390" t="s">
        <v>485</v>
      </c>
      <c r="D51" s="390"/>
      <c r="E51" s="390"/>
      <c r="F51" s="229" t="s">
        <v>108</v>
      </c>
      <c r="G51" s="243" t="str">
        <f>$T$5&amp;"의 보정값"</f>
        <v>표준 측장기의 보정값</v>
      </c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  <c r="AN51" s="243"/>
      <c r="AO51" s="243"/>
      <c r="AP51" s="243"/>
      <c r="AQ51" s="243"/>
      <c r="AR51" s="243"/>
      <c r="AS51" s="243"/>
      <c r="AT51" s="243"/>
      <c r="AU51" s="243"/>
      <c r="AV51" s="243"/>
      <c r="AW51" s="243"/>
      <c r="AX51" s="243"/>
      <c r="AY51" s="243"/>
      <c r="AZ51" s="243"/>
      <c r="BA51" s="243"/>
      <c r="BB51" s="243"/>
    </row>
    <row r="52" spans="1:69" ht="18.75" customHeight="1">
      <c r="A52" s="69"/>
      <c r="B52" s="243"/>
      <c r="C52" s="390" t="s">
        <v>242</v>
      </c>
      <c r="D52" s="390"/>
      <c r="E52" s="390"/>
      <c r="F52" s="229" t="s">
        <v>108</v>
      </c>
      <c r="G52" s="243" t="s">
        <v>486</v>
      </c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  <c r="AX52" s="243"/>
      <c r="AY52" s="243"/>
      <c r="AZ52" s="243"/>
      <c r="BA52" s="243"/>
      <c r="BB52" s="243"/>
    </row>
    <row r="53" spans="1:69" ht="18.75" customHeight="1">
      <c r="A53" s="69"/>
      <c r="B53" s="243"/>
      <c r="C53" s="390" t="s">
        <v>487</v>
      </c>
      <c r="D53" s="390"/>
      <c r="E53" s="390"/>
      <c r="F53" s="229" t="s">
        <v>108</v>
      </c>
      <c r="G53" s="243" t="str">
        <f>$T$5&amp;" 스케일의 열팽창계수"</f>
        <v>표준 측장기 스케일의 열팽창계수</v>
      </c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43"/>
      <c r="AT53" s="243"/>
      <c r="AU53" s="243"/>
      <c r="AV53" s="243"/>
      <c r="AW53" s="243"/>
      <c r="AX53" s="243"/>
      <c r="AY53" s="243"/>
      <c r="AZ53" s="243"/>
      <c r="BA53" s="243"/>
      <c r="BB53" s="243"/>
    </row>
    <row r="54" spans="1:69" ht="18.75" customHeight="1">
      <c r="A54" s="69"/>
      <c r="B54" s="243"/>
      <c r="C54" s="390" t="s">
        <v>489</v>
      </c>
      <c r="D54" s="390"/>
      <c r="E54" s="390"/>
      <c r="F54" s="229" t="s">
        <v>108</v>
      </c>
      <c r="G54" s="243" t="str">
        <f>$T$5&amp;" 스케일의 온도"</f>
        <v>표준 측장기 스케일의 온도</v>
      </c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3"/>
      <c r="AW54" s="243"/>
      <c r="AX54" s="243"/>
      <c r="AY54" s="243"/>
      <c r="AZ54" s="243"/>
      <c r="BA54" s="243"/>
      <c r="BB54" s="243"/>
    </row>
    <row r="55" spans="1:69" ht="18.75" customHeight="1">
      <c r="A55" s="69"/>
      <c r="B55" s="243"/>
      <c r="C55" s="390" t="s">
        <v>490</v>
      </c>
      <c r="D55" s="390"/>
      <c r="E55" s="390"/>
      <c r="F55" s="229" t="s">
        <v>108</v>
      </c>
      <c r="G55" s="243" t="str">
        <f>$N$5&amp;"의 열팽창계수"</f>
        <v>원통형 링 게이지의 열팽창계수</v>
      </c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  <c r="AN55" s="243"/>
      <c r="AO55" s="243"/>
      <c r="AP55" s="243"/>
      <c r="AQ55" s="243"/>
      <c r="AR55" s="243"/>
      <c r="AS55" s="243"/>
      <c r="AT55" s="243"/>
      <c r="AU55" s="243"/>
      <c r="AV55" s="243"/>
      <c r="AW55" s="243"/>
      <c r="AX55" s="243"/>
      <c r="AY55" s="243"/>
      <c r="AZ55" s="243"/>
      <c r="BA55" s="243"/>
      <c r="BB55" s="243"/>
    </row>
    <row r="56" spans="1:69" ht="18.75" customHeight="1">
      <c r="A56" s="69"/>
      <c r="B56" s="243"/>
      <c r="C56" s="390" t="s">
        <v>491</v>
      </c>
      <c r="D56" s="390"/>
      <c r="E56" s="390"/>
      <c r="F56" s="229" t="s">
        <v>492</v>
      </c>
      <c r="G56" s="243" t="str">
        <f>$N$5&amp;"의 온도"</f>
        <v>원통형 링 게이지의 온도</v>
      </c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3"/>
      <c r="AL56" s="243"/>
      <c r="AM56" s="243"/>
      <c r="AN56" s="243"/>
      <c r="AO56" s="243"/>
      <c r="AP56" s="243"/>
      <c r="AQ56" s="243"/>
      <c r="AR56" s="243"/>
      <c r="AS56" s="243"/>
      <c r="AT56" s="243"/>
      <c r="AU56" s="243"/>
      <c r="AV56" s="243"/>
      <c r="AW56" s="243"/>
      <c r="AX56" s="243"/>
      <c r="AY56" s="243"/>
      <c r="AZ56" s="243"/>
      <c r="BA56" s="243"/>
      <c r="BB56" s="243"/>
    </row>
    <row r="57" spans="1:69" ht="18.75" customHeight="1">
      <c r="A57" s="69"/>
      <c r="B57" s="243"/>
      <c r="C57" s="390" t="s">
        <v>493</v>
      </c>
      <c r="D57" s="390"/>
      <c r="E57" s="390"/>
      <c r="F57" s="229" t="s">
        <v>108</v>
      </c>
      <c r="G57" s="243" t="str">
        <f>$T$5&amp;" 분해능에 의한 보정값"</f>
        <v>표준 측장기 분해능에 의한 보정값</v>
      </c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3"/>
      <c r="AL57" s="243"/>
      <c r="AM57" s="243"/>
      <c r="AN57" s="243"/>
      <c r="AO57" s="243"/>
      <c r="AP57" s="243"/>
      <c r="AQ57" s="243"/>
      <c r="AR57" s="243"/>
      <c r="AS57" s="243"/>
      <c r="AT57" s="243"/>
      <c r="AU57" s="243"/>
      <c r="AV57" s="243"/>
      <c r="AW57" s="243"/>
      <c r="AX57" s="243"/>
      <c r="AY57" s="243"/>
      <c r="AZ57" s="243"/>
      <c r="BA57" s="243"/>
      <c r="BB57" s="243"/>
    </row>
    <row r="58" spans="1:69" ht="18.75" customHeight="1">
      <c r="A58" s="69"/>
      <c r="B58" s="243"/>
      <c r="C58" s="390"/>
      <c r="D58" s="390"/>
      <c r="E58" s="390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3"/>
      <c r="AL58" s="243"/>
      <c r="AM58" s="243"/>
      <c r="AN58" s="243"/>
      <c r="AO58" s="243"/>
      <c r="AP58" s="243"/>
      <c r="AQ58" s="243"/>
      <c r="AR58" s="243"/>
      <c r="AS58" s="243"/>
      <c r="AT58" s="243"/>
      <c r="AU58" s="243"/>
      <c r="AV58" s="243"/>
      <c r="AW58" s="243"/>
      <c r="AX58" s="243"/>
      <c r="AY58" s="243"/>
      <c r="AZ58" s="243"/>
      <c r="BA58" s="243"/>
      <c r="BB58" s="243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</row>
    <row r="59" spans="1:69" ht="18.75" customHeight="1">
      <c r="A59" s="57" t="s">
        <v>494</v>
      </c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3"/>
      <c r="AL59" s="243"/>
      <c r="AM59" s="243"/>
      <c r="AN59" s="243"/>
      <c r="AO59" s="243"/>
      <c r="AP59" s="243"/>
      <c r="AQ59" s="243"/>
      <c r="AR59" s="243"/>
      <c r="AS59" s="243"/>
      <c r="AT59" s="243"/>
    </row>
    <row r="60" spans="1:69" ht="18.75" customHeight="1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  <c r="AN60" s="243"/>
      <c r="AO60" s="243"/>
      <c r="AP60" s="243"/>
      <c r="AQ60" s="243"/>
      <c r="AR60" s="243"/>
      <c r="AS60" s="243"/>
      <c r="AT60" s="243"/>
    </row>
    <row r="61" spans="1:69" ht="18.75" customHeight="1">
      <c r="A61" s="243"/>
      <c r="B61" s="243"/>
      <c r="C61" s="243" t="s">
        <v>495</v>
      </c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3"/>
      <c r="AL61" s="243"/>
      <c r="AM61" s="243"/>
      <c r="AN61" s="243"/>
      <c r="AO61" s="243"/>
      <c r="AP61" s="243"/>
      <c r="AQ61" s="243"/>
      <c r="AR61" s="243"/>
      <c r="AS61" s="243"/>
      <c r="AT61" s="243"/>
    </row>
    <row r="62" spans="1:69" ht="18.75" customHeight="1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3"/>
      <c r="AL62" s="243"/>
      <c r="AM62" s="243"/>
      <c r="AN62" s="243"/>
      <c r="AO62" s="243"/>
      <c r="AP62" s="243"/>
      <c r="AQ62" s="243"/>
      <c r="AR62" s="243"/>
      <c r="AS62" s="243"/>
      <c r="AT62" s="243"/>
    </row>
    <row r="63" spans="1:69" ht="18.75" customHeight="1">
      <c r="A63" s="243"/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3"/>
      <c r="AL63" s="243"/>
      <c r="AM63" s="243"/>
      <c r="AN63" s="243"/>
      <c r="AO63" s="243"/>
      <c r="AP63" s="243"/>
      <c r="AQ63" s="243"/>
      <c r="AR63" s="243"/>
      <c r="AS63" s="243"/>
      <c r="AT63" s="243"/>
    </row>
    <row r="64" spans="1:69" ht="18.75" customHeight="1">
      <c r="A64" s="243"/>
      <c r="B64" s="243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3"/>
      <c r="AL64" s="243"/>
      <c r="AM64" s="243"/>
      <c r="AN64" s="243"/>
      <c r="AO64" s="243"/>
      <c r="AP64" s="243"/>
      <c r="AQ64" s="243"/>
      <c r="AR64" s="243"/>
      <c r="AS64" s="243"/>
      <c r="AT64" s="243"/>
    </row>
    <row r="65" spans="1:46" ht="18.75" customHeight="1">
      <c r="A65" s="243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3"/>
      <c r="AL65" s="243"/>
      <c r="AM65" s="243"/>
      <c r="AN65" s="243"/>
      <c r="AO65" s="243"/>
      <c r="AP65" s="243"/>
      <c r="AQ65" s="243"/>
      <c r="AR65" s="243"/>
      <c r="AS65" s="243"/>
      <c r="AT65" s="243"/>
    </row>
    <row r="66" spans="1:46" ht="18.75" customHeight="1">
      <c r="A66" s="243"/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  <c r="AS66" s="243"/>
      <c r="AT66" s="243"/>
    </row>
    <row r="67" spans="1:46" ht="18.75" customHeight="1">
      <c r="A67" s="243"/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  <c r="AS67" s="243"/>
      <c r="AT67" s="243"/>
    </row>
    <row r="68" spans="1:46" ht="18.75" customHeight="1">
      <c r="A68" s="243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3"/>
      <c r="AL68" s="243"/>
      <c r="AM68" s="243"/>
      <c r="AN68" s="243"/>
      <c r="AO68" s="243"/>
      <c r="AP68" s="243"/>
      <c r="AQ68" s="243"/>
      <c r="AR68" s="243"/>
      <c r="AS68" s="243"/>
      <c r="AT68" s="243"/>
    </row>
    <row r="69" spans="1:46" ht="18.75" customHeight="1">
      <c r="A69" s="60" t="s">
        <v>496</v>
      </c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  <c r="AN69" s="243"/>
      <c r="AO69" s="243"/>
      <c r="AP69" s="243"/>
      <c r="AQ69" s="243"/>
      <c r="AR69" s="243"/>
      <c r="AS69" s="243"/>
      <c r="AT69" s="243"/>
    </row>
    <row r="70" spans="1:46" ht="18.75" customHeight="1">
      <c r="A70" s="243"/>
      <c r="B70" s="413"/>
      <c r="C70" s="414"/>
      <c r="D70" s="419"/>
      <c r="E70" s="420"/>
      <c r="F70" s="420"/>
      <c r="G70" s="421"/>
      <c r="H70" s="363">
        <v>1</v>
      </c>
      <c r="I70" s="363"/>
      <c r="J70" s="363"/>
      <c r="K70" s="363"/>
      <c r="L70" s="363"/>
      <c r="M70" s="363"/>
      <c r="N70" s="363"/>
      <c r="O70" s="363">
        <v>2</v>
      </c>
      <c r="P70" s="363"/>
      <c r="Q70" s="363"/>
      <c r="R70" s="363"/>
      <c r="S70" s="363"/>
      <c r="T70" s="363"/>
      <c r="U70" s="363"/>
      <c r="V70" s="363">
        <v>3</v>
      </c>
      <c r="W70" s="363"/>
      <c r="X70" s="363"/>
      <c r="Y70" s="363"/>
      <c r="Z70" s="363"/>
      <c r="AA70" s="419">
        <v>4</v>
      </c>
      <c r="AB70" s="420"/>
      <c r="AC70" s="420"/>
      <c r="AD70" s="420"/>
      <c r="AE70" s="420"/>
      <c r="AF70" s="420"/>
      <c r="AG70" s="421"/>
      <c r="AH70" s="363">
        <v>5</v>
      </c>
      <c r="AI70" s="363"/>
      <c r="AJ70" s="363"/>
      <c r="AK70" s="363"/>
      <c r="AL70" s="363"/>
      <c r="AM70" s="363"/>
      <c r="AN70" s="363"/>
      <c r="AO70" s="363"/>
      <c r="AP70" s="363">
        <v>6</v>
      </c>
      <c r="AQ70" s="363"/>
      <c r="AR70" s="363"/>
      <c r="AS70" s="363"/>
      <c r="AT70" s="243"/>
    </row>
    <row r="71" spans="1:46" ht="18.75" customHeight="1">
      <c r="A71" s="243"/>
      <c r="B71" s="415"/>
      <c r="C71" s="416"/>
      <c r="D71" s="413" t="s">
        <v>497</v>
      </c>
      <c r="E71" s="412"/>
      <c r="F71" s="412"/>
      <c r="G71" s="414"/>
      <c r="H71" s="422" t="s">
        <v>498</v>
      </c>
      <c r="I71" s="422"/>
      <c r="J71" s="422"/>
      <c r="K71" s="422"/>
      <c r="L71" s="422"/>
      <c r="M71" s="422"/>
      <c r="N71" s="422"/>
      <c r="O71" s="422" t="s">
        <v>499</v>
      </c>
      <c r="P71" s="422"/>
      <c r="Q71" s="422"/>
      <c r="R71" s="422"/>
      <c r="S71" s="422"/>
      <c r="T71" s="422"/>
      <c r="U71" s="422"/>
      <c r="V71" s="422" t="s">
        <v>500</v>
      </c>
      <c r="W71" s="422"/>
      <c r="X71" s="422"/>
      <c r="Y71" s="422"/>
      <c r="Z71" s="422"/>
      <c r="AA71" s="413" t="s">
        <v>501</v>
      </c>
      <c r="AB71" s="412"/>
      <c r="AC71" s="412"/>
      <c r="AD71" s="412"/>
      <c r="AE71" s="412"/>
      <c r="AF71" s="412"/>
      <c r="AG71" s="414"/>
      <c r="AH71" s="422" t="s">
        <v>502</v>
      </c>
      <c r="AI71" s="422"/>
      <c r="AJ71" s="422"/>
      <c r="AK71" s="422"/>
      <c r="AL71" s="422"/>
      <c r="AM71" s="422"/>
      <c r="AN71" s="422"/>
      <c r="AO71" s="422"/>
      <c r="AP71" s="422" t="s">
        <v>503</v>
      </c>
      <c r="AQ71" s="422"/>
      <c r="AR71" s="422"/>
      <c r="AS71" s="422"/>
      <c r="AT71" s="243"/>
    </row>
    <row r="72" spans="1:46" ht="18.75" customHeight="1">
      <c r="A72" s="243"/>
      <c r="B72" s="417"/>
      <c r="C72" s="418"/>
      <c r="D72" s="423" t="s">
        <v>504</v>
      </c>
      <c r="E72" s="424"/>
      <c r="F72" s="424"/>
      <c r="G72" s="425"/>
      <c r="H72" s="426" t="s">
        <v>505</v>
      </c>
      <c r="I72" s="426"/>
      <c r="J72" s="426"/>
      <c r="K72" s="426"/>
      <c r="L72" s="426"/>
      <c r="M72" s="426"/>
      <c r="N72" s="426"/>
      <c r="O72" s="426" t="s">
        <v>506</v>
      </c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7" t="s">
        <v>507</v>
      </c>
      <c r="AB72" s="428"/>
      <c r="AC72" s="428"/>
      <c r="AD72" s="428"/>
      <c r="AE72" s="428"/>
      <c r="AF72" s="428"/>
      <c r="AG72" s="429"/>
      <c r="AH72" s="426" t="s">
        <v>508</v>
      </c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243"/>
    </row>
    <row r="73" spans="1:46" ht="18.75" customHeight="1">
      <c r="A73" s="243"/>
      <c r="B73" s="363" t="s">
        <v>104</v>
      </c>
      <c r="C73" s="363"/>
      <c r="D73" s="432" t="s">
        <v>509</v>
      </c>
      <c r="E73" s="433"/>
      <c r="F73" s="433"/>
      <c r="G73" s="434"/>
      <c r="H73" s="435" t="str">
        <f>Calcu!E52</f>
        <v/>
      </c>
      <c r="I73" s="436"/>
      <c r="J73" s="436"/>
      <c r="K73" s="436"/>
      <c r="L73" s="436"/>
      <c r="M73" s="437" t="str">
        <f>Calcu!F52</f>
        <v>mm</v>
      </c>
      <c r="N73" s="438"/>
      <c r="O73" s="444">
        <f>Calcu!J52</f>
        <v>0</v>
      </c>
      <c r="P73" s="445"/>
      <c r="Q73" s="445"/>
      <c r="R73" s="445"/>
      <c r="S73" s="430" t="str">
        <f>Calcu!K52</f>
        <v>μm</v>
      </c>
      <c r="T73" s="437"/>
      <c r="U73" s="438"/>
      <c r="V73" s="363" t="str">
        <f>Calcu!L52</f>
        <v>t</v>
      </c>
      <c r="W73" s="363"/>
      <c r="X73" s="363"/>
      <c r="Y73" s="363"/>
      <c r="Z73" s="363"/>
      <c r="AA73" s="419" t="e">
        <f>Calcu!O52</f>
        <v>#VALUE!</v>
      </c>
      <c r="AB73" s="420"/>
      <c r="AC73" s="420"/>
      <c r="AD73" s="420"/>
      <c r="AE73" s="420"/>
      <c r="AF73" s="420"/>
      <c r="AG73" s="421"/>
      <c r="AH73" s="444" t="e">
        <f>Calcu!Q52</f>
        <v>#VALUE!</v>
      </c>
      <c r="AI73" s="445"/>
      <c r="AJ73" s="445"/>
      <c r="AK73" s="445"/>
      <c r="AL73" s="445"/>
      <c r="AM73" s="430" t="str">
        <f>Calcu!R52</f>
        <v>μm</v>
      </c>
      <c r="AN73" s="430"/>
      <c r="AO73" s="431"/>
      <c r="AP73" s="363">
        <f>Calcu!S52</f>
        <v>4</v>
      </c>
      <c r="AQ73" s="363"/>
      <c r="AR73" s="363"/>
      <c r="AS73" s="363"/>
      <c r="AT73" s="243"/>
    </row>
    <row r="74" spans="1:46" ht="18.75" customHeight="1">
      <c r="A74" s="243"/>
      <c r="B74" s="363" t="s">
        <v>105</v>
      </c>
      <c r="C74" s="363"/>
      <c r="D74" s="432" t="s">
        <v>510</v>
      </c>
      <c r="E74" s="433"/>
      <c r="F74" s="433"/>
      <c r="G74" s="434"/>
      <c r="H74" s="435" t="str">
        <f>Calcu!E53</f>
        <v/>
      </c>
      <c r="I74" s="436"/>
      <c r="J74" s="436"/>
      <c r="K74" s="436"/>
      <c r="L74" s="436"/>
      <c r="M74" s="437" t="str">
        <f>Calcu!F53</f>
        <v>/℃</v>
      </c>
      <c r="N74" s="438"/>
      <c r="O74" s="439">
        <f>Calcu!J53</f>
        <v>5.7735026918962578E-7</v>
      </c>
      <c r="P74" s="440"/>
      <c r="Q74" s="440"/>
      <c r="R74" s="440"/>
      <c r="S74" s="430" t="str">
        <f>Calcu!K53</f>
        <v>/℃</v>
      </c>
      <c r="T74" s="437"/>
      <c r="U74" s="438"/>
      <c r="V74" s="363" t="str">
        <f>Calcu!L53</f>
        <v>직사각형</v>
      </c>
      <c r="W74" s="363"/>
      <c r="X74" s="363"/>
      <c r="Y74" s="363"/>
      <c r="Z74" s="363"/>
      <c r="AA74" s="441" t="e">
        <f>Calcu!O53</f>
        <v>#VALUE!</v>
      </c>
      <c r="AB74" s="437"/>
      <c r="AC74" s="437"/>
      <c r="AD74" s="437"/>
      <c r="AE74" s="442" t="str">
        <f>Calcu!P53</f>
        <v>℃·μm</v>
      </c>
      <c r="AF74" s="442"/>
      <c r="AG74" s="443"/>
      <c r="AH74" s="444" t="e">
        <f>Calcu!Q53</f>
        <v>#VALUE!</v>
      </c>
      <c r="AI74" s="445"/>
      <c r="AJ74" s="445"/>
      <c r="AK74" s="445"/>
      <c r="AL74" s="445"/>
      <c r="AM74" s="430" t="str">
        <f>Calcu!R53</f>
        <v>μm</v>
      </c>
      <c r="AN74" s="430"/>
      <c r="AO74" s="431"/>
      <c r="AP74" s="363">
        <f>Calcu!S53</f>
        <v>50</v>
      </c>
      <c r="AQ74" s="363"/>
      <c r="AR74" s="363"/>
      <c r="AS74" s="363"/>
      <c r="AT74" s="243"/>
    </row>
    <row r="75" spans="1:46" ht="18.75" customHeight="1">
      <c r="A75" s="243"/>
      <c r="B75" s="363" t="s">
        <v>106</v>
      </c>
      <c r="C75" s="363"/>
      <c r="D75" s="432" t="s">
        <v>511</v>
      </c>
      <c r="E75" s="433"/>
      <c r="F75" s="433"/>
      <c r="G75" s="434"/>
      <c r="H75" s="435" t="str">
        <f>Calcu!E54</f>
        <v/>
      </c>
      <c r="I75" s="436"/>
      <c r="J75" s="436"/>
      <c r="K75" s="436"/>
      <c r="L75" s="436"/>
      <c r="M75" s="437" t="str">
        <f>Calcu!F54</f>
        <v>℃</v>
      </c>
      <c r="N75" s="438"/>
      <c r="O75" s="444">
        <f>Calcu!J54</f>
        <v>0.28867513459481292</v>
      </c>
      <c r="P75" s="445"/>
      <c r="Q75" s="445"/>
      <c r="R75" s="445"/>
      <c r="S75" s="430" t="str">
        <f>Calcu!K54</f>
        <v>℃</v>
      </c>
      <c r="T75" s="437"/>
      <c r="U75" s="438"/>
      <c r="V75" s="363" t="str">
        <f>Calcu!L54</f>
        <v>직사각형</v>
      </c>
      <c r="W75" s="363"/>
      <c r="X75" s="363"/>
      <c r="Y75" s="363"/>
      <c r="Z75" s="363"/>
      <c r="AA75" s="441" t="e">
        <f>Calcu!O54</f>
        <v>#VALUE!</v>
      </c>
      <c r="AB75" s="437"/>
      <c r="AC75" s="437"/>
      <c r="AD75" s="437"/>
      <c r="AE75" s="442" t="str">
        <f>Calcu!P54</f>
        <v>/℃·μm</v>
      </c>
      <c r="AF75" s="442"/>
      <c r="AG75" s="443"/>
      <c r="AH75" s="444" t="e">
        <f>Calcu!Q54</f>
        <v>#VALUE!</v>
      </c>
      <c r="AI75" s="445"/>
      <c r="AJ75" s="445"/>
      <c r="AK75" s="445"/>
      <c r="AL75" s="445"/>
      <c r="AM75" s="430" t="str">
        <f>Calcu!R54</f>
        <v>μm</v>
      </c>
      <c r="AN75" s="430"/>
      <c r="AO75" s="431"/>
      <c r="AP75" s="363" t="str">
        <f>Calcu!S54</f>
        <v>∞</v>
      </c>
      <c r="AQ75" s="363"/>
      <c r="AR75" s="363"/>
      <c r="AS75" s="363"/>
      <c r="AT75" s="243"/>
    </row>
    <row r="76" spans="1:46" ht="18.75" customHeight="1">
      <c r="A76" s="243"/>
      <c r="B76" s="363" t="s">
        <v>111</v>
      </c>
      <c r="C76" s="363"/>
      <c r="D76" s="432" t="s">
        <v>485</v>
      </c>
      <c r="E76" s="433"/>
      <c r="F76" s="433"/>
      <c r="G76" s="434"/>
      <c r="H76" s="435" t="str">
        <f>Calcu!E55</f>
        <v/>
      </c>
      <c r="I76" s="436"/>
      <c r="J76" s="436"/>
      <c r="K76" s="436"/>
      <c r="L76" s="436"/>
      <c r="M76" s="437" t="str">
        <f>Calcu!F55</f>
        <v>mm</v>
      </c>
      <c r="N76" s="438"/>
      <c r="O76" s="444" t="e">
        <f>Calcu!J55</f>
        <v>#DIV/0!</v>
      </c>
      <c r="P76" s="445"/>
      <c r="Q76" s="445"/>
      <c r="R76" s="445"/>
      <c r="S76" s="430" t="str">
        <f>Calcu!K55</f>
        <v>μm</v>
      </c>
      <c r="T76" s="437"/>
      <c r="U76" s="438"/>
      <c r="V76" s="363" t="str">
        <f>Calcu!L55</f>
        <v>정규</v>
      </c>
      <c r="W76" s="363"/>
      <c r="X76" s="363"/>
      <c r="Y76" s="363"/>
      <c r="Z76" s="363"/>
      <c r="AA76" s="419" t="e">
        <f>Calcu!O55</f>
        <v>#VALUE!</v>
      </c>
      <c r="AB76" s="420"/>
      <c r="AC76" s="420"/>
      <c r="AD76" s="420"/>
      <c r="AE76" s="420"/>
      <c r="AF76" s="420"/>
      <c r="AG76" s="421"/>
      <c r="AH76" s="444" t="e">
        <f>Calcu!Q55</f>
        <v>#DIV/0!</v>
      </c>
      <c r="AI76" s="445"/>
      <c r="AJ76" s="445"/>
      <c r="AK76" s="445"/>
      <c r="AL76" s="445"/>
      <c r="AM76" s="430" t="str">
        <f>Calcu!R55</f>
        <v>μm</v>
      </c>
      <c r="AN76" s="430"/>
      <c r="AO76" s="431"/>
      <c r="AP76" s="363" t="str">
        <f>Calcu!S55</f>
        <v>∞</v>
      </c>
      <c r="AQ76" s="363"/>
      <c r="AR76" s="363"/>
      <c r="AS76" s="363"/>
      <c r="AT76" s="243"/>
    </row>
    <row r="77" spans="1:46" ht="18.75" customHeight="1">
      <c r="A77" s="243"/>
      <c r="B77" s="363" t="s">
        <v>512</v>
      </c>
      <c r="C77" s="363"/>
      <c r="D77" s="432" t="s">
        <v>513</v>
      </c>
      <c r="E77" s="433"/>
      <c r="F77" s="433"/>
      <c r="G77" s="434"/>
      <c r="H77" s="435" t="e">
        <f>Calcu!E56</f>
        <v>#DIV/0!</v>
      </c>
      <c r="I77" s="436"/>
      <c r="J77" s="436"/>
      <c r="K77" s="436"/>
      <c r="L77" s="436"/>
      <c r="M77" s="437" t="str">
        <f>Calcu!F56</f>
        <v>mm</v>
      </c>
      <c r="N77" s="438"/>
      <c r="O77" s="444" t="e">
        <f>Calcu!J56</f>
        <v>#DIV/0!</v>
      </c>
      <c r="P77" s="445"/>
      <c r="Q77" s="445"/>
      <c r="R77" s="445"/>
      <c r="S77" s="430" t="str">
        <f>Calcu!K56</f>
        <v>μm</v>
      </c>
      <c r="T77" s="437"/>
      <c r="U77" s="438"/>
      <c r="V77" s="363" t="str">
        <f>Calcu!L56</f>
        <v>정규</v>
      </c>
      <c r="W77" s="363"/>
      <c r="X77" s="363"/>
      <c r="Y77" s="363"/>
      <c r="Z77" s="363"/>
      <c r="AA77" s="419" t="e">
        <f>Calcu!O56</f>
        <v>#VALUE!</v>
      </c>
      <c r="AB77" s="420"/>
      <c r="AC77" s="420"/>
      <c r="AD77" s="420"/>
      <c r="AE77" s="420"/>
      <c r="AF77" s="420"/>
      <c r="AG77" s="421"/>
      <c r="AH77" s="444" t="e">
        <f>Calcu!Q56</f>
        <v>#DIV/0!</v>
      </c>
      <c r="AI77" s="445"/>
      <c r="AJ77" s="445"/>
      <c r="AK77" s="445"/>
      <c r="AL77" s="445"/>
      <c r="AM77" s="430" t="str">
        <f>Calcu!R56</f>
        <v>μm</v>
      </c>
      <c r="AN77" s="430"/>
      <c r="AO77" s="431"/>
      <c r="AP77" s="363" t="e">
        <f>Calcu!S56</f>
        <v>#DIV/0!</v>
      </c>
      <c r="AQ77" s="363"/>
      <c r="AR77" s="363"/>
      <c r="AS77" s="363"/>
      <c r="AT77" s="243"/>
    </row>
    <row r="78" spans="1:46" ht="18.75" customHeight="1">
      <c r="A78" s="243"/>
      <c r="B78" s="363" t="s">
        <v>514</v>
      </c>
      <c r="C78" s="363"/>
      <c r="D78" s="432" t="s">
        <v>515</v>
      </c>
      <c r="E78" s="433"/>
      <c r="F78" s="433"/>
      <c r="G78" s="434"/>
      <c r="H78" s="435" t="str">
        <f>Calcu!E57</f>
        <v/>
      </c>
      <c r="I78" s="436"/>
      <c r="J78" s="436"/>
      <c r="K78" s="436"/>
      <c r="L78" s="436"/>
      <c r="M78" s="437" t="str">
        <f>Calcu!F57</f>
        <v>/℃</v>
      </c>
      <c r="N78" s="438"/>
      <c r="O78" s="439">
        <f>Calcu!J57</f>
        <v>5.7735026918962578E-7</v>
      </c>
      <c r="P78" s="440"/>
      <c r="Q78" s="440"/>
      <c r="R78" s="440"/>
      <c r="S78" s="430" t="str">
        <f>Calcu!K57</f>
        <v>/℃</v>
      </c>
      <c r="T78" s="437"/>
      <c r="U78" s="438"/>
      <c r="V78" s="363" t="str">
        <f>Calcu!L57</f>
        <v>직사각형</v>
      </c>
      <c r="W78" s="363"/>
      <c r="X78" s="363"/>
      <c r="Y78" s="363"/>
      <c r="Z78" s="363"/>
      <c r="AA78" s="441" t="e">
        <f>Calcu!O57</f>
        <v>#VALUE!</v>
      </c>
      <c r="AB78" s="437"/>
      <c r="AC78" s="437"/>
      <c r="AD78" s="437"/>
      <c r="AE78" s="442" t="str">
        <f>Calcu!P57</f>
        <v>℃·μm</v>
      </c>
      <c r="AF78" s="442"/>
      <c r="AG78" s="443"/>
      <c r="AH78" s="444" t="e">
        <f>Calcu!Q57</f>
        <v>#VALUE!</v>
      </c>
      <c r="AI78" s="445"/>
      <c r="AJ78" s="445"/>
      <c r="AK78" s="445"/>
      <c r="AL78" s="445"/>
      <c r="AM78" s="430" t="str">
        <f>Calcu!R57</f>
        <v>μm</v>
      </c>
      <c r="AN78" s="430"/>
      <c r="AO78" s="431"/>
      <c r="AP78" s="363">
        <f>Calcu!S57</f>
        <v>50</v>
      </c>
      <c r="AQ78" s="363"/>
      <c r="AR78" s="363"/>
      <c r="AS78" s="363"/>
      <c r="AT78" s="243"/>
    </row>
    <row r="79" spans="1:46" ht="18.75" customHeight="1">
      <c r="A79" s="243"/>
      <c r="B79" s="363" t="s">
        <v>516</v>
      </c>
      <c r="C79" s="363"/>
      <c r="D79" s="432" t="s">
        <v>517</v>
      </c>
      <c r="E79" s="433"/>
      <c r="F79" s="433"/>
      <c r="G79" s="434"/>
      <c r="H79" s="435" t="str">
        <f>Calcu!E58</f>
        <v/>
      </c>
      <c r="I79" s="436"/>
      <c r="J79" s="436"/>
      <c r="K79" s="436"/>
      <c r="L79" s="436"/>
      <c r="M79" s="437" t="str">
        <f>Calcu!F58</f>
        <v>℃</v>
      </c>
      <c r="N79" s="438"/>
      <c r="O79" s="444">
        <f>Calcu!J58</f>
        <v>0.28867513459481292</v>
      </c>
      <c r="P79" s="445"/>
      <c r="Q79" s="445"/>
      <c r="R79" s="445"/>
      <c r="S79" s="430" t="str">
        <f>Calcu!K58</f>
        <v>℃</v>
      </c>
      <c r="T79" s="437"/>
      <c r="U79" s="438"/>
      <c r="V79" s="363" t="str">
        <f>Calcu!L58</f>
        <v>직사각형</v>
      </c>
      <c r="W79" s="363"/>
      <c r="X79" s="363"/>
      <c r="Y79" s="363"/>
      <c r="Z79" s="363"/>
      <c r="AA79" s="441" t="e">
        <f>Calcu!O58</f>
        <v>#VALUE!</v>
      </c>
      <c r="AB79" s="437"/>
      <c r="AC79" s="437"/>
      <c r="AD79" s="437"/>
      <c r="AE79" s="442" t="str">
        <f>Calcu!P58</f>
        <v>/℃·μm</v>
      </c>
      <c r="AF79" s="442"/>
      <c r="AG79" s="443"/>
      <c r="AH79" s="444" t="e">
        <f>Calcu!Q58</f>
        <v>#VALUE!</v>
      </c>
      <c r="AI79" s="445"/>
      <c r="AJ79" s="445"/>
      <c r="AK79" s="445"/>
      <c r="AL79" s="445"/>
      <c r="AM79" s="430" t="str">
        <f>Calcu!R58</f>
        <v>μm</v>
      </c>
      <c r="AN79" s="430"/>
      <c r="AO79" s="431"/>
      <c r="AP79" s="363" t="str">
        <f>Calcu!S58</f>
        <v>∞</v>
      </c>
      <c r="AQ79" s="363"/>
      <c r="AR79" s="363"/>
      <c r="AS79" s="363"/>
      <c r="AT79" s="243"/>
    </row>
    <row r="80" spans="1:46" ht="18.75" customHeight="1">
      <c r="A80" s="243"/>
      <c r="B80" s="363" t="s">
        <v>518</v>
      </c>
      <c r="C80" s="363"/>
      <c r="D80" s="432" t="s">
        <v>325</v>
      </c>
      <c r="E80" s="433"/>
      <c r="F80" s="433"/>
      <c r="G80" s="434"/>
      <c r="H80" s="435">
        <f>Calcu!E59</f>
        <v>0</v>
      </c>
      <c r="I80" s="436"/>
      <c r="J80" s="436"/>
      <c r="K80" s="436"/>
      <c r="L80" s="436"/>
      <c r="M80" s="437" t="str">
        <f>Calcu!F59</f>
        <v>mm</v>
      </c>
      <c r="N80" s="438"/>
      <c r="O80" s="444">
        <f>Calcu!J59</f>
        <v>0</v>
      </c>
      <c r="P80" s="445"/>
      <c r="Q80" s="445"/>
      <c r="R80" s="445"/>
      <c r="S80" s="430" t="str">
        <f>Calcu!K59</f>
        <v>μm</v>
      </c>
      <c r="T80" s="437"/>
      <c r="U80" s="438"/>
      <c r="V80" s="363" t="str">
        <f>Calcu!L59</f>
        <v>직사각형</v>
      </c>
      <c r="W80" s="363"/>
      <c r="X80" s="363"/>
      <c r="Y80" s="363"/>
      <c r="Z80" s="363"/>
      <c r="AA80" s="419">
        <f>Calcu!O59</f>
        <v>1</v>
      </c>
      <c r="AB80" s="420"/>
      <c r="AC80" s="420"/>
      <c r="AD80" s="420"/>
      <c r="AE80" s="420"/>
      <c r="AF80" s="420"/>
      <c r="AG80" s="421"/>
      <c r="AH80" s="444">
        <f>Calcu!Q59</f>
        <v>0</v>
      </c>
      <c r="AI80" s="445"/>
      <c r="AJ80" s="445"/>
      <c r="AK80" s="445"/>
      <c r="AL80" s="445"/>
      <c r="AM80" s="430" t="str">
        <f>Calcu!R59</f>
        <v>μm</v>
      </c>
      <c r="AN80" s="430"/>
      <c r="AO80" s="431"/>
      <c r="AP80" s="363" t="str">
        <f>Calcu!S59</f>
        <v>∞</v>
      </c>
      <c r="AQ80" s="363"/>
      <c r="AR80" s="363"/>
      <c r="AS80" s="363"/>
      <c r="AT80" s="243"/>
    </row>
    <row r="81" spans="1:52" ht="18.75" customHeight="1">
      <c r="A81" s="243"/>
      <c r="B81" s="363" t="s">
        <v>519</v>
      </c>
      <c r="C81" s="363"/>
      <c r="D81" s="432" t="s">
        <v>520</v>
      </c>
      <c r="E81" s="433"/>
      <c r="F81" s="433"/>
      <c r="G81" s="434"/>
      <c r="H81" s="435" t="str">
        <f>Calcu!E60</f>
        <v/>
      </c>
      <c r="I81" s="436"/>
      <c r="J81" s="436"/>
      <c r="K81" s="436"/>
      <c r="L81" s="436"/>
      <c r="M81" s="437" t="str">
        <f>Calcu!F60</f>
        <v>mm</v>
      </c>
      <c r="N81" s="438"/>
      <c r="O81" s="419"/>
      <c r="P81" s="420"/>
      <c r="Q81" s="420"/>
      <c r="R81" s="420"/>
      <c r="S81" s="420"/>
      <c r="T81" s="420"/>
      <c r="U81" s="421"/>
      <c r="V81" s="363"/>
      <c r="W81" s="363"/>
      <c r="X81" s="363"/>
      <c r="Y81" s="363"/>
      <c r="Z81" s="363"/>
      <c r="AA81" s="419"/>
      <c r="AB81" s="420"/>
      <c r="AC81" s="420"/>
      <c r="AD81" s="420"/>
      <c r="AE81" s="420"/>
      <c r="AF81" s="420"/>
      <c r="AG81" s="421"/>
      <c r="AH81" s="444" t="e">
        <f>Calcu!Q60</f>
        <v>#VALUE!</v>
      </c>
      <c r="AI81" s="445"/>
      <c r="AJ81" s="445"/>
      <c r="AK81" s="445"/>
      <c r="AL81" s="445"/>
      <c r="AM81" s="430" t="str">
        <f>Calcu!R60</f>
        <v>μm</v>
      </c>
      <c r="AN81" s="430"/>
      <c r="AO81" s="431"/>
      <c r="AP81" s="363" t="e">
        <f>Calcu!S60</f>
        <v>#VALUE!</v>
      </c>
      <c r="AQ81" s="363"/>
      <c r="AR81" s="363"/>
      <c r="AS81" s="363"/>
      <c r="AT81" s="243"/>
    </row>
    <row r="82" spans="1:52" ht="18.75" customHeight="1">
      <c r="A82" s="243"/>
      <c r="B82" s="243"/>
      <c r="C82" s="243"/>
      <c r="D82" s="243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3"/>
      <c r="AL82" s="243"/>
      <c r="AM82" s="243"/>
      <c r="AN82" s="243"/>
      <c r="AO82" s="243"/>
      <c r="AP82" s="243"/>
      <c r="AQ82" s="243"/>
      <c r="AR82" s="243"/>
      <c r="AS82" s="243"/>
      <c r="AT82" s="243"/>
    </row>
    <row r="83" spans="1:52" ht="18.75" customHeight="1">
      <c r="A83" s="57" t="s">
        <v>521</v>
      </c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43"/>
      <c r="AT83" s="243"/>
    </row>
    <row r="84" spans="1:52" ht="18.75" customHeight="1">
      <c r="A84" s="243"/>
      <c r="B84" s="60" t="str">
        <f>"1. "&amp;$T$5&amp;" 지시값의 표준불확도,"</f>
        <v>1. 표준 측장기 지시값의 표준불확도,</v>
      </c>
      <c r="C84" s="243"/>
      <c r="D84" s="243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P84" s="243"/>
      <c r="Q84" s="158" t="s">
        <v>522</v>
      </c>
      <c r="R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3"/>
      <c r="AO84" s="243"/>
      <c r="AP84" s="243"/>
      <c r="AQ84" s="243"/>
      <c r="AR84" s="243"/>
      <c r="AS84" s="243"/>
      <c r="AT84" s="243"/>
    </row>
    <row r="85" spans="1:52" ht="18.75" customHeight="1">
      <c r="A85" s="243"/>
      <c r="C85" s="243" t="s">
        <v>523</v>
      </c>
      <c r="D85" s="243"/>
      <c r="E85" s="243"/>
      <c r="F85" s="243"/>
      <c r="G85" s="243"/>
      <c r="H85" s="243"/>
      <c r="I85" s="243"/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3"/>
      <c r="AO85" s="243"/>
      <c r="AP85" s="243"/>
      <c r="AQ85" s="243"/>
      <c r="AR85" s="243"/>
      <c r="AS85" s="243"/>
      <c r="AT85" s="243"/>
    </row>
    <row r="86" spans="1:52" ht="18.75" customHeight="1">
      <c r="A86" s="243"/>
      <c r="C86" s="60"/>
      <c r="D86" s="243" t="s">
        <v>524</v>
      </c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243"/>
    </row>
    <row r="87" spans="1:52" ht="18.75" customHeight="1">
      <c r="B87" s="243"/>
      <c r="C87" s="243" t="s">
        <v>525</v>
      </c>
      <c r="D87" s="243"/>
      <c r="E87" s="243"/>
      <c r="F87" s="243"/>
      <c r="G87" s="243"/>
      <c r="H87" s="243"/>
      <c r="I87" s="397" t="str">
        <f>H73</f>
        <v/>
      </c>
      <c r="J87" s="397"/>
      <c r="K87" s="397"/>
      <c r="L87" s="397"/>
      <c r="M87" s="397"/>
      <c r="N87" s="397" t="str">
        <f>M73</f>
        <v>mm</v>
      </c>
      <c r="O87" s="397"/>
      <c r="P87" s="237"/>
      <c r="Q87" s="243"/>
      <c r="R87" s="243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</row>
    <row r="88" spans="1:52" ht="18.75" customHeight="1">
      <c r="B88" s="243"/>
      <c r="C88" s="243" t="s">
        <v>118</v>
      </c>
      <c r="D88" s="243"/>
      <c r="E88" s="243"/>
      <c r="F88" s="243"/>
      <c r="G88" s="243"/>
      <c r="H88" s="243"/>
      <c r="I88" s="243"/>
      <c r="J88" s="61" t="s">
        <v>119</v>
      </c>
      <c r="K88" s="243"/>
      <c r="L88" s="243"/>
      <c r="M88" s="243"/>
      <c r="N88" s="243"/>
      <c r="O88" s="243"/>
      <c r="P88" s="243"/>
      <c r="Q88" s="397">
        <f>Calcu!G52</f>
        <v>0</v>
      </c>
      <c r="R88" s="397"/>
      <c r="S88" s="397"/>
      <c r="T88" s="446" t="s">
        <v>120</v>
      </c>
      <c r="U88" s="446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  <c r="AN88" s="243"/>
      <c r="AO88" s="243"/>
      <c r="AP88" s="243"/>
      <c r="AQ88" s="243"/>
      <c r="AR88" s="243"/>
      <c r="AS88" s="243"/>
      <c r="AT88" s="243"/>
      <c r="AU88" s="243"/>
    </row>
    <row r="89" spans="1:52" ht="18.75" customHeight="1">
      <c r="B89" s="243"/>
      <c r="C89" s="243"/>
      <c r="D89" s="243"/>
      <c r="E89" s="243"/>
      <c r="F89" s="243"/>
      <c r="G89" s="243"/>
      <c r="H89" s="243"/>
      <c r="I89" s="243"/>
      <c r="J89" s="243"/>
      <c r="K89" s="390" t="s">
        <v>526</v>
      </c>
      <c r="L89" s="390"/>
      <c r="M89" s="390"/>
      <c r="N89" s="390" t="s">
        <v>527</v>
      </c>
      <c r="O89" s="424" t="s">
        <v>528</v>
      </c>
      <c r="P89" s="424"/>
      <c r="Q89" s="390" t="s">
        <v>527</v>
      </c>
      <c r="R89" s="389">
        <f>Q88</f>
        <v>0</v>
      </c>
      <c r="S89" s="389"/>
      <c r="T89" s="389"/>
      <c r="U89" s="447" t="str">
        <f>T88</f>
        <v>μm</v>
      </c>
      <c r="V89" s="447"/>
      <c r="W89" s="390" t="s">
        <v>529</v>
      </c>
      <c r="X89" s="392">
        <f>R89/SQRT(5)</f>
        <v>0</v>
      </c>
      <c r="Y89" s="392"/>
      <c r="Z89" s="392"/>
      <c r="AA89" s="396" t="str">
        <f>T88</f>
        <v>μm</v>
      </c>
      <c r="AB89" s="396"/>
      <c r="AC89" s="240"/>
      <c r="AD89" s="240"/>
      <c r="AE89" s="240"/>
      <c r="AF89" s="243"/>
      <c r="AG89" s="243"/>
      <c r="AH89" s="243"/>
      <c r="AI89" s="243"/>
      <c r="AJ89" s="243"/>
      <c r="AK89" s="243"/>
      <c r="AL89" s="243"/>
      <c r="AM89" s="243"/>
      <c r="AN89" s="243"/>
      <c r="AO89" s="243"/>
      <c r="AP89" s="243"/>
      <c r="AQ89" s="243"/>
      <c r="AR89" s="243"/>
      <c r="AS89" s="243"/>
      <c r="AT89" s="243"/>
      <c r="AU89" s="243"/>
      <c r="AV89" s="243"/>
      <c r="AW89" s="243"/>
    </row>
    <row r="90" spans="1:52" ht="18.75" customHeight="1">
      <c r="B90" s="243"/>
      <c r="C90" s="243"/>
      <c r="D90" s="243"/>
      <c r="E90" s="243"/>
      <c r="F90" s="243"/>
      <c r="G90" s="243"/>
      <c r="H90" s="243"/>
      <c r="I90" s="243"/>
      <c r="J90" s="243"/>
      <c r="K90" s="390"/>
      <c r="L90" s="390"/>
      <c r="M90" s="390"/>
      <c r="N90" s="390"/>
      <c r="O90" s="448"/>
      <c r="P90" s="448"/>
      <c r="Q90" s="390"/>
      <c r="R90" s="412"/>
      <c r="S90" s="412"/>
      <c r="T90" s="412"/>
      <c r="U90" s="412"/>
      <c r="V90" s="412"/>
      <c r="W90" s="390"/>
      <c r="X90" s="392"/>
      <c r="Y90" s="392"/>
      <c r="Z90" s="392"/>
      <c r="AA90" s="396"/>
      <c r="AB90" s="396"/>
      <c r="AC90" s="240"/>
      <c r="AD90" s="240"/>
      <c r="AE90" s="240"/>
      <c r="AF90" s="243"/>
      <c r="AG90" s="243"/>
      <c r="AH90" s="243"/>
      <c r="AI90" s="243"/>
      <c r="AJ90" s="243"/>
      <c r="AK90" s="243"/>
      <c r="AL90" s="243"/>
      <c r="AM90" s="243"/>
      <c r="AN90" s="243"/>
      <c r="AO90" s="243"/>
      <c r="AP90" s="243"/>
      <c r="AQ90" s="243"/>
      <c r="AR90" s="243"/>
      <c r="AS90" s="243"/>
      <c r="AT90" s="243"/>
      <c r="AU90" s="243"/>
      <c r="AV90" s="243"/>
      <c r="AW90" s="243"/>
    </row>
    <row r="91" spans="1:52" ht="18.75" customHeight="1">
      <c r="B91" s="243"/>
      <c r="C91" s="243" t="s">
        <v>530</v>
      </c>
      <c r="D91" s="243"/>
      <c r="E91" s="243"/>
      <c r="F91" s="243"/>
      <c r="G91" s="243"/>
      <c r="H91" s="243"/>
      <c r="I91" s="393" t="str">
        <f>V73</f>
        <v>t</v>
      </c>
      <c r="J91" s="393"/>
      <c r="K91" s="393"/>
      <c r="L91" s="393"/>
      <c r="M91" s="393"/>
      <c r="N91" s="393"/>
      <c r="O91" s="393"/>
      <c r="P91" s="393"/>
      <c r="Q91" s="2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3"/>
      <c r="AL91" s="243"/>
      <c r="AM91" s="243"/>
      <c r="AN91" s="243"/>
      <c r="AO91" s="243"/>
      <c r="AP91" s="243"/>
      <c r="AQ91" s="243"/>
      <c r="AR91" s="243"/>
      <c r="AS91" s="243"/>
      <c r="AT91" s="243"/>
      <c r="AU91" s="243"/>
    </row>
    <row r="92" spans="1:52" ht="18.75" customHeight="1">
      <c r="B92" s="243"/>
      <c r="C92" s="394" t="s">
        <v>531</v>
      </c>
      <c r="D92" s="394"/>
      <c r="E92" s="394"/>
      <c r="F92" s="394"/>
      <c r="G92" s="394"/>
      <c r="H92" s="394"/>
      <c r="I92" s="238"/>
      <c r="J92" s="238"/>
      <c r="K92" s="243"/>
      <c r="L92" s="243"/>
      <c r="N92" s="393" t="e">
        <f>AA73</f>
        <v>#VALUE!</v>
      </c>
      <c r="O92" s="393"/>
      <c r="P92" s="393"/>
      <c r="Q92" s="393"/>
      <c r="R92" s="393"/>
      <c r="S92" s="238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3"/>
      <c r="AL92" s="243"/>
      <c r="AM92" s="243"/>
      <c r="AN92" s="243"/>
      <c r="AO92" s="243"/>
      <c r="AP92" s="243"/>
      <c r="AQ92" s="243"/>
      <c r="AR92" s="243"/>
      <c r="AS92" s="243"/>
      <c r="AT92" s="243"/>
      <c r="AU92" s="243"/>
    </row>
    <row r="93" spans="1:52" ht="18.75" customHeight="1">
      <c r="B93" s="243"/>
      <c r="C93" s="394"/>
      <c r="D93" s="394"/>
      <c r="E93" s="394"/>
      <c r="F93" s="394"/>
      <c r="G93" s="394"/>
      <c r="H93" s="394"/>
      <c r="I93" s="233"/>
      <c r="J93" s="233"/>
      <c r="K93" s="243"/>
      <c r="L93" s="243"/>
      <c r="N93" s="393"/>
      <c r="O93" s="393"/>
      <c r="P93" s="393"/>
      <c r="Q93" s="393"/>
      <c r="R93" s="393"/>
      <c r="S93" s="238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3"/>
      <c r="AL93" s="243"/>
      <c r="AM93" s="243"/>
      <c r="AN93" s="243"/>
      <c r="AO93" s="243"/>
      <c r="AP93" s="243"/>
      <c r="AQ93" s="243"/>
      <c r="AR93" s="243"/>
      <c r="AS93" s="243"/>
      <c r="AT93" s="243"/>
      <c r="AU93" s="243"/>
    </row>
    <row r="94" spans="1:52" ht="18.75" customHeight="1">
      <c r="B94" s="243"/>
      <c r="C94" s="243" t="s">
        <v>532</v>
      </c>
      <c r="D94" s="243"/>
      <c r="E94" s="243"/>
      <c r="F94" s="243"/>
      <c r="G94" s="243"/>
      <c r="H94" s="243"/>
      <c r="I94" s="243"/>
      <c r="J94" s="243"/>
      <c r="K94" s="239" t="s">
        <v>533</v>
      </c>
      <c r="L94" s="395" t="e">
        <f>N92</f>
        <v>#VALUE!</v>
      </c>
      <c r="M94" s="395"/>
      <c r="N94" s="395"/>
      <c r="O94" s="395"/>
      <c r="P94" s="395"/>
      <c r="Q94" s="229" t="s">
        <v>534</v>
      </c>
      <c r="R94" s="392">
        <f>X89</f>
        <v>0</v>
      </c>
      <c r="S94" s="392"/>
      <c r="T94" s="392"/>
      <c r="U94" s="396" t="str">
        <f>AA89</f>
        <v>μm</v>
      </c>
      <c r="V94" s="397"/>
      <c r="W94" s="239" t="s">
        <v>535</v>
      </c>
      <c r="X94" s="71" t="s">
        <v>536</v>
      </c>
      <c r="Y94" s="392" t="e">
        <f>ABS(L94*R94)</f>
        <v>#VALUE!</v>
      </c>
      <c r="Z94" s="392"/>
      <c r="AA94" s="392"/>
      <c r="AB94" s="396" t="str">
        <f>U94</f>
        <v>μm</v>
      </c>
      <c r="AC94" s="397"/>
      <c r="AD94" s="237"/>
      <c r="AE94" s="243"/>
      <c r="AF94" s="239"/>
      <c r="AG94" s="243"/>
      <c r="AH94" s="243"/>
      <c r="AI94" s="243"/>
      <c r="AJ94" s="243"/>
      <c r="AT94" s="243"/>
      <c r="AU94" s="243"/>
      <c r="AV94" s="243"/>
      <c r="AW94" s="243"/>
      <c r="AX94" s="243"/>
      <c r="AY94" s="243"/>
      <c r="AZ94" s="243"/>
    </row>
    <row r="95" spans="1:52" ht="18.75" customHeight="1">
      <c r="B95" s="243"/>
      <c r="C95" s="243" t="s">
        <v>538</v>
      </c>
      <c r="D95" s="243"/>
      <c r="E95" s="243"/>
      <c r="F95" s="243"/>
      <c r="G95" s="243"/>
      <c r="H95" s="243"/>
      <c r="I95" s="104" t="s">
        <v>539</v>
      </c>
      <c r="J95" s="104"/>
      <c r="K95" s="104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243"/>
      <c r="AB95" s="243"/>
      <c r="AC95" s="243"/>
      <c r="AD95" s="243"/>
      <c r="AE95" s="243"/>
      <c r="AF95" s="243"/>
    </row>
    <row r="96" spans="1:52" ht="18.75" customHeight="1">
      <c r="B96" s="243"/>
      <c r="C96" s="243"/>
      <c r="D96" s="243"/>
      <c r="E96" s="243"/>
      <c r="F96" s="243"/>
      <c r="G96" s="243"/>
      <c r="H96" s="243"/>
      <c r="I96" s="104"/>
      <c r="J96" s="95"/>
      <c r="K96" s="104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243"/>
      <c r="AB96" s="243"/>
      <c r="AC96" s="243"/>
      <c r="AD96" s="243"/>
      <c r="AE96" s="243"/>
      <c r="AF96" s="243"/>
    </row>
    <row r="97" spans="1:73" s="131" customFormat="1" ht="18.75" customHeight="1">
      <c r="A97" s="229"/>
      <c r="B97" s="57" t="str">
        <f>"2. "&amp;$T$5&amp;" 스케일의 열팽창계수에 의한 표준불확도,"</f>
        <v>2. 표준 측장기 스케일의 열팽창계수에 의한 표준불확도,</v>
      </c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29"/>
      <c r="AM97" s="229"/>
      <c r="AN97" s="229"/>
      <c r="AO97" s="229"/>
      <c r="AP97" s="229"/>
      <c r="AQ97" s="229"/>
      <c r="AR97" s="229"/>
      <c r="AS97" s="229"/>
      <c r="AT97" s="229"/>
      <c r="AU97" s="229"/>
      <c r="AV97" s="229"/>
      <c r="AW97" s="229"/>
      <c r="AX97" s="229"/>
      <c r="AY97" s="238"/>
      <c r="AZ97" s="238"/>
      <c r="BA97" s="238"/>
      <c r="BB97" s="238"/>
      <c r="BC97" s="238"/>
      <c r="BD97" s="238"/>
      <c r="BE97" s="238"/>
      <c r="BF97" s="238"/>
      <c r="BG97" s="58"/>
      <c r="BH97" s="58"/>
      <c r="BI97" s="58"/>
      <c r="BJ97" s="58"/>
      <c r="BK97" s="58"/>
      <c r="BL97" s="58"/>
      <c r="BM97" s="58"/>
    </row>
    <row r="98" spans="1:73" s="131" customFormat="1" ht="18.75" customHeight="1">
      <c r="B98" s="229"/>
      <c r="C98" s="233" t="s">
        <v>540</v>
      </c>
      <c r="D98" s="229"/>
      <c r="E98" s="229"/>
      <c r="F98" s="229"/>
      <c r="G98" s="229"/>
      <c r="H98" s="400" t="e">
        <f>H74*10^6</f>
        <v>#VALUE!</v>
      </c>
      <c r="I98" s="400"/>
      <c r="J98" s="400"/>
      <c r="K98" s="237" t="s">
        <v>541</v>
      </c>
      <c r="L98" s="229"/>
      <c r="M98" s="229"/>
      <c r="N98" s="237"/>
      <c r="O98" s="237"/>
      <c r="P98" s="237"/>
      <c r="Q98" s="238"/>
      <c r="R98" s="238"/>
      <c r="S98" s="238"/>
      <c r="T98" s="238"/>
      <c r="U98" s="238"/>
      <c r="V98" s="238"/>
      <c r="W98" s="238"/>
      <c r="X98" s="238"/>
      <c r="Y98" s="238"/>
      <c r="Z98" s="238"/>
      <c r="AA98" s="238"/>
      <c r="AB98" s="238"/>
      <c r="AC98" s="238"/>
      <c r="AD98" s="238"/>
      <c r="AE98" s="238"/>
      <c r="AF98" s="59"/>
      <c r="AG98" s="238"/>
      <c r="AH98" s="238"/>
      <c r="AI98" s="238"/>
      <c r="AJ98" s="238"/>
      <c r="AK98" s="238"/>
      <c r="AL98" s="238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29"/>
      <c r="AX98" s="229"/>
      <c r="AY98" s="229"/>
      <c r="AZ98" s="238"/>
      <c r="BA98" s="238"/>
      <c r="BB98" s="238"/>
      <c r="BC98" s="238"/>
      <c r="BD98" s="238"/>
      <c r="BE98" s="238"/>
      <c r="BF98" s="238"/>
      <c r="BG98" s="238"/>
      <c r="BH98" s="58"/>
      <c r="BI98" s="58"/>
      <c r="BJ98" s="58"/>
      <c r="BK98" s="58"/>
      <c r="BL98" s="58"/>
      <c r="BM98" s="58"/>
    </row>
    <row r="99" spans="1:73" s="131" customFormat="1" ht="18.75" customHeight="1">
      <c r="B99" s="229"/>
      <c r="C99" s="394" t="s">
        <v>542</v>
      </c>
      <c r="D99" s="394"/>
      <c r="E99" s="394"/>
      <c r="F99" s="394"/>
      <c r="G99" s="394"/>
      <c r="H99" s="394"/>
      <c r="I99" s="394"/>
      <c r="J99" s="394" t="s">
        <v>543</v>
      </c>
      <c r="K99" s="394"/>
      <c r="L99" s="394"/>
      <c r="M99" s="394"/>
      <c r="N99" s="394"/>
      <c r="O99" s="394"/>
      <c r="P99" s="394"/>
      <c r="Q99" s="394"/>
      <c r="R99" s="394"/>
      <c r="S99" s="394"/>
      <c r="T99" s="394"/>
      <c r="U99" s="394"/>
      <c r="V99" s="394"/>
      <c r="W99" s="394"/>
      <c r="X99" s="401" t="s">
        <v>544</v>
      </c>
      <c r="Y99" s="401"/>
      <c r="Z99" s="401"/>
      <c r="AA99" s="401"/>
      <c r="AB99" s="401"/>
      <c r="AC99" s="391" t="s">
        <v>536</v>
      </c>
      <c r="AD99" s="393" t="s">
        <v>545</v>
      </c>
      <c r="AE99" s="393"/>
      <c r="AF99" s="393"/>
      <c r="AG99" s="393"/>
      <c r="AH99" s="393"/>
      <c r="AI99" s="393"/>
      <c r="AM99" s="229"/>
      <c r="AN99" s="238"/>
      <c r="AO99" s="238"/>
      <c r="AP99" s="238"/>
      <c r="AQ99" s="238"/>
      <c r="AR99" s="238"/>
      <c r="AS99" s="238"/>
      <c r="AT99" s="238"/>
      <c r="AU99" s="238"/>
      <c r="AV99" s="238"/>
      <c r="AW99" s="238"/>
      <c r="AX99" s="238"/>
      <c r="AY99" s="238"/>
      <c r="BL99" s="58"/>
      <c r="BM99" s="58"/>
      <c r="BN99" s="58"/>
    </row>
    <row r="100" spans="1:73" s="131" customFormat="1" ht="18.75" customHeight="1">
      <c r="B100" s="229"/>
      <c r="C100" s="394"/>
      <c r="D100" s="394"/>
      <c r="E100" s="394"/>
      <c r="F100" s="394"/>
      <c r="G100" s="394"/>
      <c r="H100" s="394"/>
      <c r="I100" s="394"/>
      <c r="J100" s="394"/>
      <c r="K100" s="394"/>
      <c r="L100" s="394"/>
      <c r="M100" s="394"/>
      <c r="N100" s="394"/>
      <c r="O100" s="394"/>
      <c r="P100" s="394"/>
      <c r="Q100" s="394"/>
      <c r="R100" s="394"/>
      <c r="S100" s="394"/>
      <c r="T100" s="394"/>
      <c r="U100" s="394"/>
      <c r="V100" s="394"/>
      <c r="W100" s="394"/>
      <c r="X100" s="238"/>
      <c r="Y100" s="229"/>
      <c r="Z100" s="229"/>
      <c r="AA100" s="229"/>
      <c r="AB100" s="229"/>
      <c r="AC100" s="391"/>
      <c r="AD100" s="393"/>
      <c r="AE100" s="393"/>
      <c r="AF100" s="393"/>
      <c r="AG100" s="393"/>
      <c r="AH100" s="393"/>
      <c r="AI100" s="393"/>
      <c r="AM100" s="229"/>
      <c r="AN100" s="238"/>
      <c r="AO100" s="238"/>
      <c r="AP100" s="238"/>
      <c r="AQ100" s="238"/>
      <c r="AR100" s="238"/>
      <c r="AS100" s="229"/>
      <c r="AT100" s="238"/>
      <c r="AU100" s="238"/>
      <c r="AV100" s="238"/>
      <c r="AW100" s="238"/>
      <c r="AX100" s="238"/>
      <c r="AY100" s="238"/>
      <c r="BL100" s="58"/>
      <c r="BM100" s="58"/>
      <c r="BN100" s="58"/>
    </row>
    <row r="101" spans="1:73" s="131" customFormat="1" ht="18.75" customHeight="1">
      <c r="B101" s="229"/>
      <c r="C101" s="238" t="s">
        <v>546</v>
      </c>
      <c r="D101" s="238"/>
      <c r="E101" s="238"/>
      <c r="F101" s="238"/>
      <c r="G101" s="238"/>
      <c r="H101" s="238"/>
      <c r="I101" s="393" t="str">
        <f>V74</f>
        <v>직사각형</v>
      </c>
      <c r="J101" s="393"/>
      <c r="K101" s="393"/>
      <c r="L101" s="393"/>
      <c r="M101" s="393"/>
      <c r="N101" s="393"/>
      <c r="O101" s="393"/>
      <c r="P101" s="393"/>
      <c r="Q101" s="238"/>
      <c r="R101" s="238"/>
      <c r="S101" s="238"/>
      <c r="T101" s="238"/>
      <c r="U101" s="238"/>
      <c r="V101" s="238"/>
      <c r="W101" s="238"/>
      <c r="X101" s="238"/>
      <c r="Y101" s="238"/>
      <c r="Z101" s="229"/>
      <c r="AA101" s="229"/>
      <c r="AB101" s="229"/>
      <c r="AC101" s="229"/>
      <c r="AD101" s="229"/>
      <c r="AE101" s="229"/>
      <c r="AF101" s="229"/>
      <c r="AG101" s="229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38"/>
      <c r="AS101" s="238"/>
      <c r="AT101" s="238"/>
      <c r="AU101" s="238"/>
      <c r="AV101" s="238"/>
      <c r="AW101" s="238"/>
      <c r="AX101" s="238"/>
      <c r="AY101" s="238"/>
      <c r="AZ101" s="238"/>
      <c r="BA101" s="238"/>
      <c r="BB101" s="238"/>
      <c r="BC101" s="238"/>
      <c r="BD101" s="238"/>
      <c r="BE101" s="238"/>
      <c r="BF101" s="238"/>
      <c r="BG101" s="238"/>
      <c r="BH101" s="58"/>
      <c r="BI101" s="58"/>
      <c r="BJ101" s="58"/>
      <c r="BK101" s="58"/>
      <c r="BL101" s="58"/>
      <c r="BM101" s="58"/>
      <c r="BN101" s="58"/>
    </row>
    <row r="102" spans="1:73" s="131" customFormat="1" ht="18.75" customHeight="1">
      <c r="B102" s="229"/>
      <c r="C102" s="394" t="s">
        <v>547</v>
      </c>
      <c r="D102" s="394"/>
      <c r="E102" s="394"/>
      <c r="F102" s="394"/>
      <c r="G102" s="394"/>
      <c r="H102" s="394"/>
      <c r="I102" s="238" t="s">
        <v>548</v>
      </c>
      <c r="J102" s="238"/>
      <c r="K102" s="238"/>
      <c r="L102" s="238"/>
      <c r="M102" s="238"/>
      <c r="N102" s="238"/>
      <c r="O102" s="238"/>
      <c r="AA102" s="406" t="e">
        <f>AA74</f>
        <v>#VALUE!</v>
      </c>
      <c r="AB102" s="406"/>
      <c r="AC102" s="406"/>
      <c r="AD102" s="406"/>
      <c r="AE102" s="406" t="str">
        <f>AE74</f>
        <v>℃·μm</v>
      </c>
      <c r="AF102" s="406"/>
      <c r="AG102" s="406"/>
      <c r="AM102" s="238"/>
      <c r="AN102" s="238"/>
      <c r="AO102" s="238"/>
      <c r="AP102" s="238"/>
      <c r="AQ102" s="238"/>
      <c r="AR102" s="229"/>
      <c r="AS102" s="229"/>
      <c r="AT102" s="229"/>
      <c r="AU102" s="229"/>
      <c r="AV102" s="229"/>
      <c r="AW102" s="229"/>
      <c r="AX102" s="229"/>
      <c r="AY102" s="229"/>
      <c r="AZ102" s="229"/>
      <c r="BA102" s="241"/>
      <c r="BB102" s="241"/>
      <c r="BC102" s="238"/>
      <c r="BD102" s="238"/>
      <c r="BE102" s="206"/>
      <c r="BF102" s="206"/>
      <c r="BG102" s="206"/>
      <c r="BH102" s="238"/>
      <c r="BI102" s="238"/>
      <c r="BJ102" s="238"/>
      <c r="BK102" s="237"/>
      <c r="BL102" s="237"/>
      <c r="BM102" s="237"/>
      <c r="BN102" s="237"/>
      <c r="BO102" s="238"/>
      <c r="BP102" s="238"/>
      <c r="BQ102" s="238"/>
      <c r="BR102" s="238"/>
      <c r="BS102" s="238"/>
      <c r="BT102" s="238"/>
      <c r="BU102" s="238"/>
    </row>
    <row r="103" spans="1:73" s="131" customFormat="1" ht="18.75" customHeight="1">
      <c r="B103" s="229"/>
      <c r="C103" s="394"/>
      <c r="D103" s="394"/>
      <c r="E103" s="394"/>
      <c r="F103" s="394"/>
      <c r="G103" s="394"/>
      <c r="H103" s="394"/>
      <c r="I103" s="238"/>
      <c r="J103" s="238"/>
      <c r="K103" s="238"/>
      <c r="L103" s="238"/>
      <c r="M103" s="238"/>
      <c r="N103" s="238"/>
      <c r="O103" s="238"/>
      <c r="AA103" s="406"/>
      <c r="AB103" s="406"/>
      <c r="AC103" s="406"/>
      <c r="AD103" s="406"/>
      <c r="AE103" s="406"/>
      <c r="AF103" s="406"/>
      <c r="AG103" s="406"/>
      <c r="AM103" s="238"/>
      <c r="AN103" s="238"/>
      <c r="AO103" s="238"/>
      <c r="AP103" s="238"/>
      <c r="AQ103" s="238"/>
      <c r="AR103" s="229"/>
      <c r="AS103" s="229"/>
      <c r="AT103" s="229"/>
      <c r="AU103" s="229"/>
      <c r="AV103" s="229"/>
      <c r="AW103" s="229"/>
      <c r="AX103" s="229"/>
      <c r="AY103" s="229"/>
      <c r="AZ103" s="229"/>
      <c r="BA103" s="241"/>
      <c r="BB103" s="241"/>
      <c r="BC103" s="238"/>
      <c r="BD103" s="238"/>
      <c r="BE103" s="206"/>
      <c r="BF103" s="206"/>
      <c r="BG103" s="206"/>
      <c r="BH103" s="238"/>
      <c r="BI103" s="238"/>
      <c r="BJ103" s="238"/>
      <c r="BK103" s="237"/>
      <c r="BL103" s="237"/>
      <c r="BM103" s="237"/>
      <c r="BN103" s="237"/>
      <c r="BO103" s="238"/>
      <c r="BP103" s="238"/>
      <c r="BQ103" s="238"/>
      <c r="BR103" s="238"/>
      <c r="BS103" s="238"/>
      <c r="BT103" s="238"/>
      <c r="BU103" s="238"/>
    </row>
    <row r="104" spans="1:73" s="131" customFormat="1" ht="18.75" customHeight="1">
      <c r="B104" s="229"/>
      <c r="C104" s="238" t="s">
        <v>549</v>
      </c>
      <c r="D104" s="238"/>
      <c r="E104" s="238"/>
      <c r="F104" s="238"/>
      <c r="G104" s="238"/>
      <c r="H104" s="238"/>
      <c r="I104" s="238"/>
      <c r="J104" s="229"/>
      <c r="K104" s="243" t="s">
        <v>137</v>
      </c>
      <c r="L104" s="398" t="e">
        <f>AA102</f>
        <v>#VALUE!</v>
      </c>
      <c r="M104" s="399"/>
      <c r="N104" s="399"/>
      <c r="O104" s="399"/>
      <c r="P104" s="132" t="s">
        <v>550</v>
      </c>
      <c r="Q104" s="229"/>
      <c r="R104" s="229"/>
      <c r="S104" s="229"/>
      <c r="T104" s="229"/>
      <c r="U104" s="229"/>
      <c r="V104" s="229"/>
      <c r="W104" s="229"/>
      <c r="X104" s="229"/>
      <c r="Y104" s="243" t="s">
        <v>137</v>
      </c>
      <c r="Z104" s="229" t="s">
        <v>121</v>
      </c>
      <c r="AA104" s="392" t="e">
        <f>ABS(L104*O74)</f>
        <v>#VALUE!</v>
      </c>
      <c r="AB104" s="392"/>
      <c r="AC104" s="392"/>
      <c r="AD104" s="233" t="s">
        <v>120</v>
      </c>
      <c r="AE104" s="233"/>
      <c r="AF104" s="229"/>
      <c r="AG104" s="229"/>
      <c r="AH104" s="229"/>
      <c r="AI104" s="229"/>
      <c r="AJ104" s="229"/>
      <c r="AK104" s="229"/>
      <c r="AL104" s="229"/>
      <c r="AM104" s="229"/>
      <c r="AN104" s="229"/>
      <c r="AO104" s="229"/>
      <c r="AP104" s="229"/>
      <c r="AQ104" s="229"/>
      <c r="AR104" s="229"/>
      <c r="AS104" s="229"/>
      <c r="AT104" s="229"/>
      <c r="AU104" s="133"/>
      <c r="AV104" s="132"/>
      <c r="AW104" s="238"/>
      <c r="AX104" s="229"/>
      <c r="AY104" s="229"/>
      <c r="AZ104" s="229"/>
      <c r="BA104" s="229"/>
      <c r="BB104" s="229"/>
      <c r="BC104" s="229"/>
      <c r="BD104" s="229"/>
      <c r="BE104" s="229"/>
      <c r="BF104" s="229"/>
      <c r="BG104" s="229"/>
      <c r="BH104" s="58"/>
      <c r="BI104" s="58"/>
      <c r="BP104" s="233"/>
      <c r="BQ104" s="231"/>
    </row>
    <row r="105" spans="1:73" s="131" customFormat="1" ht="18.75" customHeight="1">
      <c r="B105" s="229"/>
      <c r="C105" s="394" t="s">
        <v>129</v>
      </c>
      <c r="D105" s="394"/>
      <c r="E105" s="394"/>
      <c r="F105" s="394"/>
      <c r="G105" s="394"/>
      <c r="H105" s="238"/>
      <c r="J105" s="238"/>
      <c r="K105" s="238"/>
      <c r="L105" s="238"/>
      <c r="M105" s="238"/>
      <c r="N105" s="238"/>
      <c r="O105" s="238"/>
      <c r="P105" s="238"/>
      <c r="Q105" s="238"/>
      <c r="R105" s="132"/>
      <c r="S105" s="238"/>
      <c r="T105" s="238"/>
      <c r="U105" s="238"/>
      <c r="W105" s="238"/>
      <c r="X105" s="243" t="s">
        <v>138</v>
      </c>
      <c r="Y105" s="238"/>
      <c r="Z105" s="238"/>
      <c r="AB105" s="238"/>
      <c r="AC105" s="238"/>
      <c r="AD105" s="238"/>
      <c r="AE105" s="229"/>
      <c r="AF105" s="229"/>
      <c r="AH105" s="229"/>
      <c r="AI105" s="229"/>
      <c r="AJ105" s="229"/>
      <c r="AK105" s="229"/>
      <c r="AL105" s="229"/>
      <c r="AM105" s="229"/>
      <c r="AN105" s="229"/>
      <c r="AO105" s="229"/>
      <c r="AP105" s="229"/>
      <c r="AQ105" s="229"/>
      <c r="AR105" s="229"/>
      <c r="AS105" s="229"/>
      <c r="AT105" s="229"/>
      <c r="AU105" s="229"/>
      <c r="AV105" s="229"/>
      <c r="AW105" s="229"/>
      <c r="AX105" s="229"/>
      <c r="AY105" s="229"/>
      <c r="AZ105" s="229"/>
      <c r="BA105" s="229"/>
      <c r="BB105" s="229"/>
      <c r="BC105" s="229"/>
      <c r="BD105" s="229"/>
      <c r="BE105" s="229"/>
      <c r="BF105" s="229"/>
      <c r="BG105" s="229"/>
      <c r="BH105" s="58"/>
      <c r="BI105" s="58"/>
      <c r="BJ105" s="58"/>
      <c r="BK105" s="58"/>
      <c r="BL105" s="58"/>
    </row>
    <row r="106" spans="1:73" s="131" customFormat="1" ht="18.75" customHeight="1">
      <c r="B106" s="229"/>
      <c r="C106" s="394"/>
      <c r="D106" s="394"/>
      <c r="E106" s="394"/>
      <c r="F106" s="394"/>
      <c r="G106" s="394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132"/>
      <c r="S106" s="238"/>
      <c r="T106" s="238"/>
      <c r="U106" s="238"/>
      <c r="V106" s="238"/>
      <c r="W106" s="238"/>
      <c r="X106" s="238"/>
      <c r="Y106" s="238"/>
      <c r="Z106" s="238"/>
      <c r="AA106" s="238"/>
      <c r="AB106" s="238"/>
      <c r="AC106" s="238"/>
      <c r="AD106" s="238"/>
      <c r="AE106" s="229"/>
      <c r="AF106" s="229"/>
      <c r="AG106" s="229"/>
      <c r="AH106" s="229"/>
      <c r="AI106" s="229"/>
      <c r="AJ106" s="229"/>
      <c r="AK106" s="229"/>
      <c r="AL106" s="229"/>
      <c r="AM106" s="229"/>
      <c r="AN106" s="229"/>
      <c r="AO106" s="229"/>
      <c r="AP106" s="229"/>
      <c r="AQ106" s="229"/>
      <c r="AR106" s="229"/>
      <c r="AS106" s="229"/>
      <c r="AT106" s="229"/>
      <c r="AU106" s="229"/>
      <c r="AV106" s="229"/>
      <c r="AW106" s="229"/>
      <c r="AX106" s="229"/>
      <c r="AY106" s="229"/>
      <c r="AZ106" s="229"/>
      <c r="BA106" s="229"/>
      <c r="BB106" s="229"/>
      <c r="BC106" s="229"/>
      <c r="BD106" s="229"/>
      <c r="BE106" s="229"/>
      <c r="BF106" s="229"/>
      <c r="BG106" s="229"/>
      <c r="BH106" s="58"/>
      <c r="BI106" s="58"/>
      <c r="BJ106" s="58"/>
      <c r="BK106" s="58"/>
      <c r="BL106" s="58"/>
    </row>
    <row r="107" spans="1:73" s="131" customFormat="1" ht="18.75" customHeight="1">
      <c r="B107" s="229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132"/>
      <c r="S107" s="238"/>
      <c r="T107" s="238"/>
      <c r="U107" s="238"/>
      <c r="V107" s="238"/>
      <c r="W107" s="238"/>
      <c r="X107" s="238"/>
      <c r="Y107" s="238"/>
      <c r="Z107" s="238"/>
      <c r="AA107" s="238"/>
      <c r="AB107" s="238"/>
      <c r="AC107" s="238"/>
      <c r="AD107" s="238"/>
      <c r="AE107" s="229"/>
      <c r="AF107" s="229"/>
      <c r="AG107" s="229"/>
      <c r="AH107" s="229"/>
      <c r="AI107" s="229"/>
      <c r="AJ107" s="229"/>
      <c r="AK107" s="229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29"/>
      <c r="AX107" s="229"/>
      <c r="AY107" s="229"/>
      <c r="AZ107" s="229"/>
      <c r="BA107" s="229"/>
      <c r="BB107" s="229"/>
      <c r="BC107" s="229"/>
      <c r="BD107" s="229"/>
      <c r="BE107" s="229"/>
      <c r="BF107" s="229"/>
      <c r="BG107" s="229"/>
      <c r="BH107" s="238"/>
      <c r="BI107" s="238"/>
      <c r="BJ107" s="238"/>
      <c r="BK107" s="238"/>
    </row>
    <row r="108" spans="1:73" s="131" customFormat="1" ht="18.75" customHeight="1">
      <c r="B108" s="57" t="str">
        <f>"3. "&amp;$T$5&amp;" 스케일의 온도에 의한 표준불확도,"</f>
        <v>3. 표준 측장기 스케일의 온도에 의한 표준불확도,</v>
      </c>
      <c r="D108" s="238"/>
      <c r="E108" s="238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57" t="s">
        <v>551</v>
      </c>
      <c r="T108" s="238"/>
      <c r="U108" s="238"/>
      <c r="V108" s="238"/>
      <c r="W108" s="238"/>
      <c r="X108" s="238"/>
      <c r="AA108" s="238"/>
      <c r="AC108" s="238"/>
      <c r="AD108" s="238"/>
      <c r="AE108" s="238"/>
      <c r="AF108" s="238"/>
      <c r="AG108" s="238"/>
      <c r="AH108" s="229"/>
      <c r="AI108" s="229"/>
      <c r="AJ108" s="229"/>
      <c r="AK108" s="229"/>
      <c r="AL108" s="229"/>
      <c r="AM108" s="229"/>
      <c r="AN108" s="229"/>
      <c r="AO108" s="238"/>
      <c r="AP108" s="238"/>
      <c r="AQ108" s="238"/>
      <c r="AR108" s="238"/>
      <c r="AS108" s="238"/>
      <c r="AT108" s="238"/>
      <c r="AU108" s="238"/>
      <c r="AV108" s="238"/>
      <c r="AW108" s="238"/>
      <c r="AX108" s="238"/>
      <c r="AY108" s="238"/>
      <c r="AZ108" s="238"/>
      <c r="BA108" s="238"/>
      <c r="BB108" s="238"/>
      <c r="BC108" s="238"/>
      <c r="BD108" s="238"/>
      <c r="BE108" s="238"/>
      <c r="BF108" s="238"/>
      <c r="BG108" s="238"/>
      <c r="BH108" s="58"/>
      <c r="BI108" s="58"/>
      <c r="BJ108" s="58"/>
      <c r="BK108" s="58"/>
      <c r="BL108" s="58"/>
      <c r="BM108" s="58"/>
      <c r="BN108" s="58"/>
    </row>
    <row r="109" spans="1:73" s="131" customFormat="1" ht="18.75" customHeight="1">
      <c r="B109" s="57"/>
      <c r="C109" s="238" t="str">
        <f>"※ 열평형 상태에서 "&amp;$T$5&amp;" 스케일의 온도가 최소 ±"&amp;N112&amp;" ℃ 이내에서 변화한다고 추정하여 직사각형 확률분포를"</f>
        <v>※ 열평형 상태에서 표준 측장기 스케일의 온도가 최소 ±0.5 ℃ 이내에서 변화한다고 추정하여 직사각형 확률분포를</v>
      </c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238"/>
      <c r="AI109" s="238"/>
      <c r="AJ109" s="238"/>
      <c r="AK109" s="238"/>
      <c r="AL109" s="238"/>
      <c r="AM109" s="229"/>
      <c r="AN109" s="229"/>
      <c r="AO109" s="238"/>
      <c r="AP109" s="238"/>
      <c r="AQ109" s="238"/>
      <c r="AR109" s="238"/>
      <c r="AS109" s="238"/>
      <c r="AT109" s="238"/>
      <c r="AU109" s="238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  <c r="BF109" s="238"/>
      <c r="BG109" s="238"/>
      <c r="BH109" s="58"/>
      <c r="BI109" s="58"/>
      <c r="BJ109" s="58"/>
      <c r="BK109" s="58"/>
      <c r="BL109" s="58"/>
      <c r="BM109" s="58"/>
      <c r="BN109" s="58"/>
    </row>
    <row r="110" spans="1:73" s="131" customFormat="1" ht="18.75" customHeight="1">
      <c r="B110" s="57"/>
      <c r="C110" s="238"/>
      <c r="D110" s="238" t="s">
        <v>552</v>
      </c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38"/>
      <c r="AI110" s="238"/>
      <c r="AJ110" s="238"/>
      <c r="AK110" s="238"/>
      <c r="AL110" s="238"/>
      <c r="AM110" s="229"/>
      <c r="AN110" s="229"/>
      <c r="AO110" s="238"/>
      <c r="AP110" s="238"/>
      <c r="AQ110" s="238"/>
      <c r="AR110" s="238"/>
      <c r="AS110" s="238"/>
      <c r="AT110" s="238"/>
      <c r="AU110" s="238"/>
      <c r="AV110" s="238"/>
      <c r="AW110" s="238"/>
      <c r="AX110" s="238"/>
      <c r="AY110" s="238"/>
      <c r="AZ110" s="238"/>
      <c r="BA110" s="238"/>
      <c r="BB110" s="238"/>
      <c r="BC110" s="238"/>
      <c r="BD110" s="238"/>
      <c r="BE110" s="238"/>
      <c r="BF110" s="238"/>
      <c r="BG110" s="238"/>
      <c r="BH110" s="58"/>
      <c r="BI110" s="58"/>
      <c r="BJ110" s="58"/>
      <c r="BK110" s="58"/>
      <c r="BL110" s="58"/>
      <c r="BM110" s="58"/>
      <c r="BN110" s="58"/>
    </row>
    <row r="111" spans="1:73" s="131" customFormat="1" ht="18.75" customHeight="1">
      <c r="B111" s="229"/>
      <c r="C111" s="233" t="s">
        <v>130</v>
      </c>
      <c r="D111" s="229"/>
      <c r="E111" s="229"/>
      <c r="F111" s="229"/>
      <c r="G111" s="229"/>
      <c r="H111" s="397" t="str">
        <f>H75</f>
        <v/>
      </c>
      <c r="I111" s="397"/>
      <c r="J111" s="397"/>
      <c r="K111" s="397"/>
      <c r="L111" s="397"/>
      <c r="M111" s="397" t="str">
        <f>M75</f>
        <v>℃</v>
      </c>
      <c r="N111" s="397"/>
      <c r="O111" s="237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38"/>
      <c r="AA111" s="238"/>
      <c r="AB111" s="238"/>
      <c r="AC111" s="238"/>
      <c r="AD111" s="238"/>
      <c r="AE111" s="238"/>
      <c r="AF111" s="238"/>
      <c r="AG111" s="238"/>
      <c r="AH111" s="229"/>
      <c r="AI111" s="229"/>
      <c r="AJ111" s="229"/>
      <c r="AK111" s="229"/>
      <c r="AL111" s="229"/>
      <c r="AM111" s="229"/>
      <c r="AN111" s="229"/>
      <c r="AO111" s="238"/>
      <c r="AP111" s="238"/>
      <c r="AQ111" s="238"/>
      <c r="AR111" s="238"/>
      <c r="AS111" s="238"/>
      <c r="AT111" s="238"/>
      <c r="AU111" s="238"/>
      <c r="AV111" s="238"/>
      <c r="AW111" s="238"/>
      <c r="AX111" s="238"/>
      <c r="AY111" s="238"/>
      <c r="AZ111" s="238"/>
      <c r="BA111" s="238"/>
      <c r="BB111" s="238"/>
      <c r="BC111" s="238"/>
      <c r="BD111" s="238"/>
      <c r="BE111" s="238"/>
      <c r="BF111" s="238"/>
      <c r="BG111" s="238"/>
      <c r="BH111" s="58"/>
      <c r="BI111" s="58"/>
      <c r="BJ111" s="58"/>
      <c r="BK111" s="58"/>
      <c r="BL111" s="58"/>
      <c r="BM111" s="58"/>
    </row>
    <row r="112" spans="1:73" s="131" customFormat="1" ht="18.75" customHeight="1">
      <c r="B112" s="229"/>
      <c r="C112" s="394" t="s">
        <v>131</v>
      </c>
      <c r="D112" s="394"/>
      <c r="E112" s="394"/>
      <c r="F112" s="394"/>
      <c r="G112" s="394"/>
      <c r="H112" s="394"/>
      <c r="I112" s="394"/>
      <c r="J112" s="402" t="s">
        <v>553</v>
      </c>
      <c r="K112" s="402"/>
      <c r="L112" s="402"/>
      <c r="M112" s="391" t="s">
        <v>121</v>
      </c>
      <c r="N112" s="389">
        <f>Calcu!G54</f>
        <v>0.5</v>
      </c>
      <c r="O112" s="389"/>
      <c r="P112" s="236" t="s">
        <v>554</v>
      </c>
      <c r="Q112" s="207"/>
      <c r="R112" s="391" t="s">
        <v>527</v>
      </c>
      <c r="S112" s="392">
        <f>N112/SQRT(3)</f>
        <v>0.28867513459481292</v>
      </c>
      <c r="T112" s="392"/>
      <c r="U112" s="392"/>
      <c r="V112" s="397" t="s">
        <v>274</v>
      </c>
      <c r="W112" s="397"/>
      <c r="X112" s="237"/>
      <c r="Y112" s="238"/>
      <c r="AX112" s="238"/>
      <c r="AY112" s="238"/>
      <c r="AZ112" s="238"/>
      <c r="BA112" s="238"/>
      <c r="BB112" s="238"/>
      <c r="BC112" s="238"/>
      <c r="BD112" s="238"/>
      <c r="BE112" s="238"/>
      <c r="BF112" s="238"/>
      <c r="BG112" s="238"/>
      <c r="BH112" s="238"/>
      <c r="BI112" s="238"/>
      <c r="BJ112" s="58"/>
      <c r="BK112" s="58"/>
      <c r="BL112" s="58"/>
      <c r="BM112" s="58"/>
      <c r="BN112" s="58"/>
      <c r="BO112" s="58"/>
      <c r="BP112" s="58"/>
    </row>
    <row r="113" spans="1:68" s="131" customFormat="1" ht="18.75" customHeight="1">
      <c r="B113" s="229"/>
      <c r="C113" s="394"/>
      <c r="D113" s="394"/>
      <c r="E113" s="394"/>
      <c r="F113" s="394"/>
      <c r="G113" s="394"/>
      <c r="H113" s="394"/>
      <c r="I113" s="394"/>
      <c r="J113" s="402"/>
      <c r="K113" s="402"/>
      <c r="L113" s="402"/>
      <c r="M113" s="391"/>
      <c r="N113" s="229"/>
      <c r="O113" s="229"/>
      <c r="P113" s="229"/>
      <c r="Q113" s="229"/>
      <c r="R113" s="391"/>
      <c r="S113" s="392"/>
      <c r="T113" s="392"/>
      <c r="U113" s="392"/>
      <c r="V113" s="397"/>
      <c r="W113" s="397"/>
      <c r="X113" s="237"/>
      <c r="Y113" s="238"/>
      <c r="AX113" s="238"/>
      <c r="AY113" s="238"/>
      <c r="AZ113" s="238"/>
      <c r="BA113" s="238"/>
      <c r="BB113" s="238"/>
      <c r="BC113" s="238"/>
      <c r="BD113" s="238"/>
      <c r="BE113" s="238"/>
      <c r="BF113" s="238"/>
      <c r="BG113" s="238"/>
      <c r="BH113" s="238"/>
      <c r="BI113" s="238"/>
      <c r="BJ113" s="58"/>
      <c r="BK113" s="58"/>
      <c r="BL113" s="58"/>
      <c r="BM113" s="58"/>
      <c r="BN113" s="58"/>
      <c r="BO113" s="58"/>
      <c r="BP113" s="58"/>
    </row>
    <row r="114" spans="1:68" s="131" customFormat="1" ht="18.75" customHeight="1">
      <c r="B114" s="229"/>
      <c r="C114" s="238" t="s">
        <v>134</v>
      </c>
      <c r="D114" s="238"/>
      <c r="E114" s="238"/>
      <c r="F114" s="238"/>
      <c r="G114" s="238"/>
      <c r="H114" s="238"/>
      <c r="I114" s="393" t="str">
        <f>V75</f>
        <v>직사각형</v>
      </c>
      <c r="J114" s="393"/>
      <c r="K114" s="393"/>
      <c r="L114" s="393"/>
      <c r="M114" s="393"/>
      <c r="N114" s="393"/>
      <c r="O114" s="393"/>
      <c r="P114" s="393"/>
      <c r="Q114" s="238"/>
      <c r="R114" s="238"/>
      <c r="S114" s="238"/>
      <c r="T114" s="238"/>
      <c r="U114" s="238"/>
      <c r="V114" s="238"/>
      <c r="W114" s="238"/>
      <c r="X114" s="238"/>
      <c r="Y114" s="238"/>
      <c r="Z114" s="229"/>
      <c r="AA114" s="229"/>
      <c r="AB114" s="229"/>
      <c r="AC114" s="229"/>
      <c r="AD114" s="229"/>
      <c r="AE114" s="229"/>
      <c r="AF114" s="229"/>
      <c r="AG114" s="229"/>
      <c r="AH114" s="229"/>
      <c r="AI114" s="229"/>
      <c r="AJ114" s="229"/>
      <c r="AK114" s="229"/>
      <c r="AL114" s="229"/>
      <c r="AM114" s="229"/>
      <c r="AN114" s="229"/>
      <c r="AO114" s="229"/>
      <c r="AP114" s="238"/>
      <c r="AQ114" s="238"/>
      <c r="AR114" s="238"/>
      <c r="AS114" s="238"/>
      <c r="AT114" s="238"/>
      <c r="AU114" s="238"/>
      <c r="AV114" s="238"/>
      <c r="AW114" s="238"/>
      <c r="AX114" s="238"/>
      <c r="AY114" s="238"/>
      <c r="AZ114" s="238"/>
      <c r="BA114" s="238"/>
      <c r="BB114" s="238"/>
      <c r="BC114" s="238"/>
      <c r="BD114" s="238"/>
      <c r="BE114" s="238"/>
      <c r="BF114" s="238"/>
      <c r="BG114" s="238"/>
      <c r="BH114" s="58"/>
      <c r="BI114" s="58"/>
      <c r="BJ114" s="58"/>
      <c r="BK114" s="58"/>
      <c r="BL114" s="58"/>
    </row>
    <row r="115" spans="1:68" s="131" customFormat="1" ht="18.75" customHeight="1">
      <c r="B115" s="229"/>
      <c r="C115" s="394" t="s">
        <v>135</v>
      </c>
      <c r="D115" s="394"/>
      <c r="E115" s="394"/>
      <c r="F115" s="394"/>
      <c r="G115" s="394"/>
      <c r="H115" s="394"/>
      <c r="I115" s="238"/>
      <c r="J115" s="238"/>
      <c r="K115" s="238"/>
      <c r="L115" s="238"/>
      <c r="M115" s="238"/>
      <c r="N115" s="238"/>
      <c r="O115" s="229"/>
      <c r="R115" s="238"/>
      <c r="S115" s="238"/>
      <c r="T115" s="238"/>
      <c r="U115" s="238"/>
      <c r="V115" s="238"/>
      <c r="W115" s="238"/>
      <c r="X115" s="405" t="e">
        <f>AA75</f>
        <v>#VALUE!</v>
      </c>
      <c r="Y115" s="405"/>
      <c r="Z115" s="405"/>
      <c r="AA115" s="405"/>
      <c r="AB115" s="406" t="str">
        <f>AE75</f>
        <v>/℃·μm</v>
      </c>
      <c r="AC115" s="406"/>
      <c r="AD115" s="406"/>
      <c r="AE115" s="238"/>
      <c r="AF115" s="242"/>
      <c r="AG115" s="242"/>
      <c r="AH115" s="242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  <c r="AS115" s="238"/>
      <c r="AT115" s="238"/>
      <c r="AU115" s="238"/>
      <c r="AV115" s="238"/>
      <c r="AW115" s="238"/>
      <c r="AX115" s="238"/>
      <c r="AY115" s="238"/>
      <c r="AZ115" s="238"/>
      <c r="BA115" s="238"/>
      <c r="BB115" s="238"/>
      <c r="BC115" s="229"/>
      <c r="BD115" s="229"/>
      <c r="BE115" s="229"/>
      <c r="BF115" s="229"/>
      <c r="BG115" s="229"/>
      <c r="BH115" s="229"/>
    </row>
    <row r="116" spans="1:68" s="131" customFormat="1" ht="18.75" customHeight="1">
      <c r="B116" s="229"/>
      <c r="C116" s="394"/>
      <c r="D116" s="394"/>
      <c r="E116" s="394"/>
      <c r="F116" s="394"/>
      <c r="G116" s="394"/>
      <c r="H116" s="394"/>
      <c r="I116" s="238"/>
      <c r="J116" s="238"/>
      <c r="K116" s="238"/>
      <c r="L116" s="238"/>
      <c r="M116" s="238"/>
      <c r="N116" s="238"/>
      <c r="O116" s="229"/>
      <c r="R116" s="238"/>
      <c r="S116" s="238"/>
      <c r="T116" s="238"/>
      <c r="U116" s="238"/>
      <c r="V116" s="238"/>
      <c r="W116" s="238"/>
      <c r="X116" s="405"/>
      <c r="Y116" s="405"/>
      <c r="Z116" s="405"/>
      <c r="AA116" s="405"/>
      <c r="AB116" s="406"/>
      <c r="AC116" s="406"/>
      <c r="AD116" s="406"/>
      <c r="AE116" s="238"/>
      <c r="AF116" s="242"/>
      <c r="AG116" s="242"/>
      <c r="AH116" s="242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  <c r="AS116" s="238"/>
      <c r="AT116" s="238"/>
      <c r="AU116" s="238"/>
      <c r="AV116" s="238"/>
      <c r="AW116" s="238"/>
      <c r="AX116" s="238"/>
      <c r="AY116" s="238"/>
      <c r="AZ116" s="238"/>
      <c r="BA116" s="238"/>
      <c r="BB116" s="238"/>
      <c r="BC116" s="229"/>
      <c r="BD116" s="229"/>
      <c r="BE116" s="229"/>
      <c r="BF116" s="229"/>
      <c r="BG116" s="229"/>
      <c r="BH116" s="229"/>
    </row>
    <row r="117" spans="1:68" s="131" customFormat="1" ht="18.75" customHeight="1">
      <c r="B117" s="229"/>
      <c r="C117" s="238" t="s">
        <v>555</v>
      </c>
      <c r="D117" s="238"/>
      <c r="E117" s="238"/>
      <c r="F117" s="238"/>
      <c r="G117" s="238"/>
      <c r="H117" s="238"/>
      <c r="I117" s="238"/>
      <c r="J117" s="229"/>
      <c r="K117" s="243" t="s">
        <v>137</v>
      </c>
      <c r="L117" s="407" t="e">
        <f>X115</f>
        <v>#VALUE!</v>
      </c>
      <c r="M117" s="407"/>
      <c r="N117" s="407"/>
      <c r="O117" s="407"/>
      <c r="P117" s="132" t="s">
        <v>141</v>
      </c>
      <c r="Q117" s="229"/>
      <c r="R117" s="229"/>
      <c r="S117" s="229" t="s">
        <v>74</v>
      </c>
      <c r="T117" s="408">
        <f>S112</f>
        <v>0.28867513459481292</v>
      </c>
      <c r="U117" s="408"/>
      <c r="V117" s="408"/>
      <c r="W117" s="408"/>
      <c r="X117" s="243" t="s">
        <v>137</v>
      </c>
      <c r="Y117" s="229" t="s">
        <v>121</v>
      </c>
      <c r="Z117" s="392" t="e">
        <f>ABS(L117*T117)</f>
        <v>#VALUE!</v>
      </c>
      <c r="AA117" s="392"/>
      <c r="AB117" s="392"/>
      <c r="AC117" s="233" t="s">
        <v>556</v>
      </c>
      <c r="AD117" s="233"/>
      <c r="AE117" s="229"/>
      <c r="AF117" s="229"/>
      <c r="AG117" s="241"/>
      <c r="AH117" s="229"/>
      <c r="AI117" s="229"/>
      <c r="AJ117" s="229"/>
      <c r="AK117" s="229"/>
      <c r="AL117" s="229"/>
      <c r="AM117" s="229"/>
      <c r="AN117" s="229"/>
      <c r="AO117" s="229"/>
      <c r="AP117" s="229"/>
      <c r="AQ117" s="208"/>
      <c r="AR117" s="208"/>
      <c r="AS117" s="208"/>
      <c r="AT117" s="238"/>
      <c r="AU117" s="238"/>
      <c r="AV117" s="238"/>
      <c r="AW117" s="209"/>
      <c r="AX117" s="209"/>
      <c r="AY117" s="209"/>
      <c r="AZ117" s="209"/>
      <c r="BA117" s="209"/>
      <c r="BB117" s="209"/>
      <c r="BC117" s="229"/>
      <c r="BD117" s="229"/>
      <c r="BE117" s="229"/>
      <c r="BF117" s="229"/>
      <c r="BG117" s="229"/>
      <c r="BH117" s="229"/>
    </row>
    <row r="118" spans="1:68" s="131" customFormat="1" ht="18.75" customHeight="1">
      <c r="B118" s="229"/>
      <c r="C118" s="394" t="s">
        <v>557</v>
      </c>
      <c r="D118" s="394"/>
      <c r="E118" s="394"/>
      <c r="F118" s="394"/>
      <c r="G118" s="394"/>
      <c r="H118" s="238"/>
      <c r="J118" s="238"/>
      <c r="K118" s="238"/>
      <c r="L118" s="238"/>
      <c r="M118" s="238"/>
      <c r="N118" s="238"/>
      <c r="O118" s="238"/>
      <c r="P118" s="238"/>
      <c r="Q118" s="238"/>
      <c r="R118" s="132"/>
      <c r="S118" s="238"/>
      <c r="T118" s="238"/>
      <c r="U118" s="238"/>
      <c r="W118" s="243" t="s">
        <v>558</v>
      </c>
      <c r="X118" s="238"/>
      <c r="Y118" s="238"/>
      <c r="Z118" s="238"/>
      <c r="AA118" s="238"/>
      <c r="AB118" s="238"/>
      <c r="AC118" s="238"/>
      <c r="AD118" s="238"/>
      <c r="AE118" s="229"/>
      <c r="AF118" s="229"/>
      <c r="AG118" s="229"/>
      <c r="AH118" s="229"/>
      <c r="AI118" s="229"/>
      <c r="AJ118" s="229"/>
      <c r="AK118" s="229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38"/>
      <c r="AV118" s="229"/>
      <c r="AW118" s="229"/>
      <c r="AX118" s="229"/>
      <c r="AY118" s="229"/>
      <c r="AZ118" s="229"/>
      <c r="BA118" s="229"/>
      <c r="BB118" s="229"/>
      <c r="BC118" s="229"/>
      <c r="BD118" s="229"/>
      <c r="BE118" s="229"/>
      <c r="BF118" s="229"/>
      <c r="BG118" s="229"/>
    </row>
    <row r="119" spans="1:68" s="131" customFormat="1" ht="18.75" customHeight="1">
      <c r="B119" s="229"/>
      <c r="C119" s="394"/>
      <c r="D119" s="394"/>
      <c r="E119" s="394"/>
      <c r="F119" s="394"/>
      <c r="G119" s="394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132"/>
      <c r="S119" s="238"/>
      <c r="T119" s="238"/>
      <c r="U119" s="238"/>
      <c r="V119" s="238"/>
      <c r="W119" s="238"/>
      <c r="X119" s="238"/>
      <c r="Y119" s="238"/>
      <c r="Z119" s="238"/>
      <c r="AA119" s="238"/>
      <c r="AB119" s="238"/>
      <c r="AC119" s="229"/>
      <c r="AD119" s="229"/>
      <c r="AE119" s="229"/>
      <c r="AF119" s="229"/>
      <c r="AG119" s="229"/>
      <c r="AH119" s="229"/>
      <c r="AI119" s="229"/>
      <c r="AJ119" s="229"/>
      <c r="AK119" s="229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29"/>
      <c r="AX119" s="229"/>
      <c r="AY119" s="229"/>
      <c r="AZ119" s="229"/>
      <c r="BA119" s="229"/>
      <c r="BB119" s="229"/>
      <c r="BC119" s="229"/>
      <c r="BD119" s="229"/>
      <c r="BE119" s="229"/>
      <c r="BF119" s="229"/>
      <c r="BG119" s="229"/>
    </row>
    <row r="120" spans="1:68" s="131" customFormat="1" ht="18.75" customHeight="1">
      <c r="B120" s="229"/>
      <c r="C120" s="238"/>
      <c r="D120" s="238"/>
      <c r="E120" s="238"/>
      <c r="F120" s="238"/>
      <c r="G120" s="229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  <c r="AA120" s="229"/>
      <c r="AB120" s="229"/>
      <c r="AC120" s="229"/>
      <c r="AD120" s="229"/>
      <c r="AE120" s="229"/>
      <c r="AF120" s="229"/>
      <c r="AG120" s="229"/>
      <c r="AH120" s="229"/>
      <c r="AI120" s="229"/>
      <c r="AJ120" s="229"/>
      <c r="AK120" s="229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29"/>
      <c r="AX120" s="229"/>
      <c r="AY120" s="229"/>
      <c r="AZ120" s="229"/>
      <c r="BA120" s="229"/>
      <c r="BB120" s="229"/>
      <c r="BC120" s="229"/>
      <c r="BD120" s="229"/>
      <c r="BE120" s="229"/>
      <c r="BF120" s="229"/>
      <c r="BG120" s="229"/>
    </row>
    <row r="121" spans="1:68" ht="18.75" customHeight="1">
      <c r="A121" s="243"/>
      <c r="B121" s="60" t="str">
        <f>"4. "&amp;T5&amp;" 보정값의 표준불확도,"</f>
        <v>4. 표준 측장기 보정값의 표준불확도,</v>
      </c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O121" s="243"/>
      <c r="Q121" s="158" t="s">
        <v>559</v>
      </c>
      <c r="R121" s="243"/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3"/>
      <c r="AL121" s="243"/>
      <c r="AM121" s="243"/>
      <c r="AN121" s="243"/>
      <c r="AO121" s="243"/>
      <c r="AP121" s="243"/>
      <c r="AQ121" s="243"/>
      <c r="AR121" s="243"/>
      <c r="AS121" s="243"/>
      <c r="AT121" s="243"/>
    </row>
    <row r="122" spans="1:68" ht="18.75" customHeight="1">
      <c r="A122" s="243"/>
      <c r="B122" s="60"/>
      <c r="C122" s="243" t="str">
        <f>"※ 교정성적서에 주어진 "&amp;T5&amp;"의 측정불확도를 포함인자로 나누어 구한다."</f>
        <v>※ 교정성적서에 주어진 표준 측장기의 측정불확도를 포함인자로 나누어 구한다.</v>
      </c>
      <c r="D122" s="243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3"/>
      <c r="AL122" s="243"/>
      <c r="AM122" s="243"/>
      <c r="AN122" s="243"/>
      <c r="AO122" s="243"/>
      <c r="AP122" s="243"/>
      <c r="AQ122" s="243"/>
      <c r="AR122" s="243"/>
      <c r="AS122" s="243"/>
      <c r="AT122" s="243"/>
    </row>
    <row r="123" spans="1:68" ht="18.75" customHeight="1">
      <c r="A123" s="243"/>
      <c r="B123" s="243"/>
      <c r="C123" s="243" t="s">
        <v>139</v>
      </c>
      <c r="D123" s="243"/>
      <c r="E123" s="243"/>
      <c r="F123" s="243"/>
      <c r="G123" s="243"/>
      <c r="H123" s="243"/>
      <c r="I123" s="403" t="str">
        <f>H76</f>
        <v/>
      </c>
      <c r="J123" s="403"/>
      <c r="K123" s="403"/>
      <c r="L123" s="403"/>
      <c r="M123" s="403"/>
      <c r="N123" s="397" t="str">
        <f>M76</f>
        <v>mm</v>
      </c>
      <c r="O123" s="397"/>
      <c r="P123" s="237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3"/>
      <c r="AL123" s="243"/>
      <c r="AM123" s="243"/>
      <c r="AN123" s="243"/>
      <c r="AO123" s="243"/>
      <c r="AP123" s="243"/>
      <c r="AQ123" s="243"/>
      <c r="AR123" s="243"/>
      <c r="AS123" s="243"/>
      <c r="AT123" s="243"/>
    </row>
    <row r="124" spans="1:68" ht="18.75" customHeight="1">
      <c r="A124" s="243"/>
      <c r="B124" s="60"/>
      <c r="C124" s="404" t="s">
        <v>561</v>
      </c>
      <c r="D124" s="404"/>
      <c r="E124" s="404"/>
      <c r="F124" s="404"/>
      <c r="G124" s="404"/>
      <c r="H124" s="404"/>
      <c r="I124" s="404"/>
      <c r="J124" s="390" t="s">
        <v>562</v>
      </c>
      <c r="K124" s="390"/>
      <c r="L124" s="390"/>
      <c r="M124" s="390" t="s">
        <v>527</v>
      </c>
      <c r="N124" s="424" t="s">
        <v>125</v>
      </c>
      <c r="O124" s="424"/>
      <c r="P124" s="390" t="s">
        <v>121</v>
      </c>
      <c r="Q124" s="449">
        <f>Calcu!G55</f>
        <v>0</v>
      </c>
      <c r="R124" s="449"/>
      <c r="S124" s="449"/>
      <c r="T124" s="205"/>
      <c r="U124" s="450">
        <f>Calcu!H55</f>
        <v>0</v>
      </c>
      <c r="V124" s="450"/>
      <c r="W124" s="450"/>
      <c r="X124" s="450"/>
      <c r="Y124" s="205"/>
      <c r="Z124" s="205"/>
      <c r="AA124" s="449" t="s">
        <v>563</v>
      </c>
      <c r="AB124" s="449"/>
      <c r="AC124" s="391" t="s">
        <v>121</v>
      </c>
      <c r="AD124" s="449">
        <f>Q124</f>
        <v>0</v>
      </c>
      <c r="AE124" s="449"/>
      <c r="AF124" s="449"/>
      <c r="AG124" s="205"/>
      <c r="AH124" s="450">
        <f>U124</f>
        <v>0</v>
      </c>
      <c r="AI124" s="450"/>
      <c r="AJ124" s="450"/>
      <c r="AK124" s="450"/>
      <c r="AL124" s="450">
        <f>Calcu!K3</f>
        <v>0</v>
      </c>
      <c r="AM124" s="450"/>
      <c r="AN124" s="450"/>
      <c r="AO124" s="205" t="s">
        <v>126</v>
      </c>
      <c r="AP124" s="205"/>
      <c r="AQ124" s="205"/>
      <c r="AS124" s="449" t="str">
        <f>AA124</f>
        <v>μm</v>
      </c>
      <c r="AT124" s="449"/>
    </row>
    <row r="125" spans="1:68" ht="18.75" customHeight="1">
      <c r="A125" s="243"/>
      <c r="B125" s="60"/>
      <c r="C125" s="404"/>
      <c r="D125" s="404"/>
      <c r="E125" s="404"/>
      <c r="F125" s="404"/>
      <c r="G125" s="404"/>
      <c r="H125" s="404"/>
      <c r="I125" s="404"/>
      <c r="J125" s="390"/>
      <c r="K125" s="390"/>
      <c r="L125" s="390"/>
      <c r="M125" s="390"/>
      <c r="N125" s="448" t="s">
        <v>564</v>
      </c>
      <c r="O125" s="448"/>
      <c r="P125" s="390"/>
      <c r="Q125" s="412">
        <f>Calcu!I55</f>
        <v>0</v>
      </c>
      <c r="R125" s="412"/>
      <c r="S125" s="412"/>
      <c r="T125" s="412"/>
      <c r="U125" s="412"/>
      <c r="V125" s="412"/>
      <c r="W125" s="412"/>
      <c r="X125" s="412"/>
      <c r="Y125" s="412"/>
      <c r="Z125" s="412"/>
      <c r="AA125" s="412"/>
      <c r="AB125" s="412"/>
      <c r="AC125" s="391"/>
      <c r="AD125" s="412">
        <f>Q125</f>
        <v>0</v>
      </c>
      <c r="AE125" s="412"/>
      <c r="AF125" s="412"/>
      <c r="AG125" s="412"/>
      <c r="AH125" s="412"/>
      <c r="AI125" s="412"/>
      <c r="AJ125" s="412"/>
      <c r="AK125" s="412"/>
      <c r="AL125" s="412"/>
      <c r="AM125" s="412"/>
      <c r="AN125" s="412"/>
      <c r="AO125" s="412"/>
      <c r="AP125" s="412"/>
      <c r="AQ125" s="412"/>
      <c r="AR125" s="412"/>
      <c r="AS125" s="412"/>
      <c r="AT125" s="412"/>
    </row>
    <row r="126" spans="1:68" ht="18.75" customHeight="1">
      <c r="A126" s="243"/>
      <c r="B126" s="60"/>
      <c r="C126" s="152"/>
      <c r="D126" s="243"/>
      <c r="E126" s="243"/>
      <c r="F126" s="243"/>
      <c r="G126" s="243"/>
      <c r="H126" s="243"/>
      <c r="I126" s="243"/>
      <c r="J126" s="180"/>
      <c r="K126" s="180"/>
      <c r="L126" s="180"/>
      <c r="M126" s="235" t="s">
        <v>121</v>
      </c>
      <c r="N126" s="392" t="e">
        <f>SQRT(SUMSQ(AD124,AH124*AL124))/AD125</f>
        <v>#DIV/0!</v>
      </c>
      <c r="O126" s="392"/>
      <c r="P126" s="392"/>
      <c r="Q126" s="238" t="str">
        <f>AS124</f>
        <v>μm</v>
      </c>
      <c r="R126" s="229"/>
      <c r="S126" s="229"/>
      <c r="T126" s="229"/>
      <c r="U126" s="229"/>
      <c r="V126" s="229"/>
      <c r="W126" s="229"/>
      <c r="X126" s="229"/>
      <c r="Y126" s="229"/>
      <c r="Z126" s="229"/>
      <c r="AA126" s="229"/>
      <c r="AB126" s="229"/>
      <c r="AC126" s="229"/>
      <c r="AD126" s="229"/>
      <c r="AE126" s="229"/>
      <c r="AF126" s="229"/>
      <c r="AG126" s="229"/>
      <c r="AH126" s="229"/>
      <c r="AI126" s="229"/>
      <c r="AJ126" s="229"/>
      <c r="AK126" s="229"/>
      <c r="AL126" s="229"/>
      <c r="AM126" s="229"/>
      <c r="AN126" s="229"/>
      <c r="AO126" s="229"/>
      <c r="AP126" s="229"/>
      <c r="AQ126" s="229"/>
      <c r="AR126" s="229"/>
      <c r="AS126" s="243"/>
      <c r="AT126" s="243"/>
    </row>
    <row r="127" spans="1:68" ht="18.75" customHeight="1">
      <c r="A127" s="243"/>
      <c r="B127" s="243"/>
      <c r="C127" s="243" t="s">
        <v>565</v>
      </c>
      <c r="D127" s="243"/>
      <c r="E127" s="243"/>
      <c r="F127" s="243"/>
      <c r="G127" s="243"/>
      <c r="H127" s="243"/>
      <c r="I127" s="393" t="str">
        <f>V76</f>
        <v>정규</v>
      </c>
      <c r="J127" s="393"/>
      <c r="K127" s="393"/>
      <c r="L127" s="393"/>
      <c r="M127" s="393"/>
      <c r="N127" s="393"/>
      <c r="O127" s="393"/>
      <c r="P127" s="393"/>
      <c r="Q127" s="243"/>
      <c r="R127" s="243"/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3"/>
      <c r="AL127" s="243"/>
      <c r="AM127" s="243"/>
      <c r="AN127" s="243"/>
      <c r="AO127" s="243"/>
      <c r="AP127" s="243"/>
      <c r="AQ127" s="243"/>
      <c r="AR127" s="243"/>
      <c r="AS127" s="243"/>
      <c r="AT127" s="243"/>
    </row>
    <row r="128" spans="1:68" ht="18.75" customHeight="1">
      <c r="A128" s="243"/>
      <c r="B128" s="243"/>
      <c r="C128" s="394" t="s">
        <v>140</v>
      </c>
      <c r="D128" s="394"/>
      <c r="E128" s="394"/>
      <c r="F128" s="394"/>
      <c r="G128" s="394"/>
      <c r="H128" s="394"/>
      <c r="I128" s="238"/>
      <c r="J128" s="238"/>
      <c r="K128" s="243"/>
      <c r="L128" s="243"/>
      <c r="P128" s="243"/>
      <c r="S128" s="243"/>
      <c r="T128" s="243"/>
      <c r="U128" s="243"/>
      <c r="V128" s="393" t="e">
        <f>AA76</f>
        <v>#VALUE!</v>
      </c>
      <c r="W128" s="393"/>
      <c r="X128" s="393"/>
      <c r="Y128" s="393"/>
      <c r="Z128" s="393"/>
      <c r="AA128" s="243"/>
      <c r="AB128" s="243"/>
      <c r="AC128" s="243"/>
      <c r="AD128" s="243"/>
      <c r="AE128" s="243"/>
      <c r="AH128" s="226"/>
      <c r="AI128" s="243"/>
      <c r="AJ128" s="243"/>
      <c r="AK128" s="243"/>
      <c r="AL128" s="243"/>
      <c r="AM128" s="243"/>
      <c r="AN128" s="243"/>
      <c r="AO128" s="243"/>
      <c r="AP128" s="243"/>
      <c r="AQ128" s="243"/>
      <c r="AR128" s="243"/>
      <c r="AS128" s="243"/>
      <c r="AT128" s="243"/>
    </row>
    <row r="129" spans="1:65" ht="18.75" customHeight="1">
      <c r="A129" s="243"/>
      <c r="B129" s="243"/>
      <c r="C129" s="394"/>
      <c r="D129" s="394"/>
      <c r="E129" s="394"/>
      <c r="F129" s="394"/>
      <c r="G129" s="394"/>
      <c r="H129" s="394"/>
      <c r="I129" s="233"/>
      <c r="J129" s="233"/>
      <c r="K129" s="243"/>
      <c r="L129" s="243"/>
      <c r="P129" s="243"/>
      <c r="S129" s="243"/>
      <c r="T129" s="243"/>
      <c r="U129" s="243"/>
      <c r="V129" s="393"/>
      <c r="W129" s="393"/>
      <c r="X129" s="393"/>
      <c r="Y129" s="393"/>
      <c r="Z129" s="393"/>
      <c r="AA129" s="243"/>
      <c r="AB129" s="243"/>
      <c r="AC129" s="243"/>
      <c r="AD129" s="243"/>
      <c r="AE129" s="243"/>
      <c r="AH129" s="243"/>
      <c r="AI129" s="243"/>
      <c r="AJ129" s="243"/>
      <c r="AK129" s="243"/>
      <c r="AL129" s="243"/>
      <c r="AM129" s="243"/>
      <c r="AN129" s="243"/>
      <c r="AO129" s="243"/>
      <c r="AP129" s="243"/>
      <c r="AQ129" s="243"/>
      <c r="AR129" s="243"/>
      <c r="AS129" s="243"/>
      <c r="AT129" s="243"/>
    </row>
    <row r="130" spans="1:65" s="243" customFormat="1" ht="18.75" customHeight="1">
      <c r="C130" s="243" t="s">
        <v>566</v>
      </c>
      <c r="K130" s="239" t="s">
        <v>535</v>
      </c>
      <c r="L130" s="395" t="e">
        <f>V128</f>
        <v>#VALUE!</v>
      </c>
      <c r="M130" s="395"/>
      <c r="N130" s="395"/>
      <c r="O130" s="395"/>
      <c r="P130" s="395"/>
      <c r="Q130" s="229" t="s">
        <v>74</v>
      </c>
      <c r="R130" s="392" t="e">
        <f>N126</f>
        <v>#DIV/0!</v>
      </c>
      <c r="S130" s="392"/>
      <c r="T130" s="392"/>
      <c r="U130" s="396" t="str">
        <f>Q126</f>
        <v>μm</v>
      </c>
      <c r="V130" s="397"/>
      <c r="W130" s="239" t="s">
        <v>73</v>
      </c>
      <c r="X130" s="71" t="s">
        <v>536</v>
      </c>
      <c r="Y130" s="392" t="e">
        <f>R130</f>
        <v>#DIV/0!</v>
      </c>
      <c r="Z130" s="392"/>
      <c r="AA130" s="392"/>
      <c r="AB130" s="396" t="str">
        <f>U130</f>
        <v>μm</v>
      </c>
      <c r="AC130" s="397"/>
      <c r="AD130" s="237"/>
      <c r="AE130" s="238"/>
      <c r="AF130" s="238"/>
    </row>
    <row r="131" spans="1:65" ht="18.75" customHeight="1">
      <c r="A131" s="243"/>
      <c r="B131" s="243"/>
      <c r="C131" s="238" t="s">
        <v>567</v>
      </c>
      <c r="D131" s="238"/>
      <c r="E131" s="238"/>
      <c r="F131" s="238"/>
      <c r="G131" s="238"/>
      <c r="I131" s="104" t="s">
        <v>568</v>
      </c>
      <c r="J131" s="243"/>
      <c r="K131" s="243"/>
      <c r="L131" s="243"/>
      <c r="M131" s="243"/>
      <c r="N131" s="243"/>
      <c r="O131" s="243"/>
      <c r="P131" s="243"/>
      <c r="Q131" s="243"/>
      <c r="R131" s="243"/>
      <c r="U131" s="153"/>
      <c r="V131" s="153"/>
      <c r="W131" s="243"/>
      <c r="Y131" s="243"/>
      <c r="Z131" s="243"/>
      <c r="AA131" s="243"/>
      <c r="AB131" s="243"/>
      <c r="AC131" s="243"/>
      <c r="AD131" s="243"/>
      <c r="AG131" s="243"/>
      <c r="AH131" s="243"/>
      <c r="AI131" s="243"/>
      <c r="AJ131" s="243"/>
      <c r="AK131" s="243"/>
      <c r="AL131" s="243"/>
      <c r="AM131" s="243"/>
      <c r="AN131" s="243"/>
      <c r="AO131" s="243"/>
      <c r="AP131" s="243"/>
      <c r="AQ131" s="243"/>
      <c r="AR131" s="243"/>
      <c r="AS131" s="243"/>
      <c r="AT131" s="243"/>
    </row>
    <row r="132" spans="1:65" ht="18.75" customHeight="1">
      <c r="A132" s="243"/>
      <c r="B132" s="243"/>
      <c r="C132" s="238"/>
      <c r="D132" s="238"/>
      <c r="E132" s="238"/>
      <c r="F132" s="238"/>
      <c r="G132" s="238"/>
      <c r="H132" s="61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U132" s="153"/>
      <c r="V132" s="153"/>
      <c r="W132" s="243"/>
      <c r="X132" s="243"/>
      <c r="Y132" s="243"/>
      <c r="Z132" s="243"/>
      <c r="AA132" s="243"/>
      <c r="AB132" s="243"/>
      <c r="AC132" s="243"/>
      <c r="AD132" s="243"/>
      <c r="AG132" s="243"/>
      <c r="AH132" s="243"/>
      <c r="AI132" s="243"/>
      <c r="AJ132" s="243"/>
      <c r="AK132" s="243"/>
      <c r="AL132" s="243"/>
      <c r="AM132" s="243"/>
      <c r="AN132" s="243"/>
      <c r="AO132" s="243"/>
      <c r="AP132" s="243"/>
      <c r="AQ132" s="243"/>
      <c r="AR132" s="243"/>
      <c r="AS132" s="243"/>
      <c r="AT132" s="243"/>
    </row>
    <row r="133" spans="1:65" ht="18.75" customHeight="1">
      <c r="A133" s="243"/>
      <c r="B133" s="60" t="s">
        <v>569</v>
      </c>
      <c r="C133" s="243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O133" s="243"/>
      <c r="P133" s="158" t="s">
        <v>570</v>
      </c>
      <c r="R133" s="243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  <c r="AJ133" s="243"/>
      <c r="AK133" s="243"/>
      <c r="AL133" s="243"/>
      <c r="AM133" s="243"/>
      <c r="AN133" s="243"/>
      <c r="AO133" s="243"/>
      <c r="AP133" s="243"/>
      <c r="AQ133" s="243"/>
      <c r="AR133" s="243"/>
      <c r="AS133" s="243"/>
      <c r="AT133" s="243"/>
    </row>
    <row r="134" spans="1:65" ht="18.75" customHeight="1">
      <c r="A134" s="243"/>
      <c r="B134" s="60"/>
      <c r="C134" s="243" t="s">
        <v>571</v>
      </c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  <c r="AJ134" s="243"/>
      <c r="AK134" s="243"/>
      <c r="AL134" s="243"/>
      <c r="AM134" s="243"/>
      <c r="AN134" s="243"/>
      <c r="AO134" s="243"/>
      <c r="AP134" s="243"/>
      <c r="AQ134" s="243"/>
      <c r="AR134" s="243"/>
      <c r="AS134" s="243"/>
      <c r="AT134" s="243"/>
    </row>
    <row r="135" spans="1:65" ht="18.75" customHeight="1">
      <c r="A135" s="243"/>
      <c r="B135" s="243"/>
      <c r="C135" s="243" t="s">
        <v>572</v>
      </c>
      <c r="D135" s="243"/>
      <c r="E135" s="243"/>
      <c r="F135" s="243"/>
      <c r="G135" s="243"/>
      <c r="H135" s="243"/>
      <c r="I135" s="403" t="e">
        <f>H77</f>
        <v>#DIV/0!</v>
      </c>
      <c r="J135" s="403"/>
      <c r="K135" s="403"/>
      <c r="L135" s="403"/>
      <c r="M135" s="403"/>
      <c r="N135" s="397" t="str">
        <f>M77</f>
        <v>mm</v>
      </c>
      <c r="O135" s="397"/>
      <c r="P135" s="237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  <c r="AJ135" s="243"/>
      <c r="AK135" s="243"/>
      <c r="AL135" s="243"/>
      <c r="AM135" s="243"/>
      <c r="AN135" s="243"/>
      <c r="AO135" s="243"/>
      <c r="AP135" s="243"/>
      <c r="AQ135" s="243"/>
      <c r="AR135" s="243"/>
      <c r="AS135" s="243"/>
      <c r="AT135" s="243"/>
    </row>
    <row r="136" spans="1:65" ht="18.75" customHeight="1">
      <c r="A136" s="243"/>
      <c r="B136" s="60"/>
      <c r="C136" s="404" t="s">
        <v>573</v>
      </c>
      <c r="D136" s="404"/>
      <c r="E136" s="404"/>
      <c r="F136" s="404"/>
      <c r="G136" s="404"/>
      <c r="H136" s="404"/>
      <c r="I136" s="404"/>
      <c r="J136" s="390" t="s">
        <v>574</v>
      </c>
      <c r="K136" s="390"/>
      <c r="L136" s="390"/>
      <c r="M136" s="235" t="s">
        <v>121</v>
      </c>
      <c r="N136" s="392" t="e">
        <f>O77</f>
        <v>#DIV/0!</v>
      </c>
      <c r="O136" s="392"/>
      <c r="P136" s="392"/>
      <c r="Q136" s="240" t="str">
        <f>S77</f>
        <v>μm</v>
      </c>
      <c r="R136" s="229"/>
      <c r="S136" s="229"/>
      <c r="T136" s="229"/>
      <c r="U136" s="229"/>
      <c r="V136" s="229"/>
      <c r="W136" s="229"/>
      <c r="X136" s="229"/>
      <c r="Y136" s="229"/>
      <c r="Z136" s="229"/>
      <c r="AA136" s="229"/>
      <c r="AB136" s="229"/>
      <c r="AC136" s="229"/>
      <c r="AD136" s="229"/>
      <c r="AE136" s="229"/>
      <c r="AF136" s="229"/>
      <c r="AG136" s="229"/>
      <c r="AH136" s="229"/>
      <c r="AI136" s="229"/>
      <c r="AJ136" s="229"/>
      <c r="AK136" s="229"/>
      <c r="AL136" s="229"/>
      <c r="AM136" s="229"/>
      <c r="AN136" s="229"/>
      <c r="AO136" s="229"/>
      <c r="AP136" s="229"/>
      <c r="AQ136" s="229"/>
      <c r="AR136" s="229"/>
      <c r="AS136" s="243"/>
      <c r="AT136" s="243"/>
      <c r="AV136" s="243"/>
    </row>
    <row r="137" spans="1:65" ht="18.75" customHeight="1">
      <c r="A137" s="243"/>
      <c r="B137" s="243"/>
      <c r="C137" s="243" t="s">
        <v>142</v>
      </c>
      <c r="D137" s="243"/>
      <c r="E137" s="243"/>
      <c r="F137" s="243"/>
      <c r="G137" s="243"/>
      <c r="H137" s="243"/>
      <c r="I137" s="393" t="str">
        <f>V77</f>
        <v>정규</v>
      </c>
      <c r="J137" s="393"/>
      <c r="K137" s="393"/>
      <c r="L137" s="393"/>
      <c r="M137" s="393"/>
      <c r="N137" s="393"/>
      <c r="O137" s="393"/>
      <c r="P137" s="39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243"/>
      <c r="AL137" s="243"/>
      <c r="AM137" s="243"/>
      <c r="AN137" s="243"/>
      <c r="AO137" s="243"/>
      <c r="AP137" s="243"/>
      <c r="AQ137" s="243"/>
      <c r="AR137" s="243"/>
      <c r="AS137" s="243"/>
      <c r="AT137" s="243"/>
    </row>
    <row r="138" spans="1:65" ht="18.75" customHeight="1">
      <c r="A138" s="243"/>
      <c r="B138" s="243"/>
      <c r="C138" s="394" t="s">
        <v>575</v>
      </c>
      <c r="D138" s="394"/>
      <c r="E138" s="394"/>
      <c r="F138" s="394"/>
      <c r="G138" s="394"/>
      <c r="H138" s="394"/>
      <c r="I138" s="238"/>
      <c r="J138" s="238"/>
      <c r="K138" s="243"/>
      <c r="L138" s="243"/>
      <c r="P138" s="243"/>
      <c r="S138" s="243"/>
      <c r="T138" s="243"/>
      <c r="U138" s="393" t="e">
        <f>AA77</f>
        <v>#VALUE!</v>
      </c>
      <c r="V138" s="393"/>
      <c r="W138" s="393"/>
      <c r="X138" s="393"/>
      <c r="Y138" s="393"/>
      <c r="Z138" s="393"/>
      <c r="AA138" s="243"/>
      <c r="AB138" s="243"/>
      <c r="AC138" s="243"/>
      <c r="AD138" s="243"/>
      <c r="AE138" s="243"/>
      <c r="AH138" s="226"/>
      <c r="AI138" s="243"/>
      <c r="AJ138" s="243"/>
      <c r="AK138" s="243"/>
      <c r="AL138" s="243"/>
      <c r="AM138" s="243"/>
      <c r="AN138" s="243"/>
      <c r="AO138" s="243"/>
      <c r="AP138" s="243"/>
      <c r="AQ138" s="243"/>
      <c r="AR138" s="243"/>
      <c r="AS138" s="243"/>
      <c r="AT138" s="243"/>
    </row>
    <row r="139" spans="1:65" ht="18.75" customHeight="1">
      <c r="A139" s="243"/>
      <c r="B139" s="243"/>
      <c r="C139" s="394"/>
      <c r="D139" s="394"/>
      <c r="E139" s="394"/>
      <c r="F139" s="394"/>
      <c r="G139" s="394"/>
      <c r="H139" s="394"/>
      <c r="I139" s="233"/>
      <c r="J139" s="233"/>
      <c r="K139" s="243"/>
      <c r="L139" s="243"/>
      <c r="P139" s="243"/>
      <c r="S139" s="243"/>
      <c r="T139" s="243"/>
      <c r="U139" s="393"/>
      <c r="V139" s="393"/>
      <c r="W139" s="393"/>
      <c r="X139" s="393"/>
      <c r="Y139" s="393"/>
      <c r="Z139" s="393"/>
      <c r="AA139" s="243"/>
      <c r="AB139" s="243"/>
      <c r="AC139" s="243"/>
      <c r="AD139" s="243"/>
      <c r="AE139" s="243"/>
      <c r="AH139" s="243"/>
      <c r="AI139" s="243"/>
      <c r="AJ139" s="243"/>
      <c r="AK139" s="243"/>
      <c r="AL139" s="243"/>
      <c r="AM139" s="243"/>
      <c r="AN139" s="243"/>
      <c r="AO139" s="243"/>
      <c r="AP139" s="243"/>
      <c r="AQ139" s="243"/>
      <c r="AR139" s="243"/>
      <c r="AS139" s="243"/>
      <c r="AT139" s="243"/>
    </row>
    <row r="140" spans="1:65" s="243" customFormat="1" ht="18.75" customHeight="1">
      <c r="C140" s="243" t="s">
        <v>576</v>
      </c>
      <c r="K140" s="239" t="s">
        <v>73</v>
      </c>
      <c r="L140" s="395" t="e">
        <f>U138</f>
        <v>#VALUE!</v>
      </c>
      <c r="M140" s="395"/>
      <c r="N140" s="395"/>
      <c r="O140" s="395"/>
      <c r="P140" s="395"/>
      <c r="Q140" s="229" t="s">
        <v>577</v>
      </c>
      <c r="R140" s="392" t="e">
        <f>N136</f>
        <v>#DIV/0!</v>
      </c>
      <c r="S140" s="392"/>
      <c r="T140" s="392"/>
      <c r="U140" s="396" t="str">
        <f>Q136</f>
        <v>μm</v>
      </c>
      <c r="V140" s="397"/>
      <c r="W140" s="239" t="s">
        <v>578</v>
      </c>
      <c r="X140" s="71" t="s">
        <v>536</v>
      </c>
      <c r="Y140" s="392" t="e">
        <f>R140</f>
        <v>#DIV/0!</v>
      </c>
      <c r="Z140" s="392"/>
      <c r="AA140" s="392"/>
      <c r="AB140" s="396" t="str">
        <f>U140</f>
        <v>μm</v>
      </c>
      <c r="AC140" s="397"/>
      <c r="AD140" s="237"/>
      <c r="AE140" s="238"/>
      <c r="AF140" s="238"/>
    </row>
    <row r="141" spans="1:65" ht="18.75" customHeight="1">
      <c r="A141" s="243"/>
      <c r="B141" s="243"/>
      <c r="C141" s="238" t="s">
        <v>579</v>
      </c>
      <c r="D141" s="238"/>
      <c r="E141" s="238"/>
      <c r="F141" s="238"/>
      <c r="G141" s="238"/>
      <c r="I141" s="104" t="s">
        <v>580</v>
      </c>
      <c r="J141" s="243"/>
      <c r="K141" s="243"/>
      <c r="L141" s="393" t="e">
        <f>AP77</f>
        <v>#DIV/0!</v>
      </c>
      <c r="M141" s="393"/>
      <c r="N141" s="393"/>
      <c r="O141" s="393"/>
      <c r="P141" s="393"/>
      <c r="Q141" s="393"/>
      <c r="R141" s="243"/>
      <c r="U141" s="153"/>
      <c r="V141" s="153"/>
      <c r="W141" s="243"/>
      <c r="Y141" s="243"/>
      <c r="Z141" s="243"/>
      <c r="AA141" s="243"/>
      <c r="AB141" s="243"/>
      <c r="AC141" s="243"/>
      <c r="AD141" s="243"/>
      <c r="AG141" s="243"/>
      <c r="AH141" s="243"/>
      <c r="AI141" s="243"/>
      <c r="AJ141" s="243"/>
      <c r="AK141" s="243"/>
      <c r="AL141" s="243"/>
      <c r="AM141" s="243"/>
      <c r="AN141" s="243"/>
      <c r="AO141" s="243"/>
      <c r="AP141" s="243"/>
      <c r="AQ141" s="243"/>
      <c r="AR141" s="243"/>
      <c r="AS141" s="243"/>
      <c r="AT141" s="243"/>
    </row>
    <row r="142" spans="1:65" ht="18.75" customHeight="1">
      <c r="A142" s="243"/>
      <c r="B142" s="243"/>
      <c r="C142" s="238"/>
      <c r="D142" s="238"/>
      <c r="E142" s="238"/>
      <c r="F142" s="238"/>
      <c r="G142" s="238"/>
      <c r="H142" s="61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U142" s="153"/>
      <c r="V142" s="153"/>
      <c r="W142" s="243"/>
      <c r="X142" s="243"/>
      <c r="Y142" s="243"/>
      <c r="Z142" s="243"/>
      <c r="AA142" s="243"/>
      <c r="AB142" s="243"/>
      <c r="AC142" s="243"/>
      <c r="AD142" s="243"/>
      <c r="AG142" s="243"/>
      <c r="AH142" s="243"/>
      <c r="AI142" s="243"/>
      <c r="AJ142" s="243"/>
      <c r="AK142" s="243"/>
      <c r="AL142" s="243"/>
      <c r="AM142" s="243"/>
      <c r="AN142" s="243"/>
      <c r="AO142" s="243"/>
      <c r="AP142" s="243"/>
      <c r="AQ142" s="243"/>
      <c r="AR142" s="243"/>
      <c r="AS142" s="243"/>
      <c r="AT142" s="243"/>
    </row>
    <row r="143" spans="1:65" s="131" customFormat="1" ht="18.75" customHeight="1">
      <c r="A143" s="229"/>
      <c r="B143" s="57" t="str">
        <f>"6. "&amp;$N$5&amp;"의 열팽창계수에 의한 표준불확도,"</f>
        <v>6. 원통형 링 게이지의 열팽창계수에 의한 표준불확도,</v>
      </c>
      <c r="C143" s="238"/>
      <c r="D143" s="238"/>
      <c r="E143" s="238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  <c r="AA143" s="238"/>
      <c r="AB143" s="238"/>
      <c r="AC143" s="238"/>
      <c r="AD143" s="238"/>
      <c r="AE143" s="238"/>
      <c r="AF143" s="238"/>
      <c r="AG143" s="238"/>
      <c r="AH143" s="238"/>
      <c r="AI143" s="238"/>
      <c r="AJ143" s="238"/>
      <c r="AK143" s="238"/>
      <c r="AL143" s="229"/>
      <c r="AM143" s="229"/>
      <c r="AN143" s="229"/>
      <c r="AO143" s="229"/>
      <c r="AP143" s="229"/>
      <c r="AQ143" s="229"/>
      <c r="AR143" s="229"/>
      <c r="AS143" s="229"/>
      <c r="AT143" s="229"/>
      <c r="AU143" s="229"/>
      <c r="AV143" s="229"/>
      <c r="AW143" s="229"/>
      <c r="AX143" s="229"/>
      <c r="AY143" s="238"/>
      <c r="AZ143" s="238"/>
      <c r="BA143" s="238"/>
      <c r="BB143" s="238"/>
      <c r="BC143" s="238"/>
      <c r="BD143" s="238"/>
      <c r="BE143" s="238"/>
      <c r="BF143" s="238"/>
      <c r="BG143" s="58"/>
      <c r="BH143" s="58"/>
      <c r="BI143" s="58"/>
      <c r="BJ143" s="58"/>
      <c r="BK143" s="58"/>
      <c r="BL143" s="58"/>
      <c r="BM143" s="58"/>
    </row>
    <row r="144" spans="1:65" s="131" customFormat="1" ht="18.75" customHeight="1">
      <c r="B144" s="229"/>
      <c r="C144" s="233" t="s">
        <v>581</v>
      </c>
      <c r="D144" s="229"/>
      <c r="E144" s="229"/>
      <c r="F144" s="229"/>
      <c r="G144" s="229"/>
      <c r="H144" s="400" t="e">
        <f>H78*10^6</f>
        <v>#VALUE!</v>
      </c>
      <c r="I144" s="400"/>
      <c r="J144" s="400"/>
      <c r="K144" s="237" t="s">
        <v>541</v>
      </c>
      <c r="L144" s="229"/>
      <c r="M144" s="229"/>
      <c r="N144" s="237"/>
      <c r="O144" s="237"/>
      <c r="P144" s="237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59"/>
      <c r="AG144" s="238"/>
      <c r="AH144" s="238"/>
      <c r="AI144" s="238"/>
      <c r="AJ144" s="238"/>
      <c r="AK144" s="238"/>
      <c r="AL144" s="238"/>
      <c r="AM144" s="229"/>
      <c r="AN144" s="229"/>
      <c r="AO144" s="229"/>
      <c r="AP144" s="229"/>
      <c r="AQ144" s="229"/>
      <c r="AR144" s="229"/>
      <c r="AS144" s="229"/>
      <c r="AT144" s="229"/>
      <c r="AU144" s="229"/>
      <c r="AV144" s="229"/>
      <c r="AW144" s="229"/>
      <c r="AX144" s="229"/>
      <c r="AY144" s="229"/>
      <c r="AZ144" s="238"/>
      <c r="BA144" s="238"/>
      <c r="BB144" s="238"/>
      <c r="BC144" s="238"/>
      <c r="BD144" s="238"/>
      <c r="BE144" s="238"/>
      <c r="BF144" s="238"/>
      <c r="BG144" s="238"/>
      <c r="BH144" s="58"/>
      <c r="BI144" s="58"/>
      <c r="BJ144" s="58"/>
      <c r="BK144" s="58"/>
      <c r="BL144" s="58"/>
      <c r="BM144" s="58"/>
    </row>
    <row r="145" spans="2:73" s="131" customFormat="1" ht="18.75" customHeight="1">
      <c r="B145" s="229"/>
      <c r="C145" s="394" t="s">
        <v>143</v>
      </c>
      <c r="D145" s="394"/>
      <c r="E145" s="394"/>
      <c r="F145" s="394"/>
      <c r="G145" s="394"/>
      <c r="H145" s="394"/>
      <c r="I145" s="394"/>
      <c r="J145" s="394" t="s">
        <v>582</v>
      </c>
      <c r="K145" s="394"/>
      <c r="L145" s="394"/>
      <c r="M145" s="394"/>
      <c r="N145" s="394"/>
      <c r="O145" s="394"/>
      <c r="P145" s="394"/>
      <c r="Q145" s="394"/>
      <c r="R145" s="394"/>
      <c r="S145" s="394"/>
      <c r="T145" s="394"/>
      <c r="U145" s="394"/>
      <c r="V145" s="394"/>
      <c r="W145" s="394"/>
      <c r="X145" s="401" t="s">
        <v>132</v>
      </c>
      <c r="Y145" s="401"/>
      <c r="Z145" s="401"/>
      <c r="AA145" s="401"/>
      <c r="AB145" s="401"/>
      <c r="AC145" s="391" t="s">
        <v>527</v>
      </c>
      <c r="AD145" s="393" t="s">
        <v>583</v>
      </c>
      <c r="AE145" s="393"/>
      <c r="AF145" s="393"/>
      <c r="AG145" s="393"/>
      <c r="AH145" s="393"/>
      <c r="AI145" s="393"/>
      <c r="AM145" s="229"/>
      <c r="AN145" s="238"/>
      <c r="AO145" s="238"/>
      <c r="AP145" s="238"/>
      <c r="AQ145" s="238"/>
      <c r="AR145" s="238"/>
      <c r="AS145" s="238"/>
      <c r="AT145" s="238"/>
      <c r="AU145" s="238"/>
      <c r="AV145" s="238"/>
      <c r="AW145" s="238"/>
      <c r="AX145" s="238"/>
      <c r="AY145" s="238"/>
      <c r="BL145" s="58"/>
      <c r="BM145" s="58"/>
      <c r="BN145" s="58"/>
    </row>
    <row r="146" spans="2:73" s="131" customFormat="1" ht="18.75" customHeight="1">
      <c r="B146" s="229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238"/>
      <c r="Y146" s="229"/>
      <c r="Z146" s="229"/>
      <c r="AA146" s="229"/>
      <c r="AB146" s="229"/>
      <c r="AC146" s="391"/>
      <c r="AD146" s="393"/>
      <c r="AE146" s="393"/>
      <c r="AF146" s="393"/>
      <c r="AG146" s="393"/>
      <c r="AH146" s="393"/>
      <c r="AI146" s="393"/>
      <c r="AM146" s="229"/>
      <c r="AN146" s="238"/>
      <c r="AO146" s="238"/>
      <c r="AP146" s="238"/>
      <c r="AQ146" s="238"/>
      <c r="AR146" s="238"/>
      <c r="AS146" s="229"/>
      <c r="AT146" s="238"/>
      <c r="AU146" s="238"/>
      <c r="AV146" s="238"/>
      <c r="AW146" s="238"/>
      <c r="AX146" s="238"/>
      <c r="AY146" s="238"/>
      <c r="BL146" s="58"/>
      <c r="BM146" s="58"/>
      <c r="BN146" s="58"/>
    </row>
    <row r="147" spans="2:73" s="131" customFormat="1" ht="18.75" customHeight="1">
      <c r="B147" s="229"/>
      <c r="C147" s="238" t="s">
        <v>144</v>
      </c>
      <c r="D147" s="238"/>
      <c r="E147" s="238"/>
      <c r="F147" s="238"/>
      <c r="G147" s="238"/>
      <c r="H147" s="238"/>
      <c r="I147" s="393" t="str">
        <f>V78</f>
        <v>직사각형</v>
      </c>
      <c r="J147" s="393"/>
      <c r="K147" s="393"/>
      <c r="L147" s="393"/>
      <c r="M147" s="393"/>
      <c r="N147" s="393"/>
      <c r="O147" s="393"/>
      <c r="P147" s="393"/>
      <c r="Q147" s="238"/>
      <c r="R147" s="238"/>
      <c r="S147" s="238"/>
      <c r="T147" s="238"/>
      <c r="U147" s="238"/>
      <c r="V147" s="238"/>
      <c r="W147" s="238"/>
      <c r="X147" s="238"/>
      <c r="Y147" s="238"/>
      <c r="Z147" s="229"/>
      <c r="AA147" s="229"/>
      <c r="AB147" s="229"/>
      <c r="AC147" s="229"/>
      <c r="AD147" s="229"/>
      <c r="AE147" s="229"/>
      <c r="AF147" s="229"/>
      <c r="AG147" s="229"/>
      <c r="AH147" s="238"/>
      <c r="AI147" s="238"/>
      <c r="AJ147" s="238"/>
      <c r="AK147" s="238"/>
      <c r="AL147" s="238"/>
      <c r="AM147" s="238"/>
      <c r="AN147" s="238"/>
      <c r="AO147" s="238"/>
      <c r="AP147" s="238"/>
      <c r="AQ147" s="238"/>
      <c r="AR147" s="238"/>
      <c r="AS147" s="238"/>
      <c r="AT147" s="238"/>
      <c r="AU147" s="238"/>
      <c r="AV147" s="238"/>
      <c r="AW147" s="238"/>
      <c r="AX147" s="238"/>
      <c r="AY147" s="238"/>
      <c r="AZ147" s="238"/>
      <c r="BA147" s="238"/>
      <c r="BB147" s="238"/>
      <c r="BC147" s="238"/>
      <c r="BD147" s="238"/>
      <c r="BE147" s="238"/>
      <c r="BF147" s="238"/>
      <c r="BG147" s="238"/>
      <c r="BH147" s="58"/>
      <c r="BI147" s="58"/>
      <c r="BJ147" s="58"/>
      <c r="BK147" s="58"/>
      <c r="BL147" s="58"/>
      <c r="BM147" s="58"/>
      <c r="BN147" s="58"/>
    </row>
    <row r="148" spans="2:73" s="131" customFormat="1" ht="18.75" customHeight="1">
      <c r="B148" s="229"/>
      <c r="C148" s="394" t="s">
        <v>584</v>
      </c>
      <c r="D148" s="394"/>
      <c r="E148" s="394"/>
      <c r="F148" s="394"/>
      <c r="G148" s="394"/>
      <c r="H148" s="394"/>
      <c r="I148" s="238" t="s">
        <v>585</v>
      </c>
      <c r="J148" s="238"/>
      <c r="K148" s="238"/>
      <c r="L148" s="238"/>
      <c r="M148" s="238"/>
      <c r="N148" s="238"/>
      <c r="O148" s="238"/>
      <c r="AF148" s="406" t="e">
        <f>AA78</f>
        <v>#VALUE!</v>
      </c>
      <c r="AG148" s="406"/>
      <c r="AH148" s="406"/>
      <c r="AI148" s="406"/>
      <c r="AJ148" s="406" t="str">
        <f>AE78</f>
        <v>℃·μm</v>
      </c>
      <c r="AK148" s="406"/>
      <c r="AL148" s="406"/>
      <c r="AM148" s="227"/>
      <c r="AN148" s="238"/>
      <c r="AO148" s="238"/>
      <c r="AP148" s="238"/>
      <c r="AQ148" s="238"/>
      <c r="AR148" s="229"/>
      <c r="AS148" s="229"/>
      <c r="AT148" s="229"/>
      <c r="AU148" s="229"/>
      <c r="AV148" s="229"/>
      <c r="AW148" s="229"/>
      <c r="AX148" s="229"/>
      <c r="BF148" s="206"/>
      <c r="BG148" s="206"/>
      <c r="BH148" s="238"/>
      <c r="BI148" s="238"/>
      <c r="BJ148" s="238"/>
      <c r="BK148" s="237"/>
      <c r="BL148" s="237"/>
      <c r="BM148" s="237"/>
      <c r="BN148" s="237"/>
      <c r="BO148" s="238"/>
      <c r="BP148" s="238"/>
      <c r="BQ148" s="238"/>
      <c r="BR148" s="238"/>
      <c r="BS148" s="238"/>
      <c r="BT148" s="238"/>
      <c r="BU148" s="238"/>
    </row>
    <row r="149" spans="2:73" s="131" customFormat="1" ht="18.75" customHeight="1">
      <c r="B149" s="229"/>
      <c r="C149" s="394"/>
      <c r="D149" s="394"/>
      <c r="E149" s="394"/>
      <c r="F149" s="394"/>
      <c r="G149" s="394"/>
      <c r="H149" s="394"/>
      <c r="I149" s="238"/>
      <c r="J149" s="238"/>
      <c r="K149" s="238"/>
      <c r="L149" s="238"/>
      <c r="M149" s="238"/>
      <c r="N149" s="238"/>
      <c r="O149" s="238"/>
      <c r="AF149" s="406"/>
      <c r="AG149" s="406"/>
      <c r="AH149" s="406"/>
      <c r="AI149" s="406"/>
      <c r="AJ149" s="406"/>
      <c r="AK149" s="406"/>
      <c r="AL149" s="406"/>
      <c r="AM149" s="238"/>
      <c r="AN149" s="238"/>
      <c r="AO149" s="238"/>
      <c r="AP149" s="238"/>
      <c r="AQ149" s="238"/>
      <c r="AR149" s="229"/>
      <c r="AS149" s="229"/>
      <c r="AT149" s="229"/>
      <c r="AU149" s="229"/>
      <c r="AV149" s="229"/>
      <c r="AW149" s="229"/>
      <c r="AX149" s="229"/>
      <c r="BF149" s="206"/>
      <c r="BG149" s="206"/>
      <c r="BH149" s="238"/>
      <c r="BI149" s="238"/>
      <c r="BJ149" s="238"/>
      <c r="BK149" s="237"/>
      <c r="BL149" s="237"/>
      <c r="BM149" s="237"/>
      <c r="BN149" s="237"/>
      <c r="BO149" s="238"/>
      <c r="BP149" s="238"/>
      <c r="BQ149" s="238"/>
      <c r="BR149" s="238"/>
      <c r="BS149" s="238"/>
      <c r="BT149" s="238"/>
      <c r="BU149" s="238"/>
    </row>
    <row r="150" spans="2:73" s="131" customFormat="1" ht="18.75" customHeight="1">
      <c r="B150" s="229"/>
      <c r="C150" s="238" t="s">
        <v>586</v>
      </c>
      <c r="D150" s="238"/>
      <c r="E150" s="238"/>
      <c r="F150" s="238"/>
      <c r="G150" s="238"/>
      <c r="H150" s="238"/>
      <c r="I150" s="238"/>
      <c r="J150" s="229"/>
      <c r="K150" s="243" t="s">
        <v>137</v>
      </c>
      <c r="L150" s="398" t="e">
        <f>AF148</f>
        <v>#VALUE!</v>
      </c>
      <c r="M150" s="399"/>
      <c r="N150" s="399"/>
      <c r="O150" s="399"/>
      <c r="P150" s="132" t="s">
        <v>587</v>
      </c>
      <c r="Q150" s="229"/>
      <c r="R150" s="229"/>
      <c r="S150" s="229"/>
      <c r="T150" s="229"/>
      <c r="U150" s="229"/>
      <c r="V150" s="229"/>
      <c r="W150" s="229"/>
      <c r="X150" s="229"/>
      <c r="Y150" s="243" t="s">
        <v>588</v>
      </c>
      <c r="Z150" s="229" t="s">
        <v>589</v>
      </c>
      <c r="AA150" s="392" t="e">
        <f>ABS(L150*O78)</f>
        <v>#VALUE!</v>
      </c>
      <c r="AB150" s="392"/>
      <c r="AC150" s="392"/>
      <c r="AD150" s="233" t="s">
        <v>590</v>
      </c>
      <c r="AE150" s="233"/>
      <c r="AF150" s="229"/>
      <c r="AG150" s="229"/>
      <c r="AH150" s="229"/>
      <c r="AI150" s="229"/>
      <c r="AJ150" s="229"/>
      <c r="AK150" s="229"/>
      <c r="AL150" s="229"/>
      <c r="AM150" s="229"/>
      <c r="AN150" s="229"/>
      <c r="AO150" s="229"/>
      <c r="AP150" s="229"/>
      <c r="AQ150" s="229"/>
      <c r="AR150" s="229"/>
      <c r="AS150" s="229"/>
      <c r="AT150" s="229"/>
      <c r="AU150" s="133"/>
      <c r="AV150" s="132"/>
      <c r="AW150" s="238"/>
      <c r="AX150" s="229"/>
      <c r="AY150" s="229"/>
      <c r="AZ150" s="229"/>
      <c r="BA150" s="229"/>
      <c r="BB150" s="229"/>
      <c r="BC150" s="229"/>
      <c r="BD150" s="229"/>
      <c r="BE150" s="229"/>
      <c r="BF150" s="229"/>
      <c r="BG150" s="229"/>
      <c r="BH150" s="58"/>
      <c r="BI150" s="58"/>
      <c r="BP150" s="233"/>
      <c r="BQ150" s="231"/>
    </row>
    <row r="151" spans="2:73" s="131" customFormat="1" ht="18.75" customHeight="1">
      <c r="B151" s="229"/>
      <c r="C151" s="394" t="s">
        <v>591</v>
      </c>
      <c r="D151" s="394"/>
      <c r="E151" s="394"/>
      <c r="F151" s="394"/>
      <c r="G151" s="394"/>
      <c r="H151" s="238"/>
      <c r="J151" s="238"/>
      <c r="K151" s="238"/>
      <c r="L151" s="238"/>
      <c r="M151" s="238"/>
      <c r="N151" s="238"/>
      <c r="O151" s="238"/>
      <c r="P151" s="238"/>
      <c r="Q151" s="238"/>
      <c r="R151" s="132"/>
      <c r="S151" s="238"/>
      <c r="T151" s="238"/>
      <c r="U151" s="238"/>
      <c r="W151" s="238"/>
      <c r="X151" s="243" t="s">
        <v>592</v>
      </c>
      <c r="Y151" s="238"/>
      <c r="Z151" s="238"/>
      <c r="AB151" s="238"/>
      <c r="AC151" s="238"/>
      <c r="AD151" s="238"/>
      <c r="AE151" s="229"/>
      <c r="AF151" s="229"/>
      <c r="AH151" s="229"/>
      <c r="AI151" s="229"/>
      <c r="AJ151" s="229"/>
      <c r="AK151" s="229"/>
      <c r="AL151" s="229"/>
      <c r="AM151" s="229"/>
      <c r="AN151" s="229"/>
      <c r="AO151" s="229"/>
      <c r="AP151" s="229"/>
      <c r="AQ151" s="229"/>
      <c r="AR151" s="229"/>
      <c r="AS151" s="229"/>
      <c r="AT151" s="229"/>
      <c r="AU151" s="229"/>
      <c r="AV151" s="229"/>
      <c r="AW151" s="229"/>
      <c r="AX151" s="229"/>
      <c r="AY151" s="229"/>
      <c r="AZ151" s="229"/>
      <c r="BA151" s="229"/>
      <c r="BB151" s="229"/>
      <c r="BC151" s="229"/>
      <c r="BD151" s="229"/>
      <c r="BE151" s="229"/>
      <c r="BF151" s="229"/>
      <c r="BG151" s="229"/>
      <c r="BH151" s="58"/>
      <c r="BI151" s="58"/>
      <c r="BJ151" s="58"/>
      <c r="BK151" s="58"/>
      <c r="BL151" s="58"/>
    </row>
    <row r="152" spans="2:73" s="131" customFormat="1" ht="18.75" customHeight="1">
      <c r="B152" s="229"/>
      <c r="C152" s="394"/>
      <c r="D152" s="394"/>
      <c r="E152" s="394"/>
      <c r="F152" s="394"/>
      <c r="G152" s="394"/>
      <c r="H152" s="238"/>
      <c r="I152" s="238"/>
      <c r="J152" s="238"/>
      <c r="K152" s="238"/>
      <c r="L152" s="238"/>
      <c r="M152" s="238"/>
      <c r="N152" s="238"/>
      <c r="O152" s="238"/>
      <c r="P152" s="238"/>
      <c r="Q152" s="238"/>
      <c r="R152" s="132"/>
      <c r="S152" s="238"/>
      <c r="T152" s="238"/>
      <c r="U152" s="238"/>
      <c r="V152" s="238"/>
      <c r="W152" s="238"/>
      <c r="X152" s="238"/>
      <c r="Y152" s="238"/>
      <c r="Z152" s="238"/>
      <c r="AA152" s="238"/>
      <c r="AB152" s="238"/>
      <c r="AC152" s="238"/>
      <c r="AD152" s="238"/>
      <c r="AE152" s="229"/>
      <c r="AF152" s="229"/>
      <c r="AG152" s="229"/>
      <c r="AH152" s="229"/>
      <c r="AI152" s="229"/>
      <c r="AJ152" s="229"/>
      <c r="AK152" s="229"/>
      <c r="AL152" s="229"/>
      <c r="AM152" s="229"/>
      <c r="AN152" s="229"/>
      <c r="AO152" s="229"/>
      <c r="AP152" s="229"/>
      <c r="AQ152" s="229"/>
      <c r="AR152" s="229"/>
      <c r="AS152" s="229"/>
      <c r="AT152" s="229"/>
      <c r="AU152" s="229"/>
      <c r="AV152" s="229"/>
      <c r="AW152" s="229"/>
      <c r="AX152" s="229"/>
      <c r="AY152" s="229"/>
      <c r="AZ152" s="229"/>
      <c r="BA152" s="229"/>
      <c r="BB152" s="229"/>
      <c r="BC152" s="229"/>
      <c r="BD152" s="229"/>
      <c r="BE152" s="229"/>
      <c r="BF152" s="229"/>
      <c r="BG152" s="229"/>
      <c r="BH152" s="58"/>
      <c r="BI152" s="58"/>
      <c r="BJ152" s="58"/>
      <c r="BK152" s="58"/>
      <c r="BL152" s="58"/>
    </row>
    <row r="153" spans="2:73" s="131" customFormat="1" ht="18.75" customHeight="1">
      <c r="B153" s="229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132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29"/>
      <c r="AF153" s="229"/>
      <c r="AG153" s="229"/>
      <c r="AH153" s="229"/>
      <c r="AI153" s="229"/>
      <c r="AJ153" s="229"/>
      <c r="AK153" s="229"/>
      <c r="AL153" s="229"/>
      <c r="AM153" s="229"/>
      <c r="AN153" s="229"/>
      <c r="AO153" s="229"/>
      <c r="AP153" s="229"/>
      <c r="AQ153" s="229"/>
      <c r="AR153" s="229"/>
      <c r="AS153" s="229"/>
      <c r="AT153" s="229"/>
      <c r="AU153" s="229"/>
      <c r="AV153" s="229"/>
      <c r="AW153" s="229"/>
      <c r="AX153" s="229"/>
      <c r="AY153" s="229"/>
      <c r="AZ153" s="229"/>
      <c r="BA153" s="229"/>
      <c r="BB153" s="229"/>
      <c r="BC153" s="229"/>
      <c r="BD153" s="229"/>
      <c r="BE153" s="229"/>
      <c r="BF153" s="229"/>
      <c r="BG153" s="229"/>
      <c r="BH153" s="238"/>
      <c r="BI153" s="238"/>
      <c r="BJ153" s="238"/>
      <c r="BK153" s="238"/>
    </row>
    <row r="154" spans="2:73" s="131" customFormat="1" ht="18.75" customHeight="1">
      <c r="B154" s="57" t="str">
        <f>"7. "&amp;$N$5&amp;"의 온도에 의한 표준불확도,"</f>
        <v>7. 원통형 링 게이지의 온도에 의한 표준불확도,</v>
      </c>
      <c r="D154" s="238"/>
      <c r="E154" s="238"/>
      <c r="F154" s="238"/>
      <c r="G154" s="238"/>
      <c r="H154" s="238"/>
      <c r="I154" s="238"/>
      <c r="J154" s="238"/>
      <c r="K154" s="238"/>
      <c r="L154" s="238"/>
      <c r="M154" s="238"/>
      <c r="N154" s="238"/>
      <c r="O154" s="238"/>
      <c r="P154" s="238"/>
      <c r="Q154" s="238"/>
      <c r="R154" s="238"/>
      <c r="T154" s="238"/>
      <c r="U154" s="57" t="s">
        <v>593</v>
      </c>
      <c r="V154" s="238"/>
      <c r="W154" s="238"/>
      <c r="X154" s="238"/>
      <c r="AA154" s="238"/>
      <c r="AC154" s="238"/>
      <c r="AD154" s="238"/>
      <c r="AE154" s="238"/>
      <c r="AF154" s="238"/>
      <c r="AG154" s="238"/>
      <c r="AH154" s="229"/>
      <c r="AI154" s="229"/>
      <c r="AJ154" s="229"/>
      <c r="AK154" s="229"/>
      <c r="AL154" s="229"/>
      <c r="AM154" s="229"/>
      <c r="AN154" s="229"/>
      <c r="AO154" s="238"/>
      <c r="AP154" s="238"/>
      <c r="AQ154" s="238"/>
      <c r="AR154" s="238"/>
      <c r="AS154" s="238"/>
      <c r="AT154" s="238"/>
      <c r="AU154" s="238"/>
      <c r="AV154" s="238"/>
      <c r="AW154" s="238"/>
      <c r="AX154" s="238"/>
      <c r="AY154" s="238"/>
      <c r="AZ154" s="238"/>
      <c r="BA154" s="238"/>
      <c r="BB154" s="238"/>
      <c r="BC154" s="238"/>
      <c r="BD154" s="238"/>
      <c r="BE154" s="238"/>
      <c r="BF154" s="238"/>
      <c r="BG154" s="238"/>
      <c r="BH154" s="58"/>
      <c r="BI154" s="58"/>
      <c r="BJ154" s="58"/>
      <c r="BK154" s="58"/>
      <c r="BL154" s="58"/>
      <c r="BM154" s="58"/>
      <c r="BN154" s="58"/>
    </row>
    <row r="155" spans="2:73" s="131" customFormat="1" ht="18.75" customHeight="1">
      <c r="B155" s="57"/>
      <c r="C155" s="238" t="str">
        <f>"※ 열평형 상태에서 "&amp;$N$5&amp;"의 온도가 최소 ±"&amp;N158&amp;" ℃ 이내에서 변화한다고 추정하여 직사각형 확률분포를"</f>
        <v>※ 열평형 상태에서 원통형 링 게이지의 온도가 최소 ±0.5 ℃ 이내에서 변화한다고 추정하여 직사각형 확률분포를</v>
      </c>
      <c r="D155" s="238"/>
      <c r="E155" s="238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29"/>
      <c r="AN155" s="229"/>
      <c r="AO155" s="238"/>
      <c r="AP155" s="238"/>
      <c r="AQ155" s="238"/>
      <c r="AR155" s="238"/>
      <c r="AS155" s="238"/>
      <c r="AT155" s="238"/>
      <c r="AU155" s="238"/>
      <c r="AV155" s="238"/>
      <c r="AW155" s="238"/>
      <c r="AX155" s="238"/>
      <c r="AY155" s="238"/>
      <c r="AZ155" s="238"/>
      <c r="BA155" s="238"/>
      <c r="BB155" s="238"/>
      <c r="BC155" s="238"/>
      <c r="BD155" s="238"/>
      <c r="BE155" s="238"/>
      <c r="BF155" s="238"/>
      <c r="BG155" s="238"/>
      <c r="BH155" s="58"/>
      <c r="BI155" s="58"/>
      <c r="BJ155" s="58"/>
      <c r="BK155" s="58"/>
      <c r="BL155" s="58"/>
      <c r="BM155" s="58"/>
      <c r="BN155" s="58"/>
    </row>
    <row r="156" spans="2:73" s="131" customFormat="1" ht="18.75" customHeight="1">
      <c r="B156" s="57"/>
      <c r="C156" s="238"/>
      <c r="D156" s="238" t="s">
        <v>594</v>
      </c>
      <c r="E156" s="238"/>
      <c r="F156" s="238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38"/>
      <c r="AI156" s="238"/>
      <c r="AJ156" s="238"/>
      <c r="AK156" s="238"/>
      <c r="AL156" s="238"/>
      <c r="AM156" s="229"/>
      <c r="AN156" s="229"/>
      <c r="AO156" s="238"/>
      <c r="AP156" s="238"/>
      <c r="AQ156" s="238"/>
      <c r="AR156" s="238"/>
      <c r="AS156" s="238"/>
      <c r="AT156" s="238"/>
      <c r="AU156" s="238"/>
      <c r="AV156" s="238"/>
      <c r="AW156" s="238"/>
      <c r="AX156" s="238"/>
      <c r="AY156" s="238"/>
      <c r="AZ156" s="238"/>
      <c r="BA156" s="238"/>
      <c r="BB156" s="238"/>
      <c r="BC156" s="238"/>
      <c r="BD156" s="238"/>
      <c r="BE156" s="238"/>
      <c r="BF156" s="238"/>
      <c r="BG156" s="238"/>
      <c r="BH156" s="58"/>
      <c r="BI156" s="58"/>
      <c r="BJ156" s="58"/>
      <c r="BK156" s="58"/>
      <c r="BL156" s="58"/>
      <c r="BM156" s="58"/>
      <c r="BN156" s="58"/>
    </row>
    <row r="157" spans="2:73" s="131" customFormat="1" ht="18.75" customHeight="1">
      <c r="B157" s="229"/>
      <c r="C157" s="233" t="s">
        <v>595</v>
      </c>
      <c r="D157" s="229"/>
      <c r="E157" s="229"/>
      <c r="F157" s="229"/>
      <c r="G157" s="229"/>
      <c r="H157" s="397" t="str">
        <f>H79</f>
        <v/>
      </c>
      <c r="I157" s="397"/>
      <c r="J157" s="397"/>
      <c r="K157" s="397"/>
      <c r="L157" s="397"/>
      <c r="M157" s="397" t="str">
        <f>M79</f>
        <v>℃</v>
      </c>
      <c r="N157" s="397"/>
      <c r="O157" s="237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  <c r="Z157" s="238"/>
      <c r="AA157" s="238"/>
      <c r="AB157" s="238"/>
      <c r="AC157" s="238"/>
      <c r="AD157" s="238"/>
      <c r="AE157" s="238"/>
      <c r="AF157" s="238"/>
      <c r="AG157" s="238"/>
      <c r="AH157" s="229"/>
      <c r="AI157" s="229"/>
      <c r="AJ157" s="229"/>
      <c r="AK157" s="229"/>
      <c r="AL157" s="229"/>
      <c r="AM157" s="229"/>
      <c r="AN157" s="229"/>
      <c r="AO157" s="238"/>
      <c r="AP157" s="238"/>
      <c r="AQ157" s="238"/>
      <c r="AR157" s="238"/>
      <c r="AS157" s="238"/>
      <c r="AT157" s="238"/>
      <c r="AU157" s="238"/>
      <c r="AV157" s="238"/>
      <c r="AW157" s="238"/>
      <c r="AX157" s="238"/>
      <c r="AY157" s="238"/>
      <c r="AZ157" s="238"/>
      <c r="BA157" s="238"/>
      <c r="BB157" s="238"/>
      <c r="BC157" s="238"/>
      <c r="BD157" s="238"/>
      <c r="BE157" s="238"/>
      <c r="BF157" s="238"/>
      <c r="BG157" s="238"/>
      <c r="BH157" s="58"/>
      <c r="BI157" s="58"/>
      <c r="BJ157" s="58"/>
      <c r="BK157" s="58"/>
      <c r="BL157" s="58"/>
      <c r="BM157" s="58"/>
    </row>
    <row r="158" spans="2:73" s="131" customFormat="1" ht="18.75" customHeight="1">
      <c r="B158" s="229"/>
      <c r="C158" s="394" t="s">
        <v>596</v>
      </c>
      <c r="D158" s="394"/>
      <c r="E158" s="394"/>
      <c r="F158" s="394"/>
      <c r="G158" s="394"/>
      <c r="H158" s="394"/>
      <c r="I158" s="394"/>
      <c r="J158" s="402" t="s">
        <v>597</v>
      </c>
      <c r="K158" s="402"/>
      <c r="L158" s="402"/>
      <c r="M158" s="391" t="s">
        <v>589</v>
      </c>
      <c r="N158" s="389">
        <f>Calcu!G58</f>
        <v>0.5</v>
      </c>
      <c r="O158" s="389"/>
      <c r="P158" s="236" t="s">
        <v>274</v>
      </c>
      <c r="Q158" s="207"/>
      <c r="R158" s="391" t="s">
        <v>121</v>
      </c>
      <c r="S158" s="392">
        <f>N158/SQRT(3)</f>
        <v>0.28867513459481292</v>
      </c>
      <c r="T158" s="392"/>
      <c r="U158" s="392"/>
      <c r="V158" s="397" t="s">
        <v>598</v>
      </c>
      <c r="W158" s="397"/>
      <c r="X158" s="237"/>
      <c r="Y158" s="238"/>
      <c r="AX158" s="238"/>
      <c r="AY158" s="238"/>
      <c r="AZ158" s="238"/>
      <c r="BA158" s="238"/>
      <c r="BB158" s="238"/>
      <c r="BC158" s="238"/>
      <c r="BD158" s="238"/>
      <c r="BE158" s="238"/>
      <c r="BF158" s="238"/>
      <c r="BG158" s="238"/>
      <c r="BH158" s="238"/>
      <c r="BI158" s="238"/>
      <c r="BJ158" s="58"/>
      <c r="BK158" s="58"/>
      <c r="BL158" s="58"/>
      <c r="BM158" s="58"/>
      <c r="BN158" s="58"/>
      <c r="BO158" s="58"/>
      <c r="BP158" s="58"/>
    </row>
    <row r="159" spans="2:73" s="131" customFormat="1" ht="18.75" customHeight="1">
      <c r="B159" s="229"/>
      <c r="C159" s="394"/>
      <c r="D159" s="394"/>
      <c r="E159" s="394"/>
      <c r="F159" s="394"/>
      <c r="G159" s="394"/>
      <c r="H159" s="394"/>
      <c r="I159" s="394"/>
      <c r="J159" s="402"/>
      <c r="K159" s="402"/>
      <c r="L159" s="402"/>
      <c r="M159" s="391"/>
      <c r="N159" s="229"/>
      <c r="O159" s="229"/>
      <c r="P159" s="229"/>
      <c r="Q159" s="229"/>
      <c r="R159" s="391"/>
      <c r="S159" s="392"/>
      <c r="T159" s="392"/>
      <c r="U159" s="392"/>
      <c r="V159" s="397"/>
      <c r="W159" s="397"/>
      <c r="X159" s="237"/>
      <c r="Y159" s="238"/>
      <c r="AX159" s="238"/>
      <c r="AY159" s="238"/>
      <c r="AZ159" s="238"/>
      <c r="BA159" s="238"/>
      <c r="BB159" s="238"/>
      <c r="BC159" s="238"/>
      <c r="BD159" s="238"/>
      <c r="BE159" s="238"/>
      <c r="BF159" s="238"/>
      <c r="BG159" s="238"/>
      <c r="BH159" s="238"/>
      <c r="BI159" s="238"/>
      <c r="BJ159" s="58"/>
      <c r="BK159" s="58"/>
      <c r="BL159" s="58"/>
      <c r="BM159" s="58"/>
      <c r="BN159" s="58"/>
      <c r="BO159" s="58"/>
      <c r="BP159" s="58"/>
    </row>
    <row r="160" spans="2:73" s="131" customFormat="1" ht="18.75" customHeight="1">
      <c r="B160" s="229"/>
      <c r="C160" s="238" t="s">
        <v>599</v>
      </c>
      <c r="D160" s="238"/>
      <c r="E160" s="238"/>
      <c r="F160" s="238"/>
      <c r="G160" s="238"/>
      <c r="H160" s="238"/>
      <c r="I160" s="393" t="str">
        <f>V79</f>
        <v>직사각형</v>
      </c>
      <c r="J160" s="393"/>
      <c r="K160" s="393"/>
      <c r="L160" s="393"/>
      <c r="M160" s="393"/>
      <c r="N160" s="393"/>
      <c r="O160" s="393"/>
      <c r="P160" s="393"/>
      <c r="Q160" s="238"/>
      <c r="R160" s="238"/>
      <c r="S160" s="238"/>
      <c r="T160" s="238"/>
      <c r="U160" s="238"/>
      <c r="V160" s="238"/>
      <c r="W160" s="238"/>
      <c r="X160" s="238"/>
      <c r="Y160" s="238"/>
      <c r="Z160" s="229"/>
      <c r="AA160" s="229"/>
      <c r="AK160" s="229"/>
      <c r="AL160" s="229"/>
      <c r="AM160" s="229"/>
      <c r="AN160" s="229"/>
      <c r="AO160" s="229"/>
      <c r="AP160" s="238"/>
      <c r="AQ160" s="238"/>
      <c r="AR160" s="238"/>
      <c r="AS160" s="238"/>
      <c r="AT160" s="238"/>
      <c r="AU160" s="238"/>
      <c r="AV160" s="238"/>
      <c r="AW160" s="238"/>
      <c r="AX160" s="238"/>
      <c r="AY160" s="238"/>
      <c r="AZ160" s="238"/>
      <c r="BA160" s="238"/>
      <c r="BB160" s="238"/>
      <c r="BC160" s="238"/>
      <c r="BD160" s="238"/>
      <c r="BE160" s="238"/>
      <c r="BF160" s="238"/>
      <c r="BG160" s="238"/>
      <c r="BH160" s="58"/>
      <c r="BI160" s="58"/>
      <c r="BJ160" s="58"/>
      <c r="BK160" s="58"/>
      <c r="BL160" s="58"/>
    </row>
    <row r="161" spans="1:60" s="131" customFormat="1" ht="18.75" customHeight="1">
      <c r="B161" s="229"/>
      <c r="C161" s="394" t="s">
        <v>600</v>
      </c>
      <c r="D161" s="394"/>
      <c r="E161" s="394"/>
      <c r="F161" s="394"/>
      <c r="G161" s="394"/>
      <c r="H161" s="394"/>
      <c r="I161" s="238"/>
      <c r="J161" s="238"/>
      <c r="K161" s="238"/>
      <c r="L161" s="238"/>
      <c r="M161" s="238"/>
      <c r="N161" s="238"/>
      <c r="O161" s="229"/>
      <c r="R161" s="238"/>
      <c r="S161" s="238"/>
      <c r="T161" s="238"/>
      <c r="U161" s="238"/>
      <c r="V161" s="238"/>
      <c r="W161" s="238"/>
      <c r="AC161" s="405" t="e">
        <f>AA79</f>
        <v>#VALUE!</v>
      </c>
      <c r="AD161" s="405"/>
      <c r="AE161" s="405"/>
      <c r="AF161" s="405"/>
      <c r="AG161" s="406" t="str">
        <f>AE79</f>
        <v>/℃·μm</v>
      </c>
      <c r="AH161" s="406"/>
      <c r="AI161" s="406"/>
      <c r="AJ161" s="227"/>
      <c r="AK161" s="238"/>
      <c r="AL161" s="238"/>
      <c r="AM161" s="238"/>
      <c r="AN161" s="238"/>
      <c r="AO161" s="238"/>
      <c r="AP161" s="238"/>
      <c r="AQ161" s="238"/>
      <c r="AR161" s="238"/>
      <c r="AS161" s="238"/>
      <c r="AT161" s="238"/>
      <c r="AU161" s="238"/>
      <c r="AV161" s="238"/>
      <c r="AW161" s="238"/>
      <c r="AX161" s="238"/>
      <c r="AY161" s="238"/>
      <c r="AZ161" s="238"/>
      <c r="BA161" s="238"/>
      <c r="BB161" s="238"/>
      <c r="BC161" s="229"/>
      <c r="BD161" s="229"/>
      <c r="BE161" s="229"/>
      <c r="BF161" s="229"/>
      <c r="BG161" s="229"/>
      <c r="BH161" s="229"/>
    </row>
    <row r="162" spans="1:60" s="131" customFormat="1" ht="18.75" customHeight="1">
      <c r="B162" s="229"/>
      <c r="C162" s="394"/>
      <c r="D162" s="394"/>
      <c r="E162" s="394"/>
      <c r="F162" s="394"/>
      <c r="G162" s="394"/>
      <c r="H162" s="394"/>
      <c r="I162" s="238"/>
      <c r="J162" s="238"/>
      <c r="K162" s="238"/>
      <c r="L162" s="238"/>
      <c r="M162" s="238"/>
      <c r="N162" s="238"/>
      <c r="O162" s="229"/>
      <c r="R162" s="238"/>
      <c r="S162" s="238"/>
      <c r="T162" s="238"/>
      <c r="U162" s="238"/>
      <c r="V162" s="238"/>
      <c r="W162" s="238"/>
      <c r="AC162" s="405"/>
      <c r="AD162" s="405"/>
      <c r="AE162" s="405"/>
      <c r="AF162" s="405"/>
      <c r="AG162" s="406"/>
      <c r="AH162" s="406"/>
      <c r="AI162" s="406"/>
      <c r="AJ162" s="238"/>
      <c r="AK162" s="238"/>
      <c r="AL162" s="238"/>
      <c r="AM162" s="238"/>
      <c r="AN162" s="238"/>
      <c r="AO162" s="238"/>
      <c r="AP162" s="238"/>
      <c r="AQ162" s="238"/>
      <c r="AR162" s="238"/>
      <c r="AS162" s="238"/>
      <c r="AT162" s="238"/>
      <c r="AU162" s="238"/>
      <c r="AV162" s="238"/>
      <c r="AW162" s="238"/>
      <c r="AX162" s="238"/>
      <c r="AY162" s="238"/>
      <c r="AZ162" s="238"/>
      <c r="BA162" s="238"/>
      <c r="BB162" s="238"/>
      <c r="BC162" s="229"/>
      <c r="BD162" s="229"/>
      <c r="BE162" s="229"/>
      <c r="BF162" s="229"/>
      <c r="BG162" s="229"/>
      <c r="BH162" s="229"/>
    </row>
    <row r="163" spans="1:60" s="131" customFormat="1" ht="18.75" customHeight="1">
      <c r="B163" s="229"/>
      <c r="C163" s="238" t="s">
        <v>601</v>
      </c>
      <c r="D163" s="238"/>
      <c r="E163" s="238"/>
      <c r="F163" s="238"/>
      <c r="G163" s="238"/>
      <c r="H163" s="238"/>
      <c r="I163" s="238"/>
      <c r="J163" s="229"/>
      <c r="K163" s="243" t="s">
        <v>602</v>
      </c>
      <c r="L163" s="407" t="e">
        <f>AC161</f>
        <v>#VALUE!</v>
      </c>
      <c r="M163" s="407"/>
      <c r="N163" s="407"/>
      <c r="O163" s="407"/>
      <c r="P163" s="132" t="s">
        <v>603</v>
      </c>
      <c r="Q163" s="229"/>
      <c r="R163" s="229"/>
      <c r="S163" s="229" t="s">
        <v>74</v>
      </c>
      <c r="T163" s="408">
        <f>S158</f>
        <v>0.28867513459481292</v>
      </c>
      <c r="U163" s="408"/>
      <c r="V163" s="408"/>
      <c r="W163" s="408"/>
      <c r="X163" s="243" t="s">
        <v>137</v>
      </c>
      <c r="Y163" s="229" t="s">
        <v>121</v>
      </c>
      <c r="Z163" s="392" t="e">
        <f>ABS(L163*T163)</f>
        <v>#VALUE!</v>
      </c>
      <c r="AA163" s="392"/>
      <c r="AB163" s="392"/>
      <c r="AC163" s="233" t="s">
        <v>120</v>
      </c>
      <c r="AD163" s="233"/>
      <c r="AE163" s="229"/>
      <c r="AF163" s="229"/>
      <c r="AG163" s="241"/>
      <c r="AH163" s="229"/>
      <c r="AI163" s="229"/>
      <c r="AJ163" s="229"/>
      <c r="AK163" s="229"/>
      <c r="AL163" s="229"/>
      <c r="AM163" s="229"/>
      <c r="AN163" s="229"/>
      <c r="AO163" s="229"/>
      <c r="AP163" s="229"/>
      <c r="AQ163" s="208"/>
      <c r="AR163" s="208"/>
      <c r="AS163" s="208"/>
      <c r="AT163" s="238"/>
      <c r="AU163" s="238"/>
      <c r="AV163" s="238"/>
      <c r="AW163" s="209"/>
      <c r="AX163" s="209"/>
      <c r="AY163" s="209"/>
      <c r="AZ163" s="209"/>
      <c r="BA163" s="209"/>
      <c r="BB163" s="209"/>
      <c r="BC163" s="229"/>
      <c r="BD163" s="229"/>
      <c r="BE163" s="229"/>
      <c r="BF163" s="229"/>
      <c r="BG163" s="229"/>
      <c r="BH163" s="229"/>
    </row>
    <row r="164" spans="1:60" s="131" customFormat="1" ht="18.75" customHeight="1">
      <c r="B164" s="229"/>
      <c r="C164" s="394" t="s">
        <v>605</v>
      </c>
      <c r="D164" s="394"/>
      <c r="E164" s="394"/>
      <c r="F164" s="394"/>
      <c r="G164" s="394"/>
      <c r="H164" s="238"/>
      <c r="J164" s="238"/>
      <c r="K164" s="238"/>
      <c r="L164" s="238"/>
      <c r="M164" s="238"/>
      <c r="N164" s="238"/>
      <c r="O164" s="238"/>
      <c r="P164" s="238"/>
      <c r="Q164" s="238"/>
      <c r="R164" s="132"/>
      <c r="S164" s="238"/>
      <c r="T164" s="238"/>
      <c r="U164" s="238"/>
      <c r="W164" s="243" t="s">
        <v>146</v>
      </c>
      <c r="X164" s="238"/>
      <c r="Y164" s="238"/>
      <c r="Z164" s="238"/>
      <c r="AA164" s="238"/>
      <c r="AB164" s="238"/>
      <c r="AC164" s="238"/>
      <c r="AD164" s="238"/>
      <c r="AE164" s="229"/>
      <c r="AF164" s="229"/>
      <c r="AG164" s="229"/>
      <c r="AH164" s="229"/>
      <c r="AI164" s="229"/>
      <c r="AJ164" s="229"/>
      <c r="AK164" s="229"/>
      <c r="AL164" s="229"/>
      <c r="AM164" s="229"/>
      <c r="AN164" s="229"/>
      <c r="AO164" s="229"/>
      <c r="AP164" s="229"/>
      <c r="AQ164" s="229"/>
      <c r="AR164" s="229"/>
      <c r="AS164" s="229"/>
      <c r="AT164" s="229"/>
      <c r="AU164" s="238"/>
      <c r="AV164" s="229"/>
      <c r="AW164" s="229"/>
      <c r="AX164" s="229"/>
      <c r="AY164" s="229"/>
      <c r="AZ164" s="229"/>
      <c r="BA164" s="229"/>
      <c r="BB164" s="229"/>
      <c r="BC164" s="229"/>
      <c r="BD164" s="229"/>
      <c r="BE164" s="229"/>
      <c r="BF164" s="229"/>
      <c r="BG164" s="229"/>
    </row>
    <row r="165" spans="1:60" s="131" customFormat="1" ht="18.75" customHeight="1">
      <c r="B165" s="229"/>
      <c r="C165" s="394"/>
      <c r="D165" s="394"/>
      <c r="E165" s="394"/>
      <c r="F165" s="394"/>
      <c r="G165" s="394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132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29"/>
      <c r="AD165" s="229"/>
      <c r="AE165" s="229"/>
      <c r="AF165" s="229"/>
      <c r="AG165" s="229"/>
      <c r="AH165" s="229"/>
      <c r="AI165" s="229"/>
      <c r="AJ165" s="229"/>
      <c r="AK165" s="229"/>
      <c r="AL165" s="229"/>
      <c r="AM165" s="229"/>
      <c r="AN165" s="229"/>
      <c r="AO165" s="229"/>
      <c r="AP165" s="229"/>
      <c r="AQ165" s="229"/>
      <c r="AR165" s="229"/>
      <c r="AS165" s="229"/>
      <c r="AT165" s="229"/>
      <c r="AU165" s="229"/>
      <c r="AV165" s="229"/>
      <c r="AW165" s="229"/>
      <c r="AX165" s="229"/>
      <c r="AY165" s="229"/>
      <c r="AZ165" s="229"/>
      <c r="BA165" s="229"/>
      <c r="BB165" s="229"/>
      <c r="BC165" s="229"/>
      <c r="BD165" s="229"/>
      <c r="BE165" s="229"/>
      <c r="BF165" s="229"/>
      <c r="BG165" s="229"/>
    </row>
    <row r="166" spans="1:60" s="131" customFormat="1" ht="18.75" customHeight="1">
      <c r="B166" s="229"/>
      <c r="C166" s="238"/>
      <c r="D166" s="238"/>
      <c r="E166" s="238"/>
      <c r="F166" s="238"/>
      <c r="G166" s="229"/>
      <c r="H166" s="238"/>
      <c r="I166" s="238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29"/>
      <c r="AB166" s="229"/>
      <c r="AC166" s="229"/>
      <c r="AD166" s="229"/>
      <c r="AE166" s="229"/>
      <c r="AF166" s="229"/>
      <c r="AG166" s="229"/>
      <c r="AH166" s="229"/>
      <c r="AI166" s="229"/>
      <c r="AJ166" s="229"/>
      <c r="AK166" s="229"/>
      <c r="AL166" s="229"/>
      <c r="AM166" s="229"/>
      <c r="AN166" s="229"/>
      <c r="AO166" s="229"/>
      <c r="AP166" s="229"/>
      <c r="AQ166" s="229"/>
      <c r="AR166" s="229"/>
      <c r="AS166" s="229"/>
      <c r="AT166" s="229"/>
      <c r="AU166" s="229"/>
      <c r="AV166" s="229"/>
      <c r="AW166" s="229"/>
      <c r="AX166" s="229"/>
      <c r="AY166" s="229"/>
      <c r="AZ166" s="229"/>
      <c r="BA166" s="229"/>
      <c r="BB166" s="229"/>
      <c r="BC166" s="229"/>
      <c r="BD166" s="229"/>
      <c r="BE166" s="229"/>
      <c r="BF166" s="229"/>
      <c r="BG166" s="229"/>
    </row>
    <row r="167" spans="1:60" s="131" customFormat="1" ht="18.75" customHeight="1">
      <c r="B167" s="57" t="str">
        <f>"8. "&amp;$T$5&amp;" 분해능에 의한 표준불확도,"</f>
        <v>8. 표준 측장기 분해능에 의한 표준불확도,</v>
      </c>
      <c r="C167" s="238"/>
      <c r="E167" s="238"/>
      <c r="F167" s="238"/>
      <c r="G167" s="229"/>
      <c r="H167" s="238"/>
      <c r="I167" s="238"/>
      <c r="J167" s="238"/>
      <c r="K167" s="238"/>
      <c r="L167" s="238"/>
      <c r="M167" s="238"/>
      <c r="N167" s="238"/>
      <c r="O167" s="238"/>
      <c r="P167" s="238"/>
      <c r="R167" s="238"/>
      <c r="S167" s="210" t="s">
        <v>606</v>
      </c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29"/>
      <c r="AF167" s="238"/>
      <c r="AG167" s="229"/>
      <c r="AH167" s="229"/>
      <c r="AI167" s="229"/>
      <c r="AJ167" s="229"/>
      <c r="AK167" s="229"/>
      <c r="AL167" s="229"/>
      <c r="AM167" s="229"/>
      <c r="AN167" s="229"/>
      <c r="AO167" s="229"/>
      <c r="AP167" s="229"/>
      <c r="AQ167" s="229"/>
      <c r="AR167" s="229"/>
      <c r="AS167" s="229"/>
      <c r="AT167" s="229"/>
      <c r="AU167" s="229"/>
      <c r="AV167" s="229"/>
      <c r="AW167" s="229"/>
      <c r="AX167" s="229"/>
      <c r="AY167" s="229"/>
      <c r="AZ167" s="229"/>
      <c r="BA167" s="229"/>
      <c r="BB167" s="229"/>
      <c r="BC167" s="229"/>
      <c r="BD167" s="229"/>
      <c r="BE167" s="229"/>
      <c r="BF167" s="229"/>
      <c r="BG167" s="229"/>
    </row>
    <row r="168" spans="1:60" s="131" customFormat="1" ht="18.75" customHeight="1">
      <c r="B168" s="57"/>
      <c r="C168" s="238" t="str">
        <f>"※ 교정에 사용된 "&amp;$T$5&amp;" 분해능의 반범위에 직사각형 확률분포를 적용하여 계산한다."</f>
        <v>※ 교정에 사용된 표준 측장기 분해능의 반범위에 직사각형 확률분포를 적용하여 계산한다.</v>
      </c>
      <c r="D168" s="229"/>
      <c r="E168" s="238"/>
      <c r="F168" s="238"/>
      <c r="G168" s="238"/>
      <c r="H168" s="238"/>
      <c r="I168" s="238"/>
      <c r="J168" s="238"/>
      <c r="K168" s="238"/>
      <c r="L168" s="238"/>
      <c r="M168" s="238"/>
      <c r="N168" s="238"/>
      <c r="O168" s="229"/>
      <c r="P168" s="211"/>
      <c r="Q168" s="211"/>
      <c r="R168" s="211"/>
      <c r="S168" s="211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29"/>
      <c r="AE168" s="229"/>
      <c r="AF168" s="179"/>
      <c r="AG168" s="179"/>
      <c r="AH168" s="179"/>
      <c r="AI168" s="238"/>
      <c r="AJ168" s="229"/>
      <c r="AK168" s="229"/>
      <c r="AL168" s="229"/>
      <c r="AM168" s="229"/>
      <c r="AN168" s="229"/>
      <c r="AO168" s="229"/>
      <c r="AP168" s="229"/>
      <c r="AQ168" s="229"/>
      <c r="AR168" s="229"/>
      <c r="AS168" s="229"/>
      <c r="AT168" s="229"/>
      <c r="AU168" s="229"/>
      <c r="AV168" s="229"/>
      <c r="AW168" s="229"/>
      <c r="AX168" s="229"/>
      <c r="AY168" s="229"/>
      <c r="AZ168" s="229"/>
      <c r="BA168" s="229"/>
      <c r="BB168" s="229"/>
      <c r="BC168" s="229"/>
      <c r="BD168" s="229"/>
      <c r="BE168" s="229"/>
      <c r="BF168" s="229"/>
      <c r="BG168" s="229"/>
    </row>
    <row r="169" spans="1:60" s="131" customFormat="1" ht="18.75" customHeight="1">
      <c r="B169" s="229"/>
      <c r="C169" s="243" t="s">
        <v>607</v>
      </c>
      <c r="D169" s="238"/>
      <c r="E169" s="238"/>
      <c r="F169" s="238"/>
      <c r="G169" s="238"/>
      <c r="H169" s="397">
        <f>H80</f>
        <v>0</v>
      </c>
      <c r="I169" s="397"/>
      <c r="J169" s="397"/>
      <c r="K169" s="397"/>
      <c r="L169" s="397"/>
      <c r="M169" s="397" t="str">
        <f>M80</f>
        <v>mm</v>
      </c>
      <c r="N169" s="397"/>
      <c r="O169" s="237"/>
      <c r="P169" s="243"/>
      <c r="AS169" s="206"/>
      <c r="AT169" s="206"/>
      <c r="AU169" s="206"/>
      <c r="AV169" s="206"/>
      <c r="AW169" s="206"/>
      <c r="AX169" s="206"/>
      <c r="AY169" s="206"/>
      <c r="AZ169" s="206"/>
      <c r="BA169" s="206"/>
      <c r="BB169" s="229"/>
      <c r="BC169" s="229"/>
      <c r="BD169" s="229"/>
      <c r="BE169" s="229"/>
      <c r="BF169" s="229"/>
      <c r="BG169" s="229"/>
    </row>
    <row r="170" spans="1:60" s="131" customFormat="1" ht="18.75" customHeight="1">
      <c r="B170" s="229"/>
      <c r="C170" s="238" t="s">
        <v>147</v>
      </c>
      <c r="D170" s="238"/>
      <c r="E170" s="238"/>
      <c r="F170" s="238"/>
      <c r="G170" s="238"/>
      <c r="H170" s="238"/>
      <c r="I170" s="229"/>
      <c r="J170" s="61" t="s">
        <v>608</v>
      </c>
      <c r="K170" s="234"/>
      <c r="L170" s="234"/>
      <c r="M170" s="234"/>
      <c r="N170" s="234"/>
      <c r="O170" s="234"/>
      <c r="P170" s="234"/>
      <c r="Q170" s="451">
        <f>Calcu!G59</f>
        <v>0</v>
      </c>
      <c r="R170" s="451"/>
      <c r="S170" s="451"/>
      <c r="T170" s="452" t="s">
        <v>120</v>
      </c>
      <c r="U170" s="452"/>
      <c r="V170" s="452"/>
      <c r="W170" s="234"/>
      <c r="X170" s="234"/>
      <c r="Y170" s="234"/>
      <c r="Z170" s="234"/>
      <c r="AS170" s="206"/>
      <c r="AT170" s="206"/>
      <c r="AU170" s="206"/>
      <c r="AV170" s="206"/>
      <c r="AW170" s="206"/>
      <c r="AX170" s="206"/>
      <c r="AY170" s="206"/>
      <c r="AZ170" s="206"/>
      <c r="BA170" s="206"/>
      <c r="BB170" s="229"/>
      <c r="BC170" s="229"/>
      <c r="BD170" s="229"/>
      <c r="BE170" s="229"/>
      <c r="BF170" s="229"/>
      <c r="BG170" s="229"/>
    </row>
    <row r="171" spans="1:60" s="131" customFormat="1" ht="18.75" customHeight="1">
      <c r="B171" s="229"/>
      <c r="D171" s="238"/>
      <c r="E171" s="238"/>
      <c r="F171" s="238"/>
      <c r="G171" s="238"/>
      <c r="H171" s="238"/>
      <c r="I171" s="238"/>
      <c r="J171" s="390" t="s">
        <v>609</v>
      </c>
      <c r="K171" s="390"/>
      <c r="L171" s="390"/>
      <c r="M171" s="453" t="s">
        <v>121</v>
      </c>
      <c r="N171" s="389">
        <f>Q170</f>
        <v>0</v>
      </c>
      <c r="O171" s="389"/>
      <c r="P171" s="236" t="s">
        <v>148</v>
      </c>
      <c r="Q171" s="236"/>
      <c r="R171" s="453" t="s">
        <v>589</v>
      </c>
      <c r="S171" s="392">
        <f>N171/2/SQRT(3)</f>
        <v>0</v>
      </c>
      <c r="T171" s="392"/>
      <c r="U171" s="392"/>
      <c r="V171" s="397" t="s">
        <v>148</v>
      </c>
      <c r="W171" s="397"/>
      <c r="X171" s="238"/>
      <c r="Y171" s="59"/>
      <c r="Z171" s="229"/>
      <c r="AA171" s="229"/>
      <c r="AB171" s="229"/>
      <c r="AC171" s="229"/>
      <c r="AD171" s="229"/>
      <c r="AE171" s="238"/>
      <c r="AF171" s="238"/>
      <c r="AG171" s="238"/>
      <c r="AH171" s="238"/>
      <c r="AI171" s="238"/>
      <c r="AJ171" s="238"/>
      <c r="AK171" s="238"/>
      <c r="AL171" s="238"/>
      <c r="AM171" s="229"/>
      <c r="AN171" s="229"/>
      <c r="AO171" s="229"/>
      <c r="AP171" s="229"/>
      <c r="AQ171" s="238"/>
      <c r="AR171" s="238"/>
      <c r="AS171" s="238"/>
      <c r="AT171" s="238"/>
      <c r="AU171" s="238"/>
      <c r="AV171" s="238"/>
      <c r="AW171" s="238"/>
      <c r="AX171" s="238"/>
      <c r="AY171" s="229"/>
      <c r="AZ171" s="229"/>
      <c r="BA171" s="229"/>
      <c r="BB171" s="229"/>
      <c r="BC171" s="229"/>
      <c r="BD171" s="229"/>
      <c r="BE171" s="229"/>
      <c r="BF171" s="229"/>
      <c r="BG171" s="229"/>
    </row>
    <row r="172" spans="1:60" s="131" customFormat="1" ht="18.75" customHeight="1">
      <c r="B172" s="229"/>
      <c r="C172" s="238"/>
      <c r="D172" s="238"/>
      <c r="E172" s="238"/>
      <c r="F172" s="238"/>
      <c r="G172" s="238"/>
      <c r="H172" s="238"/>
      <c r="I172" s="238"/>
      <c r="J172" s="390"/>
      <c r="K172" s="390"/>
      <c r="L172" s="390"/>
      <c r="M172" s="453"/>
      <c r="N172" s="212"/>
      <c r="O172" s="212"/>
      <c r="P172" s="212"/>
      <c r="Q172" s="212"/>
      <c r="R172" s="453"/>
      <c r="S172" s="392"/>
      <c r="T172" s="392"/>
      <c r="U172" s="392"/>
      <c r="V172" s="397"/>
      <c r="W172" s="397"/>
      <c r="X172" s="213"/>
      <c r="Y172" s="59"/>
      <c r="Z172" s="238"/>
      <c r="AA172" s="229"/>
      <c r="AB172" s="229"/>
      <c r="AC172" s="229"/>
      <c r="AD172" s="229"/>
      <c r="AE172" s="238"/>
      <c r="AF172" s="238"/>
      <c r="AG172" s="238"/>
      <c r="AH172" s="238"/>
      <c r="AI172" s="238"/>
      <c r="AJ172" s="238"/>
      <c r="AK172" s="238"/>
      <c r="AL172" s="238"/>
      <c r="AM172" s="229"/>
      <c r="AN172" s="229"/>
      <c r="AO172" s="229"/>
      <c r="AP172" s="229"/>
      <c r="AQ172" s="238"/>
      <c r="AR172" s="238"/>
      <c r="AS172" s="238"/>
      <c r="AT172" s="238"/>
      <c r="AU172" s="238"/>
      <c r="AV172" s="238"/>
      <c r="AW172" s="238"/>
      <c r="AX172" s="238"/>
      <c r="AY172" s="229"/>
      <c r="AZ172" s="229"/>
      <c r="BA172" s="229"/>
      <c r="BB172" s="229"/>
      <c r="BC172" s="229"/>
      <c r="BD172" s="229"/>
      <c r="BE172" s="229"/>
      <c r="BF172" s="229"/>
      <c r="BG172" s="229"/>
    </row>
    <row r="173" spans="1:60" s="131" customFormat="1" ht="18.75" customHeight="1">
      <c r="B173" s="229"/>
      <c r="C173" s="238" t="s">
        <v>149</v>
      </c>
      <c r="D173" s="238"/>
      <c r="E173" s="238"/>
      <c r="F173" s="238"/>
      <c r="G173" s="238"/>
      <c r="H173" s="238"/>
      <c r="I173" s="393" t="str">
        <f>V80</f>
        <v>직사각형</v>
      </c>
      <c r="J173" s="393"/>
      <c r="K173" s="393"/>
      <c r="L173" s="393"/>
      <c r="M173" s="393"/>
      <c r="N173" s="393"/>
      <c r="O173" s="393"/>
      <c r="P173" s="393"/>
      <c r="Q173" s="238"/>
      <c r="R173" s="238"/>
      <c r="S173" s="238"/>
      <c r="T173" s="238"/>
      <c r="U173" s="238"/>
      <c r="V173" s="238"/>
      <c r="W173" s="238"/>
      <c r="X173" s="238"/>
      <c r="Y173" s="238"/>
      <c r="Z173" s="229"/>
      <c r="AA173" s="229"/>
      <c r="AB173" s="229"/>
      <c r="AC173" s="229"/>
      <c r="AD173" s="229"/>
      <c r="AE173" s="229"/>
      <c r="AF173" s="229"/>
      <c r="AG173" s="229"/>
      <c r="AH173" s="238"/>
      <c r="AI173" s="238"/>
      <c r="AJ173" s="238"/>
      <c r="AK173" s="238"/>
      <c r="AL173" s="229"/>
      <c r="AM173" s="229"/>
      <c r="AN173" s="229"/>
      <c r="AO173" s="229"/>
      <c r="AP173" s="229"/>
      <c r="AQ173" s="229"/>
      <c r="AR173" s="229"/>
      <c r="AS173" s="238"/>
      <c r="AT173" s="238"/>
      <c r="AU173" s="238"/>
      <c r="AV173" s="238"/>
      <c r="AW173" s="238"/>
      <c r="AX173" s="238"/>
      <c r="AY173" s="229"/>
      <c r="AZ173" s="229"/>
      <c r="BA173" s="229"/>
      <c r="BB173" s="229"/>
      <c r="BC173" s="229"/>
      <c r="BD173" s="229"/>
      <c r="BE173" s="229"/>
      <c r="BF173" s="229"/>
      <c r="BG173" s="229"/>
    </row>
    <row r="174" spans="1:60" ht="18.75" customHeight="1">
      <c r="A174" s="243"/>
      <c r="B174" s="243"/>
      <c r="C174" s="394" t="s">
        <v>150</v>
      </c>
      <c r="D174" s="394"/>
      <c r="E174" s="394"/>
      <c r="F174" s="394"/>
      <c r="G174" s="394"/>
      <c r="H174" s="394"/>
      <c r="I174" s="238"/>
      <c r="J174" s="238"/>
      <c r="K174" s="243"/>
      <c r="L174" s="243"/>
      <c r="O174" s="393">
        <f>AA80:AA80</f>
        <v>1</v>
      </c>
      <c r="P174" s="393"/>
      <c r="Q174" s="243"/>
      <c r="R174" s="243"/>
      <c r="S174" s="243"/>
      <c r="X174" s="243"/>
      <c r="Y174" s="243"/>
      <c r="Z174" s="243"/>
      <c r="AA174" s="243"/>
      <c r="AB174" s="243"/>
      <c r="AC174" s="243"/>
      <c r="AD174" s="243"/>
      <c r="AE174" s="243"/>
      <c r="AF174" s="243"/>
      <c r="AG174" s="243"/>
      <c r="AH174" s="243"/>
      <c r="AI174" s="243"/>
      <c r="AJ174" s="243"/>
      <c r="AK174" s="243"/>
      <c r="AL174" s="243"/>
    </row>
    <row r="175" spans="1:60" ht="18.75" customHeight="1">
      <c r="A175" s="243"/>
      <c r="B175" s="243"/>
      <c r="C175" s="394"/>
      <c r="D175" s="394"/>
      <c r="E175" s="394"/>
      <c r="F175" s="394"/>
      <c r="G175" s="394"/>
      <c r="H175" s="394"/>
      <c r="I175" s="233"/>
      <c r="J175" s="233"/>
      <c r="K175" s="243"/>
      <c r="L175" s="243"/>
      <c r="O175" s="393"/>
      <c r="P175" s="393"/>
      <c r="Q175" s="243"/>
      <c r="R175" s="243"/>
      <c r="S175" s="243"/>
      <c r="X175" s="243"/>
      <c r="Y175" s="243"/>
      <c r="Z175" s="243"/>
      <c r="AA175" s="243"/>
      <c r="AB175" s="243"/>
      <c r="AC175" s="243"/>
      <c r="AD175" s="243"/>
      <c r="AE175" s="243"/>
      <c r="AF175" s="243"/>
      <c r="AG175" s="243"/>
      <c r="AH175" s="243"/>
      <c r="AI175" s="243"/>
      <c r="AJ175" s="243"/>
      <c r="AK175" s="243"/>
      <c r="AL175" s="243"/>
    </row>
    <row r="176" spans="1:60" s="243" customFormat="1" ht="18.75" customHeight="1">
      <c r="C176" s="243" t="s">
        <v>610</v>
      </c>
      <c r="K176" s="239" t="s">
        <v>73</v>
      </c>
      <c r="L176" s="395">
        <f>O174</f>
        <v>1</v>
      </c>
      <c r="M176" s="395"/>
      <c r="N176" s="229" t="s">
        <v>611</v>
      </c>
      <c r="O176" s="392">
        <f>S171</f>
        <v>0</v>
      </c>
      <c r="P176" s="397"/>
      <c r="Q176" s="397"/>
      <c r="R176" s="396" t="str">
        <f>V171</f>
        <v>μm</v>
      </c>
      <c r="S176" s="397"/>
      <c r="T176" s="239" t="s">
        <v>73</v>
      </c>
      <c r="U176" s="71" t="s">
        <v>121</v>
      </c>
      <c r="V176" s="392">
        <f>L176*O176</f>
        <v>0</v>
      </c>
      <c r="W176" s="392"/>
      <c r="X176" s="392"/>
      <c r="Y176" s="240" t="str">
        <f>R176</f>
        <v>μm</v>
      </c>
      <c r="Z176" s="56"/>
      <c r="AA176" s="237"/>
      <c r="AB176" s="238"/>
      <c r="AC176" s="238"/>
      <c r="AD176" s="238"/>
      <c r="AE176" s="237"/>
    </row>
    <row r="177" spans="1:60" s="131" customFormat="1" ht="18.75" customHeight="1">
      <c r="B177" s="229"/>
      <c r="C177" s="394" t="s">
        <v>612</v>
      </c>
      <c r="D177" s="394"/>
      <c r="E177" s="394"/>
      <c r="F177" s="394"/>
      <c r="G177" s="394"/>
      <c r="H177" s="238"/>
      <c r="I177" s="104"/>
      <c r="J177" s="238"/>
      <c r="K177" s="238"/>
      <c r="L177" s="238"/>
      <c r="M177" s="238"/>
      <c r="N177" s="238"/>
      <c r="O177" s="238"/>
      <c r="P177" s="238"/>
      <c r="Q177" s="238"/>
      <c r="R177" s="132"/>
      <c r="S177" s="238"/>
      <c r="T177" s="238"/>
      <c r="U177" s="238"/>
      <c r="V177" s="243"/>
      <c r="W177" s="243" t="s">
        <v>558</v>
      </c>
      <c r="Y177" s="238"/>
      <c r="Z177" s="238"/>
      <c r="AA177" s="238"/>
      <c r="AB177" s="238"/>
      <c r="AC177" s="238"/>
      <c r="AD177" s="238"/>
      <c r="AE177" s="229"/>
      <c r="AF177" s="229"/>
      <c r="AG177" s="229"/>
      <c r="AH177" s="229"/>
      <c r="AI177" s="229"/>
      <c r="AJ177" s="229"/>
      <c r="AK177" s="229"/>
      <c r="AL177" s="229"/>
      <c r="AM177" s="229"/>
      <c r="AN177" s="229"/>
      <c r="AO177" s="229"/>
      <c r="AP177" s="229"/>
      <c r="AQ177" s="229"/>
      <c r="AR177" s="229"/>
      <c r="AS177" s="229"/>
      <c r="AT177" s="229"/>
      <c r="AU177" s="229"/>
      <c r="AV177" s="229"/>
      <c r="AW177" s="229"/>
      <c r="AX177" s="229"/>
      <c r="AY177" s="229"/>
      <c r="AZ177" s="229"/>
      <c r="BA177" s="229"/>
      <c r="BB177" s="229"/>
      <c r="BC177" s="229"/>
      <c r="BD177" s="229"/>
      <c r="BE177" s="229"/>
      <c r="BF177" s="229"/>
      <c r="BG177" s="229"/>
    </row>
    <row r="178" spans="1:60" s="131" customFormat="1" ht="18.75" customHeight="1">
      <c r="B178" s="229"/>
      <c r="C178" s="394"/>
      <c r="D178" s="394"/>
      <c r="E178" s="394"/>
      <c r="F178" s="394"/>
      <c r="G178" s="394"/>
      <c r="H178" s="238"/>
      <c r="I178" s="238"/>
      <c r="J178" s="238"/>
      <c r="K178" s="238"/>
      <c r="L178" s="238"/>
      <c r="M178" s="238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  <c r="AA178" s="238"/>
      <c r="AB178" s="238"/>
      <c r="AC178" s="238"/>
      <c r="AD178" s="238"/>
      <c r="AE178" s="229"/>
      <c r="AF178" s="238"/>
      <c r="AG178" s="229"/>
      <c r="AH178" s="229"/>
      <c r="AI178" s="229"/>
      <c r="AJ178" s="229"/>
      <c r="AK178" s="229"/>
      <c r="AL178" s="229"/>
      <c r="AM178" s="229"/>
      <c r="AN178" s="229"/>
      <c r="AO178" s="229"/>
      <c r="AP178" s="229"/>
      <c r="AQ178" s="229"/>
      <c r="AR178" s="229"/>
      <c r="AS178" s="229"/>
      <c r="AT178" s="229"/>
      <c r="AU178" s="229"/>
      <c r="AV178" s="229"/>
      <c r="AW178" s="229"/>
      <c r="AX178" s="229"/>
      <c r="AY178" s="229"/>
      <c r="AZ178" s="229"/>
      <c r="BA178" s="229"/>
      <c r="BB178" s="229"/>
      <c r="BC178" s="229"/>
      <c r="BD178" s="229"/>
      <c r="BE178" s="229"/>
      <c r="BF178" s="229"/>
      <c r="BG178" s="229"/>
    </row>
    <row r="179" spans="1:60" s="131" customFormat="1" ht="18.75" customHeight="1">
      <c r="B179" s="229"/>
      <c r="C179" s="238"/>
      <c r="D179" s="238"/>
      <c r="E179" s="238"/>
      <c r="F179" s="238"/>
      <c r="G179" s="229"/>
      <c r="H179" s="238"/>
      <c r="I179" s="238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  <c r="AB179" s="238"/>
      <c r="AC179" s="238"/>
      <c r="AD179" s="238"/>
      <c r="AE179" s="229"/>
      <c r="AF179" s="238"/>
      <c r="AG179" s="229"/>
      <c r="AH179" s="229"/>
      <c r="AI179" s="229"/>
      <c r="AJ179" s="229"/>
      <c r="AK179" s="229"/>
      <c r="AL179" s="229"/>
      <c r="AM179" s="229"/>
      <c r="AN179" s="229"/>
      <c r="AO179" s="229"/>
      <c r="AP179" s="229"/>
      <c r="AQ179" s="229"/>
      <c r="AR179" s="229"/>
      <c r="AS179" s="229"/>
      <c r="AT179" s="229"/>
      <c r="AU179" s="229"/>
      <c r="AV179" s="229"/>
      <c r="AW179" s="229"/>
      <c r="AX179" s="229"/>
      <c r="AY179" s="229"/>
      <c r="AZ179" s="229"/>
      <c r="BA179" s="229"/>
      <c r="BB179" s="229"/>
      <c r="BC179" s="229"/>
      <c r="BD179" s="229"/>
      <c r="BE179" s="229"/>
      <c r="BF179" s="229"/>
      <c r="BG179" s="229"/>
    </row>
    <row r="180" spans="1:60" s="131" customFormat="1" ht="18.75" customHeight="1">
      <c r="A180" s="57" t="s">
        <v>613</v>
      </c>
      <c r="B180" s="229"/>
      <c r="C180" s="229"/>
      <c r="D180" s="229"/>
      <c r="E180" s="229"/>
      <c r="F180" s="229"/>
      <c r="G180" s="229"/>
      <c r="H180" s="229"/>
      <c r="I180" s="229"/>
      <c r="J180" s="229"/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  <c r="AA180" s="229"/>
      <c r="AB180" s="229"/>
      <c r="AC180" s="229"/>
      <c r="AD180" s="229"/>
      <c r="AE180" s="229"/>
      <c r="AF180" s="229"/>
      <c r="AG180" s="229"/>
      <c r="AH180" s="229"/>
      <c r="AI180" s="229"/>
      <c r="AJ180" s="229"/>
      <c r="AK180" s="229"/>
      <c r="AL180" s="229"/>
      <c r="AM180" s="229"/>
      <c r="AN180" s="229"/>
      <c r="AO180" s="229"/>
      <c r="AP180" s="229"/>
      <c r="AQ180" s="229"/>
      <c r="AR180" s="229"/>
      <c r="AS180" s="229"/>
      <c r="AT180" s="229"/>
      <c r="AU180" s="229"/>
      <c r="AV180" s="229"/>
      <c r="AW180" s="229"/>
      <c r="AX180" s="229"/>
      <c r="AY180" s="229"/>
      <c r="AZ180" s="229"/>
      <c r="BA180" s="229"/>
      <c r="BB180" s="229"/>
      <c r="BC180" s="229"/>
      <c r="BD180" s="229"/>
      <c r="BE180" s="229"/>
      <c r="BF180" s="229"/>
    </row>
    <row r="181" spans="1:60" s="131" customFormat="1" ht="18.75" customHeight="1">
      <c r="A181" s="229"/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  <c r="AA181" s="229"/>
      <c r="AB181" s="229"/>
      <c r="AC181" s="229"/>
      <c r="AD181" s="229"/>
      <c r="AE181" s="238"/>
      <c r="AF181" s="229"/>
      <c r="AG181" s="229"/>
      <c r="AH181" s="229"/>
      <c r="AI181" s="229"/>
      <c r="AJ181" s="229"/>
      <c r="AK181" s="229"/>
      <c r="AL181" s="229"/>
      <c r="AM181" s="229"/>
      <c r="AN181" s="229"/>
      <c r="AO181" s="229"/>
      <c r="AP181" s="229"/>
      <c r="AQ181" s="229"/>
      <c r="AR181" s="229"/>
      <c r="AS181" s="229"/>
      <c r="AT181" s="229"/>
      <c r="AU181" s="229"/>
      <c r="AV181" s="229"/>
      <c r="AW181" s="229"/>
      <c r="AX181" s="229"/>
      <c r="AY181" s="229"/>
      <c r="AZ181" s="229"/>
      <c r="BA181" s="229"/>
      <c r="BB181" s="229"/>
      <c r="BC181" s="229"/>
      <c r="BD181" s="229"/>
      <c r="BE181" s="229"/>
      <c r="BF181" s="229"/>
    </row>
    <row r="182" spans="1:60" s="58" customFormat="1" ht="18.75" customHeight="1">
      <c r="C182" s="238"/>
      <c r="D182" s="238"/>
      <c r="E182" s="229" t="s">
        <v>121</v>
      </c>
      <c r="F182" s="409" t="e">
        <f>AH73</f>
        <v>#VALUE!</v>
      </c>
      <c r="G182" s="409"/>
      <c r="H182" s="409"/>
      <c r="I182" s="238" t="s">
        <v>590</v>
      </c>
      <c r="J182" s="238"/>
      <c r="K182" s="391" t="s">
        <v>152</v>
      </c>
      <c r="L182" s="391"/>
      <c r="M182" s="409" t="e">
        <f>AH74</f>
        <v>#VALUE!</v>
      </c>
      <c r="N182" s="409"/>
      <c r="O182" s="409"/>
      <c r="P182" s="238" t="s">
        <v>120</v>
      </c>
      <c r="Q182" s="238"/>
      <c r="R182" s="391" t="s">
        <v>614</v>
      </c>
      <c r="S182" s="391"/>
      <c r="T182" s="409" t="e">
        <f>AH75</f>
        <v>#VALUE!</v>
      </c>
      <c r="U182" s="409"/>
      <c r="V182" s="409"/>
      <c r="W182" s="238" t="s">
        <v>556</v>
      </c>
      <c r="X182" s="238"/>
      <c r="Y182" s="391" t="s">
        <v>152</v>
      </c>
      <c r="Z182" s="391"/>
      <c r="AA182" s="409" t="e">
        <f>AH76</f>
        <v>#DIV/0!</v>
      </c>
      <c r="AB182" s="409"/>
      <c r="AC182" s="409"/>
      <c r="AD182" s="238" t="s">
        <v>120</v>
      </c>
      <c r="AE182" s="238"/>
      <c r="AF182" s="391" t="s">
        <v>152</v>
      </c>
      <c r="AG182" s="391"/>
      <c r="AH182" s="409" t="e">
        <f>AH77</f>
        <v>#DIV/0!</v>
      </c>
      <c r="AI182" s="409"/>
      <c r="AJ182" s="409"/>
      <c r="AK182" s="238" t="s">
        <v>120</v>
      </c>
      <c r="AL182" s="238"/>
      <c r="AM182" s="391" t="s">
        <v>152</v>
      </c>
      <c r="AN182" s="391"/>
      <c r="AO182" s="409" t="e">
        <f>AH78</f>
        <v>#VALUE!</v>
      </c>
      <c r="AP182" s="409"/>
      <c r="AQ182" s="409"/>
      <c r="AR182" s="238" t="s">
        <v>556</v>
      </c>
      <c r="AS182" s="238"/>
      <c r="AT182" s="238"/>
      <c r="AU182" s="238"/>
      <c r="AV182" s="179"/>
      <c r="AW182" s="179"/>
      <c r="AX182" s="179"/>
      <c r="AY182" s="238"/>
      <c r="AZ182" s="238"/>
      <c r="BA182" s="238"/>
      <c r="BB182" s="238"/>
      <c r="BC182" s="238"/>
      <c r="BD182" s="238"/>
      <c r="BE182" s="238"/>
      <c r="BF182" s="238"/>
      <c r="BG182" s="238"/>
      <c r="BH182" s="238"/>
    </row>
    <row r="183" spans="1:60" s="58" customFormat="1" ht="18.75" customHeight="1">
      <c r="C183" s="238"/>
      <c r="D183" s="238"/>
      <c r="E183" s="229"/>
      <c r="F183" s="391" t="s">
        <v>152</v>
      </c>
      <c r="G183" s="391"/>
      <c r="H183" s="409" t="e">
        <f>AH79</f>
        <v>#VALUE!</v>
      </c>
      <c r="I183" s="409"/>
      <c r="J183" s="409"/>
      <c r="K183" s="238" t="s">
        <v>120</v>
      </c>
      <c r="L183" s="238"/>
      <c r="M183" s="391" t="s">
        <v>152</v>
      </c>
      <c r="N183" s="391"/>
      <c r="O183" s="409">
        <f>AH80</f>
        <v>0</v>
      </c>
      <c r="P183" s="409"/>
      <c r="Q183" s="409"/>
      <c r="R183" s="238" t="s">
        <v>556</v>
      </c>
      <c r="S183" s="238"/>
      <c r="T183" s="230"/>
      <c r="U183" s="230"/>
      <c r="V183" s="230"/>
      <c r="W183" s="238"/>
      <c r="X183" s="238"/>
      <c r="Y183" s="229"/>
      <c r="Z183" s="229"/>
      <c r="AA183" s="230"/>
      <c r="AB183" s="230"/>
      <c r="AC183" s="230"/>
      <c r="AD183" s="238"/>
      <c r="AE183" s="238"/>
      <c r="AF183" s="229"/>
      <c r="AG183" s="229"/>
      <c r="AH183" s="230"/>
      <c r="AI183" s="230"/>
      <c r="AJ183" s="230"/>
      <c r="AK183" s="238"/>
      <c r="AL183" s="238"/>
      <c r="AM183" s="229"/>
      <c r="AN183" s="229"/>
      <c r="AO183" s="230"/>
      <c r="AP183" s="230"/>
      <c r="AQ183" s="230"/>
      <c r="AR183" s="238"/>
      <c r="AS183" s="238"/>
      <c r="AT183" s="238"/>
      <c r="AU183" s="238"/>
      <c r="AV183" s="179"/>
      <c r="AW183" s="179"/>
      <c r="AX183" s="179"/>
      <c r="AY183" s="238"/>
      <c r="AZ183" s="238"/>
      <c r="BA183" s="238"/>
      <c r="BB183" s="238"/>
      <c r="BC183" s="238"/>
      <c r="BD183" s="238"/>
      <c r="BE183" s="238"/>
      <c r="BF183" s="238"/>
      <c r="BG183" s="238"/>
      <c r="BH183" s="238"/>
    </row>
    <row r="184" spans="1:60" s="58" customFormat="1" ht="18.75" customHeight="1">
      <c r="C184" s="238"/>
      <c r="D184" s="238"/>
      <c r="E184" s="229" t="s">
        <v>536</v>
      </c>
      <c r="F184" s="409" t="e">
        <f>AH81</f>
        <v>#VALUE!</v>
      </c>
      <c r="G184" s="409"/>
      <c r="H184" s="409"/>
      <c r="I184" s="238" t="s">
        <v>120</v>
      </c>
      <c r="J184" s="238"/>
      <c r="K184" s="238"/>
      <c r="L184" s="238"/>
      <c r="M184" s="134"/>
      <c r="N184" s="134"/>
      <c r="O184" s="134"/>
      <c r="P184" s="134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29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  <c r="AS184" s="238"/>
      <c r="AT184" s="238"/>
      <c r="AU184" s="238"/>
      <c r="AV184" s="238"/>
      <c r="AW184" s="238"/>
      <c r="AX184" s="238"/>
      <c r="AY184" s="238"/>
      <c r="AZ184" s="238"/>
      <c r="BA184" s="238"/>
      <c r="BB184" s="238"/>
      <c r="BC184" s="238"/>
      <c r="BD184" s="238"/>
      <c r="BE184" s="238"/>
      <c r="BF184" s="238"/>
      <c r="BG184" s="238"/>
      <c r="BH184" s="238"/>
    </row>
    <row r="185" spans="1:60" s="58" customFormat="1" ht="18.75" customHeight="1">
      <c r="C185" s="238"/>
      <c r="D185" s="238"/>
      <c r="E185" s="238"/>
      <c r="F185" s="130"/>
      <c r="G185" s="130"/>
      <c r="H185" s="130"/>
      <c r="I185" s="238"/>
      <c r="J185" s="238"/>
      <c r="K185" s="229"/>
      <c r="L185" s="229"/>
      <c r="M185" s="232"/>
      <c r="N185" s="232"/>
      <c r="O185" s="232"/>
      <c r="P185" s="232"/>
      <c r="Q185" s="238"/>
      <c r="R185" s="238"/>
      <c r="S185" s="238"/>
      <c r="T185" s="238"/>
      <c r="U185" s="238"/>
      <c r="V185" s="238"/>
      <c r="W185" s="238"/>
      <c r="X185" s="238"/>
      <c r="Y185" s="238"/>
      <c r="Z185" s="238"/>
      <c r="AA185" s="238"/>
      <c r="AB185" s="238"/>
      <c r="AC185" s="238"/>
      <c r="AD185" s="238"/>
      <c r="AE185" s="238"/>
      <c r="AF185" s="238"/>
      <c r="AG185" s="238"/>
      <c r="AH185" s="238"/>
      <c r="AI185" s="238"/>
      <c r="AJ185" s="238"/>
      <c r="AK185" s="238"/>
      <c r="AL185" s="238"/>
      <c r="AM185" s="238"/>
      <c r="AN185" s="238"/>
      <c r="AO185" s="238"/>
      <c r="AP185" s="238"/>
      <c r="AQ185" s="238"/>
      <c r="AR185" s="238"/>
      <c r="AS185" s="238"/>
      <c r="AT185" s="238"/>
      <c r="AU185" s="238"/>
      <c r="AV185" s="238"/>
      <c r="AW185" s="238"/>
      <c r="AX185" s="238"/>
      <c r="AY185" s="238"/>
      <c r="AZ185" s="238"/>
      <c r="BA185" s="238"/>
      <c r="BB185" s="238"/>
      <c r="BC185" s="238"/>
      <c r="BD185" s="238"/>
      <c r="BE185" s="238"/>
      <c r="BF185" s="238"/>
      <c r="BG185" s="238"/>
      <c r="BH185" s="238"/>
    </row>
    <row r="186" spans="1:60" s="131" customFormat="1" ht="18.75" customHeight="1">
      <c r="A186" s="229"/>
      <c r="B186" s="229"/>
      <c r="C186" s="229"/>
      <c r="D186" s="133" t="s">
        <v>615</v>
      </c>
      <c r="E186" s="229" t="s">
        <v>536</v>
      </c>
      <c r="F186" s="409" t="e">
        <f>F184</f>
        <v>#VALUE!</v>
      </c>
      <c r="G186" s="409"/>
      <c r="H186" s="409"/>
      <c r="I186" s="238" t="s">
        <v>556</v>
      </c>
      <c r="J186" s="134"/>
      <c r="K186" s="134"/>
      <c r="L186" s="134"/>
      <c r="M186" s="134"/>
      <c r="N186" s="229"/>
      <c r="O186" s="229"/>
      <c r="P186" s="238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  <c r="AA186" s="229"/>
      <c r="AB186" s="229"/>
      <c r="AC186" s="229"/>
      <c r="AD186" s="229"/>
      <c r="AE186" s="238"/>
      <c r="AF186" s="229"/>
      <c r="AG186" s="229"/>
      <c r="AH186" s="229"/>
      <c r="AI186" s="229"/>
      <c r="AJ186" s="229"/>
      <c r="AK186" s="229"/>
      <c r="AL186" s="229"/>
      <c r="AM186" s="229"/>
      <c r="AN186" s="229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9"/>
      <c r="AZ186" s="229"/>
      <c r="BA186" s="229"/>
      <c r="BB186" s="229"/>
      <c r="BC186" s="229"/>
      <c r="BD186" s="229"/>
      <c r="BE186" s="229"/>
      <c r="BF186" s="229"/>
    </row>
    <row r="187" spans="1:60" s="238" customFormat="1" ht="18.75" customHeight="1"/>
    <row r="188" spans="1:60" ht="18.75" customHeight="1">
      <c r="A188" s="57" t="s">
        <v>153</v>
      </c>
      <c r="B188" s="243"/>
      <c r="C188" s="243"/>
      <c r="D188" s="243"/>
      <c r="E188" s="243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  <c r="Z188" s="243"/>
      <c r="AA188" s="243"/>
      <c r="AB188" s="243"/>
      <c r="AC188" s="243"/>
      <c r="AD188" s="243"/>
      <c r="AE188" s="243"/>
      <c r="AF188" s="243"/>
      <c r="AG188" s="243"/>
      <c r="AH188" s="243"/>
      <c r="AI188" s="243"/>
      <c r="AJ188" s="243"/>
      <c r="AK188" s="243"/>
      <c r="AL188" s="243"/>
      <c r="AM188" s="243"/>
      <c r="AN188" s="243"/>
      <c r="AO188" s="243"/>
      <c r="AP188" s="243"/>
      <c r="AQ188" s="243"/>
      <c r="AR188" s="243"/>
      <c r="AS188" s="243"/>
      <c r="AT188" s="243"/>
      <c r="AU188" s="243"/>
      <c r="AV188" s="243"/>
      <c r="AW188" s="243"/>
      <c r="AX188" s="243"/>
      <c r="AY188" s="243"/>
      <c r="AZ188" s="243"/>
      <c r="BA188" s="243"/>
      <c r="BB188" s="243"/>
      <c r="BC188" s="243"/>
      <c r="BD188" s="243"/>
      <c r="BE188" s="243"/>
      <c r="BF188" s="243"/>
    </row>
    <row r="189" spans="1:60" ht="18.75" customHeight="1">
      <c r="A189" s="243"/>
      <c r="B189" s="243"/>
      <c r="C189" s="243"/>
      <c r="D189" s="243"/>
      <c r="E189" s="243"/>
      <c r="F189" s="243"/>
      <c r="G189" s="243"/>
      <c r="H189" s="243"/>
      <c r="I189" s="243"/>
      <c r="J189" s="243"/>
      <c r="K189" s="243"/>
      <c r="L189" s="454" t="e">
        <f>AH81</f>
        <v>#VALUE!</v>
      </c>
      <c r="M189" s="454"/>
      <c r="N189" s="454"/>
      <c r="O189" s="454"/>
      <c r="P189" s="454"/>
      <c r="Q189" s="454"/>
      <c r="R189" s="454"/>
      <c r="S189" s="454"/>
      <c r="T189" s="454"/>
      <c r="U189" s="454"/>
      <c r="V189" s="454"/>
      <c r="W189" s="454"/>
      <c r="X189" s="454"/>
      <c r="Y189" s="454"/>
      <c r="Z189" s="454"/>
      <c r="AA189" s="454"/>
      <c r="AB189" s="454"/>
      <c r="AC189" s="454"/>
      <c r="AD189" s="454"/>
      <c r="AE189" s="454"/>
      <c r="AF189" s="454"/>
      <c r="AG189" s="454"/>
      <c r="AH189" s="454"/>
      <c r="AI189" s="454"/>
      <c r="AJ189" s="454"/>
      <c r="AK189" s="454"/>
      <c r="AL189" s="391" t="s">
        <v>154</v>
      </c>
      <c r="AM189" s="393" t="e">
        <f>AP81</f>
        <v>#VALUE!</v>
      </c>
      <c r="AN189" s="393"/>
      <c r="AO189" s="393"/>
      <c r="AP189" s="393"/>
      <c r="AQ189" s="393"/>
      <c r="AR189" s="393"/>
    </row>
    <row r="190" spans="1:60" ht="18.75" customHeight="1">
      <c r="A190" s="243"/>
      <c r="B190" s="243"/>
      <c r="C190" s="243"/>
      <c r="D190" s="243"/>
      <c r="E190" s="243"/>
      <c r="F190" s="243"/>
      <c r="G190" s="243"/>
      <c r="H190" s="243"/>
      <c r="I190" s="243"/>
      <c r="J190" s="243"/>
      <c r="K190" s="243"/>
      <c r="L190" s="243"/>
      <c r="M190" s="411" t="e">
        <f>AH73</f>
        <v>#VALUE!</v>
      </c>
      <c r="N190" s="411"/>
      <c r="O190" s="411"/>
      <c r="P190" s="205"/>
      <c r="Q190" s="410" t="s">
        <v>155</v>
      </c>
      <c r="R190" s="411" t="e">
        <f>AH74</f>
        <v>#VALUE!</v>
      </c>
      <c r="S190" s="411"/>
      <c r="T190" s="411"/>
      <c r="U190" s="205"/>
      <c r="V190" s="410" t="s">
        <v>155</v>
      </c>
      <c r="W190" s="411" t="e">
        <f>AH75</f>
        <v>#VALUE!</v>
      </c>
      <c r="X190" s="411"/>
      <c r="Y190" s="411"/>
      <c r="Z190" s="205"/>
      <c r="AA190" s="410" t="s">
        <v>155</v>
      </c>
      <c r="AB190" s="411" t="e">
        <f>AH76</f>
        <v>#DIV/0!</v>
      </c>
      <c r="AC190" s="411"/>
      <c r="AD190" s="411"/>
      <c r="AE190" s="205"/>
      <c r="AF190" s="410" t="s">
        <v>155</v>
      </c>
      <c r="AG190" s="411" t="e">
        <f>AH77</f>
        <v>#DIV/0!</v>
      </c>
      <c r="AH190" s="411"/>
      <c r="AI190" s="411"/>
      <c r="AJ190" s="205"/>
      <c r="AK190" s="134"/>
      <c r="AL190" s="391"/>
      <c r="AM190" s="393"/>
      <c r="AN190" s="393"/>
      <c r="AO190" s="393"/>
      <c r="AP190" s="393"/>
      <c r="AQ190" s="393"/>
      <c r="AR190" s="393"/>
    </row>
    <row r="191" spans="1:60" ht="18.75" customHeight="1">
      <c r="A191" s="243"/>
      <c r="B191" s="243"/>
      <c r="C191" s="243"/>
      <c r="D191" s="243"/>
      <c r="E191" s="243"/>
      <c r="F191" s="243"/>
      <c r="G191" s="243"/>
      <c r="H191" s="243"/>
      <c r="I191" s="243"/>
      <c r="J191" s="243"/>
      <c r="K191" s="243"/>
      <c r="L191" s="243"/>
      <c r="M191" s="412">
        <f>AP73</f>
        <v>4</v>
      </c>
      <c r="N191" s="412"/>
      <c r="O191" s="412"/>
      <c r="P191" s="412"/>
      <c r="Q191" s="410"/>
      <c r="R191" s="412">
        <f>AP74</f>
        <v>50</v>
      </c>
      <c r="S191" s="412"/>
      <c r="T191" s="412"/>
      <c r="U191" s="412"/>
      <c r="V191" s="410"/>
      <c r="W191" s="412" t="str">
        <f>AP75</f>
        <v>∞</v>
      </c>
      <c r="X191" s="412"/>
      <c r="Y191" s="412"/>
      <c r="Z191" s="412"/>
      <c r="AA191" s="410"/>
      <c r="AB191" s="412" t="str">
        <f>AP76</f>
        <v>∞</v>
      </c>
      <c r="AC191" s="412"/>
      <c r="AD191" s="412"/>
      <c r="AE191" s="412"/>
      <c r="AF191" s="410"/>
      <c r="AG191" s="412" t="e">
        <f>AP77</f>
        <v>#DIV/0!</v>
      </c>
      <c r="AH191" s="412"/>
      <c r="AI191" s="412"/>
      <c r="AJ191" s="412"/>
      <c r="AK191" s="134"/>
    </row>
    <row r="192" spans="1:60" ht="18.75" customHeight="1">
      <c r="A192" s="243"/>
      <c r="B192" s="243"/>
      <c r="C192" s="243"/>
      <c r="D192" s="243"/>
      <c r="E192" s="243"/>
      <c r="F192" s="243"/>
      <c r="G192" s="243"/>
      <c r="H192" s="243"/>
      <c r="I192" s="243"/>
      <c r="J192" s="243"/>
      <c r="K192" s="243"/>
      <c r="L192" s="243"/>
      <c r="M192" s="410" t="s">
        <v>155</v>
      </c>
      <c r="N192" s="411" t="e">
        <f>AH78</f>
        <v>#VALUE!</v>
      </c>
      <c r="O192" s="411"/>
      <c r="P192" s="411"/>
      <c r="Q192" s="205"/>
      <c r="R192" s="410" t="s">
        <v>155</v>
      </c>
      <c r="S192" s="411" t="e">
        <f>AH79</f>
        <v>#VALUE!</v>
      </c>
      <c r="T192" s="411"/>
      <c r="U192" s="411"/>
      <c r="V192" s="205"/>
      <c r="W192" s="410" t="s">
        <v>155</v>
      </c>
      <c r="X192" s="411">
        <f>AH80</f>
        <v>0</v>
      </c>
      <c r="Y192" s="411"/>
      <c r="Z192" s="411"/>
      <c r="AA192" s="205"/>
    </row>
    <row r="193" spans="1:56" ht="18.75" customHeight="1">
      <c r="A193" s="243"/>
      <c r="B193" s="243"/>
      <c r="C193" s="243"/>
      <c r="D193" s="243"/>
      <c r="E193" s="243"/>
      <c r="F193" s="243"/>
      <c r="G193" s="243"/>
      <c r="H193" s="243"/>
      <c r="I193" s="243"/>
      <c r="J193" s="243"/>
      <c r="K193" s="243"/>
      <c r="L193" s="243"/>
      <c r="M193" s="410"/>
      <c r="N193" s="412">
        <f>AP78</f>
        <v>50</v>
      </c>
      <c r="O193" s="412"/>
      <c r="P193" s="412"/>
      <c r="Q193" s="412"/>
      <c r="R193" s="410"/>
      <c r="S193" s="412" t="str">
        <f>AP79</f>
        <v>∞</v>
      </c>
      <c r="T193" s="412"/>
      <c r="U193" s="412"/>
      <c r="V193" s="412"/>
      <c r="W193" s="410"/>
      <c r="X193" s="412" t="str">
        <f>AP80</f>
        <v>∞</v>
      </c>
      <c r="Y193" s="412"/>
      <c r="Z193" s="412"/>
      <c r="AA193" s="412"/>
    </row>
    <row r="194" spans="1:56" ht="18.75" customHeight="1">
      <c r="A194" s="243"/>
      <c r="B194" s="243"/>
      <c r="C194" s="243"/>
      <c r="D194" s="243"/>
      <c r="E194" s="243"/>
      <c r="F194" s="243"/>
      <c r="G194" s="243"/>
      <c r="H194" s="243"/>
      <c r="I194" s="243"/>
      <c r="J194" s="243"/>
      <c r="K194" s="243"/>
      <c r="L194" s="243"/>
      <c r="M194" s="243"/>
      <c r="N194" s="243"/>
    </row>
    <row r="195" spans="1:56" ht="18.75" customHeight="1">
      <c r="A195" s="57" t="s">
        <v>156</v>
      </c>
      <c r="B195" s="243"/>
      <c r="C195" s="243"/>
      <c r="D195" s="243"/>
      <c r="E195" s="243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  <c r="Z195" s="243"/>
      <c r="AA195" s="243"/>
      <c r="AB195" s="243"/>
      <c r="AC195" s="243"/>
      <c r="AD195" s="243"/>
      <c r="AE195" s="243"/>
      <c r="AF195" s="243"/>
      <c r="AG195" s="243"/>
      <c r="AH195" s="243"/>
      <c r="AI195" s="243"/>
      <c r="AJ195" s="243"/>
      <c r="AK195" s="243"/>
      <c r="AL195" s="243"/>
      <c r="AM195" s="243"/>
      <c r="AN195" s="243"/>
      <c r="AO195" s="243"/>
      <c r="AP195" s="243"/>
      <c r="AQ195" s="243"/>
      <c r="AR195" s="243"/>
      <c r="AS195" s="243"/>
      <c r="AT195" s="243"/>
      <c r="AU195" s="243"/>
      <c r="AV195" s="243"/>
      <c r="AW195" s="243"/>
      <c r="AX195" s="243"/>
      <c r="AY195" s="243"/>
      <c r="AZ195" s="243"/>
      <c r="BA195" s="243"/>
      <c r="BB195" s="243"/>
      <c r="BC195" s="243"/>
      <c r="BD195" s="243"/>
    </row>
    <row r="196" spans="1:56" ht="18.75" customHeight="1">
      <c r="A196" s="57"/>
      <c r="B196" s="243" t="s">
        <v>616</v>
      </c>
      <c r="C196" s="243"/>
      <c r="D196" s="243"/>
      <c r="E196" s="243"/>
      <c r="F196" s="243"/>
      <c r="G196" s="243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43"/>
      <c r="V196" s="243"/>
      <c r="W196" s="243"/>
      <c r="X196" s="243"/>
      <c r="Y196" s="243"/>
      <c r="Z196" s="243"/>
      <c r="AA196" s="243"/>
      <c r="AB196" s="243"/>
      <c r="AC196" s="243"/>
      <c r="AD196" s="243"/>
      <c r="AE196" s="243"/>
      <c r="AF196" s="243"/>
      <c r="AG196" s="243"/>
      <c r="AH196" s="243"/>
      <c r="AI196" s="243"/>
      <c r="AJ196" s="243"/>
      <c r="AK196" s="243"/>
      <c r="AL196" s="243"/>
      <c r="AM196" s="243"/>
      <c r="AN196" s="243"/>
      <c r="AO196" s="243"/>
      <c r="AP196" s="243"/>
      <c r="AQ196" s="243"/>
      <c r="AR196" s="243"/>
      <c r="AS196" s="243"/>
      <c r="AT196" s="243"/>
      <c r="AU196" s="243"/>
      <c r="AV196" s="243"/>
      <c r="AW196" s="243"/>
      <c r="AX196" s="243"/>
      <c r="AY196" s="243"/>
      <c r="AZ196" s="243"/>
      <c r="BA196" s="243"/>
      <c r="BB196" s="243"/>
      <c r="BC196" s="243"/>
      <c r="BD196" s="243"/>
    </row>
    <row r="197" spans="1:56" ht="18.75" customHeight="1">
      <c r="A197" s="57"/>
      <c r="B197" s="243"/>
      <c r="C197" s="243" t="s">
        <v>157</v>
      </c>
      <c r="D197" s="243"/>
      <c r="E197" s="243"/>
      <c r="F197" s="243"/>
      <c r="G197" s="243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43"/>
      <c r="V197" s="243"/>
      <c r="W197" s="243"/>
      <c r="X197" s="243"/>
      <c r="Y197" s="243"/>
      <c r="Z197" s="243"/>
      <c r="AA197" s="243"/>
      <c r="AB197" s="243"/>
      <c r="AC197" s="243"/>
      <c r="AD197" s="243"/>
      <c r="AE197" s="243"/>
      <c r="AF197" s="243"/>
      <c r="AG197" s="243"/>
      <c r="AH197" s="243"/>
      <c r="AI197" s="243"/>
      <c r="AJ197" s="243"/>
      <c r="AK197" s="243"/>
      <c r="AL197" s="243"/>
      <c r="AM197" s="243"/>
      <c r="AN197" s="243"/>
      <c r="AO197" s="243"/>
      <c r="AP197" s="243"/>
      <c r="AQ197" s="243"/>
      <c r="AR197" s="243"/>
      <c r="AS197" s="243"/>
      <c r="AT197" s="243"/>
      <c r="AU197" s="243"/>
      <c r="AV197" s="243"/>
      <c r="AW197" s="243"/>
      <c r="AX197" s="243"/>
      <c r="AY197" s="243"/>
      <c r="AZ197" s="243"/>
      <c r="BA197" s="243"/>
      <c r="BB197" s="243"/>
      <c r="BC197" s="243"/>
      <c r="BD197" s="243"/>
    </row>
    <row r="198" spans="1:56" ht="18.75" customHeight="1">
      <c r="A198" s="57"/>
      <c r="B198" s="243"/>
      <c r="C198" s="56" t="s">
        <v>158</v>
      </c>
      <c r="D198" s="243"/>
      <c r="E198" s="243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  <c r="Z198" s="243"/>
      <c r="AA198" s="243"/>
      <c r="AB198" s="243"/>
      <c r="AC198" s="243"/>
      <c r="AD198" s="243"/>
      <c r="AE198" s="243"/>
      <c r="AF198" s="243"/>
      <c r="AG198" s="243"/>
      <c r="AH198" s="243"/>
      <c r="AI198" s="243"/>
      <c r="AJ198" s="243"/>
      <c r="AK198" s="243"/>
      <c r="AL198" s="243"/>
      <c r="AM198" s="243"/>
      <c r="AN198" s="243"/>
      <c r="AO198" s="243"/>
      <c r="AP198" s="243"/>
      <c r="AQ198" s="243"/>
      <c r="AR198" s="243"/>
      <c r="AS198" s="243"/>
      <c r="AT198" s="243"/>
      <c r="AU198" s="243"/>
      <c r="AV198" s="243"/>
      <c r="AW198" s="243"/>
      <c r="AX198" s="243"/>
      <c r="AY198" s="243"/>
      <c r="AZ198" s="243"/>
      <c r="BA198" s="243"/>
      <c r="BB198" s="243"/>
      <c r="BC198" s="243"/>
      <c r="BD198" s="243"/>
    </row>
    <row r="199" spans="1:56" ht="18.75" customHeight="1">
      <c r="A199" s="57"/>
      <c r="B199" s="243"/>
      <c r="C199" s="238" t="s">
        <v>159</v>
      </c>
      <c r="D199" s="243"/>
      <c r="E199" s="243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  <c r="Z199" s="243"/>
      <c r="AA199" s="243"/>
      <c r="AB199" s="243"/>
      <c r="AC199" s="243"/>
      <c r="AD199" s="243"/>
      <c r="AE199" s="243"/>
      <c r="AF199" s="243"/>
      <c r="AG199" s="243"/>
      <c r="AH199" s="243"/>
      <c r="AI199" s="243"/>
      <c r="AJ199" s="243"/>
      <c r="AK199" s="243"/>
      <c r="AL199" s="243"/>
      <c r="AM199" s="243"/>
      <c r="AN199" s="243"/>
      <c r="AO199" s="243"/>
      <c r="AP199" s="243"/>
      <c r="AQ199" s="243"/>
      <c r="AR199" s="243"/>
      <c r="AS199" s="243"/>
      <c r="AT199" s="243"/>
      <c r="AU199" s="243"/>
      <c r="AV199" s="243"/>
      <c r="AW199" s="243"/>
      <c r="AX199" s="243"/>
      <c r="AY199" s="243"/>
      <c r="AZ199" s="243"/>
      <c r="BA199" s="243"/>
      <c r="BB199" s="243"/>
      <c r="BC199" s="243"/>
      <c r="BD199" s="243"/>
    </row>
    <row r="200" spans="1:56" ht="18.75" customHeight="1">
      <c r="A200" s="243"/>
      <c r="B200" s="243"/>
      <c r="AL200" s="243"/>
      <c r="AM200" s="243"/>
      <c r="AN200" s="243"/>
      <c r="AO200" s="243"/>
      <c r="AP200" s="243"/>
      <c r="AQ200" s="243"/>
      <c r="AR200" s="243"/>
      <c r="AS200" s="243"/>
      <c r="AT200" s="243"/>
      <c r="AU200" s="243"/>
      <c r="AV200" s="243"/>
      <c r="AW200" s="243"/>
      <c r="AX200" s="243"/>
      <c r="AY200" s="243"/>
      <c r="AZ200" s="243"/>
      <c r="BA200" s="243"/>
      <c r="BB200" s="243"/>
    </row>
    <row r="201" spans="1:56" ht="18.75" customHeight="1">
      <c r="A201" s="243"/>
      <c r="B201" s="243"/>
      <c r="C201" s="243"/>
      <c r="D201" s="243"/>
      <c r="E201" s="59"/>
      <c r="F201" s="243"/>
      <c r="G201" s="243"/>
      <c r="H201" s="180" t="s">
        <v>160</v>
      </c>
      <c r="I201" s="391" t="e">
        <f ca="1">Calcu!E75</f>
        <v>#VALUE!</v>
      </c>
      <c r="J201" s="391"/>
      <c r="K201" s="391"/>
      <c r="L201" s="239" t="s">
        <v>94</v>
      </c>
      <c r="M201" s="455" t="e">
        <f>F186</f>
        <v>#VALUE!</v>
      </c>
      <c r="N201" s="455"/>
      <c r="O201" s="455"/>
      <c r="P201" s="455"/>
      <c r="Q201" s="229" t="s">
        <v>121</v>
      </c>
      <c r="R201" s="455" t="e">
        <f ca="1">I201*M201</f>
        <v>#VALUE!</v>
      </c>
      <c r="S201" s="455"/>
      <c r="T201" s="455"/>
      <c r="U201" s="455"/>
      <c r="V201" s="243" t="s">
        <v>617</v>
      </c>
      <c r="W201" s="456" t="e">
        <f ca="1">R201</f>
        <v>#VALUE!</v>
      </c>
      <c r="X201" s="456"/>
      <c r="Y201" s="456"/>
      <c r="Z201" s="456"/>
      <c r="AL201" s="243"/>
      <c r="AM201" s="243"/>
      <c r="AN201" s="243"/>
      <c r="AO201" s="243"/>
      <c r="AP201" s="243"/>
      <c r="AQ201" s="243"/>
      <c r="AR201" s="243"/>
      <c r="AS201" s="243"/>
      <c r="AT201" s="243"/>
    </row>
    <row r="205" spans="1:56" ht="18.75" customHeight="1">
      <c r="A205" s="60" t="s">
        <v>618</v>
      </c>
    </row>
    <row r="206" spans="1:56" ht="18.75" customHeight="1">
      <c r="A206" s="57" t="s">
        <v>619</v>
      </c>
      <c r="B206" s="243"/>
      <c r="C206" s="243"/>
      <c r="D206" s="243"/>
      <c r="E206" s="243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  <c r="P206" s="243"/>
      <c r="Q206" s="243"/>
      <c r="R206" s="243"/>
      <c r="S206" s="243"/>
      <c r="T206" s="243"/>
      <c r="U206" s="243"/>
      <c r="V206" s="243"/>
      <c r="W206" s="243"/>
      <c r="X206" s="243"/>
      <c r="Y206" s="243"/>
      <c r="Z206" s="243"/>
      <c r="AA206" s="243"/>
      <c r="AB206" s="243"/>
      <c r="AC206" s="243"/>
      <c r="AD206" s="243"/>
      <c r="AE206" s="243"/>
      <c r="AF206" s="243"/>
      <c r="AG206" s="243"/>
      <c r="AH206" s="243"/>
      <c r="AI206" s="243"/>
      <c r="AJ206" s="243"/>
      <c r="AK206" s="243"/>
      <c r="AL206" s="243"/>
      <c r="AM206" s="243"/>
      <c r="AN206" s="243"/>
      <c r="AO206" s="243"/>
      <c r="AP206" s="243"/>
      <c r="AQ206" s="243"/>
      <c r="AR206" s="243"/>
      <c r="AS206" s="243"/>
      <c r="AT206" s="243"/>
    </row>
    <row r="207" spans="1:56" ht="18.75" customHeight="1">
      <c r="A207" s="69"/>
      <c r="B207" s="243"/>
      <c r="C207" s="243"/>
      <c r="D207" s="243"/>
      <c r="E207" s="243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  <c r="P207" s="243"/>
      <c r="Q207" s="243"/>
      <c r="R207" s="243"/>
      <c r="S207" s="243"/>
      <c r="T207" s="243"/>
      <c r="U207" s="243"/>
      <c r="V207" s="243"/>
      <c r="W207" s="243"/>
      <c r="X207" s="243"/>
      <c r="Y207" s="243"/>
      <c r="Z207" s="243"/>
      <c r="AA207" s="243"/>
      <c r="AB207" s="243"/>
      <c r="AC207" s="243"/>
      <c r="AD207" s="243"/>
      <c r="AE207" s="243"/>
      <c r="AF207" s="243"/>
      <c r="AG207" s="243"/>
      <c r="AH207" s="243"/>
      <c r="AI207" s="243"/>
      <c r="AJ207" s="243"/>
      <c r="AK207" s="243"/>
      <c r="AL207" s="243"/>
      <c r="AM207" s="243"/>
      <c r="AN207" s="243"/>
      <c r="AO207" s="243"/>
      <c r="AP207" s="243"/>
      <c r="AQ207" s="243"/>
      <c r="AR207" s="243"/>
      <c r="AS207" s="243"/>
      <c r="AT207" s="243"/>
    </row>
    <row r="208" spans="1:56" ht="18.75" customHeight="1">
      <c r="A208" s="69"/>
      <c r="B208" s="243"/>
      <c r="C208" s="243"/>
      <c r="D208" s="243"/>
      <c r="E208" s="243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  <c r="Z208" s="243"/>
      <c r="AA208" s="243"/>
      <c r="AB208" s="243"/>
      <c r="AC208" s="243"/>
      <c r="AD208" s="243"/>
      <c r="AE208" s="243"/>
      <c r="AF208" s="243"/>
      <c r="AG208" s="243"/>
      <c r="AH208" s="243"/>
      <c r="AI208" s="243"/>
      <c r="AJ208" s="243"/>
      <c r="AK208" s="243"/>
      <c r="AL208" s="243"/>
      <c r="AM208" s="243"/>
      <c r="AN208" s="243"/>
      <c r="AO208" s="243"/>
      <c r="AP208" s="243"/>
      <c r="AQ208" s="243"/>
      <c r="AR208" s="243"/>
      <c r="AS208" s="243"/>
      <c r="AT208" s="243"/>
    </row>
    <row r="209" spans="1:69" ht="18.75" customHeight="1">
      <c r="A209" s="69"/>
      <c r="B209" s="243"/>
      <c r="C209" s="390" t="s">
        <v>513</v>
      </c>
      <c r="D209" s="390"/>
      <c r="E209" s="390"/>
      <c r="F209" s="229" t="s">
        <v>492</v>
      </c>
      <c r="G209" s="243" t="s">
        <v>620</v>
      </c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W209" s="59"/>
      <c r="X209" s="59"/>
      <c r="Y209" s="59"/>
      <c r="Z209" s="243"/>
      <c r="AA209" s="243"/>
      <c r="AB209" s="243"/>
      <c r="AC209" s="243"/>
      <c r="AD209" s="243"/>
      <c r="AE209" s="243"/>
      <c r="AF209" s="243"/>
      <c r="AG209" s="243"/>
      <c r="AH209" s="243"/>
      <c r="AI209" s="243"/>
      <c r="AJ209" s="243"/>
      <c r="AK209" s="243"/>
      <c r="AL209" s="243"/>
      <c r="AM209" s="243"/>
      <c r="AN209" s="243"/>
      <c r="AO209" s="243"/>
      <c r="AP209" s="243"/>
      <c r="AQ209" s="243"/>
      <c r="AR209" s="243"/>
      <c r="AS209" s="243"/>
      <c r="AT209" s="243"/>
    </row>
    <row r="210" spans="1:69" ht="18.75" customHeight="1">
      <c r="A210" s="69"/>
      <c r="B210" s="243"/>
      <c r="C210" s="390" t="s">
        <v>621</v>
      </c>
      <c r="D210" s="390"/>
      <c r="E210" s="390"/>
      <c r="F210" s="229" t="s">
        <v>492</v>
      </c>
      <c r="G210" s="243" t="s">
        <v>622</v>
      </c>
      <c r="H210" s="243"/>
      <c r="I210" s="243"/>
      <c r="J210" s="243"/>
      <c r="K210" s="243"/>
      <c r="L210" s="243"/>
      <c r="M210" s="243"/>
      <c r="N210" s="243"/>
      <c r="O210" s="243"/>
      <c r="P210" s="243"/>
      <c r="Q210" s="243"/>
      <c r="R210" s="243"/>
      <c r="S210" s="243"/>
      <c r="W210" s="59"/>
      <c r="X210" s="59"/>
      <c r="Y210" s="59"/>
      <c r="Z210" s="243"/>
      <c r="AA210" s="243"/>
      <c r="AB210" s="243"/>
      <c r="AC210" s="243"/>
      <c r="AD210" s="243"/>
      <c r="AE210" s="243"/>
      <c r="AF210" s="243"/>
      <c r="AG210" s="243"/>
      <c r="AH210" s="243"/>
      <c r="AI210" s="243"/>
      <c r="AJ210" s="243"/>
      <c r="AK210" s="243"/>
      <c r="AL210" s="243"/>
      <c r="AM210" s="243"/>
      <c r="AN210" s="243"/>
      <c r="AO210" s="243"/>
      <c r="AP210" s="243"/>
      <c r="AQ210" s="243"/>
      <c r="AR210" s="243"/>
      <c r="AS210" s="243"/>
      <c r="AT210" s="243"/>
    </row>
    <row r="211" spans="1:69" ht="18.75" customHeight="1">
      <c r="A211" s="69"/>
      <c r="B211" s="243"/>
      <c r="C211" s="390" t="s">
        <v>623</v>
      </c>
      <c r="D211" s="390"/>
      <c r="E211" s="390"/>
      <c r="F211" s="229" t="s">
        <v>492</v>
      </c>
      <c r="G211" s="243" t="s">
        <v>624</v>
      </c>
      <c r="H211" s="243"/>
      <c r="I211" s="243"/>
      <c r="J211" s="243"/>
      <c r="K211" s="243"/>
      <c r="L211" s="243"/>
      <c r="M211" s="243"/>
      <c r="N211" s="243"/>
      <c r="O211" s="243"/>
      <c r="P211" s="243"/>
      <c r="Q211" s="243"/>
      <c r="R211" s="243"/>
      <c r="S211" s="243"/>
      <c r="T211" s="243"/>
      <c r="U211" s="243"/>
      <c r="V211" s="243"/>
      <c r="W211" s="243"/>
      <c r="X211" s="243"/>
      <c r="Y211" s="243"/>
      <c r="Z211" s="243"/>
      <c r="AA211" s="243"/>
      <c r="AB211" s="243"/>
      <c r="AC211" s="243"/>
      <c r="AD211" s="243"/>
      <c r="AE211" s="243"/>
      <c r="AF211" s="243"/>
      <c r="AG211" s="243"/>
      <c r="AH211" s="243"/>
      <c r="AI211" s="243"/>
      <c r="AJ211" s="243"/>
      <c r="AK211" s="243"/>
      <c r="AL211" s="243"/>
      <c r="AM211" s="243"/>
      <c r="AN211" s="243"/>
      <c r="AO211" s="243"/>
      <c r="AP211" s="243"/>
      <c r="AQ211" s="243"/>
      <c r="AR211" s="243"/>
      <c r="AS211" s="243"/>
      <c r="AT211" s="243"/>
      <c r="AU211" s="243"/>
      <c r="AV211" s="243"/>
      <c r="AW211" s="243"/>
      <c r="AX211" s="243"/>
      <c r="AY211" s="243"/>
      <c r="AZ211" s="243"/>
      <c r="BA211" s="243"/>
      <c r="BB211" s="243"/>
    </row>
    <row r="212" spans="1:69" ht="18.75" customHeight="1">
      <c r="A212" s="69"/>
      <c r="B212" s="243"/>
      <c r="C212" s="390" t="s">
        <v>625</v>
      </c>
      <c r="D212" s="390"/>
      <c r="E212" s="390"/>
      <c r="F212" s="229" t="s">
        <v>492</v>
      </c>
      <c r="G212" s="243" t="s">
        <v>626</v>
      </c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  <c r="AA212" s="243"/>
      <c r="AB212" s="243"/>
      <c r="AC212" s="243"/>
      <c r="AD212" s="243"/>
      <c r="AE212" s="243"/>
      <c r="AF212" s="243"/>
      <c r="AG212" s="243"/>
      <c r="AH212" s="243"/>
      <c r="AI212" s="243"/>
      <c r="AJ212" s="243"/>
      <c r="AK212" s="243"/>
      <c r="AL212" s="243"/>
      <c r="AM212" s="243"/>
      <c r="AN212" s="243"/>
      <c r="AO212" s="243"/>
      <c r="AP212" s="243"/>
      <c r="AQ212" s="243"/>
      <c r="AR212" s="243"/>
      <c r="AS212" s="243"/>
      <c r="AT212" s="243"/>
      <c r="AU212" s="243"/>
      <c r="AV212" s="243"/>
      <c r="AW212" s="243"/>
      <c r="AX212" s="243"/>
      <c r="AY212" s="243"/>
      <c r="AZ212" s="243"/>
      <c r="BA212" s="243"/>
      <c r="BB212" s="243"/>
    </row>
    <row r="213" spans="1:69" ht="18.75" customHeight="1">
      <c r="A213" s="69"/>
      <c r="B213" s="243"/>
      <c r="C213" s="390" t="s">
        <v>240</v>
      </c>
      <c r="D213" s="390"/>
      <c r="E213" s="390"/>
      <c r="F213" s="229" t="s">
        <v>492</v>
      </c>
      <c r="G213" s="243" t="s">
        <v>627</v>
      </c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  <c r="AA213" s="243"/>
      <c r="AB213" s="243"/>
      <c r="AC213" s="243"/>
      <c r="AD213" s="243"/>
      <c r="AE213" s="243"/>
      <c r="AF213" s="243"/>
      <c r="AG213" s="243"/>
      <c r="AH213" s="243"/>
      <c r="AI213" s="243"/>
      <c r="AJ213" s="243"/>
      <c r="AK213" s="243"/>
      <c r="AL213" s="243"/>
      <c r="AM213" s="243"/>
      <c r="AN213" s="243"/>
      <c r="AO213" s="243"/>
      <c r="AP213" s="243"/>
      <c r="AQ213" s="243"/>
      <c r="AR213" s="243"/>
      <c r="AS213" s="243"/>
      <c r="AT213" s="243"/>
      <c r="AU213" s="243"/>
      <c r="AV213" s="243"/>
      <c r="AW213" s="243"/>
      <c r="AX213" s="243"/>
      <c r="AY213" s="243"/>
      <c r="AZ213" s="243"/>
      <c r="BA213" s="243"/>
      <c r="BB213" s="243"/>
    </row>
    <row r="214" spans="1:69" ht="18.75" customHeight="1">
      <c r="A214" s="69"/>
      <c r="B214" s="243"/>
      <c r="C214" s="390" t="s">
        <v>487</v>
      </c>
      <c r="D214" s="390"/>
      <c r="E214" s="390"/>
      <c r="F214" s="229" t="s">
        <v>492</v>
      </c>
      <c r="G214" s="243" t="s">
        <v>628</v>
      </c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  <c r="Z214" s="243"/>
      <c r="AA214" s="243"/>
      <c r="AB214" s="243"/>
      <c r="AC214" s="243"/>
      <c r="AD214" s="243"/>
      <c r="AE214" s="243"/>
      <c r="AF214" s="243"/>
      <c r="AG214" s="243"/>
      <c r="AH214" s="243"/>
      <c r="AI214" s="243"/>
      <c r="AJ214" s="243"/>
      <c r="AK214" s="243"/>
      <c r="AL214" s="243"/>
      <c r="AM214" s="243"/>
      <c r="AN214" s="243"/>
      <c r="AO214" s="243"/>
      <c r="AP214" s="243"/>
      <c r="AQ214" s="243"/>
      <c r="AR214" s="243"/>
      <c r="AS214" s="243"/>
      <c r="AT214" s="243"/>
      <c r="AU214" s="243"/>
      <c r="AV214" s="243"/>
      <c r="AW214" s="243"/>
      <c r="AX214" s="243"/>
      <c r="AY214" s="243"/>
      <c r="AZ214" s="243"/>
      <c r="BA214" s="243"/>
      <c r="BB214" s="243"/>
    </row>
    <row r="215" spans="1:69" ht="18.75" customHeight="1">
      <c r="A215" s="69"/>
      <c r="B215" s="243"/>
      <c r="C215" s="390" t="s">
        <v>488</v>
      </c>
      <c r="D215" s="390"/>
      <c r="E215" s="390"/>
      <c r="F215" s="229" t="s">
        <v>492</v>
      </c>
      <c r="G215" s="243" t="s">
        <v>629</v>
      </c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  <c r="Z215" s="243"/>
      <c r="AA215" s="243"/>
      <c r="AB215" s="243"/>
      <c r="AC215" s="243"/>
      <c r="AD215" s="243"/>
      <c r="AE215" s="243"/>
      <c r="AF215" s="243"/>
      <c r="AG215" s="243"/>
      <c r="AH215" s="243"/>
      <c r="AI215" s="243"/>
      <c r="AJ215" s="243"/>
      <c r="AK215" s="243"/>
      <c r="AL215" s="243"/>
      <c r="AM215" s="243"/>
      <c r="AN215" s="243"/>
      <c r="AO215" s="243"/>
      <c r="AP215" s="243"/>
      <c r="AQ215" s="243"/>
      <c r="AR215" s="243"/>
      <c r="AS215" s="243"/>
      <c r="AT215" s="243"/>
      <c r="AU215" s="243"/>
      <c r="AV215" s="243"/>
      <c r="AW215" s="243"/>
      <c r="AX215" s="243"/>
      <c r="AY215" s="243"/>
      <c r="AZ215" s="243"/>
      <c r="BA215" s="243"/>
      <c r="BB215" s="243"/>
    </row>
    <row r="216" spans="1:69" ht="18.75" customHeight="1">
      <c r="A216" s="69"/>
      <c r="B216" s="243"/>
      <c r="C216" s="390" t="s">
        <v>485</v>
      </c>
      <c r="D216" s="390"/>
      <c r="E216" s="390"/>
      <c r="F216" s="229" t="s">
        <v>492</v>
      </c>
      <c r="G216" s="243" t="s">
        <v>630</v>
      </c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U216" s="243"/>
      <c r="V216" s="243"/>
      <c r="W216" s="243"/>
      <c r="X216" s="243"/>
      <c r="Y216" s="243"/>
      <c r="Z216" s="243"/>
      <c r="AA216" s="243"/>
      <c r="AB216" s="243"/>
      <c r="AC216" s="243"/>
      <c r="AD216" s="243"/>
      <c r="AE216" s="243"/>
      <c r="AF216" s="243"/>
      <c r="AG216" s="243"/>
      <c r="AH216" s="243"/>
      <c r="AI216" s="243"/>
      <c r="AJ216" s="243"/>
      <c r="AK216" s="243"/>
      <c r="AL216" s="243"/>
      <c r="AM216" s="243"/>
      <c r="AN216" s="243"/>
      <c r="AO216" s="243"/>
      <c r="AP216" s="243"/>
      <c r="AQ216" s="243"/>
      <c r="AR216" s="243"/>
      <c r="AS216" s="243"/>
      <c r="AT216" s="243"/>
      <c r="AU216" s="243"/>
      <c r="AV216" s="243"/>
      <c r="AW216" s="243"/>
      <c r="AX216" s="243"/>
      <c r="AY216" s="243"/>
      <c r="AZ216" s="243"/>
      <c r="BA216" s="243"/>
      <c r="BB216" s="243"/>
    </row>
    <row r="217" spans="1:69" ht="18.75" customHeight="1">
      <c r="A217" s="69"/>
      <c r="B217" s="243"/>
      <c r="C217" s="390" t="s">
        <v>631</v>
      </c>
      <c r="D217" s="390"/>
      <c r="E217" s="390"/>
      <c r="F217" s="229" t="s">
        <v>492</v>
      </c>
      <c r="G217" s="243" t="s">
        <v>632</v>
      </c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  <c r="AA217" s="243"/>
      <c r="AB217" s="243"/>
      <c r="AC217" s="243"/>
      <c r="AD217" s="243"/>
      <c r="AE217" s="243"/>
      <c r="AF217" s="243"/>
      <c r="AG217" s="243"/>
      <c r="AH217" s="243"/>
      <c r="AI217" s="243"/>
      <c r="AJ217" s="243"/>
      <c r="AK217" s="243"/>
      <c r="AL217" s="243"/>
      <c r="AM217" s="243"/>
      <c r="AN217" s="243"/>
      <c r="AO217" s="243"/>
      <c r="AP217" s="243"/>
      <c r="AQ217" s="243"/>
      <c r="AR217" s="243"/>
      <c r="AS217" s="243"/>
      <c r="AT217" s="243"/>
      <c r="AU217" s="243"/>
      <c r="AV217" s="243"/>
      <c r="AW217" s="243"/>
      <c r="AX217" s="243"/>
      <c r="AY217" s="243"/>
      <c r="AZ217" s="243"/>
      <c r="BA217" s="243"/>
      <c r="BB217" s="243"/>
    </row>
    <row r="218" spans="1:69" ht="18.75" customHeight="1">
      <c r="A218" s="69"/>
      <c r="B218" s="243"/>
      <c r="C218" s="390"/>
      <c r="D218" s="390"/>
      <c r="E218" s="390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  <c r="Z218" s="243"/>
      <c r="AA218" s="243"/>
      <c r="AB218" s="243"/>
      <c r="AC218" s="243"/>
      <c r="AD218" s="243"/>
      <c r="AE218" s="243"/>
      <c r="AF218" s="243"/>
      <c r="AG218" s="243"/>
      <c r="AH218" s="243"/>
      <c r="AI218" s="243"/>
      <c r="AJ218" s="243"/>
      <c r="AK218" s="243"/>
      <c r="AL218" s="243"/>
      <c r="AM218" s="243"/>
      <c r="AN218" s="243"/>
      <c r="AO218" s="243"/>
      <c r="AP218" s="243"/>
      <c r="AQ218" s="243"/>
      <c r="AR218" s="243"/>
      <c r="AS218" s="243"/>
      <c r="AT218" s="243"/>
      <c r="AU218" s="243"/>
      <c r="AV218" s="243"/>
      <c r="AW218" s="243"/>
      <c r="AX218" s="243"/>
      <c r="AY218" s="243"/>
      <c r="AZ218" s="243"/>
      <c r="BA218" s="243"/>
      <c r="BB218" s="243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</row>
    <row r="219" spans="1:69" ht="18.75" customHeight="1">
      <c r="A219" s="57" t="s">
        <v>494</v>
      </c>
      <c r="B219" s="243"/>
      <c r="C219" s="243"/>
      <c r="D219" s="243"/>
      <c r="E219" s="243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  <c r="AA219" s="243"/>
      <c r="AB219" s="243"/>
      <c r="AC219" s="243"/>
      <c r="AD219" s="243"/>
      <c r="AE219" s="243"/>
      <c r="AF219" s="243"/>
      <c r="AG219" s="243"/>
      <c r="AH219" s="243"/>
      <c r="AI219" s="243"/>
      <c r="AJ219" s="243"/>
      <c r="AK219" s="243"/>
      <c r="AL219" s="243"/>
      <c r="AM219" s="243"/>
      <c r="AN219" s="243"/>
      <c r="AO219" s="243"/>
      <c r="AP219" s="243"/>
      <c r="AQ219" s="243"/>
      <c r="AR219" s="243"/>
      <c r="AS219" s="243"/>
      <c r="AT219" s="243"/>
    </row>
    <row r="220" spans="1:69" ht="18.75" customHeight="1">
      <c r="A220" s="243"/>
      <c r="B220" s="243"/>
      <c r="C220" s="243"/>
      <c r="D220" s="243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  <c r="AA220" s="243"/>
      <c r="AB220" s="243"/>
      <c r="AC220" s="243"/>
      <c r="AD220" s="243"/>
      <c r="AE220" s="243"/>
      <c r="AF220" s="243"/>
      <c r="AG220" s="243"/>
      <c r="AH220" s="243"/>
      <c r="AI220" s="243"/>
      <c r="AJ220" s="243"/>
      <c r="AK220" s="243"/>
      <c r="AL220" s="243"/>
      <c r="AM220" s="243"/>
      <c r="AN220" s="243"/>
      <c r="AO220" s="243"/>
      <c r="AP220" s="243"/>
      <c r="AQ220" s="243"/>
      <c r="AR220" s="243"/>
      <c r="AS220" s="243"/>
      <c r="AT220" s="243"/>
    </row>
    <row r="221" spans="1:69" ht="18.75" customHeight="1">
      <c r="A221" s="243"/>
      <c r="B221" s="243"/>
      <c r="C221" s="243" t="s">
        <v>495</v>
      </c>
      <c r="D221" s="243"/>
      <c r="E221" s="243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  <c r="AA221" s="243"/>
      <c r="AB221" s="243"/>
      <c r="AC221" s="243"/>
      <c r="AD221" s="243"/>
      <c r="AE221" s="243"/>
      <c r="AF221" s="243"/>
      <c r="AG221" s="243"/>
      <c r="AH221" s="243"/>
      <c r="AI221" s="243"/>
      <c r="AJ221" s="243"/>
      <c r="AK221" s="243"/>
      <c r="AL221" s="243"/>
      <c r="AM221" s="243"/>
      <c r="AN221" s="243"/>
      <c r="AO221" s="243"/>
      <c r="AP221" s="243"/>
      <c r="AQ221" s="243"/>
      <c r="AR221" s="243"/>
      <c r="AS221" s="243"/>
      <c r="AT221" s="243"/>
    </row>
    <row r="222" spans="1:69" ht="18.75" customHeight="1">
      <c r="A222" s="243"/>
      <c r="B222" s="243"/>
      <c r="C222" s="243"/>
      <c r="D222" s="243"/>
      <c r="E222" s="243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  <c r="Z222" s="243"/>
      <c r="AA222" s="243"/>
      <c r="AB222" s="243"/>
      <c r="AC222" s="243"/>
      <c r="AD222" s="243"/>
      <c r="AE222" s="243"/>
      <c r="AF222" s="243"/>
      <c r="AG222" s="243"/>
      <c r="AH222" s="243"/>
      <c r="AI222" s="243"/>
      <c r="AJ222" s="243"/>
      <c r="AK222" s="243"/>
      <c r="AL222" s="243"/>
      <c r="AM222" s="243"/>
      <c r="AN222" s="243"/>
      <c r="AO222" s="243"/>
      <c r="AP222" s="243"/>
      <c r="AQ222" s="243"/>
      <c r="AR222" s="243"/>
      <c r="AS222" s="243"/>
      <c r="AT222" s="243"/>
    </row>
    <row r="223" spans="1:69" ht="18.75" customHeight="1">
      <c r="A223" s="243"/>
      <c r="B223" s="243"/>
      <c r="C223" s="243"/>
      <c r="D223" s="243"/>
      <c r="E223" s="243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  <c r="Z223" s="243"/>
      <c r="AA223" s="243"/>
      <c r="AB223" s="243"/>
      <c r="AC223" s="243"/>
      <c r="AD223" s="243"/>
      <c r="AE223" s="243"/>
      <c r="AF223" s="243"/>
      <c r="AG223" s="243"/>
      <c r="AH223" s="243"/>
      <c r="AI223" s="243"/>
      <c r="AJ223" s="243"/>
      <c r="AK223" s="243"/>
      <c r="AL223" s="243"/>
      <c r="AM223" s="243"/>
      <c r="AN223" s="243"/>
      <c r="AO223" s="243"/>
      <c r="AP223" s="243"/>
      <c r="AQ223" s="243"/>
      <c r="AR223" s="243"/>
      <c r="AS223" s="243"/>
      <c r="AT223" s="243"/>
    </row>
    <row r="224" spans="1:69" ht="18.75" customHeight="1">
      <c r="A224" s="243"/>
      <c r="B224" s="243"/>
      <c r="C224" s="243"/>
      <c r="D224" s="243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243"/>
      <c r="AA224" s="243"/>
      <c r="AB224" s="243"/>
      <c r="AC224" s="243"/>
      <c r="AD224" s="243"/>
      <c r="AE224" s="243"/>
      <c r="AF224" s="243"/>
      <c r="AG224" s="243"/>
      <c r="AH224" s="243"/>
      <c r="AI224" s="243"/>
      <c r="AJ224" s="243"/>
      <c r="AK224" s="243"/>
      <c r="AL224" s="243"/>
      <c r="AM224" s="243"/>
      <c r="AN224" s="243"/>
      <c r="AO224" s="243"/>
      <c r="AP224" s="243"/>
      <c r="AQ224" s="243"/>
      <c r="AR224" s="243"/>
      <c r="AS224" s="243"/>
      <c r="AT224" s="243"/>
    </row>
    <row r="225" spans="1:46" ht="18.75" customHeight="1">
      <c r="A225" s="243"/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  <c r="Y225" s="243"/>
      <c r="Z225" s="243"/>
      <c r="AA225" s="243"/>
      <c r="AB225" s="243"/>
      <c r="AC225" s="243"/>
      <c r="AD225" s="243"/>
      <c r="AE225" s="243"/>
      <c r="AF225" s="243"/>
      <c r="AG225" s="243"/>
      <c r="AH225" s="243"/>
      <c r="AI225" s="243"/>
      <c r="AJ225" s="243"/>
      <c r="AK225" s="243"/>
      <c r="AL225" s="243"/>
      <c r="AM225" s="243"/>
      <c r="AN225" s="243"/>
      <c r="AO225" s="243"/>
      <c r="AP225" s="243"/>
      <c r="AQ225" s="243"/>
      <c r="AR225" s="243"/>
      <c r="AS225" s="243"/>
      <c r="AT225" s="243"/>
    </row>
    <row r="226" spans="1:46" ht="18.75" customHeight="1">
      <c r="A226" s="243"/>
      <c r="B226" s="243"/>
      <c r="C226" s="243"/>
      <c r="D226" s="243"/>
      <c r="E226" s="243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  <c r="AA226" s="243"/>
      <c r="AB226" s="243"/>
      <c r="AC226" s="243"/>
      <c r="AD226" s="243"/>
      <c r="AE226" s="243"/>
      <c r="AF226" s="243"/>
      <c r="AG226" s="243"/>
      <c r="AH226" s="243"/>
      <c r="AI226" s="243"/>
      <c r="AJ226" s="243"/>
      <c r="AK226" s="243"/>
      <c r="AL226" s="243"/>
      <c r="AM226" s="243"/>
      <c r="AN226" s="243"/>
      <c r="AO226" s="243"/>
      <c r="AP226" s="243"/>
      <c r="AQ226" s="243"/>
      <c r="AR226" s="243"/>
      <c r="AS226" s="243"/>
      <c r="AT226" s="243"/>
    </row>
    <row r="227" spans="1:46" ht="18.75" customHeight="1">
      <c r="A227" s="243"/>
      <c r="B227" s="243"/>
      <c r="C227" s="243"/>
      <c r="D227" s="243"/>
      <c r="E227" s="243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243"/>
      <c r="AA227" s="243"/>
      <c r="AB227" s="243"/>
      <c r="AC227" s="243"/>
      <c r="AD227" s="243"/>
      <c r="AE227" s="243"/>
      <c r="AF227" s="243"/>
      <c r="AG227" s="243"/>
      <c r="AH227" s="243"/>
      <c r="AI227" s="243"/>
      <c r="AJ227" s="243"/>
      <c r="AK227" s="243"/>
      <c r="AL227" s="243"/>
      <c r="AM227" s="243"/>
      <c r="AN227" s="243"/>
      <c r="AO227" s="243"/>
      <c r="AP227" s="243"/>
      <c r="AQ227" s="243"/>
      <c r="AR227" s="243"/>
      <c r="AS227" s="243"/>
      <c r="AT227" s="243"/>
    </row>
    <row r="228" spans="1:46" ht="18.75" customHeight="1">
      <c r="A228" s="60" t="s">
        <v>109</v>
      </c>
      <c r="B228" s="243"/>
      <c r="C228" s="243"/>
      <c r="D228" s="243"/>
      <c r="E228" s="243"/>
      <c r="F228" s="243"/>
      <c r="G228" s="243"/>
      <c r="H228" s="243"/>
      <c r="I228" s="243"/>
      <c r="J228" s="243"/>
      <c r="K228" s="243"/>
      <c r="L228" s="243"/>
      <c r="M228" s="243"/>
      <c r="N228" s="24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  <c r="Z228" s="243"/>
      <c r="AA228" s="243"/>
      <c r="AB228" s="243"/>
      <c r="AC228" s="243"/>
      <c r="AD228" s="243"/>
      <c r="AE228" s="243"/>
      <c r="AF228" s="243"/>
      <c r="AG228" s="243"/>
      <c r="AH228" s="243"/>
      <c r="AI228" s="243"/>
      <c r="AJ228" s="243"/>
      <c r="AK228" s="243"/>
      <c r="AL228" s="243"/>
      <c r="AM228" s="243"/>
      <c r="AN228" s="243"/>
      <c r="AO228" s="243"/>
      <c r="AP228" s="243"/>
      <c r="AQ228" s="243"/>
      <c r="AR228" s="243"/>
      <c r="AS228" s="243"/>
      <c r="AT228" s="243"/>
    </row>
    <row r="229" spans="1:46" ht="18.75" customHeight="1">
      <c r="A229" s="243"/>
      <c r="B229" s="413"/>
      <c r="C229" s="414"/>
      <c r="D229" s="419"/>
      <c r="E229" s="420"/>
      <c r="F229" s="420"/>
      <c r="G229" s="421"/>
      <c r="H229" s="363">
        <v>1</v>
      </c>
      <c r="I229" s="363"/>
      <c r="J229" s="363"/>
      <c r="K229" s="363"/>
      <c r="L229" s="363"/>
      <c r="M229" s="363"/>
      <c r="N229" s="363"/>
      <c r="O229" s="363">
        <v>2</v>
      </c>
      <c r="P229" s="363"/>
      <c r="Q229" s="363"/>
      <c r="R229" s="363"/>
      <c r="S229" s="363"/>
      <c r="T229" s="363"/>
      <c r="U229" s="363"/>
      <c r="V229" s="363">
        <v>3</v>
      </c>
      <c r="W229" s="363"/>
      <c r="X229" s="363"/>
      <c r="Y229" s="363"/>
      <c r="Z229" s="363"/>
      <c r="AA229" s="419">
        <v>4</v>
      </c>
      <c r="AB229" s="420"/>
      <c r="AC229" s="420"/>
      <c r="AD229" s="420"/>
      <c r="AE229" s="420"/>
      <c r="AF229" s="420"/>
      <c r="AG229" s="421"/>
      <c r="AH229" s="363">
        <v>5</v>
      </c>
      <c r="AI229" s="363"/>
      <c r="AJ229" s="363"/>
      <c r="AK229" s="363"/>
      <c r="AL229" s="363"/>
      <c r="AM229" s="363"/>
      <c r="AN229" s="363"/>
      <c r="AO229" s="363"/>
      <c r="AP229" s="363">
        <v>6</v>
      </c>
      <c r="AQ229" s="363"/>
      <c r="AR229" s="363"/>
      <c r="AS229" s="363"/>
      <c r="AT229" s="243"/>
    </row>
    <row r="230" spans="1:46" ht="18.75" customHeight="1">
      <c r="A230" s="243"/>
      <c r="B230" s="415"/>
      <c r="C230" s="416"/>
      <c r="D230" s="413" t="s">
        <v>497</v>
      </c>
      <c r="E230" s="412"/>
      <c r="F230" s="412"/>
      <c r="G230" s="414"/>
      <c r="H230" s="422" t="s">
        <v>498</v>
      </c>
      <c r="I230" s="422"/>
      <c r="J230" s="422"/>
      <c r="K230" s="422"/>
      <c r="L230" s="422"/>
      <c r="M230" s="422"/>
      <c r="N230" s="422"/>
      <c r="O230" s="422" t="s">
        <v>499</v>
      </c>
      <c r="P230" s="422"/>
      <c r="Q230" s="422"/>
      <c r="R230" s="422"/>
      <c r="S230" s="422"/>
      <c r="T230" s="422"/>
      <c r="U230" s="422"/>
      <c r="V230" s="422" t="s">
        <v>500</v>
      </c>
      <c r="W230" s="422"/>
      <c r="X230" s="422"/>
      <c r="Y230" s="422"/>
      <c r="Z230" s="422"/>
      <c r="AA230" s="413" t="s">
        <v>110</v>
      </c>
      <c r="AB230" s="412"/>
      <c r="AC230" s="412"/>
      <c r="AD230" s="412"/>
      <c r="AE230" s="412"/>
      <c r="AF230" s="412"/>
      <c r="AG230" s="414"/>
      <c r="AH230" s="422" t="s">
        <v>502</v>
      </c>
      <c r="AI230" s="422"/>
      <c r="AJ230" s="422"/>
      <c r="AK230" s="422"/>
      <c r="AL230" s="422"/>
      <c r="AM230" s="422"/>
      <c r="AN230" s="422"/>
      <c r="AO230" s="422"/>
      <c r="AP230" s="422" t="s">
        <v>503</v>
      </c>
      <c r="AQ230" s="422"/>
      <c r="AR230" s="422"/>
      <c r="AS230" s="422"/>
      <c r="AT230" s="243"/>
    </row>
    <row r="231" spans="1:46" ht="18.75" customHeight="1">
      <c r="A231" s="243"/>
      <c r="B231" s="417"/>
      <c r="C231" s="418"/>
      <c r="D231" s="423" t="s">
        <v>504</v>
      </c>
      <c r="E231" s="424"/>
      <c r="F231" s="424"/>
      <c r="G231" s="425"/>
      <c r="H231" s="426" t="s">
        <v>505</v>
      </c>
      <c r="I231" s="426"/>
      <c r="J231" s="426"/>
      <c r="K231" s="426"/>
      <c r="L231" s="426"/>
      <c r="M231" s="426"/>
      <c r="N231" s="426"/>
      <c r="O231" s="426" t="s">
        <v>506</v>
      </c>
      <c r="P231" s="426"/>
      <c r="Q231" s="426"/>
      <c r="R231" s="426"/>
      <c r="S231" s="426"/>
      <c r="T231" s="426"/>
      <c r="U231" s="426"/>
      <c r="V231" s="426"/>
      <c r="W231" s="426"/>
      <c r="X231" s="426"/>
      <c r="Y231" s="426"/>
      <c r="Z231" s="426"/>
      <c r="AA231" s="427" t="s">
        <v>507</v>
      </c>
      <c r="AB231" s="428"/>
      <c r="AC231" s="428"/>
      <c r="AD231" s="428"/>
      <c r="AE231" s="428"/>
      <c r="AF231" s="428"/>
      <c r="AG231" s="429"/>
      <c r="AH231" s="426" t="s">
        <v>508</v>
      </c>
      <c r="AI231" s="426"/>
      <c r="AJ231" s="426"/>
      <c r="AK231" s="426"/>
      <c r="AL231" s="426"/>
      <c r="AM231" s="426"/>
      <c r="AN231" s="426"/>
      <c r="AO231" s="426"/>
      <c r="AP231" s="426"/>
      <c r="AQ231" s="426"/>
      <c r="AR231" s="426"/>
      <c r="AS231" s="426"/>
      <c r="AT231" s="243"/>
    </row>
    <row r="232" spans="1:46" ht="18.75" customHeight="1">
      <c r="A232" s="243"/>
      <c r="B232" s="363" t="s">
        <v>633</v>
      </c>
      <c r="C232" s="363"/>
      <c r="D232" s="432" t="s">
        <v>621</v>
      </c>
      <c r="E232" s="433"/>
      <c r="F232" s="433"/>
      <c r="G232" s="434"/>
      <c r="H232" s="435">
        <f>Calcu!E39</f>
        <v>0</v>
      </c>
      <c r="I232" s="436"/>
      <c r="J232" s="436"/>
      <c r="K232" s="436"/>
      <c r="L232" s="436"/>
      <c r="M232" s="437" t="str">
        <f>Calcu!F39</f>
        <v>mm</v>
      </c>
      <c r="N232" s="438"/>
      <c r="O232" s="444" t="e">
        <f>Calcu!J39</f>
        <v>#DIV/0!</v>
      </c>
      <c r="P232" s="445"/>
      <c r="Q232" s="445"/>
      <c r="R232" s="445"/>
      <c r="S232" s="430" t="str">
        <f>Calcu!K39</f>
        <v>μm</v>
      </c>
      <c r="T232" s="437"/>
      <c r="U232" s="438"/>
      <c r="V232" s="363" t="str">
        <f>Calcu!L39</f>
        <v>정규</v>
      </c>
      <c r="W232" s="363"/>
      <c r="X232" s="363"/>
      <c r="Y232" s="363"/>
      <c r="Z232" s="363"/>
      <c r="AA232" s="419" t="e">
        <f>Calcu!O39</f>
        <v>#DIV/0!</v>
      </c>
      <c r="AB232" s="420"/>
      <c r="AC232" s="420"/>
      <c r="AD232" s="420"/>
      <c r="AE232" s="420"/>
      <c r="AF232" s="420"/>
      <c r="AG232" s="421"/>
      <c r="AH232" s="444" t="e">
        <f>Calcu!Q39</f>
        <v>#DIV/0!</v>
      </c>
      <c r="AI232" s="445"/>
      <c r="AJ232" s="445"/>
      <c r="AK232" s="445"/>
      <c r="AL232" s="445"/>
      <c r="AM232" s="430" t="str">
        <f>Calcu!R39</f>
        <v>μm</v>
      </c>
      <c r="AN232" s="430"/>
      <c r="AO232" s="431"/>
      <c r="AP232" s="363" t="str">
        <f>Calcu!S39</f>
        <v>∞</v>
      </c>
      <c r="AQ232" s="363"/>
      <c r="AR232" s="363"/>
      <c r="AS232" s="363"/>
      <c r="AT232" s="243"/>
    </row>
    <row r="233" spans="1:46" ht="18.75" customHeight="1">
      <c r="A233" s="243"/>
      <c r="B233" s="363" t="s">
        <v>634</v>
      </c>
      <c r="C233" s="363"/>
      <c r="D233" s="432" t="s">
        <v>515</v>
      </c>
      <c r="E233" s="433"/>
      <c r="F233" s="433"/>
      <c r="G233" s="434"/>
      <c r="H233" s="435">
        <f>Calcu!E40</f>
        <v>0</v>
      </c>
      <c r="I233" s="436"/>
      <c r="J233" s="436"/>
      <c r="K233" s="436"/>
      <c r="L233" s="436"/>
      <c r="M233" s="437" t="str">
        <f>Calcu!F40</f>
        <v>/℃</v>
      </c>
      <c r="N233" s="438"/>
      <c r="O233" s="441">
        <f>Calcu!J40</f>
        <v>5.7735026918962578E-7</v>
      </c>
      <c r="P233" s="437"/>
      <c r="Q233" s="437"/>
      <c r="R233" s="437"/>
      <c r="S233" s="430" t="str">
        <f>Calcu!K40</f>
        <v>/℃</v>
      </c>
      <c r="T233" s="437"/>
      <c r="U233" s="438"/>
      <c r="V233" s="363" t="str">
        <f>Calcu!L40</f>
        <v>직사각형</v>
      </c>
      <c r="W233" s="363"/>
      <c r="X233" s="363"/>
      <c r="Y233" s="363"/>
      <c r="Z233" s="363"/>
      <c r="AA233" s="441" t="e">
        <f>Calcu!O40</f>
        <v>#DIV/0!</v>
      </c>
      <c r="AB233" s="437"/>
      <c r="AC233" s="437"/>
      <c r="AD233" s="437"/>
      <c r="AE233" s="442" t="str">
        <f>Calcu!P40</f>
        <v>℃·μm</v>
      </c>
      <c r="AF233" s="442"/>
      <c r="AG233" s="443"/>
      <c r="AH233" s="444" t="e">
        <f>Calcu!Q40</f>
        <v>#DIV/0!</v>
      </c>
      <c r="AI233" s="445"/>
      <c r="AJ233" s="445"/>
      <c r="AK233" s="445"/>
      <c r="AL233" s="445"/>
      <c r="AM233" s="430" t="str">
        <f>Calcu!R40</f>
        <v>μm</v>
      </c>
      <c r="AN233" s="430"/>
      <c r="AO233" s="431"/>
      <c r="AP233" s="363">
        <f>Calcu!S40</f>
        <v>50</v>
      </c>
      <c r="AQ233" s="363"/>
      <c r="AR233" s="363"/>
      <c r="AS233" s="363"/>
      <c r="AT233" s="243"/>
    </row>
    <row r="234" spans="1:46" ht="18.75" customHeight="1">
      <c r="A234" s="243"/>
      <c r="B234" s="363" t="s">
        <v>106</v>
      </c>
      <c r="C234" s="363"/>
      <c r="D234" s="432" t="s">
        <v>635</v>
      </c>
      <c r="E234" s="433"/>
      <c r="F234" s="433"/>
      <c r="G234" s="434"/>
      <c r="H234" s="435" t="e">
        <f>Calcu!E41</f>
        <v>#DIV/0!</v>
      </c>
      <c r="I234" s="436"/>
      <c r="J234" s="436"/>
      <c r="K234" s="436"/>
      <c r="L234" s="436"/>
      <c r="M234" s="437" t="str">
        <f>Calcu!F41</f>
        <v>℃</v>
      </c>
      <c r="N234" s="438"/>
      <c r="O234" s="444">
        <f>Calcu!J41</f>
        <v>0.28867513459481292</v>
      </c>
      <c r="P234" s="445"/>
      <c r="Q234" s="445"/>
      <c r="R234" s="445"/>
      <c r="S234" s="430" t="str">
        <f>Calcu!K41</f>
        <v>/℃</v>
      </c>
      <c r="T234" s="437"/>
      <c r="U234" s="438"/>
      <c r="V234" s="363" t="str">
        <f>Calcu!L41</f>
        <v>직사각형</v>
      </c>
      <c r="W234" s="363"/>
      <c r="X234" s="363"/>
      <c r="Y234" s="363"/>
      <c r="Z234" s="363"/>
      <c r="AA234" s="441">
        <f>Calcu!O41</f>
        <v>0</v>
      </c>
      <c r="AB234" s="437"/>
      <c r="AC234" s="437"/>
      <c r="AD234" s="437"/>
      <c r="AE234" s="442" t="str">
        <f>Calcu!P41</f>
        <v>/℃·μm</v>
      </c>
      <c r="AF234" s="442"/>
      <c r="AG234" s="443"/>
      <c r="AH234" s="444">
        <f>Calcu!Q41</f>
        <v>0</v>
      </c>
      <c r="AI234" s="445"/>
      <c r="AJ234" s="445"/>
      <c r="AK234" s="445"/>
      <c r="AL234" s="445"/>
      <c r="AM234" s="430" t="str">
        <f>Calcu!R41</f>
        <v>μm</v>
      </c>
      <c r="AN234" s="430"/>
      <c r="AO234" s="431"/>
      <c r="AP234" s="363" t="str">
        <f>Calcu!S41</f>
        <v>∞</v>
      </c>
      <c r="AQ234" s="363"/>
      <c r="AR234" s="363"/>
      <c r="AS234" s="363"/>
      <c r="AT234" s="243"/>
    </row>
    <row r="235" spans="1:46" ht="18.75" customHeight="1">
      <c r="A235" s="243"/>
      <c r="B235" s="363" t="s">
        <v>111</v>
      </c>
      <c r="C235" s="363"/>
      <c r="D235" s="432" t="s">
        <v>240</v>
      </c>
      <c r="E235" s="433"/>
      <c r="F235" s="433"/>
      <c r="G235" s="434"/>
      <c r="H235" s="435">
        <f>Calcu!E42</f>
        <v>0</v>
      </c>
      <c r="I235" s="436"/>
      <c r="J235" s="436"/>
      <c r="K235" s="436"/>
      <c r="L235" s="436"/>
      <c r="M235" s="437" t="str">
        <f>Calcu!F42</f>
        <v>mm</v>
      </c>
      <c r="N235" s="438"/>
      <c r="O235" s="444">
        <f>Calcu!J42</f>
        <v>0</v>
      </c>
      <c r="P235" s="445"/>
      <c r="Q235" s="445"/>
      <c r="R235" s="445"/>
      <c r="S235" s="430" t="str">
        <f>Calcu!K42</f>
        <v>μm</v>
      </c>
      <c r="T235" s="437"/>
      <c r="U235" s="438"/>
      <c r="V235" s="363" t="str">
        <f>Calcu!L42</f>
        <v>t</v>
      </c>
      <c r="W235" s="363"/>
      <c r="X235" s="363"/>
      <c r="Y235" s="363"/>
      <c r="Z235" s="363"/>
      <c r="AA235" s="419" t="e">
        <f>Calcu!O42</f>
        <v>#DIV/0!</v>
      </c>
      <c r="AB235" s="420"/>
      <c r="AC235" s="420"/>
      <c r="AD235" s="420"/>
      <c r="AE235" s="420"/>
      <c r="AF235" s="420"/>
      <c r="AG235" s="421"/>
      <c r="AH235" s="444" t="e">
        <f>Calcu!Q42</f>
        <v>#DIV/0!</v>
      </c>
      <c r="AI235" s="445"/>
      <c r="AJ235" s="445"/>
      <c r="AK235" s="445"/>
      <c r="AL235" s="445"/>
      <c r="AM235" s="430" t="str">
        <f>Calcu!R42</f>
        <v>μm</v>
      </c>
      <c r="AN235" s="430"/>
      <c r="AO235" s="431"/>
      <c r="AP235" s="363">
        <f>Calcu!S42</f>
        <v>4</v>
      </c>
      <c r="AQ235" s="363"/>
      <c r="AR235" s="363"/>
      <c r="AS235" s="363"/>
      <c r="AT235" s="243"/>
    </row>
    <row r="236" spans="1:46" ht="18.75" customHeight="1">
      <c r="A236" s="243"/>
      <c r="B236" s="363" t="s">
        <v>636</v>
      </c>
      <c r="C236" s="363"/>
      <c r="D236" s="432" t="s">
        <v>510</v>
      </c>
      <c r="E236" s="433"/>
      <c r="F236" s="433"/>
      <c r="G236" s="434"/>
      <c r="H236" s="435">
        <f>Calcu!E43</f>
        <v>0</v>
      </c>
      <c r="I236" s="436"/>
      <c r="J236" s="436"/>
      <c r="K236" s="436"/>
      <c r="L236" s="436"/>
      <c r="M236" s="437" t="str">
        <f>Calcu!F43</f>
        <v>/℃</v>
      </c>
      <c r="N236" s="438"/>
      <c r="O236" s="441">
        <f>Calcu!J43</f>
        <v>5.7735026918962578E-7</v>
      </c>
      <c r="P236" s="437"/>
      <c r="Q236" s="437"/>
      <c r="R236" s="437"/>
      <c r="S236" s="430" t="str">
        <f>Calcu!K43</f>
        <v>/℃</v>
      </c>
      <c r="T236" s="437"/>
      <c r="U236" s="438"/>
      <c r="V236" s="363" t="str">
        <f>Calcu!L43</f>
        <v>직사각형</v>
      </c>
      <c r="W236" s="363"/>
      <c r="X236" s="363"/>
      <c r="Y236" s="363"/>
      <c r="Z236" s="363"/>
      <c r="AA236" s="441" t="e">
        <f>Calcu!O43</f>
        <v>#DIV/0!</v>
      </c>
      <c r="AB236" s="437"/>
      <c r="AC236" s="437"/>
      <c r="AD236" s="437"/>
      <c r="AE236" s="442" t="str">
        <f>Calcu!P43</f>
        <v>℃·μm</v>
      </c>
      <c r="AF236" s="442"/>
      <c r="AG236" s="443"/>
      <c r="AH236" s="444" t="e">
        <f>Calcu!Q43</f>
        <v>#DIV/0!</v>
      </c>
      <c r="AI236" s="445"/>
      <c r="AJ236" s="445"/>
      <c r="AK236" s="445"/>
      <c r="AL236" s="445"/>
      <c r="AM236" s="430" t="str">
        <f>Calcu!R43</f>
        <v>μm</v>
      </c>
      <c r="AN236" s="430"/>
      <c r="AO236" s="431"/>
      <c r="AP236" s="363">
        <f>Calcu!S43</f>
        <v>50</v>
      </c>
      <c r="AQ236" s="363"/>
      <c r="AR236" s="363"/>
      <c r="AS236" s="363"/>
      <c r="AT236" s="243"/>
    </row>
    <row r="237" spans="1:46" ht="18.75" customHeight="1">
      <c r="A237" s="243"/>
      <c r="B237" s="363" t="s">
        <v>112</v>
      </c>
      <c r="C237" s="363"/>
      <c r="D237" s="432" t="s">
        <v>637</v>
      </c>
      <c r="E237" s="433"/>
      <c r="F237" s="433"/>
      <c r="G237" s="434"/>
      <c r="H237" s="435" t="e">
        <f>Calcu!E44</f>
        <v>#DIV/0!</v>
      </c>
      <c r="I237" s="436"/>
      <c r="J237" s="436"/>
      <c r="K237" s="436"/>
      <c r="L237" s="436"/>
      <c r="M237" s="437" t="str">
        <f>Calcu!F44</f>
        <v>℃</v>
      </c>
      <c r="N237" s="438"/>
      <c r="O237" s="444">
        <f>Calcu!J44</f>
        <v>0.28867513459481292</v>
      </c>
      <c r="P237" s="445"/>
      <c r="Q237" s="445"/>
      <c r="R237" s="445"/>
      <c r="S237" s="430" t="str">
        <f>Calcu!K44</f>
        <v>/℃</v>
      </c>
      <c r="T237" s="437"/>
      <c r="U237" s="438"/>
      <c r="V237" s="363" t="str">
        <f>Calcu!L44</f>
        <v>직사각형</v>
      </c>
      <c r="W237" s="363"/>
      <c r="X237" s="363"/>
      <c r="Y237" s="363"/>
      <c r="Z237" s="363"/>
      <c r="AA237" s="441">
        <f>Calcu!O44</f>
        <v>0</v>
      </c>
      <c r="AB237" s="437"/>
      <c r="AC237" s="437"/>
      <c r="AD237" s="437"/>
      <c r="AE237" s="442" t="str">
        <f>Calcu!P44</f>
        <v>/℃·μm</v>
      </c>
      <c r="AF237" s="442"/>
      <c r="AG237" s="443"/>
      <c r="AH237" s="444">
        <f>Calcu!Q44</f>
        <v>0</v>
      </c>
      <c r="AI237" s="445"/>
      <c r="AJ237" s="445"/>
      <c r="AK237" s="445"/>
      <c r="AL237" s="445"/>
      <c r="AM237" s="430" t="str">
        <f>Calcu!R44</f>
        <v>μm</v>
      </c>
      <c r="AN237" s="430"/>
      <c r="AO237" s="431"/>
      <c r="AP237" s="363" t="str">
        <f>Calcu!S44</f>
        <v>∞</v>
      </c>
      <c r="AQ237" s="363"/>
      <c r="AR237" s="363"/>
      <c r="AS237" s="363"/>
      <c r="AT237" s="243"/>
    </row>
    <row r="238" spans="1:46" ht="18.75" customHeight="1">
      <c r="A238" s="243"/>
      <c r="B238" s="363" t="s">
        <v>113</v>
      </c>
      <c r="C238" s="363"/>
      <c r="D238" s="432" t="s">
        <v>638</v>
      </c>
      <c r="E238" s="433"/>
      <c r="F238" s="433"/>
      <c r="G238" s="434"/>
      <c r="H238" s="435">
        <f>Calcu!E45</f>
        <v>0</v>
      </c>
      <c r="I238" s="436"/>
      <c r="J238" s="436"/>
      <c r="K238" s="436"/>
      <c r="L238" s="436"/>
      <c r="M238" s="437" t="str">
        <f>Calcu!F45</f>
        <v>mm</v>
      </c>
      <c r="N238" s="438"/>
      <c r="O238" s="444" t="e">
        <f>Calcu!J45</f>
        <v>#DIV/0!</v>
      </c>
      <c r="P238" s="445"/>
      <c r="Q238" s="445"/>
      <c r="R238" s="445"/>
      <c r="S238" s="430" t="str">
        <f>Calcu!K45</f>
        <v>μm</v>
      </c>
      <c r="T238" s="437"/>
      <c r="U238" s="438"/>
      <c r="V238" s="363" t="str">
        <f>Calcu!L45</f>
        <v>정규</v>
      </c>
      <c r="W238" s="363"/>
      <c r="X238" s="363"/>
      <c r="Y238" s="363"/>
      <c r="Z238" s="363"/>
      <c r="AA238" s="419">
        <f>Calcu!O45</f>
        <v>1</v>
      </c>
      <c r="AB238" s="420"/>
      <c r="AC238" s="420"/>
      <c r="AD238" s="420"/>
      <c r="AE238" s="420"/>
      <c r="AF238" s="420"/>
      <c r="AG238" s="421"/>
      <c r="AH238" s="444" t="e">
        <f>Calcu!Q45</f>
        <v>#DIV/0!</v>
      </c>
      <c r="AI238" s="445"/>
      <c r="AJ238" s="445"/>
      <c r="AK238" s="445"/>
      <c r="AL238" s="445"/>
      <c r="AM238" s="430" t="str">
        <f>Calcu!R45</f>
        <v>μm</v>
      </c>
      <c r="AN238" s="430"/>
      <c r="AO238" s="431"/>
      <c r="AP238" s="363" t="str">
        <f>Calcu!S45</f>
        <v>∞</v>
      </c>
      <c r="AQ238" s="363"/>
      <c r="AR238" s="363"/>
      <c r="AS238" s="363"/>
      <c r="AT238" s="243"/>
    </row>
    <row r="239" spans="1:46" ht="18.75" customHeight="1">
      <c r="A239" s="243"/>
      <c r="B239" s="363" t="s">
        <v>639</v>
      </c>
      <c r="C239" s="363"/>
      <c r="D239" s="432" t="s">
        <v>640</v>
      </c>
      <c r="E239" s="433"/>
      <c r="F239" s="433"/>
      <c r="G239" s="434"/>
      <c r="H239" s="435">
        <f>Calcu!E46</f>
        <v>0</v>
      </c>
      <c r="I239" s="436"/>
      <c r="J239" s="436"/>
      <c r="K239" s="436"/>
      <c r="L239" s="436"/>
      <c r="M239" s="437" t="str">
        <f>Calcu!F46</f>
        <v>mm</v>
      </c>
      <c r="N239" s="438"/>
      <c r="O239" s="444">
        <f>Calcu!J46</f>
        <v>0</v>
      </c>
      <c r="P239" s="445"/>
      <c r="Q239" s="445"/>
      <c r="R239" s="445"/>
      <c r="S239" s="430" t="str">
        <f>Calcu!K46</f>
        <v>μm</v>
      </c>
      <c r="T239" s="437"/>
      <c r="U239" s="438"/>
      <c r="V239" s="363" t="str">
        <f>Calcu!L46</f>
        <v>직사각형</v>
      </c>
      <c r="W239" s="363"/>
      <c r="X239" s="363"/>
      <c r="Y239" s="363"/>
      <c r="Z239" s="363"/>
      <c r="AA239" s="419">
        <f>Calcu!O46</f>
        <v>1</v>
      </c>
      <c r="AB239" s="420"/>
      <c r="AC239" s="420"/>
      <c r="AD239" s="420"/>
      <c r="AE239" s="420"/>
      <c r="AF239" s="420"/>
      <c r="AG239" s="421"/>
      <c r="AH239" s="444">
        <f>Calcu!Q46</f>
        <v>0</v>
      </c>
      <c r="AI239" s="445"/>
      <c r="AJ239" s="445"/>
      <c r="AK239" s="445"/>
      <c r="AL239" s="445"/>
      <c r="AM239" s="430" t="str">
        <f>Calcu!R46</f>
        <v>μm</v>
      </c>
      <c r="AN239" s="430"/>
      <c r="AO239" s="431"/>
      <c r="AP239" s="363" t="str">
        <f>Calcu!S46</f>
        <v>∞</v>
      </c>
      <c r="AQ239" s="363"/>
      <c r="AR239" s="363"/>
      <c r="AS239" s="363"/>
      <c r="AT239" s="243"/>
    </row>
    <row r="240" spans="1:46" ht="18.75" customHeight="1">
      <c r="A240" s="243"/>
      <c r="B240" s="363" t="s">
        <v>115</v>
      </c>
      <c r="C240" s="363"/>
      <c r="D240" s="432" t="s">
        <v>107</v>
      </c>
      <c r="E240" s="433"/>
      <c r="F240" s="433"/>
      <c r="G240" s="434"/>
      <c r="H240" s="435" t="e">
        <f>Calcu!E47</f>
        <v>#DIV/0!</v>
      </c>
      <c r="I240" s="436"/>
      <c r="J240" s="436"/>
      <c r="K240" s="436"/>
      <c r="L240" s="436"/>
      <c r="M240" s="437" t="str">
        <f>Calcu!F47</f>
        <v>mm</v>
      </c>
      <c r="N240" s="438"/>
      <c r="O240" s="419"/>
      <c r="P240" s="420"/>
      <c r="Q240" s="420"/>
      <c r="R240" s="420"/>
      <c r="S240" s="420"/>
      <c r="T240" s="420"/>
      <c r="U240" s="421"/>
      <c r="V240" s="363"/>
      <c r="W240" s="363"/>
      <c r="X240" s="363"/>
      <c r="Y240" s="363"/>
      <c r="Z240" s="363"/>
      <c r="AA240" s="419"/>
      <c r="AB240" s="420"/>
      <c r="AC240" s="420"/>
      <c r="AD240" s="420"/>
      <c r="AE240" s="420"/>
      <c r="AF240" s="420"/>
      <c r="AG240" s="421"/>
      <c r="AH240" s="444" t="e">
        <f>Calcu!Q47</f>
        <v>#DIV/0!</v>
      </c>
      <c r="AI240" s="445"/>
      <c r="AJ240" s="445"/>
      <c r="AK240" s="445"/>
      <c r="AL240" s="445"/>
      <c r="AM240" s="430" t="str">
        <f>Calcu!R47</f>
        <v>μm</v>
      </c>
      <c r="AN240" s="430"/>
      <c r="AO240" s="431"/>
      <c r="AP240" s="363" t="e">
        <f>Calcu!S47</f>
        <v>#DIV/0!</v>
      </c>
      <c r="AQ240" s="363"/>
      <c r="AR240" s="363"/>
      <c r="AS240" s="363"/>
      <c r="AT240" s="243"/>
    </row>
    <row r="241" spans="1:66" ht="18.75" customHeight="1">
      <c r="A241" s="243"/>
      <c r="B241" s="243"/>
      <c r="C241" s="243"/>
      <c r="D241" s="243"/>
      <c r="E241" s="243"/>
      <c r="F241" s="243"/>
      <c r="G241" s="243"/>
      <c r="H241" s="243"/>
      <c r="I241" s="243"/>
      <c r="J241" s="243"/>
      <c r="K241" s="243"/>
      <c r="L241" s="243"/>
      <c r="M241" s="243"/>
      <c r="N241" s="243"/>
      <c r="O241" s="243"/>
      <c r="P241" s="243"/>
      <c r="Q241" s="243"/>
      <c r="R241" s="243"/>
      <c r="S241" s="243"/>
      <c r="T241" s="243"/>
      <c r="U241" s="243"/>
      <c r="V241" s="243"/>
      <c r="W241" s="243"/>
      <c r="X241" s="243"/>
      <c r="Y241" s="243"/>
      <c r="Z241" s="243"/>
      <c r="AA241" s="243"/>
      <c r="AB241" s="243"/>
      <c r="AC241" s="243"/>
      <c r="AD241" s="243"/>
      <c r="AE241" s="243"/>
      <c r="AF241" s="243"/>
      <c r="AG241" s="243"/>
      <c r="AH241" s="243"/>
      <c r="AI241" s="243"/>
      <c r="AJ241" s="243"/>
      <c r="AK241" s="243"/>
      <c r="AL241" s="243"/>
      <c r="AM241" s="243"/>
      <c r="AN241" s="243"/>
      <c r="AO241" s="243"/>
      <c r="AP241" s="243"/>
      <c r="AQ241" s="243"/>
      <c r="AR241" s="243"/>
      <c r="AS241" s="243"/>
      <c r="AT241" s="243"/>
    </row>
    <row r="242" spans="1:66" ht="18.75" customHeight="1">
      <c r="A242" s="57" t="s">
        <v>116</v>
      </c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243"/>
      <c r="Y242" s="243"/>
      <c r="Z242" s="243"/>
      <c r="AA242" s="243"/>
      <c r="AB242" s="243"/>
      <c r="AC242" s="243"/>
      <c r="AD242" s="243"/>
      <c r="AE242" s="243"/>
      <c r="AF242" s="243"/>
      <c r="AG242" s="243"/>
      <c r="AH242" s="243"/>
      <c r="AI242" s="243"/>
      <c r="AJ242" s="243"/>
      <c r="AK242" s="243"/>
      <c r="AL242" s="243"/>
      <c r="AM242" s="243"/>
      <c r="AN242" s="243"/>
      <c r="AO242" s="243"/>
      <c r="AP242" s="243"/>
      <c r="AQ242" s="243"/>
      <c r="AR242" s="243"/>
      <c r="AS242" s="243"/>
      <c r="AT242" s="243"/>
    </row>
    <row r="243" spans="1:66" ht="18.75" customHeight="1">
      <c r="A243" s="243"/>
      <c r="B243" s="60" t="s">
        <v>641</v>
      </c>
      <c r="C243" s="243"/>
      <c r="D243" s="243"/>
      <c r="E243" s="243"/>
      <c r="F243" s="243"/>
      <c r="G243" s="243"/>
      <c r="H243" s="243"/>
      <c r="I243" s="243"/>
      <c r="J243" s="243"/>
      <c r="K243" s="243"/>
      <c r="L243" s="243"/>
      <c r="M243" s="243"/>
      <c r="O243" s="243"/>
      <c r="P243" s="158" t="s">
        <v>642</v>
      </c>
      <c r="R243" s="243"/>
      <c r="S243" s="243"/>
      <c r="T243" s="243"/>
      <c r="U243" s="243"/>
      <c r="V243" s="243"/>
      <c r="W243" s="243"/>
      <c r="X243" s="243"/>
      <c r="Y243" s="243"/>
      <c r="Z243" s="243"/>
      <c r="AA243" s="243"/>
      <c r="AB243" s="243"/>
      <c r="AC243" s="243"/>
      <c r="AD243" s="243"/>
      <c r="AE243" s="243"/>
      <c r="AF243" s="243"/>
      <c r="AG243" s="243"/>
      <c r="AH243" s="243"/>
      <c r="AI243" s="243"/>
      <c r="AJ243" s="243"/>
      <c r="AK243" s="243"/>
      <c r="AL243" s="243"/>
      <c r="AM243" s="243"/>
      <c r="AN243" s="243"/>
      <c r="AO243" s="243"/>
      <c r="AP243" s="243"/>
      <c r="AQ243" s="243"/>
      <c r="AR243" s="243"/>
      <c r="AS243" s="243"/>
      <c r="AT243" s="243"/>
    </row>
    <row r="244" spans="1:66" ht="18.75" customHeight="1">
      <c r="A244" s="243"/>
      <c r="B244" s="60"/>
      <c r="C244" s="243" t="s">
        <v>643</v>
      </c>
      <c r="D244" s="243"/>
      <c r="E244" s="243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  <c r="AA244" s="243"/>
      <c r="AB244" s="243"/>
      <c r="AC244" s="243"/>
      <c r="AD244" s="243"/>
      <c r="AE244" s="243"/>
      <c r="AF244" s="243"/>
      <c r="AG244" s="243"/>
      <c r="AH244" s="243"/>
      <c r="AI244" s="243"/>
      <c r="AJ244" s="243"/>
      <c r="AK244" s="243"/>
      <c r="AL244" s="243"/>
      <c r="AM244" s="243"/>
      <c r="AN244" s="243"/>
      <c r="AO244" s="243"/>
      <c r="AP244" s="243"/>
      <c r="AQ244" s="243"/>
      <c r="AR244" s="243"/>
      <c r="AS244" s="243"/>
      <c r="AT244" s="243"/>
    </row>
    <row r="245" spans="1:66" ht="18.75" customHeight="1">
      <c r="A245" s="243"/>
      <c r="B245" s="243"/>
      <c r="C245" s="243" t="s">
        <v>644</v>
      </c>
      <c r="D245" s="243"/>
      <c r="E245" s="243"/>
      <c r="F245" s="243"/>
      <c r="G245" s="243"/>
      <c r="H245" s="243"/>
      <c r="I245" s="403">
        <f>H232</f>
        <v>0</v>
      </c>
      <c r="J245" s="403"/>
      <c r="K245" s="403"/>
      <c r="L245" s="403"/>
      <c r="M245" s="403"/>
      <c r="N245" s="397" t="str">
        <f>M232</f>
        <v>mm</v>
      </c>
      <c r="O245" s="397"/>
      <c r="P245" s="237"/>
      <c r="Q245" s="243"/>
      <c r="R245" s="243"/>
      <c r="W245" s="243"/>
      <c r="X245" s="243"/>
      <c r="Y245" s="243"/>
      <c r="Z245" s="243"/>
      <c r="AA245" s="243"/>
      <c r="AB245" s="243"/>
      <c r="AC245" s="243"/>
      <c r="AD245" s="243"/>
      <c r="AE245" s="243"/>
      <c r="AF245" s="243"/>
      <c r="AG245" s="243"/>
      <c r="AH245" s="243"/>
      <c r="AI245" s="243"/>
      <c r="AJ245" s="243"/>
      <c r="AK245" s="243"/>
      <c r="AL245" s="243"/>
      <c r="AM245" s="243"/>
      <c r="AN245" s="243"/>
      <c r="AO245" s="243"/>
      <c r="AP245" s="243"/>
      <c r="AQ245" s="243"/>
      <c r="AR245" s="243"/>
      <c r="AS245" s="243"/>
      <c r="AT245" s="243"/>
    </row>
    <row r="246" spans="1:66" ht="18.75" customHeight="1">
      <c r="A246" s="243"/>
      <c r="B246" s="60"/>
      <c r="C246" s="404" t="s">
        <v>645</v>
      </c>
      <c r="D246" s="404"/>
      <c r="E246" s="404"/>
      <c r="F246" s="404"/>
      <c r="G246" s="404"/>
      <c r="H246" s="404"/>
      <c r="I246" s="404"/>
      <c r="J246" s="390" t="s">
        <v>646</v>
      </c>
      <c r="K246" s="390"/>
      <c r="L246" s="390"/>
      <c r="M246" s="390" t="s">
        <v>121</v>
      </c>
      <c r="N246" s="424" t="s">
        <v>647</v>
      </c>
      <c r="O246" s="424"/>
      <c r="P246" s="390" t="s">
        <v>121</v>
      </c>
      <c r="Q246" s="457">
        <f>Calcu!G39</f>
        <v>0</v>
      </c>
      <c r="R246" s="457"/>
      <c r="S246" s="247" t="str">
        <f>Calcu!K39</f>
        <v>μm</v>
      </c>
      <c r="T246" s="205"/>
      <c r="U246" s="390" t="s">
        <v>527</v>
      </c>
      <c r="V246" s="392" t="e">
        <f>O232</f>
        <v>#DIV/0!</v>
      </c>
      <c r="W246" s="392"/>
      <c r="X246" s="392"/>
      <c r="Y246" s="396" t="str">
        <f>S232</f>
        <v>μm</v>
      </c>
      <c r="Z246" s="396"/>
      <c r="AA246" s="229"/>
      <c r="AB246" s="229"/>
      <c r="AC246" s="229"/>
      <c r="AD246" s="229"/>
      <c r="AE246" s="229"/>
      <c r="AF246" s="229"/>
      <c r="AG246" s="229"/>
      <c r="AH246" s="229"/>
      <c r="AI246" s="229"/>
      <c r="AJ246" s="229"/>
      <c r="AK246" s="229"/>
      <c r="AL246" s="229"/>
      <c r="AM246" s="229"/>
      <c r="AN246" s="229"/>
      <c r="AO246" s="229"/>
      <c r="AP246" s="229"/>
      <c r="AQ246" s="229"/>
      <c r="AR246" s="243"/>
      <c r="AS246" s="243"/>
      <c r="AU246" s="243"/>
    </row>
    <row r="247" spans="1:66" ht="18.75" customHeight="1">
      <c r="A247" s="243"/>
      <c r="B247" s="60"/>
      <c r="C247" s="243"/>
      <c r="D247" s="243"/>
      <c r="E247" s="243"/>
      <c r="F247" s="243"/>
      <c r="G247" s="243"/>
      <c r="H247" s="243"/>
      <c r="I247" s="243"/>
      <c r="J247" s="390"/>
      <c r="K247" s="390"/>
      <c r="L247" s="390"/>
      <c r="M247" s="390"/>
      <c r="N247" s="458" t="s">
        <v>648</v>
      </c>
      <c r="O247" s="458"/>
      <c r="P247" s="390"/>
      <c r="Q247" s="459">
        <f>Calcu!I39</f>
        <v>0</v>
      </c>
      <c r="R247" s="459"/>
      <c r="S247" s="459"/>
      <c r="T247" s="459"/>
      <c r="U247" s="390"/>
      <c r="V247" s="392"/>
      <c r="W247" s="392"/>
      <c r="X247" s="392"/>
      <c r="Y247" s="396"/>
      <c r="Z247" s="396"/>
      <c r="AA247" s="229"/>
      <c r="AB247" s="229"/>
      <c r="AC247" s="229"/>
      <c r="AD247" s="229"/>
      <c r="AE247" s="229"/>
      <c r="AF247" s="229"/>
      <c r="AG247" s="229"/>
      <c r="AH247" s="229"/>
      <c r="AI247" s="229"/>
      <c r="AJ247" s="229"/>
      <c r="AK247" s="229"/>
      <c r="AL247" s="229"/>
      <c r="AM247" s="229"/>
      <c r="AN247" s="229"/>
      <c r="AO247" s="229"/>
      <c r="AP247" s="229"/>
      <c r="AQ247" s="229"/>
      <c r="AR247" s="243"/>
      <c r="AS247" s="243"/>
      <c r="AU247" s="243"/>
    </row>
    <row r="248" spans="1:66" ht="18.75" customHeight="1">
      <c r="A248" s="243"/>
      <c r="B248" s="243"/>
      <c r="C248" s="243" t="s">
        <v>649</v>
      </c>
      <c r="D248" s="243"/>
      <c r="E248" s="243"/>
      <c r="F248" s="243"/>
      <c r="G248" s="243"/>
      <c r="H248" s="243"/>
      <c r="I248" s="393" t="str">
        <f>V232</f>
        <v>정규</v>
      </c>
      <c r="J248" s="393"/>
      <c r="K248" s="393"/>
      <c r="L248" s="393"/>
      <c r="M248" s="393"/>
      <c r="N248" s="393"/>
      <c r="O248" s="393"/>
      <c r="P248" s="39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  <c r="AA248" s="243"/>
      <c r="AB248" s="243"/>
      <c r="AC248" s="243"/>
      <c r="AD248" s="243"/>
      <c r="AE248" s="243"/>
      <c r="AF248" s="243"/>
      <c r="AG248" s="243"/>
      <c r="AH248" s="243"/>
      <c r="AI248" s="243"/>
      <c r="AJ248" s="243"/>
      <c r="AK248" s="243"/>
      <c r="AL248" s="243"/>
      <c r="AM248" s="243"/>
      <c r="AN248" s="243"/>
      <c r="AO248" s="243"/>
      <c r="AP248" s="243"/>
      <c r="AQ248" s="243"/>
      <c r="AR248" s="243"/>
      <c r="AS248" s="243"/>
      <c r="AT248" s="243"/>
    </row>
    <row r="249" spans="1:66" ht="18.75" customHeight="1">
      <c r="A249" s="243"/>
      <c r="B249" s="243"/>
      <c r="C249" s="394" t="s">
        <v>650</v>
      </c>
      <c r="D249" s="394"/>
      <c r="E249" s="394"/>
      <c r="F249" s="394"/>
      <c r="G249" s="394"/>
      <c r="H249" s="394"/>
      <c r="I249" s="238"/>
      <c r="J249" s="238"/>
      <c r="K249" s="243"/>
      <c r="L249" s="243"/>
      <c r="P249" s="243"/>
      <c r="S249" s="243"/>
      <c r="T249" s="243"/>
      <c r="U249" s="393" t="e">
        <f>AA232</f>
        <v>#DIV/0!</v>
      </c>
      <c r="V249" s="393"/>
      <c r="W249" s="393"/>
      <c r="X249" s="393"/>
      <c r="Y249" s="393"/>
      <c r="Z249" s="393"/>
      <c r="AA249" s="243"/>
      <c r="AB249" s="243"/>
      <c r="AC249" s="243"/>
      <c r="AD249" s="243"/>
      <c r="AE249" s="243"/>
      <c r="AH249" s="226"/>
      <c r="AI249" s="243"/>
      <c r="AJ249" s="243"/>
      <c r="AK249" s="243"/>
      <c r="AL249" s="243"/>
      <c r="AM249" s="243"/>
      <c r="AN249" s="243"/>
      <c r="AO249" s="243"/>
      <c r="AP249" s="243"/>
      <c r="AQ249" s="243"/>
      <c r="AR249" s="243"/>
      <c r="AS249" s="243"/>
      <c r="AT249" s="243"/>
    </row>
    <row r="250" spans="1:66" ht="18.75" customHeight="1">
      <c r="A250" s="243"/>
      <c r="B250" s="243"/>
      <c r="C250" s="394"/>
      <c r="D250" s="394"/>
      <c r="E250" s="394"/>
      <c r="F250" s="394"/>
      <c r="G250" s="394"/>
      <c r="H250" s="394"/>
      <c r="I250" s="233"/>
      <c r="J250" s="233"/>
      <c r="K250" s="243"/>
      <c r="L250" s="243"/>
      <c r="P250" s="243"/>
      <c r="S250" s="243"/>
      <c r="T250" s="243"/>
      <c r="U250" s="393"/>
      <c r="V250" s="393"/>
      <c r="W250" s="393"/>
      <c r="X250" s="393"/>
      <c r="Y250" s="393"/>
      <c r="Z250" s="393"/>
      <c r="AA250" s="243"/>
      <c r="AB250" s="243"/>
      <c r="AC250" s="243"/>
      <c r="AD250" s="243"/>
      <c r="AE250" s="243"/>
      <c r="AH250" s="243"/>
      <c r="AI250" s="243"/>
      <c r="AJ250" s="243"/>
      <c r="AK250" s="243"/>
      <c r="AL250" s="243"/>
      <c r="AM250" s="243"/>
      <c r="AN250" s="243"/>
      <c r="AO250" s="243"/>
      <c r="AP250" s="243"/>
      <c r="AQ250" s="243"/>
      <c r="AR250" s="243"/>
      <c r="AS250" s="243"/>
      <c r="AT250" s="243"/>
    </row>
    <row r="251" spans="1:66" s="243" customFormat="1" ht="18.75" customHeight="1">
      <c r="C251" s="243" t="s">
        <v>123</v>
      </c>
      <c r="K251" s="239" t="s">
        <v>651</v>
      </c>
      <c r="L251" s="395" t="e">
        <f>U249</f>
        <v>#DIV/0!</v>
      </c>
      <c r="M251" s="395"/>
      <c r="N251" s="395"/>
      <c r="O251" s="395"/>
      <c r="P251" s="395"/>
      <c r="Q251" s="229" t="s">
        <v>74</v>
      </c>
      <c r="R251" s="392" t="e">
        <f>V246</f>
        <v>#DIV/0!</v>
      </c>
      <c r="S251" s="392"/>
      <c r="T251" s="392"/>
      <c r="U251" s="396" t="str">
        <f>Y246</f>
        <v>μm</v>
      </c>
      <c r="V251" s="397"/>
      <c r="W251" s="239" t="s">
        <v>535</v>
      </c>
      <c r="X251" s="71" t="s">
        <v>527</v>
      </c>
      <c r="Y251" s="392" t="e">
        <f>R251</f>
        <v>#DIV/0!</v>
      </c>
      <c r="Z251" s="392"/>
      <c r="AA251" s="392"/>
      <c r="AB251" s="396" t="str">
        <f>U251</f>
        <v>μm</v>
      </c>
      <c r="AC251" s="397"/>
      <c r="AD251" s="237"/>
      <c r="AE251" s="238"/>
      <c r="AF251" s="238"/>
    </row>
    <row r="252" spans="1:66" ht="18.75" customHeight="1">
      <c r="A252" s="243"/>
      <c r="B252" s="243"/>
      <c r="C252" s="238" t="s">
        <v>537</v>
      </c>
      <c r="D252" s="238"/>
      <c r="E252" s="238"/>
      <c r="F252" s="238"/>
      <c r="G252" s="238"/>
      <c r="I252" s="104" t="s">
        <v>652</v>
      </c>
      <c r="J252" s="243"/>
      <c r="K252" s="243"/>
      <c r="L252" s="393" t="str">
        <f>AP232</f>
        <v>∞</v>
      </c>
      <c r="M252" s="393"/>
      <c r="N252" s="393"/>
      <c r="O252" s="393"/>
      <c r="P252" s="393"/>
      <c r="Q252" s="393"/>
      <c r="R252" s="243"/>
      <c r="U252" s="153"/>
      <c r="V252" s="153"/>
      <c r="W252" s="243"/>
      <c r="Y252" s="243"/>
      <c r="Z252" s="243"/>
      <c r="AA252" s="243"/>
      <c r="AB252" s="243"/>
      <c r="AC252" s="243"/>
      <c r="AD252" s="243"/>
      <c r="AG252" s="243"/>
      <c r="AH252" s="243"/>
      <c r="AI252" s="243"/>
      <c r="AJ252" s="243"/>
      <c r="AK252" s="243"/>
      <c r="AL252" s="243"/>
      <c r="AM252" s="243"/>
      <c r="AN252" s="243"/>
      <c r="AO252" s="243"/>
      <c r="AP252" s="243"/>
      <c r="AQ252" s="243"/>
      <c r="AR252" s="243"/>
      <c r="AS252" s="243"/>
      <c r="AT252" s="243"/>
    </row>
    <row r="253" spans="1:66" ht="18.75" customHeight="1">
      <c r="A253" s="243"/>
      <c r="B253" s="243"/>
      <c r="C253" s="238"/>
      <c r="D253" s="238"/>
      <c r="E253" s="238"/>
      <c r="F253" s="238"/>
      <c r="G253" s="238"/>
      <c r="H253" s="61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U253" s="153"/>
      <c r="V253" s="153"/>
      <c r="W253" s="243"/>
      <c r="X253" s="243"/>
      <c r="Y253" s="243"/>
      <c r="Z253" s="243"/>
      <c r="AA253" s="243"/>
      <c r="AB253" s="243"/>
      <c r="AC253" s="243"/>
      <c r="AD253" s="243"/>
      <c r="AG253" s="243"/>
      <c r="AH253" s="243"/>
      <c r="AI253" s="243"/>
      <c r="AJ253" s="243"/>
      <c r="AK253" s="243"/>
      <c r="AL253" s="243"/>
      <c r="AM253" s="243"/>
      <c r="AN253" s="243"/>
      <c r="AO253" s="243"/>
      <c r="AP253" s="243"/>
      <c r="AQ253" s="243"/>
      <c r="AR253" s="243"/>
      <c r="AS253" s="243"/>
      <c r="AT253" s="243"/>
    </row>
    <row r="254" spans="1:66" s="131" customFormat="1" ht="18.75" customHeight="1">
      <c r="A254" s="229"/>
      <c r="B254" s="57" t="s">
        <v>653</v>
      </c>
      <c r="C254" s="238"/>
      <c r="D254" s="238"/>
      <c r="E254" s="238"/>
      <c r="F254" s="238"/>
      <c r="G254" s="238"/>
      <c r="H254" s="238"/>
      <c r="I254" s="238"/>
      <c r="J254" s="238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  <c r="AA254" s="238"/>
      <c r="AB254" s="238"/>
      <c r="AC254" s="238"/>
      <c r="AD254" s="238"/>
      <c r="AE254" s="238"/>
      <c r="AF254" s="238"/>
      <c r="AG254" s="238"/>
      <c r="AH254" s="238"/>
      <c r="AI254" s="238"/>
      <c r="AJ254" s="238"/>
      <c r="AK254" s="238"/>
      <c r="AL254" s="229"/>
      <c r="AM254" s="229"/>
      <c r="AN254" s="229"/>
      <c r="AO254" s="229"/>
      <c r="AP254" s="229"/>
      <c r="AQ254" s="229"/>
      <c r="AR254" s="229"/>
      <c r="AS254" s="229"/>
      <c r="AT254" s="229"/>
      <c r="AU254" s="229"/>
      <c r="AV254" s="229"/>
      <c r="AW254" s="229"/>
      <c r="AX254" s="229"/>
      <c r="AY254" s="238"/>
      <c r="AZ254" s="238"/>
      <c r="BA254" s="238"/>
      <c r="BB254" s="238"/>
      <c r="BC254" s="238"/>
      <c r="BD254" s="238"/>
      <c r="BE254" s="238"/>
      <c r="BF254" s="238"/>
      <c r="BG254" s="58"/>
      <c r="BH254" s="58"/>
      <c r="BI254" s="58"/>
      <c r="BJ254" s="58"/>
      <c r="BK254" s="58"/>
      <c r="BL254" s="58"/>
      <c r="BM254" s="58"/>
    </row>
    <row r="255" spans="1:66" s="131" customFormat="1" ht="18.75" customHeight="1">
      <c r="B255" s="229"/>
      <c r="C255" s="233" t="s">
        <v>124</v>
      </c>
      <c r="D255" s="229"/>
      <c r="E255" s="229"/>
      <c r="F255" s="229"/>
      <c r="G255" s="229"/>
      <c r="H255" s="400">
        <f>H233*10^6</f>
        <v>0</v>
      </c>
      <c r="I255" s="400"/>
      <c r="J255" s="400"/>
      <c r="K255" s="237" t="s">
        <v>541</v>
      </c>
      <c r="L255" s="229"/>
      <c r="M255" s="229"/>
      <c r="N255" s="237"/>
      <c r="O255" s="237"/>
      <c r="P255" s="237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59"/>
      <c r="AG255" s="238"/>
      <c r="AH255" s="238"/>
      <c r="AI255" s="238"/>
      <c r="AJ255" s="238"/>
      <c r="AK255" s="238"/>
      <c r="AL255" s="238"/>
      <c r="AM255" s="229"/>
      <c r="AN255" s="229"/>
      <c r="AO255" s="229"/>
      <c r="AP255" s="229"/>
      <c r="AQ255" s="229"/>
      <c r="AR255" s="229"/>
      <c r="AS255" s="229"/>
      <c r="AT255" s="229"/>
      <c r="AU255" s="229"/>
      <c r="AV255" s="229"/>
      <c r="AW255" s="229"/>
      <c r="AX255" s="229"/>
      <c r="AY255" s="229"/>
      <c r="AZ255" s="238"/>
      <c r="BA255" s="238"/>
      <c r="BB255" s="238"/>
      <c r="BC255" s="238"/>
      <c r="BD255" s="238"/>
      <c r="BE255" s="238"/>
      <c r="BF255" s="238"/>
      <c r="BG255" s="238"/>
      <c r="BH255" s="58"/>
      <c r="BI255" s="58"/>
      <c r="BJ255" s="58"/>
      <c r="BK255" s="58"/>
      <c r="BL255" s="58"/>
      <c r="BM255" s="58"/>
    </row>
    <row r="256" spans="1:66" s="131" customFormat="1" ht="18.75" customHeight="1">
      <c r="B256" s="229"/>
      <c r="C256" s="394" t="s">
        <v>542</v>
      </c>
      <c r="D256" s="394"/>
      <c r="E256" s="394"/>
      <c r="F256" s="394"/>
      <c r="G256" s="394"/>
      <c r="H256" s="394"/>
      <c r="I256" s="394"/>
      <c r="J256" s="394" t="s">
        <v>654</v>
      </c>
      <c r="K256" s="394"/>
      <c r="L256" s="394"/>
      <c r="M256" s="394"/>
      <c r="N256" s="394"/>
      <c r="O256" s="394"/>
      <c r="P256" s="394"/>
      <c r="Q256" s="394"/>
      <c r="R256" s="394"/>
      <c r="S256" s="394"/>
      <c r="T256" s="394"/>
      <c r="U256" s="394"/>
      <c r="V256" s="394"/>
      <c r="W256" s="394"/>
      <c r="X256" s="401" t="s">
        <v>132</v>
      </c>
      <c r="Y256" s="401"/>
      <c r="Z256" s="401"/>
      <c r="AA256" s="401"/>
      <c r="AB256" s="401"/>
      <c r="AC256" s="391" t="s">
        <v>536</v>
      </c>
      <c r="AD256" s="393" t="s">
        <v>133</v>
      </c>
      <c r="AE256" s="393"/>
      <c r="AF256" s="393"/>
      <c r="AG256" s="393"/>
      <c r="AH256" s="393"/>
      <c r="AI256" s="393"/>
      <c r="AM256" s="229"/>
      <c r="AN256" s="238"/>
      <c r="AO256" s="238"/>
      <c r="AP256" s="238"/>
      <c r="AQ256" s="238"/>
      <c r="AR256" s="238"/>
      <c r="AS256" s="238"/>
      <c r="AT256" s="238"/>
      <c r="AU256" s="238"/>
      <c r="AV256" s="238"/>
      <c r="AW256" s="238"/>
      <c r="AX256" s="238"/>
      <c r="AY256" s="238"/>
      <c r="BL256" s="58"/>
      <c r="BM256" s="58"/>
      <c r="BN256" s="58"/>
    </row>
    <row r="257" spans="2:73" s="131" customFormat="1" ht="18.75" customHeight="1">
      <c r="B257" s="229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394"/>
      <c r="O257" s="394"/>
      <c r="P257" s="394"/>
      <c r="Q257" s="394"/>
      <c r="R257" s="394"/>
      <c r="S257" s="394"/>
      <c r="T257" s="394"/>
      <c r="U257" s="394"/>
      <c r="V257" s="394"/>
      <c r="W257" s="394"/>
      <c r="X257" s="238"/>
      <c r="Y257" s="229"/>
      <c r="Z257" s="229"/>
      <c r="AA257" s="229"/>
      <c r="AB257" s="229"/>
      <c r="AC257" s="391"/>
      <c r="AD257" s="393"/>
      <c r="AE257" s="393"/>
      <c r="AF257" s="393"/>
      <c r="AG257" s="393"/>
      <c r="AH257" s="393"/>
      <c r="AI257" s="393"/>
      <c r="AM257" s="229"/>
      <c r="AN257" s="238"/>
      <c r="AO257" s="238"/>
      <c r="AP257" s="238"/>
      <c r="AQ257" s="238"/>
      <c r="AR257" s="238"/>
      <c r="AS257" s="229"/>
      <c r="AT257" s="238"/>
      <c r="AU257" s="238"/>
      <c r="AV257" s="238"/>
      <c r="AW257" s="238"/>
      <c r="AX257" s="238"/>
      <c r="AY257" s="238"/>
      <c r="BL257" s="58"/>
      <c r="BM257" s="58"/>
      <c r="BN257" s="58"/>
    </row>
    <row r="258" spans="2:73" s="131" customFormat="1" ht="18.75" customHeight="1">
      <c r="B258" s="229"/>
      <c r="C258" s="238" t="s">
        <v>128</v>
      </c>
      <c r="D258" s="238"/>
      <c r="E258" s="238"/>
      <c r="F258" s="238"/>
      <c r="G258" s="238"/>
      <c r="H258" s="238"/>
      <c r="I258" s="393" t="str">
        <f>V233</f>
        <v>직사각형</v>
      </c>
      <c r="J258" s="393"/>
      <c r="K258" s="393"/>
      <c r="L258" s="393"/>
      <c r="M258" s="393"/>
      <c r="N258" s="393"/>
      <c r="O258" s="393"/>
      <c r="P258" s="393"/>
      <c r="Q258" s="238"/>
      <c r="R258" s="238"/>
      <c r="S258" s="238"/>
      <c r="T258" s="238"/>
      <c r="U258" s="238"/>
      <c r="V258" s="238"/>
      <c r="W258" s="238"/>
      <c r="X258" s="238"/>
      <c r="Y258" s="238"/>
      <c r="Z258" s="229"/>
      <c r="AA258" s="229"/>
      <c r="AB258" s="229"/>
      <c r="AC258" s="229"/>
      <c r="AD258" s="229"/>
      <c r="AE258" s="229"/>
      <c r="AF258" s="229"/>
      <c r="AG258" s="229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  <c r="AS258" s="238"/>
      <c r="AT258" s="238"/>
      <c r="AU258" s="238"/>
      <c r="AV258" s="238"/>
      <c r="AW258" s="238"/>
      <c r="AX258" s="238"/>
      <c r="AY258" s="238"/>
      <c r="AZ258" s="238"/>
      <c r="BA258" s="238"/>
      <c r="BB258" s="238"/>
      <c r="BC258" s="238"/>
      <c r="BD258" s="238"/>
      <c r="BE258" s="238"/>
      <c r="BF258" s="238"/>
      <c r="BG258" s="238"/>
      <c r="BH258" s="58"/>
      <c r="BI258" s="58"/>
      <c r="BJ258" s="58"/>
      <c r="BK258" s="58"/>
      <c r="BL258" s="58"/>
      <c r="BM258" s="58"/>
      <c r="BN258" s="58"/>
    </row>
    <row r="259" spans="2:73" s="131" customFormat="1" ht="18.75" customHeight="1">
      <c r="B259" s="229"/>
      <c r="C259" s="394" t="s">
        <v>655</v>
      </c>
      <c r="D259" s="394"/>
      <c r="E259" s="394"/>
      <c r="F259" s="394"/>
      <c r="G259" s="394"/>
      <c r="H259" s="394"/>
      <c r="I259" s="238" t="s">
        <v>136</v>
      </c>
      <c r="J259" s="238"/>
      <c r="K259" s="238"/>
      <c r="L259" s="238"/>
      <c r="M259" s="238"/>
      <c r="N259" s="238"/>
      <c r="O259" s="238"/>
      <c r="T259" s="406" t="e">
        <f>AA233</f>
        <v>#DIV/0!</v>
      </c>
      <c r="U259" s="406"/>
      <c r="V259" s="406"/>
      <c r="W259" s="406"/>
      <c r="X259" s="406" t="str">
        <f>AE233</f>
        <v>℃·μm</v>
      </c>
      <c r="Y259" s="406"/>
      <c r="Z259" s="406"/>
      <c r="AM259" s="227"/>
      <c r="AN259" s="238"/>
      <c r="AO259" s="238"/>
      <c r="AP259" s="238"/>
      <c r="AQ259" s="238"/>
      <c r="AR259" s="229"/>
      <c r="AS259" s="229"/>
      <c r="AT259" s="229"/>
      <c r="AU259" s="229"/>
      <c r="AV259" s="229"/>
      <c r="AW259" s="229"/>
      <c r="AX259" s="229"/>
      <c r="BF259" s="206"/>
      <c r="BG259" s="206"/>
      <c r="BH259" s="238"/>
      <c r="BI259" s="238"/>
      <c r="BJ259" s="238"/>
      <c r="BK259" s="237"/>
      <c r="BL259" s="237"/>
      <c r="BM259" s="237"/>
      <c r="BN259" s="237"/>
      <c r="BO259" s="238"/>
      <c r="BP259" s="238"/>
      <c r="BQ259" s="238"/>
      <c r="BR259" s="238"/>
      <c r="BS259" s="238"/>
      <c r="BT259" s="238"/>
      <c r="BU259" s="238"/>
    </row>
    <row r="260" spans="2:73" s="131" customFormat="1" ht="18.75" customHeight="1">
      <c r="B260" s="229"/>
      <c r="C260" s="394"/>
      <c r="D260" s="394"/>
      <c r="E260" s="394"/>
      <c r="F260" s="394"/>
      <c r="G260" s="394"/>
      <c r="H260" s="394"/>
      <c r="I260" s="238"/>
      <c r="J260" s="238"/>
      <c r="K260" s="238"/>
      <c r="L260" s="238"/>
      <c r="M260" s="238"/>
      <c r="N260" s="238"/>
      <c r="O260" s="238"/>
      <c r="T260" s="406"/>
      <c r="U260" s="406"/>
      <c r="V260" s="406"/>
      <c r="W260" s="406"/>
      <c r="X260" s="406"/>
      <c r="Y260" s="406"/>
      <c r="Z260" s="406"/>
      <c r="AM260" s="238"/>
      <c r="AN260" s="238"/>
      <c r="AO260" s="238"/>
      <c r="AP260" s="238"/>
      <c r="AQ260" s="238"/>
      <c r="AR260" s="229"/>
      <c r="AS260" s="229"/>
      <c r="AT260" s="229"/>
      <c r="AU260" s="229"/>
      <c r="AV260" s="229"/>
      <c r="AW260" s="229"/>
      <c r="AX260" s="229"/>
      <c r="BF260" s="206"/>
      <c r="BG260" s="206"/>
      <c r="BH260" s="238"/>
      <c r="BI260" s="238"/>
      <c r="BJ260" s="238"/>
      <c r="BK260" s="237"/>
      <c r="BL260" s="237"/>
      <c r="BM260" s="237"/>
      <c r="BN260" s="237"/>
      <c r="BO260" s="238"/>
      <c r="BP260" s="238"/>
      <c r="BQ260" s="238"/>
      <c r="BR260" s="238"/>
      <c r="BS260" s="238"/>
      <c r="BT260" s="238"/>
      <c r="BU260" s="238"/>
    </row>
    <row r="261" spans="2:73" s="131" customFormat="1" ht="18.75" customHeight="1">
      <c r="B261" s="229"/>
      <c r="C261" s="238" t="s">
        <v>656</v>
      </c>
      <c r="D261" s="238"/>
      <c r="E261" s="238"/>
      <c r="F261" s="238"/>
      <c r="G261" s="238"/>
      <c r="H261" s="238"/>
      <c r="I261" s="238"/>
      <c r="J261" s="229"/>
      <c r="K261" s="243" t="s">
        <v>657</v>
      </c>
      <c r="L261" s="398" t="e">
        <f>T259</f>
        <v>#DIV/0!</v>
      </c>
      <c r="M261" s="399"/>
      <c r="N261" s="399"/>
      <c r="O261" s="399"/>
      <c r="P261" s="132" t="s">
        <v>658</v>
      </c>
      <c r="Q261" s="229"/>
      <c r="R261" s="229"/>
      <c r="S261" s="229"/>
      <c r="T261" s="229"/>
      <c r="U261" s="229"/>
      <c r="V261" s="229"/>
      <c r="W261" s="229"/>
      <c r="X261" s="229"/>
      <c r="Y261" s="243" t="s">
        <v>659</v>
      </c>
      <c r="Z261" s="229" t="s">
        <v>527</v>
      </c>
      <c r="AA261" s="392" t="e">
        <f>ABS(L261*O233)</f>
        <v>#DIV/0!</v>
      </c>
      <c r="AB261" s="392"/>
      <c r="AC261" s="392"/>
      <c r="AD261" s="233" t="s">
        <v>660</v>
      </c>
      <c r="AE261" s="233"/>
      <c r="AF261" s="229"/>
      <c r="AG261" s="229"/>
      <c r="AH261" s="229"/>
      <c r="AI261" s="229"/>
      <c r="AJ261" s="229"/>
      <c r="AK261" s="229"/>
      <c r="AL261" s="229"/>
      <c r="AM261" s="229"/>
      <c r="AN261" s="229"/>
      <c r="AO261" s="229"/>
      <c r="AP261" s="229"/>
      <c r="AQ261" s="229"/>
      <c r="AR261" s="229"/>
      <c r="AS261" s="229"/>
      <c r="AT261" s="229"/>
      <c r="AU261" s="133"/>
      <c r="AV261" s="132"/>
      <c r="AW261" s="238"/>
      <c r="AX261" s="229"/>
      <c r="AY261" s="229"/>
      <c r="AZ261" s="229"/>
      <c r="BA261" s="229"/>
      <c r="BB261" s="229"/>
      <c r="BC261" s="229"/>
      <c r="BD261" s="229"/>
      <c r="BE261" s="229"/>
      <c r="BF261" s="229"/>
      <c r="BG261" s="229"/>
      <c r="BH261" s="58"/>
      <c r="BI261" s="58"/>
      <c r="BP261" s="233"/>
      <c r="BQ261" s="231"/>
    </row>
    <row r="262" spans="2:73" s="131" customFormat="1" ht="18.75" customHeight="1">
      <c r="B262" s="229"/>
      <c r="C262" s="394" t="s">
        <v>661</v>
      </c>
      <c r="D262" s="394"/>
      <c r="E262" s="394"/>
      <c r="F262" s="394"/>
      <c r="G262" s="394"/>
      <c r="H262" s="238"/>
      <c r="J262" s="238"/>
      <c r="K262" s="238"/>
      <c r="L262" s="238"/>
      <c r="M262" s="238"/>
      <c r="N262" s="238"/>
      <c r="O262" s="238"/>
      <c r="P262" s="238"/>
      <c r="Q262" s="238"/>
      <c r="R262" s="132"/>
      <c r="S262" s="238"/>
      <c r="T262" s="238"/>
      <c r="U262" s="238"/>
      <c r="W262" s="238"/>
      <c r="X262" s="243" t="s">
        <v>592</v>
      </c>
      <c r="Y262" s="238"/>
      <c r="Z262" s="238"/>
      <c r="AB262" s="238"/>
      <c r="AC262" s="238"/>
      <c r="AD262" s="238"/>
      <c r="AE262" s="229"/>
      <c r="AF262" s="229"/>
      <c r="AH262" s="229"/>
      <c r="AI262" s="229"/>
      <c r="AJ262" s="229"/>
      <c r="AK262" s="229"/>
      <c r="AL262" s="229"/>
      <c r="AM262" s="229"/>
      <c r="AN262" s="229"/>
      <c r="AO262" s="229"/>
      <c r="AP262" s="229"/>
      <c r="AQ262" s="229"/>
      <c r="AR262" s="229"/>
      <c r="AS262" s="229"/>
      <c r="AT262" s="229"/>
      <c r="AU262" s="229"/>
      <c r="AV262" s="229"/>
      <c r="AW262" s="229"/>
      <c r="AX262" s="229"/>
      <c r="AY262" s="229"/>
      <c r="AZ262" s="229"/>
      <c r="BA262" s="229"/>
      <c r="BB262" s="229"/>
      <c r="BC262" s="229"/>
      <c r="BD262" s="229"/>
      <c r="BE262" s="229"/>
      <c r="BF262" s="229"/>
      <c r="BG262" s="229"/>
      <c r="BH262" s="58"/>
      <c r="BI262" s="58"/>
      <c r="BJ262" s="58"/>
      <c r="BK262" s="58"/>
      <c r="BL262" s="58"/>
    </row>
    <row r="263" spans="2:73" s="131" customFormat="1" ht="18.75" customHeight="1">
      <c r="B263" s="229"/>
      <c r="C263" s="394"/>
      <c r="D263" s="394"/>
      <c r="E263" s="394"/>
      <c r="F263" s="394"/>
      <c r="G263" s="394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132"/>
      <c r="S263" s="238"/>
      <c r="T263" s="238"/>
      <c r="U263" s="238"/>
      <c r="V263" s="238"/>
      <c r="W263" s="238"/>
      <c r="X263" s="238"/>
      <c r="Y263" s="238"/>
      <c r="Z263" s="238"/>
      <c r="AA263" s="238"/>
      <c r="AB263" s="238"/>
      <c r="AC263" s="238"/>
      <c r="AD263" s="238"/>
      <c r="AE263" s="229"/>
      <c r="AF263" s="229"/>
      <c r="AG263" s="229"/>
      <c r="AH263" s="229"/>
      <c r="AI263" s="229"/>
      <c r="AJ263" s="229"/>
      <c r="AK263" s="229"/>
      <c r="AL263" s="229"/>
      <c r="AM263" s="229"/>
      <c r="AN263" s="229"/>
      <c r="AO263" s="229"/>
      <c r="AP263" s="229"/>
      <c r="AQ263" s="229"/>
      <c r="AR263" s="229"/>
      <c r="AS263" s="229"/>
      <c r="AT263" s="229"/>
      <c r="AU263" s="229"/>
      <c r="AV263" s="229"/>
      <c r="AW263" s="229"/>
      <c r="AX263" s="229"/>
      <c r="AY263" s="229"/>
      <c r="AZ263" s="229"/>
      <c r="BA263" s="229"/>
      <c r="BB263" s="229"/>
      <c r="BC263" s="229"/>
      <c r="BD263" s="229"/>
      <c r="BE263" s="229"/>
      <c r="BF263" s="229"/>
      <c r="BG263" s="229"/>
      <c r="BH263" s="58"/>
      <c r="BI263" s="58"/>
      <c r="BJ263" s="58"/>
      <c r="BK263" s="58"/>
      <c r="BL263" s="58"/>
    </row>
    <row r="264" spans="2:73" s="131" customFormat="1" ht="18.75" customHeight="1">
      <c r="B264" s="229"/>
      <c r="C264" s="238"/>
      <c r="D264" s="238"/>
      <c r="E264" s="238"/>
      <c r="F264" s="238"/>
      <c r="G264" s="238"/>
      <c r="H264" s="238"/>
      <c r="I264" s="238"/>
      <c r="J264" s="238"/>
      <c r="K264" s="238"/>
      <c r="L264" s="238"/>
      <c r="M264" s="238"/>
      <c r="N264" s="238"/>
      <c r="O264" s="238"/>
      <c r="P264" s="238"/>
      <c r="Q264" s="238"/>
      <c r="R264" s="132"/>
      <c r="S264" s="238"/>
      <c r="T264" s="238"/>
      <c r="U264" s="238"/>
      <c r="V264" s="238"/>
      <c r="W264" s="238"/>
      <c r="X264" s="238"/>
      <c r="Y264" s="238"/>
      <c r="Z264" s="238"/>
      <c r="AA264" s="238"/>
      <c r="AB264" s="238"/>
      <c r="AC264" s="238"/>
      <c r="AD264" s="238"/>
      <c r="AE264" s="229"/>
      <c r="AF264" s="229"/>
      <c r="AG264" s="229"/>
      <c r="AH264" s="229"/>
      <c r="AI264" s="229"/>
      <c r="AJ264" s="229"/>
      <c r="AK264" s="229"/>
      <c r="AL264" s="229"/>
      <c r="AM264" s="229"/>
      <c r="AN264" s="229"/>
      <c r="AO264" s="229"/>
      <c r="AP264" s="229"/>
      <c r="AQ264" s="229"/>
      <c r="AR264" s="229"/>
      <c r="AS264" s="229"/>
      <c r="AT264" s="229"/>
      <c r="AU264" s="229"/>
      <c r="AV264" s="229"/>
      <c r="AW264" s="229"/>
      <c r="AX264" s="229"/>
      <c r="AY264" s="229"/>
      <c r="AZ264" s="229"/>
      <c r="BA264" s="229"/>
      <c r="BB264" s="229"/>
      <c r="BC264" s="229"/>
      <c r="BD264" s="229"/>
      <c r="BE264" s="229"/>
      <c r="BF264" s="229"/>
      <c r="BG264" s="229"/>
      <c r="BH264" s="238"/>
      <c r="BI264" s="238"/>
      <c r="BJ264" s="238"/>
      <c r="BK264" s="238"/>
    </row>
    <row r="265" spans="2:73" s="131" customFormat="1" ht="18.75" customHeight="1">
      <c r="B265" s="57" t="s">
        <v>662</v>
      </c>
      <c r="D265" s="238"/>
      <c r="E265" s="238"/>
      <c r="F265" s="238"/>
      <c r="G265" s="238"/>
      <c r="H265" s="238"/>
      <c r="I265" s="238"/>
      <c r="J265" s="238"/>
      <c r="K265" s="238"/>
      <c r="L265" s="238"/>
      <c r="M265" s="238"/>
      <c r="N265" s="238"/>
      <c r="O265" s="238"/>
      <c r="P265" s="238"/>
      <c r="Q265" s="238"/>
      <c r="R265" s="238"/>
      <c r="T265" s="57" t="s">
        <v>663</v>
      </c>
      <c r="V265" s="238"/>
      <c r="W265" s="238"/>
      <c r="X265" s="238"/>
      <c r="AA265" s="238"/>
      <c r="AC265" s="238"/>
      <c r="AD265" s="238"/>
      <c r="AE265" s="238"/>
      <c r="AF265" s="238"/>
      <c r="AG265" s="238"/>
      <c r="AH265" s="229"/>
      <c r="AI265" s="229"/>
      <c r="AJ265" s="229"/>
      <c r="AK265" s="229"/>
      <c r="AL265" s="229"/>
      <c r="AM265" s="229"/>
      <c r="AN265" s="229"/>
      <c r="AO265" s="238"/>
      <c r="AP265" s="238"/>
      <c r="AQ265" s="238"/>
      <c r="AR265" s="238"/>
      <c r="AS265" s="238"/>
      <c r="AT265" s="238"/>
      <c r="AU265" s="238"/>
      <c r="AV265" s="238"/>
      <c r="AW265" s="238"/>
      <c r="AX265" s="238"/>
      <c r="AY265" s="238"/>
      <c r="AZ265" s="238"/>
      <c r="BA265" s="238"/>
      <c r="BB265" s="238"/>
      <c r="BC265" s="238"/>
      <c r="BD265" s="238"/>
      <c r="BE265" s="238"/>
      <c r="BF265" s="238"/>
      <c r="BG265" s="238"/>
      <c r="BH265" s="58"/>
      <c r="BI265" s="58"/>
      <c r="BJ265" s="58"/>
      <c r="BK265" s="58"/>
      <c r="BL265" s="58"/>
      <c r="BM265" s="58"/>
      <c r="BN265" s="58"/>
    </row>
    <row r="266" spans="2:73" s="131" customFormat="1" ht="18.75" customHeight="1">
      <c r="B266" s="57"/>
      <c r="C266" s="238" t="str">
        <f>"※ 열평형 상태에서 기준 링 게이지의 온도가 최소 ±"&amp;N269&amp;" ℃ 이내에서 변화한다고 추정하여 직사각형 확률분포를"</f>
        <v>※ 열평형 상태에서 기준 링 게이지의 온도가 최소 ±0.5 ℃ 이내에서 변화한다고 추정하여 직사각형 확률분포를</v>
      </c>
      <c r="D266" s="238"/>
      <c r="E266" s="238"/>
      <c r="F266" s="238"/>
      <c r="G266" s="238"/>
      <c r="H266" s="238"/>
      <c r="I266" s="238"/>
      <c r="J266" s="238"/>
      <c r="K266" s="238"/>
      <c r="L266" s="238"/>
      <c r="M266" s="238"/>
      <c r="N266" s="238"/>
      <c r="O266" s="238"/>
      <c r="P266" s="238"/>
      <c r="Q266" s="238"/>
      <c r="R266" s="238"/>
      <c r="S266" s="238"/>
      <c r="T266" s="238"/>
      <c r="U266" s="238"/>
      <c r="V266" s="238"/>
      <c r="W266" s="238"/>
      <c r="X266" s="238"/>
      <c r="Y266" s="238"/>
      <c r="Z266" s="238"/>
      <c r="AA266" s="238"/>
      <c r="AB266" s="238"/>
      <c r="AC266" s="238"/>
      <c r="AD266" s="238"/>
      <c r="AE266" s="238"/>
      <c r="AF266" s="238"/>
      <c r="AG266" s="238"/>
      <c r="AH266" s="238"/>
      <c r="AI266" s="238"/>
      <c r="AJ266" s="238"/>
      <c r="AK266" s="238"/>
      <c r="AL266" s="238"/>
      <c r="AM266" s="229"/>
      <c r="AN266" s="229"/>
      <c r="AO266" s="238"/>
      <c r="AP266" s="238"/>
      <c r="AQ266" s="238"/>
      <c r="AR266" s="238"/>
      <c r="AS266" s="238"/>
      <c r="AT266" s="238"/>
      <c r="AU266" s="238"/>
      <c r="AV266" s="238"/>
      <c r="AW266" s="238"/>
      <c r="AX266" s="238"/>
      <c r="AY266" s="238"/>
      <c r="AZ266" s="238"/>
      <c r="BA266" s="238"/>
      <c r="BB266" s="238"/>
      <c r="BC266" s="238"/>
      <c r="BD266" s="238"/>
      <c r="BE266" s="238"/>
      <c r="BF266" s="238"/>
      <c r="BG266" s="238"/>
      <c r="BH266" s="58"/>
      <c r="BI266" s="58"/>
      <c r="BJ266" s="58"/>
      <c r="BK266" s="58"/>
      <c r="BL266" s="58"/>
      <c r="BM266" s="58"/>
      <c r="BN266" s="58"/>
    </row>
    <row r="267" spans="2:73" s="131" customFormat="1" ht="18.75" customHeight="1">
      <c r="B267" s="57"/>
      <c r="C267" s="238"/>
      <c r="D267" s="238" t="s">
        <v>664</v>
      </c>
      <c r="E267" s="238"/>
      <c r="F267" s="238"/>
      <c r="G267" s="238"/>
      <c r="H267" s="238"/>
      <c r="I267" s="238"/>
      <c r="J267" s="238"/>
      <c r="K267" s="238"/>
      <c r="L267" s="238"/>
      <c r="M267" s="238"/>
      <c r="N267" s="238"/>
      <c r="O267" s="238"/>
      <c r="P267" s="238"/>
      <c r="Q267" s="238"/>
      <c r="R267" s="238"/>
      <c r="S267" s="238"/>
      <c r="T267" s="238"/>
      <c r="U267" s="238"/>
      <c r="V267" s="238"/>
      <c r="W267" s="238"/>
      <c r="X267" s="238"/>
      <c r="Y267" s="238"/>
      <c r="Z267" s="238"/>
      <c r="AA267" s="238"/>
      <c r="AB267" s="238"/>
      <c r="AC267" s="238"/>
      <c r="AD267" s="238"/>
      <c r="AE267" s="238"/>
      <c r="AF267" s="238"/>
      <c r="AG267" s="238"/>
      <c r="AH267" s="238"/>
      <c r="AI267" s="238"/>
      <c r="AJ267" s="238"/>
      <c r="AK267" s="238"/>
      <c r="AL267" s="238"/>
      <c r="AM267" s="229"/>
      <c r="AN267" s="229"/>
      <c r="AO267" s="238"/>
      <c r="AP267" s="238"/>
      <c r="AQ267" s="238"/>
      <c r="AR267" s="238"/>
      <c r="AS267" s="238"/>
      <c r="AT267" s="238"/>
      <c r="AU267" s="238"/>
      <c r="AV267" s="238"/>
      <c r="AW267" s="238"/>
      <c r="AX267" s="238"/>
      <c r="AY267" s="238"/>
      <c r="AZ267" s="238"/>
      <c r="BA267" s="238"/>
      <c r="BB267" s="238"/>
      <c r="BC267" s="238"/>
      <c r="BD267" s="238"/>
      <c r="BE267" s="238"/>
      <c r="BF267" s="238"/>
      <c r="BG267" s="238"/>
      <c r="BH267" s="58"/>
      <c r="BI267" s="58"/>
      <c r="BJ267" s="58"/>
      <c r="BK267" s="58"/>
      <c r="BL267" s="58"/>
      <c r="BM267" s="58"/>
      <c r="BN267" s="58"/>
    </row>
    <row r="268" spans="2:73" s="131" customFormat="1" ht="18.75" customHeight="1">
      <c r="B268" s="229"/>
      <c r="C268" s="233" t="s">
        <v>665</v>
      </c>
      <c r="D268" s="229"/>
      <c r="E268" s="229"/>
      <c r="F268" s="229"/>
      <c r="G268" s="229"/>
      <c r="H268" s="397" t="e">
        <f>H234</f>
        <v>#DIV/0!</v>
      </c>
      <c r="I268" s="397"/>
      <c r="J268" s="397"/>
      <c r="K268" s="397"/>
      <c r="L268" s="397"/>
      <c r="M268" s="397" t="str">
        <f>M234</f>
        <v>℃</v>
      </c>
      <c r="N268" s="397"/>
      <c r="O268" s="237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  <c r="Z268" s="238"/>
      <c r="AA268" s="238"/>
      <c r="AB268" s="238"/>
      <c r="AC268" s="238"/>
      <c r="AD268" s="238"/>
      <c r="AE268" s="238"/>
      <c r="AF268" s="238"/>
      <c r="AG268" s="238"/>
      <c r="AH268" s="229"/>
      <c r="AI268" s="229"/>
      <c r="AJ268" s="229"/>
      <c r="AK268" s="229"/>
      <c r="AL268" s="229"/>
      <c r="AM268" s="229"/>
      <c r="AN268" s="229"/>
      <c r="AO268" s="238"/>
      <c r="AP268" s="238"/>
      <c r="AQ268" s="238"/>
      <c r="AR268" s="238"/>
      <c r="AS268" s="238"/>
      <c r="AT268" s="238"/>
      <c r="AU268" s="238"/>
      <c r="AV268" s="238"/>
      <c r="AW268" s="238"/>
      <c r="AX268" s="238"/>
      <c r="AY268" s="238"/>
      <c r="AZ268" s="238"/>
      <c r="BA268" s="238"/>
      <c r="BB268" s="238"/>
      <c r="BC268" s="238"/>
      <c r="BD268" s="238"/>
      <c r="BE268" s="238"/>
      <c r="BF268" s="238"/>
      <c r="BG268" s="238"/>
      <c r="BH268" s="58"/>
      <c r="BI268" s="58"/>
      <c r="BJ268" s="58"/>
      <c r="BK268" s="58"/>
      <c r="BL268" s="58"/>
      <c r="BM268" s="58"/>
    </row>
    <row r="269" spans="2:73" s="131" customFormat="1" ht="18.75" customHeight="1">
      <c r="B269" s="229"/>
      <c r="C269" s="394" t="s">
        <v>666</v>
      </c>
      <c r="D269" s="394"/>
      <c r="E269" s="394"/>
      <c r="F269" s="394"/>
      <c r="G269" s="394"/>
      <c r="H269" s="394"/>
      <c r="I269" s="394"/>
      <c r="J269" s="402" t="s">
        <v>667</v>
      </c>
      <c r="K269" s="402"/>
      <c r="L269" s="402"/>
      <c r="M269" s="391" t="s">
        <v>527</v>
      </c>
      <c r="N269" s="389">
        <f>Calcu!G41</f>
        <v>0.5</v>
      </c>
      <c r="O269" s="389"/>
      <c r="P269" s="236" t="s">
        <v>274</v>
      </c>
      <c r="Q269" s="207"/>
      <c r="R269" s="391" t="s">
        <v>536</v>
      </c>
      <c r="S269" s="392">
        <f>N269/SQRT(3)</f>
        <v>0.28867513459481292</v>
      </c>
      <c r="T269" s="392"/>
      <c r="U269" s="392"/>
      <c r="V269" s="397" t="s">
        <v>598</v>
      </c>
      <c r="W269" s="397"/>
      <c r="X269" s="237"/>
      <c r="Y269" s="238"/>
      <c r="AX269" s="238"/>
      <c r="AY269" s="238"/>
      <c r="AZ269" s="238"/>
      <c r="BA269" s="238"/>
      <c r="BB269" s="238"/>
      <c r="BC269" s="238"/>
      <c r="BD269" s="238"/>
      <c r="BE269" s="238"/>
      <c r="BF269" s="238"/>
      <c r="BG269" s="238"/>
      <c r="BH269" s="238"/>
      <c r="BI269" s="238"/>
      <c r="BJ269" s="58"/>
      <c r="BK269" s="58"/>
      <c r="BL269" s="58"/>
      <c r="BM269" s="58"/>
      <c r="BN269" s="58"/>
      <c r="BO269" s="58"/>
      <c r="BP269" s="58"/>
    </row>
    <row r="270" spans="2:73" s="131" customFormat="1" ht="18.75" customHeight="1">
      <c r="B270" s="229"/>
      <c r="C270" s="394"/>
      <c r="D270" s="394"/>
      <c r="E270" s="394"/>
      <c r="F270" s="394"/>
      <c r="G270" s="394"/>
      <c r="H270" s="394"/>
      <c r="I270" s="394"/>
      <c r="J270" s="402"/>
      <c r="K270" s="402"/>
      <c r="L270" s="402"/>
      <c r="M270" s="391"/>
      <c r="N270" s="229"/>
      <c r="O270" s="229"/>
      <c r="P270" s="229"/>
      <c r="Q270" s="229"/>
      <c r="R270" s="391"/>
      <c r="S270" s="392"/>
      <c r="T270" s="392"/>
      <c r="U270" s="392"/>
      <c r="V270" s="397"/>
      <c r="W270" s="397"/>
      <c r="X270" s="237"/>
      <c r="Y270" s="238"/>
      <c r="AX270" s="238"/>
      <c r="AY270" s="238"/>
      <c r="AZ270" s="238"/>
      <c r="BA270" s="238"/>
      <c r="BB270" s="238"/>
      <c r="BC270" s="238"/>
      <c r="BD270" s="238"/>
      <c r="BE270" s="238"/>
      <c r="BF270" s="238"/>
      <c r="BG270" s="238"/>
      <c r="BH270" s="238"/>
      <c r="BI270" s="238"/>
      <c r="BJ270" s="58"/>
      <c r="BK270" s="58"/>
      <c r="BL270" s="58"/>
      <c r="BM270" s="58"/>
      <c r="BN270" s="58"/>
      <c r="BO270" s="58"/>
      <c r="BP270" s="58"/>
    </row>
    <row r="271" spans="2:73" s="131" customFormat="1" ht="18.75" customHeight="1">
      <c r="B271" s="229"/>
      <c r="C271" s="238" t="s">
        <v>668</v>
      </c>
      <c r="D271" s="238"/>
      <c r="E271" s="238"/>
      <c r="F271" s="238"/>
      <c r="G271" s="238"/>
      <c r="H271" s="238"/>
      <c r="I271" s="393" t="str">
        <f>V234</f>
        <v>직사각형</v>
      </c>
      <c r="J271" s="393"/>
      <c r="K271" s="393"/>
      <c r="L271" s="393"/>
      <c r="M271" s="393"/>
      <c r="N271" s="393"/>
      <c r="O271" s="393"/>
      <c r="P271" s="393"/>
      <c r="Q271" s="238"/>
      <c r="R271" s="238"/>
      <c r="S271" s="238"/>
      <c r="T271" s="238"/>
      <c r="U271" s="238"/>
      <c r="V271" s="238"/>
      <c r="W271" s="238"/>
      <c r="X271" s="238"/>
      <c r="Y271" s="238"/>
      <c r="Z271" s="229"/>
      <c r="AA271" s="229"/>
      <c r="AK271" s="229"/>
      <c r="AL271" s="229"/>
      <c r="AM271" s="229"/>
      <c r="AN271" s="229"/>
      <c r="AO271" s="229"/>
      <c r="AP271" s="238"/>
      <c r="AQ271" s="238"/>
      <c r="AR271" s="238"/>
      <c r="AS271" s="238"/>
      <c r="AT271" s="238"/>
      <c r="AU271" s="238"/>
      <c r="AV271" s="238"/>
      <c r="AW271" s="238"/>
      <c r="AX271" s="238"/>
      <c r="AY271" s="238"/>
      <c r="AZ271" s="238"/>
      <c r="BA271" s="238"/>
      <c r="BB271" s="238"/>
      <c r="BC271" s="238"/>
      <c r="BD271" s="238"/>
      <c r="BE271" s="238"/>
      <c r="BF271" s="238"/>
      <c r="BG271" s="238"/>
      <c r="BH271" s="58"/>
      <c r="BI271" s="58"/>
      <c r="BJ271" s="58"/>
      <c r="BK271" s="58"/>
      <c r="BL271" s="58"/>
    </row>
    <row r="272" spans="2:73" s="131" customFormat="1" ht="18.75" customHeight="1">
      <c r="B272" s="229"/>
      <c r="C272" s="394" t="s">
        <v>135</v>
      </c>
      <c r="D272" s="394"/>
      <c r="E272" s="394"/>
      <c r="F272" s="394"/>
      <c r="G272" s="394"/>
      <c r="H272" s="394"/>
      <c r="I272" s="238"/>
      <c r="J272" s="238"/>
      <c r="K272" s="238"/>
      <c r="L272" s="238"/>
      <c r="M272" s="238"/>
      <c r="N272" s="238"/>
      <c r="O272" s="229"/>
      <c r="Q272" s="405">
        <f>AA234</f>
        <v>0</v>
      </c>
      <c r="R272" s="405"/>
      <c r="S272" s="405"/>
      <c r="T272" s="405"/>
      <c r="U272" s="406" t="str">
        <f>AE234</f>
        <v>/℃·μm</v>
      </c>
      <c r="V272" s="406"/>
      <c r="W272" s="406"/>
      <c r="AJ272" s="227"/>
      <c r="AK272" s="238"/>
      <c r="AL272" s="238"/>
      <c r="AM272" s="238"/>
      <c r="AN272" s="238"/>
      <c r="AO272" s="238"/>
      <c r="AP272" s="238"/>
      <c r="AQ272" s="238"/>
      <c r="AR272" s="238"/>
      <c r="AS272" s="238"/>
      <c r="AT272" s="238"/>
      <c r="AU272" s="238"/>
      <c r="AV272" s="238"/>
      <c r="AW272" s="238"/>
      <c r="AX272" s="238"/>
      <c r="AY272" s="238"/>
      <c r="AZ272" s="238"/>
      <c r="BA272" s="238"/>
      <c r="BB272" s="238"/>
      <c r="BC272" s="229"/>
      <c r="BD272" s="229"/>
      <c r="BE272" s="229"/>
      <c r="BF272" s="229"/>
      <c r="BG272" s="229"/>
      <c r="BH272" s="229"/>
    </row>
    <row r="273" spans="1:60" s="131" customFormat="1" ht="18.75" customHeight="1">
      <c r="B273" s="229"/>
      <c r="C273" s="394"/>
      <c r="D273" s="394"/>
      <c r="E273" s="394"/>
      <c r="F273" s="394"/>
      <c r="G273" s="394"/>
      <c r="H273" s="394"/>
      <c r="I273" s="238"/>
      <c r="J273" s="238"/>
      <c r="K273" s="238"/>
      <c r="L273" s="238"/>
      <c r="M273" s="238"/>
      <c r="N273" s="238"/>
      <c r="O273" s="229"/>
      <c r="Q273" s="405"/>
      <c r="R273" s="405"/>
      <c r="S273" s="405"/>
      <c r="T273" s="405"/>
      <c r="U273" s="406"/>
      <c r="V273" s="406"/>
      <c r="W273" s="406"/>
      <c r="AJ273" s="238"/>
      <c r="AK273" s="238"/>
      <c r="AL273" s="238"/>
      <c r="AM273" s="238"/>
      <c r="AN273" s="238"/>
      <c r="AO273" s="238"/>
      <c r="AP273" s="238"/>
      <c r="AQ273" s="238"/>
      <c r="AR273" s="238"/>
      <c r="AS273" s="238"/>
      <c r="AT273" s="238"/>
      <c r="AU273" s="238"/>
      <c r="AV273" s="238"/>
      <c r="AW273" s="238"/>
      <c r="AX273" s="238"/>
      <c r="AY273" s="238"/>
      <c r="AZ273" s="238"/>
      <c r="BA273" s="238"/>
      <c r="BB273" s="238"/>
      <c r="BC273" s="229"/>
      <c r="BD273" s="229"/>
      <c r="BE273" s="229"/>
      <c r="BF273" s="229"/>
      <c r="BG273" s="229"/>
      <c r="BH273" s="229"/>
    </row>
    <row r="274" spans="1:60" s="131" customFormat="1" ht="18.75" customHeight="1">
      <c r="B274" s="229"/>
      <c r="C274" s="238" t="s">
        <v>555</v>
      </c>
      <c r="D274" s="238"/>
      <c r="E274" s="238"/>
      <c r="F274" s="238"/>
      <c r="G274" s="238"/>
      <c r="H274" s="238"/>
      <c r="I274" s="238"/>
      <c r="J274" s="229"/>
      <c r="K274" s="243" t="s">
        <v>137</v>
      </c>
      <c r="L274" s="407">
        <f>Q272</f>
        <v>0</v>
      </c>
      <c r="M274" s="407"/>
      <c r="N274" s="407"/>
      <c r="O274" s="407"/>
      <c r="P274" s="132" t="s">
        <v>669</v>
      </c>
      <c r="Q274" s="229"/>
      <c r="R274" s="229"/>
      <c r="S274" s="229" t="s">
        <v>74</v>
      </c>
      <c r="T274" s="408">
        <f>S269</f>
        <v>0.28867513459481292</v>
      </c>
      <c r="U274" s="408"/>
      <c r="V274" s="408"/>
      <c r="W274" s="408"/>
      <c r="X274" s="243" t="s">
        <v>602</v>
      </c>
      <c r="Y274" s="229" t="s">
        <v>121</v>
      </c>
      <c r="Z274" s="392">
        <f>ABS(L274*T274)</f>
        <v>0</v>
      </c>
      <c r="AA274" s="392"/>
      <c r="AB274" s="392"/>
      <c r="AC274" s="233" t="s">
        <v>120</v>
      </c>
      <c r="AD274" s="233"/>
      <c r="AE274" s="229"/>
      <c r="AF274" s="229"/>
      <c r="AG274" s="241"/>
      <c r="AH274" s="229"/>
      <c r="AI274" s="229"/>
      <c r="AJ274" s="229"/>
      <c r="AK274" s="229"/>
      <c r="AL274" s="229"/>
      <c r="AM274" s="229"/>
      <c r="AN274" s="229"/>
      <c r="AO274" s="229"/>
      <c r="AP274" s="229"/>
      <c r="AQ274" s="208"/>
      <c r="AR274" s="208"/>
      <c r="AS274" s="208"/>
      <c r="AT274" s="238"/>
      <c r="AU274" s="238"/>
      <c r="AV274" s="238"/>
      <c r="AW274" s="209"/>
      <c r="AX274" s="209"/>
      <c r="AY274" s="209"/>
      <c r="AZ274" s="209"/>
      <c r="BA274" s="209"/>
      <c r="BB274" s="209"/>
      <c r="BC274" s="229"/>
      <c r="BD274" s="229"/>
      <c r="BE274" s="229"/>
      <c r="BF274" s="229"/>
      <c r="BG274" s="229"/>
      <c r="BH274" s="229"/>
    </row>
    <row r="275" spans="1:60" s="131" customFormat="1" ht="18.75" customHeight="1">
      <c r="B275" s="229"/>
      <c r="C275" s="394" t="s">
        <v>557</v>
      </c>
      <c r="D275" s="394"/>
      <c r="E275" s="394"/>
      <c r="F275" s="394"/>
      <c r="G275" s="394"/>
      <c r="H275" s="238"/>
      <c r="J275" s="238"/>
      <c r="K275" s="238"/>
      <c r="L275" s="238"/>
      <c r="M275" s="238"/>
      <c r="N275" s="238"/>
      <c r="O275" s="238"/>
      <c r="P275" s="238"/>
      <c r="Q275" s="238"/>
      <c r="R275" s="132"/>
      <c r="S275" s="238"/>
      <c r="T275" s="238"/>
      <c r="U275" s="238"/>
      <c r="W275" s="243" t="s">
        <v>670</v>
      </c>
      <c r="X275" s="238"/>
      <c r="Y275" s="238"/>
      <c r="Z275" s="238"/>
      <c r="AA275" s="238"/>
      <c r="AB275" s="238"/>
      <c r="AC275" s="238"/>
      <c r="AD275" s="238"/>
      <c r="AE275" s="229"/>
      <c r="AF275" s="229"/>
      <c r="AG275" s="229"/>
      <c r="AH275" s="229"/>
      <c r="AI275" s="229"/>
      <c r="AJ275" s="229"/>
      <c r="AK275" s="229"/>
      <c r="AL275" s="229"/>
      <c r="AM275" s="229"/>
      <c r="AN275" s="229"/>
      <c r="AO275" s="229"/>
      <c r="AP275" s="229"/>
      <c r="AQ275" s="229"/>
      <c r="AR275" s="229"/>
      <c r="AS275" s="229"/>
      <c r="AT275" s="229"/>
      <c r="AU275" s="238"/>
      <c r="AV275" s="229"/>
      <c r="AW275" s="229"/>
      <c r="AX275" s="229"/>
      <c r="AY275" s="229"/>
      <c r="AZ275" s="229"/>
      <c r="BA275" s="229"/>
      <c r="BB275" s="229"/>
      <c r="BC275" s="229"/>
      <c r="BD275" s="229"/>
      <c r="BE275" s="229"/>
      <c r="BF275" s="229"/>
      <c r="BG275" s="229"/>
    </row>
    <row r="276" spans="1:60" s="131" customFormat="1" ht="18.75" customHeight="1">
      <c r="B276" s="229"/>
      <c r="C276" s="394"/>
      <c r="D276" s="394"/>
      <c r="E276" s="394"/>
      <c r="F276" s="394"/>
      <c r="G276" s="394"/>
      <c r="H276" s="238"/>
      <c r="I276" s="238"/>
      <c r="J276" s="238"/>
      <c r="K276" s="238"/>
      <c r="L276" s="238"/>
      <c r="M276" s="238"/>
      <c r="N276" s="238"/>
      <c r="O276" s="238"/>
      <c r="P276" s="238"/>
      <c r="Q276" s="238"/>
      <c r="R276" s="132"/>
      <c r="S276" s="238"/>
      <c r="T276" s="238"/>
      <c r="U276" s="238"/>
      <c r="V276" s="238"/>
      <c r="W276" s="238"/>
      <c r="X276" s="238"/>
      <c r="Y276" s="238"/>
      <c r="Z276" s="238"/>
      <c r="AA276" s="238"/>
      <c r="AB276" s="238"/>
      <c r="AC276" s="229"/>
      <c r="AD276" s="229"/>
      <c r="AE276" s="229"/>
      <c r="AF276" s="229"/>
      <c r="AG276" s="229"/>
      <c r="AH276" s="229"/>
      <c r="AI276" s="229"/>
      <c r="AJ276" s="229"/>
      <c r="AK276" s="229"/>
      <c r="AL276" s="229"/>
      <c r="AM276" s="229"/>
      <c r="AN276" s="229"/>
      <c r="AO276" s="229"/>
      <c r="AP276" s="229"/>
      <c r="AQ276" s="229"/>
      <c r="AR276" s="229"/>
      <c r="AS276" s="229"/>
      <c r="AT276" s="229"/>
      <c r="AU276" s="229"/>
      <c r="AV276" s="229"/>
      <c r="AW276" s="229"/>
      <c r="AX276" s="229"/>
      <c r="AY276" s="229"/>
      <c r="AZ276" s="229"/>
      <c r="BA276" s="229"/>
      <c r="BB276" s="229"/>
      <c r="BC276" s="229"/>
      <c r="BD276" s="229"/>
      <c r="BE276" s="229"/>
      <c r="BF276" s="229"/>
      <c r="BG276" s="229"/>
    </row>
    <row r="277" spans="1:60" s="131" customFormat="1" ht="18.75" customHeight="1">
      <c r="B277" s="229"/>
      <c r="C277" s="238"/>
      <c r="D277" s="238"/>
      <c r="E277" s="238"/>
      <c r="F277" s="238"/>
      <c r="G277" s="229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29"/>
      <c r="AB277" s="229"/>
      <c r="AC277" s="229"/>
      <c r="AD277" s="229"/>
      <c r="AE277" s="229"/>
      <c r="AF277" s="229"/>
      <c r="AG277" s="229"/>
      <c r="AH277" s="229"/>
      <c r="AI277" s="229"/>
      <c r="AJ277" s="229"/>
      <c r="AK277" s="229"/>
      <c r="AL277" s="229"/>
      <c r="AM277" s="229"/>
      <c r="AN277" s="229"/>
      <c r="AO277" s="229"/>
      <c r="AP277" s="229"/>
      <c r="AQ277" s="229"/>
      <c r="AR277" s="229"/>
      <c r="AS277" s="229"/>
      <c r="AT277" s="229"/>
      <c r="AU277" s="229"/>
      <c r="AV277" s="229"/>
      <c r="AW277" s="229"/>
      <c r="AX277" s="229"/>
      <c r="AY277" s="229"/>
      <c r="AZ277" s="229"/>
      <c r="BA277" s="229"/>
      <c r="BB277" s="229"/>
      <c r="BC277" s="229"/>
      <c r="BD277" s="229"/>
      <c r="BE277" s="229"/>
      <c r="BF277" s="229"/>
      <c r="BG277" s="229"/>
    </row>
    <row r="278" spans="1:60" ht="18.75" customHeight="1">
      <c r="A278" s="243"/>
      <c r="B278" s="60" t="str">
        <f>"4. "&amp;$T$5&amp;" 지시값의 표준불확도,"</f>
        <v>4. 표준 측장기 지시값의 표준불확도,</v>
      </c>
      <c r="C278" s="243"/>
      <c r="D278" s="243"/>
      <c r="E278" s="243"/>
      <c r="F278" s="243"/>
      <c r="G278" s="243"/>
      <c r="H278" s="243"/>
      <c r="I278" s="243"/>
      <c r="J278" s="243"/>
      <c r="K278" s="243"/>
      <c r="L278" s="243"/>
      <c r="M278" s="243"/>
      <c r="N278" s="243"/>
      <c r="P278" s="243"/>
      <c r="Q278" s="158" t="s">
        <v>671</v>
      </c>
      <c r="R278" s="243"/>
      <c r="T278" s="243"/>
      <c r="U278" s="243"/>
      <c r="V278" s="243"/>
      <c r="W278" s="243"/>
      <c r="X278" s="243"/>
      <c r="Y278" s="243"/>
      <c r="Z278" s="243"/>
      <c r="AA278" s="243"/>
      <c r="AB278" s="243"/>
      <c r="AC278" s="243"/>
      <c r="AD278" s="243"/>
      <c r="AE278" s="243"/>
      <c r="AF278" s="243"/>
      <c r="AG278" s="243"/>
      <c r="AH278" s="243"/>
      <c r="AI278" s="243"/>
      <c r="AJ278" s="243"/>
      <c r="AK278" s="243"/>
      <c r="AL278" s="243"/>
      <c r="AM278" s="243"/>
      <c r="AN278" s="243"/>
      <c r="AO278" s="243"/>
      <c r="AP278" s="243"/>
      <c r="AQ278" s="243"/>
      <c r="AR278" s="243"/>
      <c r="AS278" s="243"/>
      <c r="AT278" s="243"/>
    </row>
    <row r="279" spans="1:60" ht="18.75" customHeight="1">
      <c r="A279" s="243"/>
      <c r="C279" s="243" t="s">
        <v>672</v>
      </c>
      <c r="D279" s="243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  <c r="AA279" s="243"/>
      <c r="AB279" s="243"/>
      <c r="AC279" s="243"/>
      <c r="AD279" s="243"/>
      <c r="AE279" s="243"/>
      <c r="AF279" s="243"/>
      <c r="AG279" s="243"/>
      <c r="AH279" s="243"/>
      <c r="AI279" s="243"/>
      <c r="AJ279" s="243"/>
      <c r="AK279" s="243"/>
      <c r="AL279" s="243"/>
      <c r="AM279" s="243"/>
      <c r="AN279" s="243"/>
      <c r="AO279" s="243"/>
      <c r="AP279" s="243"/>
      <c r="AQ279" s="243"/>
      <c r="AR279" s="243"/>
      <c r="AS279" s="243"/>
      <c r="AT279" s="243"/>
    </row>
    <row r="280" spans="1:60" ht="18.75" customHeight="1">
      <c r="A280" s="243"/>
      <c r="C280" s="60"/>
      <c r="D280" s="243" t="s">
        <v>117</v>
      </c>
      <c r="E280" s="243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243"/>
      <c r="Y280" s="243"/>
      <c r="Z280" s="243"/>
      <c r="AA280" s="243"/>
      <c r="AB280" s="243"/>
      <c r="AC280" s="243"/>
      <c r="AD280" s="243"/>
      <c r="AE280" s="243"/>
      <c r="AF280" s="243"/>
      <c r="AG280" s="243"/>
      <c r="AH280" s="243"/>
      <c r="AI280" s="243"/>
      <c r="AJ280" s="243"/>
      <c r="AK280" s="243"/>
      <c r="AL280" s="243"/>
      <c r="AM280" s="243"/>
      <c r="AN280" s="243"/>
      <c r="AO280" s="243"/>
      <c r="AP280" s="243"/>
      <c r="AQ280" s="243"/>
      <c r="AR280" s="243"/>
      <c r="AS280" s="243"/>
      <c r="AT280" s="243"/>
    </row>
    <row r="281" spans="1:60" ht="18.75" customHeight="1">
      <c r="B281" s="243"/>
      <c r="C281" s="243" t="s">
        <v>673</v>
      </c>
      <c r="D281" s="243"/>
      <c r="E281" s="243"/>
      <c r="F281" s="243"/>
      <c r="G281" s="243"/>
      <c r="H281" s="243"/>
      <c r="I281" s="397">
        <f>H235</f>
        <v>0</v>
      </c>
      <c r="J281" s="397"/>
      <c r="K281" s="397"/>
      <c r="L281" s="397"/>
      <c r="M281" s="397"/>
      <c r="N281" s="397" t="str">
        <f>M235</f>
        <v>mm</v>
      </c>
      <c r="O281" s="397"/>
      <c r="P281" s="237"/>
      <c r="Q281" s="243"/>
      <c r="R281" s="243"/>
      <c r="S281" s="243"/>
      <c r="T281" s="243"/>
      <c r="U281" s="243"/>
      <c r="V281" s="243"/>
      <c r="W281" s="243"/>
      <c r="X281" s="243"/>
      <c r="Y281" s="243"/>
      <c r="Z281" s="243"/>
      <c r="AA281" s="243"/>
      <c r="AB281" s="243"/>
      <c r="AC281" s="243"/>
      <c r="AD281" s="243"/>
      <c r="AE281" s="243"/>
      <c r="AF281" s="243"/>
      <c r="AG281" s="243"/>
      <c r="AH281" s="243"/>
      <c r="AI281" s="243"/>
      <c r="AJ281" s="243"/>
      <c r="AK281" s="243"/>
      <c r="AL281" s="243"/>
      <c r="AM281" s="243"/>
      <c r="AN281" s="243"/>
      <c r="AO281" s="243"/>
      <c r="AP281" s="243"/>
      <c r="AQ281" s="243"/>
      <c r="AR281" s="243"/>
      <c r="AS281" s="243"/>
      <c r="AT281" s="243"/>
      <c r="AU281" s="243"/>
    </row>
    <row r="282" spans="1:60" ht="18.75" customHeight="1">
      <c r="B282" s="243"/>
      <c r="C282" s="243" t="s">
        <v>560</v>
      </c>
      <c r="D282" s="243"/>
      <c r="E282" s="243"/>
      <c r="F282" s="243"/>
      <c r="G282" s="243"/>
      <c r="H282" s="243"/>
      <c r="I282" s="243"/>
      <c r="J282" s="61" t="s">
        <v>674</v>
      </c>
      <c r="K282" s="243"/>
      <c r="L282" s="243"/>
      <c r="M282" s="243"/>
      <c r="N282" s="243"/>
      <c r="O282" s="243"/>
      <c r="P282" s="243"/>
      <c r="Q282" s="397">
        <f>Calcu!G42</f>
        <v>0</v>
      </c>
      <c r="R282" s="397"/>
      <c r="S282" s="397"/>
      <c r="T282" s="446" t="s">
        <v>120</v>
      </c>
      <c r="U282" s="446"/>
      <c r="V282" s="243"/>
      <c r="W282" s="243"/>
      <c r="X282" s="243"/>
      <c r="Y282" s="243"/>
      <c r="Z282" s="243"/>
      <c r="AA282" s="243"/>
      <c r="AB282" s="243"/>
      <c r="AC282" s="243"/>
      <c r="AD282" s="243"/>
      <c r="AE282" s="243"/>
      <c r="AF282" s="243"/>
      <c r="AG282" s="243"/>
      <c r="AH282" s="243"/>
      <c r="AI282" s="243"/>
      <c r="AJ282" s="243"/>
      <c r="AK282" s="243"/>
      <c r="AL282" s="243"/>
      <c r="AM282" s="243"/>
      <c r="AN282" s="243"/>
      <c r="AO282" s="243"/>
      <c r="AP282" s="243"/>
      <c r="AQ282" s="243"/>
      <c r="AR282" s="243"/>
      <c r="AS282" s="243"/>
      <c r="AT282" s="243"/>
      <c r="AU282" s="243"/>
    </row>
    <row r="283" spans="1:60" ht="18.75" customHeight="1">
      <c r="B283" s="243"/>
      <c r="C283" s="243"/>
      <c r="D283" s="243"/>
      <c r="E283" s="243"/>
      <c r="F283" s="243"/>
      <c r="G283" s="243"/>
      <c r="H283" s="243"/>
      <c r="I283" s="243"/>
      <c r="J283" s="243"/>
      <c r="K283" s="390" t="s">
        <v>675</v>
      </c>
      <c r="L283" s="390"/>
      <c r="M283" s="390"/>
      <c r="N283" s="390" t="s">
        <v>527</v>
      </c>
      <c r="O283" s="424" t="s">
        <v>122</v>
      </c>
      <c r="P283" s="424"/>
      <c r="Q283" s="390" t="s">
        <v>121</v>
      </c>
      <c r="R283" s="389">
        <f>Q282</f>
        <v>0</v>
      </c>
      <c r="S283" s="389"/>
      <c r="T283" s="389"/>
      <c r="U283" s="447" t="str">
        <f>T282</f>
        <v>μm</v>
      </c>
      <c r="V283" s="447"/>
      <c r="W283" s="390" t="s">
        <v>121</v>
      </c>
      <c r="X283" s="392">
        <f>R283/SQRT(5)</f>
        <v>0</v>
      </c>
      <c r="Y283" s="392"/>
      <c r="Z283" s="392"/>
      <c r="AA283" s="396" t="str">
        <f>T282</f>
        <v>μm</v>
      </c>
      <c r="AB283" s="396"/>
      <c r="AC283" s="240"/>
      <c r="AD283" s="240"/>
      <c r="AE283" s="240"/>
      <c r="AF283" s="243"/>
      <c r="AG283" s="243"/>
      <c r="AH283" s="243"/>
      <c r="AI283" s="243"/>
      <c r="AJ283" s="243"/>
      <c r="AK283" s="243"/>
      <c r="AL283" s="243"/>
      <c r="AM283" s="243"/>
      <c r="AN283" s="243"/>
      <c r="AO283" s="243"/>
      <c r="AP283" s="243"/>
      <c r="AQ283" s="243"/>
      <c r="AR283" s="243"/>
      <c r="AS283" s="243"/>
      <c r="AT283" s="243"/>
      <c r="AU283" s="243"/>
      <c r="AV283" s="243"/>
      <c r="AW283" s="243"/>
    </row>
    <row r="284" spans="1:60" ht="18.75" customHeight="1">
      <c r="B284" s="243"/>
      <c r="C284" s="243"/>
      <c r="D284" s="243"/>
      <c r="E284" s="243"/>
      <c r="F284" s="243"/>
      <c r="G284" s="243"/>
      <c r="H284" s="243"/>
      <c r="I284" s="243"/>
      <c r="J284" s="243"/>
      <c r="K284" s="390"/>
      <c r="L284" s="390"/>
      <c r="M284" s="390"/>
      <c r="N284" s="390"/>
      <c r="O284" s="448"/>
      <c r="P284" s="448"/>
      <c r="Q284" s="390"/>
      <c r="R284" s="412"/>
      <c r="S284" s="412"/>
      <c r="T284" s="412"/>
      <c r="U284" s="412"/>
      <c r="V284" s="412"/>
      <c r="W284" s="390"/>
      <c r="X284" s="392"/>
      <c r="Y284" s="392"/>
      <c r="Z284" s="392"/>
      <c r="AA284" s="396"/>
      <c r="AB284" s="396"/>
      <c r="AC284" s="240"/>
      <c r="AD284" s="240"/>
      <c r="AE284" s="240"/>
      <c r="AF284" s="243"/>
      <c r="AG284" s="243"/>
      <c r="AH284" s="243"/>
      <c r="AI284" s="243"/>
      <c r="AJ284" s="243"/>
      <c r="AK284" s="243"/>
      <c r="AL284" s="243"/>
      <c r="AM284" s="243"/>
      <c r="AN284" s="243"/>
      <c r="AO284" s="243"/>
      <c r="AP284" s="243"/>
      <c r="AQ284" s="243"/>
      <c r="AR284" s="243"/>
      <c r="AS284" s="243"/>
      <c r="AT284" s="243"/>
      <c r="AU284" s="243"/>
      <c r="AV284" s="243"/>
      <c r="AW284" s="243"/>
    </row>
    <row r="285" spans="1:60" ht="18.75" customHeight="1">
      <c r="B285" s="243"/>
      <c r="C285" s="243" t="s">
        <v>676</v>
      </c>
      <c r="D285" s="243"/>
      <c r="E285" s="243"/>
      <c r="F285" s="243"/>
      <c r="G285" s="243"/>
      <c r="H285" s="243"/>
      <c r="I285" s="393" t="str">
        <f>V235</f>
        <v>t</v>
      </c>
      <c r="J285" s="393"/>
      <c r="K285" s="393"/>
      <c r="L285" s="393"/>
      <c r="M285" s="393"/>
      <c r="N285" s="393"/>
      <c r="O285" s="393"/>
      <c r="P285" s="393"/>
      <c r="Q285" s="243"/>
      <c r="R285" s="243"/>
      <c r="S285" s="243"/>
      <c r="T285" s="243"/>
      <c r="U285" s="243"/>
      <c r="V285" s="243"/>
      <c r="W285" s="243"/>
      <c r="X285" s="243"/>
      <c r="Y285" s="243"/>
      <c r="Z285" s="243"/>
      <c r="AA285" s="243"/>
      <c r="AB285" s="243"/>
      <c r="AC285" s="243"/>
      <c r="AD285" s="243"/>
      <c r="AE285" s="243"/>
      <c r="AF285" s="243"/>
      <c r="AG285" s="243"/>
      <c r="AH285" s="243"/>
      <c r="AI285" s="243"/>
      <c r="AJ285" s="243"/>
      <c r="AK285" s="243"/>
      <c r="AL285" s="243"/>
      <c r="AM285" s="243"/>
      <c r="AN285" s="243"/>
      <c r="AO285" s="243"/>
      <c r="AP285" s="243"/>
      <c r="AQ285" s="243"/>
      <c r="AR285" s="243"/>
      <c r="AS285" s="243"/>
      <c r="AT285" s="243"/>
      <c r="AU285" s="243"/>
    </row>
    <row r="286" spans="1:60" ht="18.75" customHeight="1">
      <c r="B286" s="243"/>
      <c r="C286" s="394" t="s">
        <v>140</v>
      </c>
      <c r="D286" s="394"/>
      <c r="E286" s="394"/>
      <c r="F286" s="394"/>
      <c r="G286" s="394"/>
      <c r="H286" s="394"/>
      <c r="I286" s="238"/>
      <c r="J286" s="238"/>
      <c r="K286" s="243"/>
      <c r="L286" s="243"/>
      <c r="S286" s="238"/>
      <c r="T286" s="243"/>
      <c r="U286" s="243"/>
      <c r="V286" s="243"/>
      <c r="W286" s="393" t="e">
        <f>AA235</f>
        <v>#DIV/0!</v>
      </c>
      <c r="X286" s="393"/>
      <c r="Y286" s="393"/>
      <c r="Z286" s="393"/>
      <c r="AA286" s="393"/>
      <c r="AB286" s="243"/>
      <c r="AC286" s="243"/>
      <c r="AD286" s="243"/>
      <c r="AE286" s="243"/>
      <c r="AF286" s="243"/>
      <c r="AL286" s="243"/>
      <c r="AM286" s="243"/>
      <c r="AN286" s="243"/>
      <c r="AO286" s="243"/>
      <c r="AP286" s="243"/>
      <c r="AQ286" s="243"/>
      <c r="AR286" s="243"/>
      <c r="AS286" s="243"/>
      <c r="AT286" s="243"/>
      <c r="AU286" s="243"/>
    </row>
    <row r="287" spans="1:60" ht="18.75" customHeight="1">
      <c r="B287" s="243"/>
      <c r="C287" s="394"/>
      <c r="D287" s="394"/>
      <c r="E287" s="394"/>
      <c r="F287" s="394"/>
      <c r="G287" s="394"/>
      <c r="H287" s="394"/>
      <c r="I287" s="233"/>
      <c r="J287" s="233"/>
      <c r="K287" s="243"/>
      <c r="L287" s="243"/>
      <c r="S287" s="238"/>
      <c r="T287" s="243"/>
      <c r="U287" s="243"/>
      <c r="V287" s="243"/>
      <c r="W287" s="393"/>
      <c r="X287" s="393"/>
      <c r="Y287" s="393"/>
      <c r="Z287" s="393"/>
      <c r="AA287" s="393"/>
      <c r="AB287" s="243"/>
      <c r="AC287" s="243"/>
      <c r="AD287" s="243"/>
      <c r="AE287" s="243"/>
      <c r="AF287" s="243"/>
      <c r="AL287" s="243"/>
      <c r="AM287" s="243"/>
      <c r="AN287" s="243"/>
      <c r="AO287" s="243"/>
      <c r="AP287" s="243"/>
      <c r="AQ287" s="243"/>
      <c r="AR287" s="243"/>
      <c r="AS287" s="243"/>
      <c r="AT287" s="243"/>
      <c r="AU287" s="243"/>
    </row>
    <row r="288" spans="1:60" ht="18.75" customHeight="1">
      <c r="B288" s="243"/>
      <c r="C288" s="243" t="s">
        <v>677</v>
      </c>
      <c r="D288" s="243"/>
      <c r="E288" s="243"/>
      <c r="F288" s="243"/>
      <c r="G288" s="243"/>
      <c r="H288" s="243"/>
      <c r="I288" s="243"/>
      <c r="J288" s="243"/>
      <c r="K288" s="239" t="s">
        <v>651</v>
      </c>
      <c r="L288" s="395" t="e">
        <f>W286</f>
        <v>#DIV/0!</v>
      </c>
      <c r="M288" s="395"/>
      <c r="N288" s="395"/>
      <c r="O288" s="395"/>
      <c r="P288" s="395"/>
      <c r="Q288" s="229" t="s">
        <v>611</v>
      </c>
      <c r="R288" s="392">
        <f>X283</f>
        <v>0</v>
      </c>
      <c r="S288" s="392"/>
      <c r="T288" s="392"/>
      <c r="U288" s="396" t="str">
        <f>AA283</f>
        <v>μm</v>
      </c>
      <c r="V288" s="397"/>
      <c r="W288" s="239" t="s">
        <v>73</v>
      </c>
      <c r="X288" s="71" t="s">
        <v>678</v>
      </c>
      <c r="Y288" s="392" t="e">
        <f>ABS(L288*R288)</f>
        <v>#DIV/0!</v>
      </c>
      <c r="Z288" s="392"/>
      <c r="AA288" s="392"/>
      <c r="AB288" s="396" t="str">
        <f>U288</f>
        <v>μm</v>
      </c>
      <c r="AC288" s="397"/>
      <c r="AD288" s="237"/>
      <c r="AE288" s="243"/>
      <c r="AF288" s="239"/>
      <c r="AG288" s="243"/>
      <c r="AH288" s="243"/>
      <c r="AI288" s="243"/>
      <c r="AJ288" s="243"/>
      <c r="AT288" s="243"/>
      <c r="AU288" s="243"/>
      <c r="AV288" s="243"/>
      <c r="AW288" s="243"/>
      <c r="AX288" s="243"/>
      <c r="AY288" s="243"/>
      <c r="AZ288" s="243"/>
    </row>
    <row r="289" spans="1:73" ht="18.75" customHeight="1">
      <c r="B289" s="243"/>
      <c r="C289" s="243" t="s">
        <v>567</v>
      </c>
      <c r="D289" s="243"/>
      <c r="E289" s="243"/>
      <c r="F289" s="243"/>
      <c r="G289" s="243"/>
      <c r="H289" s="243"/>
      <c r="I289" s="104" t="s">
        <v>679</v>
      </c>
      <c r="J289" s="104"/>
      <c r="K289" s="104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243"/>
      <c r="AB289" s="243"/>
      <c r="AC289" s="243"/>
      <c r="AD289" s="243"/>
      <c r="AE289" s="243"/>
      <c r="AF289" s="243"/>
    </row>
    <row r="290" spans="1:73" ht="18.75" customHeight="1">
      <c r="B290" s="243"/>
      <c r="C290" s="243"/>
      <c r="D290" s="243"/>
      <c r="E290" s="243"/>
      <c r="F290" s="243"/>
      <c r="G290" s="243"/>
      <c r="H290" s="243"/>
      <c r="I290" s="104"/>
      <c r="J290" s="95"/>
      <c r="K290" s="104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243"/>
      <c r="AB290" s="243"/>
      <c r="AC290" s="243"/>
      <c r="AD290" s="243"/>
      <c r="AE290" s="243"/>
      <c r="AF290" s="243"/>
    </row>
    <row r="291" spans="1:73" s="131" customFormat="1" ht="18.75" customHeight="1">
      <c r="A291" s="229"/>
      <c r="B291" s="57" t="str">
        <f>"5. "&amp;$T$5&amp;" 스케일의 열팽창계수에 의한 표준불확도,"</f>
        <v>5. 표준 측장기 스케일의 열팽창계수에 의한 표준불확도,</v>
      </c>
      <c r="C291" s="238"/>
      <c r="D291" s="238"/>
      <c r="E291" s="238"/>
      <c r="F291" s="238"/>
      <c r="G291" s="238"/>
      <c r="H291" s="238"/>
      <c r="I291" s="238"/>
      <c r="J291" s="238"/>
      <c r="K291" s="238"/>
      <c r="L291" s="238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  <c r="AA291" s="238"/>
      <c r="AB291" s="238"/>
      <c r="AC291" s="238"/>
      <c r="AD291" s="238"/>
      <c r="AE291" s="238"/>
      <c r="AF291" s="238"/>
      <c r="AG291" s="238"/>
      <c r="AH291" s="238"/>
      <c r="AI291" s="238"/>
      <c r="AJ291" s="238"/>
      <c r="AK291" s="238"/>
      <c r="AL291" s="229"/>
      <c r="AM291" s="229"/>
      <c r="AN291" s="229"/>
      <c r="AO291" s="229"/>
      <c r="AP291" s="229"/>
      <c r="AQ291" s="229"/>
      <c r="AR291" s="229"/>
      <c r="AS291" s="229"/>
      <c r="AT291" s="229"/>
      <c r="AU291" s="229"/>
      <c r="AV291" s="229"/>
      <c r="AW291" s="229"/>
      <c r="AX291" s="229"/>
      <c r="AY291" s="238"/>
      <c r="AZ291" s="238"/>
      <c r="BA291" s="238"/>
      <c r="BB291" s="238"/>
      <c r="BC291" s="238"/>
      <c r="BD291" s="238"/>
      <c r="BE291" s="238"/>
      <c r="BF291" s="238"/>
      <c r="BG291" s="58"/>
      <c r="BH291" s="58"/>
      <c r="BI291" s="58"/>
      <c r="BJ291" s="58"/>
      <c r="BK291" s="58"/>
      <c r="BL291" s="58"/>
      <c r="BM291" s="58"/>
    </row>
    <row r="292" spans="1:73" s="131" customFormat="1" ht="18.75" customHeight="1">
      <c r="B292" s="229"/>
      <c r="C292" s="233" t="s">
        <v>680</v>
      </c>
      <c r="D292" s="229"/>
      <c r="E292" s="229"/>
      <c r="F292" s="229"/>
      <c r="G292" s="229"/>
      <c r="H292" s="400">
        <f>H236*10^6</f>
        <v>0</v>
      </c>
      <c r="I292" s="400"/>
      <c r="J292" s="400"/>
      <c r="K292" s="237" t="s">
        <v>681</v>
      </c>
      <c r="L292" s="229"/>
      <c r="M292" s="229"/>
      <c r="N292" s="237"/>
      <c r="O292" s="237"/>
      <c r="P292" s="237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  <c r="AA292" s="238"/>
      <c r="AB292" s="238"/>
      <c r="AC292" s="238"/>
      <c r="AD292" s="238"/>
      <c r="AE292" s="238"/>
      <c r="AF292" s="59"/>
      <c r="AG292" s="238"/>
      <c r="AH292" s="238"/>
      <c r="AI292" s="238"/>
      <c r="AJ292" s="238"/>
      <c r="AK292" s="238"/>
      <c r="AL292" s="238"/>
      <c r="AM292" s="229"/>
      <c r="AN292" s="229"/>
      <c r="AO292" s="229"/>
      <c r="AP292" s="229"/>
      <c r="AQ292" s="229"/>
      <c r="AR292" s="229"/>
      <c r="AS292" s="229"/>
      <c r="AT292" s="229"/>
      <c r="AU292" s="229"/>
      <c r="AV292" s="229"/>
      <c r="AW292" s="229"/>
      <c r="AX292" s="229"/>
      <c r="AY292" s="229"/>
      <c r="AZ292" s="238"/>
      <c r="BA292" s="238"/>
      <c r="BB292" s="238"/>
      <c r="BC292" s="238"/>
      <c r="BD292" s="238"/>
      <c r="BE292" s="238"/>
      <c r="BF292" s="238"/>
      <c r="BG292" s="238"/>
      <c r="BH292" s="58"/>
      <c r="BI292" s="58"/>
      <c r="BJ292" s="58"/>
      <c r="BK292" s="58"/>
      <c r="BL292" s="58"/>
      <c r="BM292" s="58"/>
    </row>
    <row r="293" spans="1:73" s="131" customFormat="1" ht="18.75" customHeight="1">
      <c r="B293" s="229"/>
      <c r="C293" s="394" t="s">
        <v>682</v>
      </c>
      <c r="D293" s="394"/>
      <c r="E293" s="394"/>
      <c r="F293" s="394"/>
      <c r="G293" s="394"/>
      <c r="H293" s="394"/>
      <c r="I293" s="394"/>
      <c r="J293" s="394" t="s">
        <v>543</v>
      </c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401" t="s">
        <v>132</v>
      </c>
      <c r="Y293" s="401"/>
      <c r="Z293" s="401"/>
      <c r="AA293" s="401"/>
      <c r="AB293" s="401"/>
      <c r="AC293" s="391" t="s">
        <v>121</v>
      </c>
      <c r="AD293" s="393" t="s">
        <v>133</v>
      </c>
      <c r="AE293" s="393"/>
      <c r="AF293" s="393"/>
      <c r="AG293" s="393"/>
      <c r="AH293" s="393"/>
      <c r="AI293" s="393"/>
      <c r="AM293" s="229"/>
      <c r="AN293" s="238"/>
      <c r="AO293" s="238"/>
      <c r="AP293" s="238"/>
      <c r="AQ293" s="238"/>
      <c r="AR293" s="238"/>
      <c r="AS293" s="238"/>
      <c r="AT293" s="238"/>
      <c r="AU293" s="238"/>
      <c r="AV293" s="238"/>
      <c r="AW293" s="238"/>
      <c r="AX293" s="238"/>
      <c r="AY293" s="238"/>
      <c r="BL293" s="58"/>
      <c r="BM293" s="58"/>
      <c r="BN293" s="58"/>
    </row>
    <row r="294" spans="1:73" s="131" customFormat="1" ht="18.75" customHeight="1">
      <c r="B294" s="229"/>
      <c r="C294" s="394"/>
      <c r="D294" s="394"/>
      <c r="E294" s="394"/>
      <c r="F294" s="394"/>
      <c r="G294" s="394"/>
      <c r="H294" s="394"/>
      <c r="I294" s="394"/>
      <c r="J294" s="394"/>
      <c r="K294" s="394"/>
      <c r="L294" s="394"/>
      <c r="M294" s="394"/>
      <c r="N294" s="394"/>
      <c r="O294" s="394"/>
      <c r="P294" s="394"/>
      <c r="Q294" s="394"/>
      <c r="R294" s="394"/>
      <c r="S294" s="394"/>
      <c r="T294" s="394"/>
      <c r="U294" s="394"/>
      <c r="V294" s="394"/>
      <c r="W294" s="394"/>
      <c r="X294" s="238"/>
      <c r="Y294" s="229"/>
      <c r="Z294" s="229"/>
      <c r="AA294" s="229"/>
      <c r="AB294" s="229"/>
      <c r="AC294" s="391"/>
      <c r="AD294" s="393"/>
      <c r="AE294" s="393"/>
      <c r="AF294" s="393"/>
      <c r="AG294" s="393"/>
      <c r="AH294" s="393"/>
      <c r="AI294" s="393"/>
      <c r="AM294" s="229"/>
      <c r="AN294" s="238"/>
      <c r="AO294" s="238"/>
      <c r="AP294" s="238"/>
      <c r="AQ294" s="238"/>
      <c r="AR294" s="238"/>
      <c r="AS294" s="229"/>
      <c r="AT294" s="238"/>
      <c r="AU294" s="238"/>
      <c r="AV294" s="238"/>
      <c r="AW294" s="238"/>
      <c r="AX294" s="238"/>
      <c r="AY294" s="238"/>
      <c r="BL294" s="58"/>
      <c r="BM294" s="58"/>
      <c r="BN294" s="58"/>
    </row>
    <row r="295" spans="1:73" s="131" customFormat="1" ht="18.75" customHeight="1">
      <c r="B295" s="229"/>
      <c r="C295" s="238" t="s">
        <v>683</v>
      </c>
      <c r="D295" s="238"/>
      <c r="E295" s="238"/>
      <c r="F295" s="238"/>
      <c r="G295" s="238"/>
      <c r="H295" s="238"/>
      <c r="I295" s="393" t="str">
        <f>V236</f>
        <v>직사각형</v>
      </c>
      <c r="J295" s="393"/>
      <c r="K295" s="393"/>
      <c r="L295" s="393"/>
      <c r="M295" s="393"/>
      <c r="N295" s="393"/>
      <c r="O295" s="393"/>
      <c r="P295" s="393"/>
      <c r="Q295" s="238"/>
      <c r="R295" s="238"/>
      <c r="S295" s="238"/>
      <c r="T295" s="238"/>
      <c r="U295" s="238"/>
      <c r="V295" s="238"/>
      <c r="W295" s="238"/>
      <c r="X295" s="238"/>
      <c r="Y295" s="238"/>
      <c r="Z295" s="229"/>
      <c r="AA295" s="229"/>
      <c r="AB295" s="229"/>
      <c r="AC295" s="229"/>
      <c r="AD295" s="229"/>
      <c r="AE295" s="229"/>
      <c r="AF295" s="229"/>
      <c r="AG295" s="229"/>
      <c r="AH295" s="238"/>
      <c r="AI295" s="238"/>
      <c r="AJ295" s="238"/>
      <c r="AK295" s="238"/>
      <c r="AL295" s="238"/>
      <c r="AM295" s="238"/>
      <c r="AN295" s="238"/>
      <c r="AO295" s="238"/>
      <c r="AP295" s="238"/>
      <c r="AQ295" s="238"/>
      <c r="AR295" s="238"/>
      <c r="AS295" s="238"/>
      <c r="AT295" s="238"/>
      <c r="AU295" s="238"/>
      <c r="AV295" s="238"/>
      <c r="AW295" s="238"/>
      <c r="AX295" s="238"/>
      <c r="AY295" s="238"/>
      <c r="AZ295" s="238"/>
      <c r="BA295" s="238"/>
      <c r="BB295" s="238"/>
      <c r="BC295" s="238"/>
      <c r="BD295" s="238"/>
      <c r="BE295" s="238"/>
      <c r="BF295" s="238"/>
      <c r="BG295" s="238"/>
      <c r="BH295" s="58"/>
      <c r="BI295" s="58"/>
      <c r="BJ295" s="58"/>
      <c r="BK295" s="58"/>
      <c r="BL295" s="58"/>
      <c r="BM295" s="58"/>
      <c r="BN295" s="58"/>
    </row>
    <row r="296" spans="1:73" s="131" customFormat="1" ht="18.75" customHeight="1">
      <c r="B296" s="229"/>
      <c r="C296" s="394" t="s">
        <v>575</v>
      </c>
      <c r="D296" s="394"/>
      <c r="E296" s="394"/>
      <c r="F296" s="394"/>
      <c r="G296" s="394"/>
      <c r="H296" s="394"/>
      <c r="I296" s="238" t="s">
        <v>684</v>
      </c>
      <c r="J296" s="238"/>
      <c r="K296" s="238"/>
      <c r="L296" s="238"/>
      <c r="M296" s="238"/>
      <c r="N296" s="238"/>
      <c r="O296" s="238"/>
      <c r="T296" s="406" t="e">
        <f>AA236</f>
        <v>#DIV/0!</v>
      </c>
      <c r="U296" s="406"/>
      <c r="V296" s="406"/>
      <c r="W296" s="406"/>
      <c r="X296" s="406" t="str">
        <f>AE236</f>
        <v>℃·μm</v>
      </c>
      <c r="Y296" s="406"/>
      <c r="Z296" s="406"/>
      <c r="AM296" s="238"/>
      <c r="AN296" s="238"/>
      <c r="AO296" s="238"/>
      <c r="AP296" s="238"/>
      <c r="AQ296" s="238"/>
      <c r="AR296" s="229"/>
      <c r="AS296" s="229"/>
      <c r="AT296" s="229"/>
      <c r="AU296" s="229"/>
      <c r="AV296" s="229"/>
      <c r="AW296" s="229"/>
      <c r="AX296" s="229"/>
      <c r="AY296" s="229"/>
      <c r="AZ296" s="229"/>
      <c r="BA296" s="241"/>
      <c r="BB296" s="241"/>
      <c r="BC296" s="238"/>
      <c r="BD296" s="238"/>
      <c r="BE296" s="206"/>
      <c r="BF296" s="206"/>
      <c r="BG296" s="206"/>
      <c r="BH296" s="238"/>
      <c r="BI296" s="238"/>
      <c r="BJ296" s="238"/>
      <c r="BK296" s="237"/>
      <c r="BL296" s="237"/>
      <c r="BM296" s="237"/>
      <c r="BN296" s="237"/>
      <c r="BO296" s="238"/>
      <c r="BP296" s="238"/>
      <c r="BQ296" s="238"/>
      <c r="BR296" s="238"/>
      <c r="BS296" s="238"/>
      <c r="BT296" s="238"/>
      <c r="BU296" s="238"/>
    </row>
    <row r="297" spans="1:73" s="131" customFormat="1" ht="18.75" customHeight="1">
      <c r="B297" s="229"/>
      <c r="C297" s="394"/>
      <c r="D297" s="394"/>
      <c r="E297" s="394"/>
      <c r="F297" s="394"/>
      <c r="G297" s="394"/>
      <c r="H297" s="394"/>
      <c r="I297" s="238"/>
      <c r="J297" s="238"/>
      <c r="K297" s="238"/>
      <c r="L297" s="238"/>
      <c r="M297" s="238"/>
      <c r="N297" s="238"/>
      <c r="O297" s="238"/>
      <c r="T297" s="406"/>
      <c r="U297" s="406"/>
      <c r="V297" s="406"/>
      <c r="W297" s="406"/>
      <c r="X297" s="406"/>
      <c r="Y297" s="406"/>
      <c r="Z297" s="406"/>
      <c r="AM297" s="238"/>
      <c r="AN297" s="238"/>
      <c r="AO297" s="238"/>
      <c r="AP297" s="238"/>
      <c r="AQ297" s="238"/>
      <c r="AR297" s="229"/>
      <c r="AS297" s="229"/>
      <c r="AT297" s="229"/>
      <c r="AU297" s="229"/>
      <c r="AV297" s="229"/>
      <c r="AW297" s="229"/>
      <c r="AX297" s="229"/>
      <c r="AY297" s="229"/>
      <c r="AZ297" s="229"/>
      <c r="BA297" s="241"/>
      <c r="BB297" s="241"/>
      <c r="BC297" s="238"/>
      <c r="BD297" s="238"/>
      <c r="BE297" s="206"/>
      <c r="BF297" s="206"/>
      <c r="BG297" s="206"/>
      <c r="BH297" s="238"/>
      <c r="BI297" s="238"/>
      <c r="BJ297" s="238"/>
      <c r="BK297" s="237"/>
      <c r="BL297" s="237"/>
      <c r="BM297" s="237"/>
      <c r="BN297" s="237"/>
      <c r="BO297" s="238"/>
      <c r="BP297" s="238"/>
      <c r="BQ297" s="238"/>
      <c r="BR297" s="238"/>
      <c r="BS297" s="238"/>
      <c r="BT297" s="238"/>
      <c r="BU297" s="238"/>
    </row>
    <row r="298" spans="1:73" s="131" customFormat="1" ht="18.75" customHeight="1">
      <c r="B298" s="229"/>
      <c r="C298" s="238" t="s">
        <v>685</v>
      </c>
      <c r="D298" s="238"/>
      <c r="E298" s="238"/>
      <c r="F298" s="238"/>
      <c r="G298" s="238"/>
      <c r="H298" s="238"/>
      <c r="I298" s="238"/>
      <c r="J298" s="229"/>
      <c r="K298" s="243" t="s">
        <v>659</v>
      </c>
      <c r="L298" s="398" t="e">
        <f>T296</f>
        <v>#DIV/0!</v>
      </c>
      <c r="M298" s="399"/>
      <c r="N298" s="399"/>
      <c r="O298" s="399"/>
      <c r="P298" s="132" t="s">
        <v>686</v>
      </c>
      <c r="Q298" s="229"/>
      <c r="R298" s="229"/>
      <c r="S298" s="229"/>
      <c r="T298" s="229"/>
      <c r="U298" s="229"/>
      <c r="V298" s="229"/>
      <c r="W298" s="229"/>
      <c r="X298" s="229"/>
      <c r="Y298" s="243" t="s">
        <v>659</v>
      </c>
      <c r="Z298" s="229" t="s">
        <v>121</v>
      </c>
      <c r="AA298" s="392" t="e">
        <f>ABS(L298*O236)</f>
        <v>#DIV/0!</v>
      </c>
      <c r="AB298" s="392"/>
      <c r="AC298" s="392"/>
      <c r="AD298" s="233" t="s">
        <v>556</v>
      </c>
      <c r="AE298" s="233"/>
      <c r="AF298" s="229"/>
      <c r="AG298" s="229"/>
      <c r="AH298" s="229"/>
      <c r="AI298" s="229"/>
      <c r="AJ298" s="229"/>
      <c r="AK298" s="229"/>
      <c r="AL298" s="229"/>
      <c r="AM298" s="229"/>
      <c r="AN298" s="229"/>
      <c r="AO298" s="229"/>
      <c r="AP298" s="229"/>
      <c r="AQ298" s="229"/>
      <c r="AR298" s="229"/>
      <c r="AS298" s="229"/>
      <c r="AT298" s="229"/>
      <c r="AU298" s="133"/>
      <c r="AV298" s="132"/>
      <c r="AW298" s="238"/>
      <c r="AX298" s="229"/>
      <c r="AY298" s="229"/>
      <c r="AZ298" s="229"/>
      <c r="BA298" s="229"/>
      <c r="BB298" s="229"/>
      <c r="BC298" s="229"/>
      <c r="BD298" s="229"/>
      <c r="BE298" s="229"/>
      <c r="BF298" s="229"/>
      <c r="BG298" s="229"/>
      <c r="BH298" s="58"/>
      <c r="BI298" s="58"/>
      <c r="BP298" s="233"/>
      <c r="BQ298" s="231"/>
    </row>
    <row r="299" spans="1:73" s="131" customFormat="1" ht="18.75" customHeight="1">
      <c r="B299" s="229"/>
      <c r="C299" s="394" t="s">
        <v>687</v>
      </c>
      <c r="D299" s="394"/>
      <c r="E299" s="394"/>
      <c r="F299" s="394"/>
      <c r="G299" s="394"/>
      <c r="H299" s="238"/>
      <c r="J299" s="238"/>
      <c r="K299" s="238"/>
      <c r="L299" s="238"/>
      <c r="M299" s="238"/>
      <c r="N299" s="238"/>
      <c r="O299" s="238"/>
      <c r="P299" s="238"/>
      <c r="Q299" s="238"/>
      <c r="R299" s="132"/>
      <c r="S299" s="238"/>
      <c r="T299" s="238"/>
      <c r="U299" s="238"/>
      <c r="W299" s="238"/>
      <c r="X299" s="243" t="s">
        <v>138</v>
      </c>
      <c r="Y299" s="238"/>
      <c r="Z299" s="238"/>
      <c r="AB299" s="238"/>
      <c r="AC299" s="238"/>
      <c r="AD299" s="238"/>
      <c r="AE299" s="229"/>
      <c r="AF299" s="229"/>
      <c r="AH299" s="229"/>
      <c r="AI299" s="229"/>
      <c r="AJ299" s="229"/>
      <c r="AK299" s="229"/>
      <c r="AL299" s="229"/>
      <c r="AM299" s="229"/>
      <c r="AN299" s="229"/>
      <c r="AO299" s="229"/>
      <c r="AP299" s="229"/>
      <c r="AQ299" s="229"/>
      <c r="AR299" s="229"/>
      <c r="AS299" s="229"/>
      <c r="AT299" s="229"/>
      <c r="AU299" s="229"/>
      <c r="AV299" s="229"/>
      <c r="AW299" s="229"/>
      <c r="AX299" s="229"/>
      <c r="AY299" s="229"/>
      <c r="AZ299" s="229"/>
      <c r="BA299" s="229"/>
      <c r="BB299" s="229"/>
      <c r="BC299" s="229"/>
      <c r="BD299" s="229"/>
      <c r="BE299" s="229"/>
      <c r="BF299" s="229"/>
      <c r="BG299" s="229"/>
      <c r="BH299" s="58"/>
      <c r="BI299" s="58"/>
      <c r="BJ299" s="58"/>
      <c r="BK299" s="58"/>
      <c r="BL299" s="58"/>
    </row>
    <row r="300" spans="1:73" s="131" customFormat="1" ht="18.75" customHeight="1">
      <c r="B300" s="229"/>
      <c r="C300" s="394"/>
      <c r="D300" s="394"/>
      <c r="E300" s="394"/>
      <c r="F300" s="394"/>
      <c r="G300" s="394"/>
      <c r="H300" s="238"/>
      <c r="I300" s="238"/>
      <c r="J300" s="238"/>
      <c r="K300" s="238"/>
      <c r="L300" s="238"/>
      <c r="M300" s="238"/>
      <c r="N300" s="238"/>
      <c r="O300" s="238"/>
      <c r="P300" s="238"/>
      <c r="Q300" s="238"/>
      <c r="R300" s="132"/>
      <c r="S300" s="238"/>
      <c r="T300" s="238"/>
      <c r="U300" s="238"/>
      <c r="V300" s="238"/>
      <c r="W300" s="238"/>
      <c r="X300" s="238"/>
      <c r="Y300" s="238"/>
      <c r="Z300" s="238"/>
      <c r="AA300" s="238"/>
      <c r="AB300" s="238"/>
      <c r="AC300" s="238"/>
      <c r="AD300" s="238"/>
      <c r="AE300" s="229"/>
      <c r="AF300" s="229"/>
      <c r="AG300" s="229"/>
      <c r="AH300" s="229"/>
      <c r="AI300" s="229"/>
      <c r="AJ300" s="229"/>
      <c r="AK300" s="229"/>
      <c r="AL300" s="229"/>
      <c r="AM300" s="229"/>
      <c r="AN300" s="229"/>
      <c r="AO300" s="229"/>
      <c r="AP300" s="229"/>
      <c r="AQ300" s="229"/>
      <c r="AR300" s="229"/>
      <c r="AS300" s="229"/>
      <c r="AT300" s="229"/>
      <c r="AU300" s="229"/>
      <c r="AV300" s="229"/>
      <c r="AW300" s="229"/>
      <c r="AX300" s="229"/>
      <c r="AY300" s="229"/>
      <c r="AZ300" s="229"/>
      <c r="BA300" s="229"/>
      <c r="BB300" s="229"/>
      <c r="BC300" s="229"/>
      <c r="BD300" s="229"/>
      <c r="BE300" s="229"/>
      <c r="BF300" s="229"/>
      <c r="BG300" s="229"/>
      <c r="BH300" s="58"/>
      <c r="BI300" s="58"/>
      <c r="BJ300" s="58"/>
      <c r="BK300" s="58"/>
      <c r="BL300" s="58"/>
    </row>
    <row r="301" spans="1:73" s="131" customFormat="1" ht="18.75" customHeight="1">
      <c r="B301" s="229"/>
      <c r="C301" s="238"/>
      <c r="D301" s="238"/>
      <c r="E301" s="238"/>
      <c r="F301" s="238"/>
      <c r="G301" s="238"/>
      <c r="H301" s="238"/>
      <c r="I301" s="238"/>
      <c r="J301" s="238"/>
      <c r="K301" s="238"/>
      <c r="L301" s="238"/>
      <c r="M301" s="238"/>
      <c r="N301" s="238"/>
      <c r="O301" s="238"/>
      <c r="P301" s="238"/>
      <c r="Q301" s="238"/>
      <c r="R301" s="132"/>
      <c r="S301" s="238"/>
      <c r="T301" s="238"/>
      <c r="U301" s="238"/>
      <c r="V301" s="238"/>
      <c r="W301" s="238"/>
      <c r="X301" s="238"/>
      <c r="Y301" s="238"/>
      <c r="Z301" s="238"/>
      <c r="AA301" s="238"/>
      <c r="AB301" s="238"/>
      <c r="AC301" s="238"/>
      <c r="AD301" s="238"/>
      <c r="AE301" s="229"/>
      <c r="AF301" s="229"/>
      <c r="AG301" s="229"/>
      <c r="AH301" s="229"/>
      <c r="AI301" s="229"/>
      <c r="AJ301" s="229"/>
      <c r="AK301" s="229"/>
      <c r="AL301" s="229"/>
      <c r="AM301" s="229"/>
      <c r="AN301" s="229"/>
      <c r="AO301" s="229"/>
      <c r="AP301" s="229"/>
      <c r="AQ301" s="229"/>
      <c r="AR301" s="229"/>
      <c r="AS301" s="229"/>
      <c r="AT301" s="229"/>
      <c r="AU301" s="229"/>
      <c r="AV301" s="229"/>
      <c r="AW301" s="229"/>
      <c r="AX301" s="229"/>
      <c r="AY301" s="229"/>
      <c r="AZ301" s="229"/>
      <c r="BA301" s="229"/>
      <c r="BB301" s="229"/>
      <c r="BC301" s="229"/>
      <c r="BD301" s="229"/>
      <c r="BE301" s="229"/>
      <c r="BF301" s="229"/>
      <c r="BG301" s="229"/>
      <c r="BH301" s="238"/>
      <c r="BI301" s="238"/>
      <c r="BJ301" s="238"/>
      <c r="BK301" s="238"/>
    </row>
    <row r="302" spans="1:73" s="131" customFormat="1" ht="18.75" customHeight="1">
      <c r="B302" s="57" t="str">
        <f>"6. "&amp;$T$5&amp;" 스케일의 온도에 의한 표준불확도,"</f>
        <v>6. 표준 측장기 스케일의 온도에 의한 표준불확도,</v>
      </c>
      <c r="D302" s="238"/>
      <c r="E302" s="238"/>
      <c r="F302" s="238"/>
      <c r="G302" s="238"/>
      <c r="H302" s="238"/>
      <c r="I302" s="238"/>
      <c r="J302" s="238"/>
      <c r="K302" s="238"/>
      <c r="L302" s="238"/>
      <c r="M302" s="238"/>
      <c r="N302" s="238"/>
      <c r="O302" s="238"/>
      <c r="P302" s="238"/>
      <c r="Q302" s="238"/>
      <c r="R302" s="238"/>
      <c r="S302" s="57" t="s">
        <v>688</v>
      </c>
      <c r="T302" s="238"/>
      <c r="U302" s="238"/>
      <c r="V302" s="238"/>
      <c r="W302" s="238"/>
      <c r="X302" s="238"/>
      <c r="AA302" s="238"/>
      <c r="AC302" s="238"/>
      <c r="AD302" s="238"/>
      <c r="AE302" s="238"/>
      <c r="AF302" s="238"/>
      <c r="AG302" s="238"/>
      <c r="AH302" s="229"/>
      <c r="AI302" s="229"/>
      <c r="AJ302" s="229"/>
      <c r="AK302" s="229"/>
      <c r="AL302" s="229"/>
      <c r="AM302" s="229"/>
      <c r="AN302" s="229"/>
      <c r="AO302" s="238"/>
      <c r="AP302" s="238"/>
      <c r="AQ302" s="238"/>
      <c r="AR302" s="238"/>
      <c r="AS302" s="238"/>
      <c r="AT302" s="238"/>
      <c r="AU302" s="238"/>
      <c r="AV302" s="238"/>
      <c r="AW302" s="238"/>
      <c r="AX302" s="238"/>
      <c r="AY302" s="238"/>
      <c r="AZ302" s="238"/>
      <c r="BA302" s="238"/>
      <c r="BB302" s="238"/>
      <c r="BC302" s="238"/>
      <c r="BD302" s="238"/>
      <c r="BE302" s="238"/>
      <c r="BF302" s="238"/>
      <c r="BG302" s="238"/>
      <c r="BH302" s="58"/>
      <c r="BI302" s="58"/>
      <c r="BJ302" s="58"/>
      <c r="BK302" s="58"/>
      <c r="BL302" s="58"/>
      <c r="BM302" s="58"/>
      <c r="BN302" s="58"/>
    </row>
    <row r="303" spans="1:73" s="131" customFormat="1" ht="18.75" customHeight="1">
      <c r="B303" s="57"/>
      <c r="C303" s="238" t="str">
        <f>"※ 열평형 상태에서 "&amp;$T$5&amp;" 스케일의 온도가 최소 ±"&amp;N306&amp;" ℃ 이내에서 변화한다고 추정하여 직사각형 확률분포를"</f>
        <v>※ 열평형 상태에서 표준 측장기 스케일의 온도가 최소 ±0.5 ℃ 이내에서 변화한다고 추정하여 직사각형 확률분포를</v>
      </c>
      <c r="D303" s="238"/>
      <c r="E303" s="238"/>
      <c r="F303" s="238"/>
      <c r="G303" s="238"/>
      <c r="H303" s="238"/>
      <c r="I303" s="238"/>
      <c r="J303" s="238"/>
      <c r="K303" s="238"/>
      <c r="L303" s="238"/>
      <c r="M303" s="238"/>
      <c r="N303" s="238"/>
      <c r="O303" s="238"/>
      <c r="P303" s="238"/>
      <c r="Q303" s="238"/>
      <c r="R303" s="238"/>
      <c r="S303" s="238"/>
      <c r="T303" s="238"/>
      <c r="U303" s="238"/>
      <c r="V303" s="238"/>
      <c r="W303" s="238"/>
      <c r="X303" s="238"/>
      <c r="Y303" s="238"/>
      <c r="Z303" s="238"/>
      <c r="AA303" s="238"/>
      <c r="AB303" s="238"/>
      <c r="AC303" s="238"/>
      <c r="AD303" s="238"/>
      <c r="AE303" s="238"/>
      <c r="AF303" s="238"/>
      <c r="AG303" s="238"/>
      <c r="AH303" s="238"/>
      <c r="AI303" s="238"/>
      <c r="AJ303" s="238"/>
      <c r="AK303" s="238"/>
      <c r="AL303" s="238"/>
      <c r="AM303" s="229"/>
      <c r="AN303" s="229"/>
      <c r="AO303" s="238"/>
      <c r="AP303" s="238"/>
      <c r="AQ303" s="238"/>
      <c r="AR303" s="238"/>
      <c r="AS303" s="238"/>
      <c r="AT303" s="238"/>
      <c r="AU303" s="238"/>
      <c r="AV303" s="238"/>
      <c r="AW303" s="238"/>
      <c r="AX303" s="238"/>
      <c r="AY303" s="238"/>
      <c r="AZ303" s="238"/>
      <c r="BA303" s="238"/>
      <c r="BB303" s="238"/>
      <c r="BC303" s="238"/>
      <c r="BD303" s="238"/>
      <c r="BE303" s="238"/>
      <c r="BF303" s="238"/>
      <c r="BG303" s="238"/>
      <c r="BH303" s="58"/>
      <c r="BI303" s="58"/>
      <c r="BJ303" s="58"/>
      <c r="BK303" s="58"/>
      <c r="BL303" s="58"/>
      <c r="BM303" s="58"/>
      <c r="BN303" s="58"/>
    </row>
    <row r="304" spans="1:73" s="131" customFormat="1" ht="18.75" customHeight="1">
      <c r="B304" s="57"/>
      <c r="C304" s="238"/>
      <c r="D304" s="238" t="s">
        <v>664</v>
      </c>
      <c r="E304" s="238"/>
      <c r="F304" s="238"/>
      <c r="G304" s="238"/>
      <c r="H304" s="238"/>
      <c r="I304" s="238"/>
      <c r="J304" s="238"/>
      <c r="K304" s="238"/>
      <c r="L304" s="238"/>
      <c r="M304" s="238"/>
      <c r="N304" s="238"/>
      <c r="O304" s="238"/>
      <c r="P304" s="238"/>
      <c r="Q304" s="238"/>
      <c r="R304" s="238"/>
      <c r="S304" s="238"/>
      <c r="T304" s="238"/>
      <c r="U304" s="238"/>
      <c r="V304" s="238"/>
      <c r="W304" s="238"/>
      <c r="X304" s="238"/>
      <c r="Y304" s="238"/>
      <c r="Z304" s="238"/>
      <c r="AA304" s="238"/>
      <c r="AB304" s="238"/>
      <c r="AC304" s="238"/>
      <c r="AD304" s="238"/>
      <c r="AE304" s="238"/>
      <c r="AF304" s="238"/>
      <c r="AG304" s="238"/>
      <c r="AH304" s="238"/>
      <c r="AI304" s="238"/>
      <c r="AJ304" s="238"/>
      <c r="AK304" s="238"/>
      <c r="AL304" s="238"/>
      <c r="AM304" s="229"/>
      <c r="AN304" s="229"/>
      <c r="AO304" s="238"/>
      <c r="AP304" s="238"/>
      <c r="AQ304" s="238"/>
      <c r="AR304" s="238"/>
      <c r="AS304" s="238"/>
      <c r="AT304" s="238"/>
      <c r="AU304" s="238"/>
      <c r="AV304" s="238"/>
      <c r="AW304" s="238"/>
      <c r="AX304" s="238"/>
      <c r="AY304" s="238"/>
      <c r="AZ304" s="238"/>
      <c r="BA304" s="238"/>
      <c r="BB304" s="238"/>
      <c r="BC304" s="238"/>
      <c r="BD304" s="238"/>
      <c r="BE304" s="238"/>
      <c r="BF304" s="238"/>
      <c r="BG304" s="238"/>
      <c r="BH304" s="58"/>
      <c r="BI304" s="58"/>
      <c r="BJ304" s="58"/>
      <c r="BK304" s="58"/>
      <c r="BL304" s="58"/>
      <c r="BM304" s="58"/>
      <c r="BN304" s="58"/>
    </row>
    <row r="305" spans="1:68" s="131" customFormat="1" ht="18.75" customHeight="1">
      <c r="B305" s="229"/>
      <c r="C305" s="233" t="s">
        <v>689</v>
      </c>
      <c r="D305" s="229"/>
      <c r="E305" s="229"/>
      <c r="F305" s="229"/>
      <c r="G305" s="229"/>
      <c r="H305" s="397" t="e">
        <f>H237</f>
        <v>#DIV/0!</v>
      </c>
      <c r="I305" s="397"/>
      <c r="J305" s="397"/>
      <c r="K305" s="397"/>
      <c r="L305" s="397"/>
      <c r="M305" s="397" t="str">
        <f>M237</f>
        <v>℃</v>
      </c>
      <c r="N305" s="397"/>
      <c r="O305" s="237"/>
      <c r="P305" s="243"/>
      <c r="Q305" s="243"/>
      <c r="R305" s="243"/>
      <c r="S305" s="243"/>
      <c r="T305" s="243"/>
      <c r="U305" s="243"/>
      <c r="V305" s="243"/>
      <c r="W305" s="243"/>
      <c r="X305" s="243"/>
      <c r="Y305" s="243"/>
      <c r="Z305" s="238"/>
      <c r="AA305" s="238"/>
      <c r="AB305" s="238"/>
      <c r="AC305" s="238"/>
      <c r="AD305" s="238"/>
      <c r="AE305" s="238"/>
      <c r="AF305" s="238"/>
      <c r="AG305" s="238"/>
      <c r="AH305" s="229"/>
      <c r="AI305" s="229"/>
      <c r="AJ305" s="229"/>
      <c r="AK305" s="229"/>
      <c r="AL305" s="229"/>
      <c r="AM305" s="229"/>
      <c r="AN305" s="229"/>
      <c r="AO305" s="238"/>
      <c r="AP305" s="238"/>
      <c r="AQ305" s="238"/>
      <c r="AR305" s="238"/>
      <c r="AS305" s="238"/>
      <c r="AT305" s="238"/>
      <c r="AU305" s="238"/>
      <c r="AV305" s="238"/>
      <c r="AW305" s="238"/>
      <c r="AX305" s="238"/>
      <c r="AY305" s="238"/>
      <c r="AZ305" s="238"/>
      <c r="BA305" s="238"/>
      <c r="BB305" s="238"/>
      <c r="BC305" s="238"/>
      <c r="BD305" s="238"/>
      <c r="BE305" s="238"/>
      <c r="BF305" s="238"/>
      <c r="BG305" s="238"/>
      <c r="BH305" s="58"/>
      <c r="BI305" s="58"/>
      <c r="BJ305" s="58"/>
      <c r="BK305" s="58"/>
      <c r="BL305" s="58"/>
      <c r="BM305" s="58"/>
    </row>
    <row r="306" spans="1:68" s="131" customFormat="1" ht="18.75" customHeight="1">
      <c r="B306" s="229"/>
      <c r="C306" s="394" t="s">
        <v>690</v>
      </c>
      <c r="D306" s="394"/>
      <c r="E306" s="394"/>
      <c r="F306" s="394"/>
      <c r="G306" s="394"/>
      <c r="H306" s="394"/>
      <c r="I306" s="394"/>
      <c r="J306" s="402" t="s">
        <v>553</v>
      </c>
      <c r="K306" s="402"/>
      <c r="L306" s="402"/>
      <c r="M306" s="391" t="s">
        <v>691</v>
      </c>
      <c r="N306" s="389">
        <f>Calcu!G44</f>
        <v>0.5</v>
      </c>
      <c r="O306" s="389"/>
      <c r="P306" s="236" t="s">
        <v>598</v>
      </c>
      <c r="Q306" s="207"/>
      <c r="R306" s="391" t="s">
        <v>536</v>
      </c>
      <c r="S306" s="392">
        <f>N306/SQRT(3)</f>
        <v>0.28867513459481292</v>
      </c>
      <c r="T306" s="392"/>
      <c r="U306" s="392"/>
      <c r="V306" s="397" t="s">
        <v>274</v>
      </c>
      <c r="W306" s="397"/>
      <c r="X306" s="237"/>
      <c r="Y306" s="238"/>
      <c r="AX306" s="238"/>
      <c r="AY306" s="238"/>
      <c r="AZ306" s="238"/>
      <c r="BA306" s="238"/>
      <c r="BB306" s="238"/>
      <c r="BC306" s="238"/>
      <c r="BD306" s="238"/>
      <c r="BE306" s="238"/>
      <c r="BF306" s="238"/>
      <c r="BG306" s="238"/>
      <c r="BH306" s="238"/>
      <c r="BI306" s="238"/>
      <c r="BJ306" s="58"/>
      <c r="BK306" s="58"/>
      <c r="BL306" s="58"/>
      <c r="BM306" s="58"/>
      <c r="BN306" s="58"/>
      <c r="BO306" s="58"/>
      <c r="BP306" s="58"/>
    </row>
    <row r="307" spans="1:68" s="131" customFormat="1" ht="18.75" customHeight="1">
      <c r="B307" s="229"/>
      <c r="C307" s="394"/>
      <c r="D307" s="394"/>
      <c r="E307" s="394"/>
      <c r="F307" s="394"/>
      <c r="G307" s="394"/>
      <c r="H307" s="394"/>
      <c r="I307" s="394"/>
      <c r="J307" s="402"/>
      <c r="K307" s="402"/>
      <c r="L307" s="402"/>
      <c r="M307" s="391"/>
      <c r="N307" s="229"/>
      <c r="O307" s="229"/>
      <c r="P307" s="229"/>
      <c r="Q307" s="229"/>
      <c r="R307" s="391"/>
      <c r="S307" s="392"/>
      <c r="T307" s="392"/>
      <c r="U307" s="392"/>
      <c r="V307" s="397"/>
      <c r="W307" s="397"/>
      <c r="X307" s="237"/>
      <c r="Y307" s="238"/>
      <c r="AX307" s="238"/>
      <c r="AY307" s="238"/>
      <c r="AZ307" s="238"/>
      <c r="BA307" s="238"/>
      <c r="BB307" s="238"/>
      <c r="BC307" s="238"/>
      <c r="BD307" s="238"/>
      <c r="BE307" s="238"/>
      <c r="BF307" s="238"/>
      <c r="BG307" s="238"/>
      <c r="BH307" s="238"/>
      <c r="BI307" s="238"/>
      <c r="BJ307" s="58"/>
      <c r="BK307" s="58"/>
      <c r="BL307" s="58"/>
      <c r="BM307" s="58"/>
      <c r="BN307" s="58"/>
      <c r="BO307" s="58"/>
      <c r="BP307" s="58"/>
    </row>
    <row r="308" spans="1:68" s="131" customFormat="1" ht="18.75" customHeight="1">
      <c r="B308" s="229"/>
      <c r="C308" s="238" t="s">
        <v>144</v>
      </c>
      <c r="D308" s="238"/>
      <c r="E308" s="238"/>
      <c r="F308" s="238"/>
      <c r="G308" s="238"/>
      <c r="H308" s="238"/>
      <c r="I308" s="393" t="str">
        <f>V237</f>
        <v>직사각형</v>
      </c>
      <c r="J308" s="393"/>
      <c r="K308" s="393"/>
      <c r="L308" s="393"/>
      <c r="M308" s="393"/>
      <c r="N308" s="393"/>
      <c r="O308" s="393"/>
      <c r="P308" s="393"/>
      <c r="Q308" s="238"/>
      <c r="R308" s="238"/>
      <c r="S308" s="238"/>
      <c r="T308" s="238"/>
      <c r="U308" s="238"/>
      <c r="V308" s="238"/>
      <c r="W308" s="238"/>
      <c r="X308" s="238"/>
      <c r="Y308" s="238"/>
      <c r="Z308" s="229"/>
      <c r="AA308" s="229"/>
      <c r="AB308" s="229"/>
      <c r="AC308" s="229"/>
      <c r="AD308" s="229"/>
      <c r="AE308" s="229"/>
      <c r="AF308" s="229"/>
      <c r="AG308" s="229"/>
      <c r="AH308" s="229"/>
      <c r="AI308" s="229"/>
      <c r="AJ308" s="229"/>
      <c r="AK308" s="229"/>
      <c r="AL308" s="229"/>
      <c r="AM308" s="229"/>
      <c r="AN308" s="229"/>
      <c r="AO308" s="229"/>
      <c r="AP308" s="238"/>
      <c r="AQ308" s="238"/>
      <c r="AR308" s="238"/>
      <c r="AS308" s="238"/>
      <c r="AT308" s="238"/>
      <c r="AU308" s="238"/>
      <c r="AV308" s="238"/>
      <c r="AW308" s="238"/>
      <c r="AX308" s="238"/>
      <c r="AY308" s="238"/>
      <c r="AZ308" s="238"/>
      <c r="BA308" s="238"/>
      <c r="BB308" s="238"/>
      <c r="BC308" s="238"/>
      <c r="BD308" s="238"/>
      <c r="BE308" s="238"/>
      <c r="BF308" s="238"/>
      <c r="BG308" s="238"/>
      <c r="BH308" s="58"/>
      <c r="BI308" s="58"/>
      <c r="BJ308" s="58"/>
      <c r="BK308" s="58"/>
      <c r="BL308" s="58"/>
    </row>
    <row r="309" spans="1:68" s="131" customFormat="1" ht="18.75" customHeight="1">
      <c r="B309" s="229"/>
      <c r="C309" s="394" t="s">
        <v>692</v>
      </c>
      <c r="D309" s="394"/>
      <c r="E309" s="394"/>
      <c r="F309" s="394"/>
      <c r="G309" s="394"/>
      <c r="H309" s="394"/>
      <c r="I309" s="238"/>
      <c r="J309" s="238"/>
      <c r="K309" s="238"/>
      <c r="L309" s="238"/>
      <c r="M309" s="238"/>
      <c r="N309" s="238"/>
      <c r="O309" s="229"/>
      <c r="R309" s="405">
        <f>AA237</f>
        <v>0</v>
      </c>
      <c r="S309" s="405"/>
      <c r="T309" s="405"/>
      <c r="U309" s="405"/>
      <c r="V309" s="406" t="str">
        <f>AE237</f>
        <v>/℃·μm</v>
      </c>
      <c r="W309" s="406"/>
      <c r="X309" s="406"/>
      <c r="AE309" s="238"/>
      <c r="AF309" s="242"/>
      <c r="AG309" s="242"/>
      <c r="AH309" s="242"/>
      <c r="AI309" s="238"/>
      <c r="AJ309" s="238"/>
      <c r="AK309" s="238"/>
      <c r="AL309" s="238"/>
      <c r="AM309" s="238"/>
      <c r="AN309" s="238"/>
      <c r="AO309" s="238"/>
      <c r="AP309" s="238"/>
      <c r="AQ309" s="238"/>
      <c r="AR309" s="238"/>
      <c r="AS309" s="238"/>
      <c r="AT309" s="238"/>
      <c r="AU309" s="238"/>
      <c r="AV309" s="238"/>
      <c r="AW309" s="238"/>
      <c r="AX309" s="238"/>
      <c r="AY309" s="238"/>
      <c r="AZ309" s="238"/>
      <c r="BA309" s="238"/>
      <c r="BB309" s="238"/>
      <c r="BC309" s="229"/>
      <c r="BD309" s="229"/>
      <c r="BE309" s="229"/>
      <c r="BF309" s="229"/>
      <c r="BG309" s="229"/>
      <c r="BH309" s="229"/>
    </row>
    <row r="310" spans="1:68" s="131" customFormat="1" ht="18.75" customHeight="1">
      <c r="B310" s="229"/>
      <c r="C310" s="394"/>
      <c r="D310" s="394"/>
      <c r="E310" s="394"/>
      <c r="F310" s="394"/>
      <c r="G310" s="394"/>
      <c r="H310" s="394"/>
      <c r="I310" s="238"/>
      <c r="J310" s="238"/>
      <c r="K310" s="238"/>
      <c r="L310" s="238"/>
      <c r="M310" s="238"/>
      <c r="N310" s="238"/>
      <c r="O310" s="229"/>
      <c r="R310" s="405"/>
      <c r="S310" s="405"/>
      <c r="T310" s="405"/>
      <c r="U310" s="405"/>
      <c r="V310" s="406"/>
      <c r="W310" s="406"/>
      <c r="X310" s="406"/>
      <c r="AE310" s="238"/>
      <c r="AF310" s="242"/>
      <c r="AG310" s="242"/>
      <c r="AH310" s="242"/>
      <c r="AI310" s="238"/>
      <c r="AJ310" s="238"/>
      <c r="AK310" s="238"/>
      <c r="AL310" s="238"/>
      <c r="AM310" s="238"/>
      <c r="AN310" s="238"/>
      <c r="AO310" s="238"/>
      <c r="AP310" s="238"/>
      <c r="AQ310" s="238"/>
      <c r="AR310" s="238"/>
      <c r="AS310" s="238"/>
      <c r="AT310" s="238"/>
      <c r="AU310" s="238"/>
      <c r="AV310" s="238"/>
      <c r="AW310" s="238"/>
      <c r="AX310" s="238"/>
      <c r="AY310" s="238"/>
      <c r="AZ310" s="238"/>
      <c r="BA310" s="238"/>
      <c r="BB310" s="238"/>
      <c r="BC310" s="229"/>
      <c r="BD310" s="229"/>
      <c r="BE310" s="229"/>
      <c r="BF310" s="229"/>
      <c r="BG310" s="229"/>
      <c r="BH310" s="229"/>
    </row>
    <row r="311" spans="1:68" s="131" customFormat="1" ht="18.75" customHeight="1">
      <c r="B311" s="229"/>
      <c r="C311" s="238" t="s">
        <v>145</v>
      </c>
      <c r="D311" s="238"/>
      <c r="E311" s="238"/>
      <c r="F311" s="238"/>
      <c r="G311" s="238"/>
      <c r="H311" s="238"/>
      <c r="I311" s="238"/>
      <c r="J311" s="229"/>
      <c r="K311" s="243" t="s">
        <v>659</v>
      </c>
      <c r="L311" s="407">
        <f>R309</f>
        <v>0</v>
      </c>
      <c r="M311" s="407"/>
      <c r="N311" s="407"/>
      <c r="O311" s="407"/>
      <c r="P311" s="132" t="s">
        <v>693</v>
      </c>
      <c r="Q311" s="229"/>
      <c r="R311" s="229"/>
      <c r="S311" s="229" t="s">
        <v>611</v>
      </c>
      <c r="T311" s="408">
        <f>S306</f>
        <v>0.28867513459481292</v>
      </c>
      <c r="U311" s="408"/>
      <c r="V311" s="408"/>
      <c r="W311" s="408"/>
      <c r="X311" s="243" t="s">
        <v>659</v>
      </c>
      <c r="Y311" s="229" t="s">
        <v>121</v>
      </c>
      <c r="Z311" s="392">
        <f>ABS(L311*T311)</f>
        <v>0</v>
      </c>
      <c r="AA311" s="392"/>
      <c r="AB311" s="392"/>
      <c r="AC311" s="233" t="s">
        <v>556</v>
      </c>
      <c r="AD311" s="233"/>
      <c r="AE311" s="229"/>
      <c r="AF311" s="229"/>
      <c r="AG311" s="241"/>
      <c r="AH311" s="229"/>
      <c r="AI311" s="229"/>
      <c r="AJ311" s="229"/>
      <c r="AK311" s="229"/>
      <c r="AL311" s="229"/>
      <c r="AM311" s="229"/>
      <c r="AN311" s="229"/>
      <c r="AO311" s="229"/>
      <c r="AP311" s="229"/>
      <c r="AQ311" s="208"/>
      <c r="AR311" s="208"/>
      <c r="AS311" s="208"/>
      <c r="AT311" s="238"/>
      <c r="AU311" s="238"/>
      <c r="AV311" s="238"/>
      <c r="AW311" s="209"/>
      <c r="AX311" s="209"/>
      <c r="AY311" s="209"/>
      <c r="AZ311" s="209"/>
      <c r="BA311" s="209"/>
      <c r="BB311" s="209"/>
      <c r="BC311" s="229"/>
      <c r="BD311" s="229"/>
      <c r="BE311" s="229"/>
      <c r="BF311" s="229"/>
      <c r="BG311" s="229"/>
      <c r="BH311" s="229"/>
    </row>
    <row r="312" spans="1:68" s="131" customFormat="1" ht="18.75" customHeight="1">
      <c r="B312" s="229"/>
      <c r="C312" s="394" t="s">
        <v>694</v>
      </c>
      <c r="D312" s="394"/>
      <c r="E312" s="394"/>
      <c r="F312" s="394"/>
      <c r="G312" s="394"/>
      <c r="H312" s="238"/>
      <c r="J312" s="238"/>
      <c r="K312" s="238"/>
      <c r="L312" s="238"/>
      <c r="M312" s="238"/>
      <c r="N312" s="238"/>
      <c r="O312" s="238"/>
      <c r="P312" s="238"/>
      <c r="Q312" s="238"/>
      <c r="R312" s="132"/>
      <c r="S312" s="238"/>
      <c r="T312" s="238"/>
      <c r="U312" s="238"/>
      <c r="W312" s="243" t="s">
        <v>146</v>
      </c>
      <c r="X312" s="238"/>
      <c r="Y312" s="238"/>
      <c r="Z312" s="238"/>
      <c r="AA312" s="238"/>
      <c r="AB312" s="238"/>
      <c r="AC312" s="238"/>
      <c r="AD312" s="238"/>
      <c r="AE312" s="229"/>
      <c r="AF312" s="229"/>
      <c r="AG312" s="229"/>
      <c r="AH312" s="229"/>
      <c r="AI312" s="229"/>
      <c r="AJ312" s="229"/>
      <c r="AK312" s="229"/>
      <c r="AL312" s="229"/>
      <c r="AM312" s="229"/>
      <c r="AN312" s="229"/>
      <c r="AO312" s="229"/>
      <c r="AP312" s="229"/>
      <c r="AQ312" s="229"/>
      <c r="AR312" s="229"/>
      <c r="AS312" s="229"/>
      <c r="AT312" s="229"/>
      <c r="AU312" s="238"/>
      <c r="AV312" s="229"/>
      <c r="AW312" s="229"/>
      <c r="AX312" s="229"/>
      <c r="AY312" s="229"/>
      <c r="AZ312" s="229"/>
      <c r="BA312" s="229"/>
      <c r="BB312" s="229"/>
      <c r="BC312" s="229"/>
      <c r="BD312" s="229"/>
      <c r="BE312" s="229"/>
      <c r="BF312" s="229"/>
      <c r="BG312" s="229"/>
    </row>
    <row r="313" spans="1:68" s="131" customFormat="1" ht="18.75" customHeight="1">
      <c r="B313" s="229"/>
      <c r="C313" s="394"/>
      <c r="D313" s="394"/>
      <c r="E313" s="394"/>
      <c r="F313" s="394"/>
      <c r="G313" s="394"/>
      <c r="H313" s="238"/>
      <c r="I313" s="238"/>
      <c r="J313" s="238"/>
      <c r="K313" s="238"/>
      <c r="L313" s="238"/>
      <c r="M313" s="238"/>
      <c r="N313" s="238"/>
      <c r="O313" s="238"/>
      <c r="P313" s="238"/>
      <c r="Q313" s="238"/>
      <c r="R313" s="132"/>
      <c r="S313" s="238"/>
      <c r="T313" s="238"/>
      <c r="U313" s="238"/>
      <c r="V313" s="238"/>
      <c r="W313" s="238"/>
      <c r="X313" s="238"/>
      <c r="Y313" s="238"/>
      <c r="Z313" s="238"/>
      <c r="AA313" s="238"/>
      <c r="AB313" s="238"/>
      <c r="AC313" s="229"/>
      <c r="AD313" s="229"/>
      <c r="AE313" s="229"/>
      <c r="AF313" s="229"/>
      <c r="AG313" s="229"/>
      <c r="AH313" s="229"/>
      <c r="AI313" s="229"/>
      <c r="AJ313" s="229"/>
      <c r="AK313" s="229"/>
      <c r="AL313" s="229"/>
      <c r="AM313" s="229"/>
      <c r="AN313" s="229"/>
      <c r="AO313" s="229"/>
      <c r="AP313" s="229"/>
      <c r="AQ313" s="229"/>
      <c r="AR313" s="229"/>
      <c r="AS313" s="229"/>
      <c r="AT313" s="229"/>
      <c r="AU313" s="229"/>
      <c r="AV313" s="229"/>
      <c r="AW313" s="229"/>
      <c r="AX313" s="229"/>
      <c r="AY313" s="229"/>
      <c r="AZ313" s="229"/>
      <c r="BA313" s="229"/>
      <c r="BB313" s="229"/>
      <c r="BC313" s="229"/>
      <c r="BD313" s="229"/>
      <c r="BE313" s="229"/>
      <c r="BF313" s="229"/>
      <c r="BG313" s="229"/>
    </row>
    <row r="314" spans="1:68" s="131" customFormat="1" ht="18.75" customHeight="1">
      <c r="B314" s="229"/>
      <c r="C314" s="238"/>
      <c r="D314" s="238"/>
      <c r="E314" s="238"/>
      <c r="F314" s="238"/>
      <c r="G314" s="229"/>
      <c r="H314" s="238"/>
      <c r="I314" s="238"/>
      <c r="J314" s="238"/>
      <c r="K314" s="238"/>
      <c r="L314" s="238"/>
      <c r="M314" s="238"/>
      <c r="N314" s="238"/>
      <c r="O314" s="238"/>
      <c r="P314" s="238"/>
      <c r="Q314" s="238"/>
      <c r="R314" s="238"/>
      <c r="S314" s="238"/>
      <c r="T314" s="238"/>
      <c r="U314" s="238"/>
      <c r="V314" s="238"/>
      <c r="W314" s="238"/>
      <c r="X314" s="238"/>
      <c r="Y314" s="238"/>
      <c r="Z314" s="238"/>
      <c r="AA314" s="229"/>
      <c r="AB314" s="229"/>
      <c r="AC314" s="229"/>
      <c r="AD314" s="229"/>
      <c r="AE314" s="229"/>
      <c r="AF314" s="229"/>
      <c r="AG314" s="229"/>
      <c r="AH314" s="229"/>
      <c r="AI314" s="229"/>
      <c r="AJ314" s="229"/>
      <c r="AK314" s="229"/>
      <c r="AL314" s="229"/>
      <c r="AM314" s="229"/>
      <c r="AN314" s="229"/>
      <c r="AO314" s="229"/>
      <c r="AP314" s="229"/>
      <c r="AQ314" s="229"/>
      <c r="AR314" s="229"/>
      <c r="AS314" s="229"/>
      <c r="AT314" s="229"/>
      <c r="AU314" s="229"/>
      <c r="AV314" s="229"/>
      <c r="AW314" s="229"/>
      <c r="AX314" s="229"/>
      <c r="AY314" s="229"/>
      <c r="AZ314" s="229"/>
      <c r="BA314" s="229"/>
      <c r="BB314" s="229"/>
      <c r="BC314" s="229"/>
      <c r="BD314" s="229"/>
      <c r="BE314" s="229"/>
      <c r="BF314" s="229"/>
      <c r="BG314" s="229"/>
    </row>
    <row r="315" spans="1:68" ht="18.75" customHeight="1">
      <c r="A315" s="243"/>
      <c r="B315" s="60" t="str">
        <f>"7. "&amp;$T$5&amp;" 보정값의 표준불확도,"</f>
        <v>7. 표준 측장기 보정값의 표준불확도,</v>
      </c>
      <c r="C315" s="243"/>
      <c r="D315" s="243"/>
      <c r="E315" s="243"/>
      <c r="F315" s="243"/>
      <c r="G315" s="243"/>
      <c r="H315" s="243"/>
      <c r="I315" s="243"/>
      <c r="J315" s="243"/>
      <c r="K315" s="243"/>
      <c r="L315" s="243"/>
      <c r="M315" s="243"/>
      <c r="O315" s="243"/>
      <c r="Q315" s="158" t="s">
        <v>695</v>
      </c>
      <c r="R315" s="243"/>
      <c r="S315" s="243"/>
      <c r="T315" s="243"/>
      <c r="U315" s="243"/>
      <c r="V315" s="243"/>
      <c r="W315" s="243"/>
      <c r="X315" s="243"/>
      <c r="Y315" s="243"/>
      <c r="Z315" s="243"/>
      <c r="AA315" s="243"/>
      <c r="AB315" s="243"/>
      <c r="AC315" s="243"/>
      <c r="AD315" s="243"/>
      <c r="AE315" s="243"/>
      <c r="AF315" s="243"/>
      <c r="AG315" s="243"/>
      <c r="AH315" s="243"/>
      <c r="AI315" s="243"/>
      <c r="AJ315" s="243"/>
      <c r="AK315" s="243"/>
      <c r="AL315" s="243"/>
      <c r="AM315" s="243"/>
      <c r="AN315" s="243"/>
      <c r="AO315" s="243"/>
      <c r="AP315" s="243"/>
      <c r="AQ315" s="243"/>
      <c r="AR315" s="243"/>
      <c r="AS315" s="243"/>
      <c r="AT315" s="243"/>
    </row>
    <row r="316" spans="1:68" ht="18.75" customHeight="1">
      <c r="A316" s="243"/>
      <c r="B316" s="60"/>
      <c r="C316" s="243" t="str">
        <f>"※ 교정성적서에 주어진 "&amp;$T$5&amp;"의 측정불확도를 포함인자로 나누어 구한다."</f>
        <v>※ 교정성적서에 주어진 표준 측장기의 측정불확도를 포함인자로 나누어 구한다.</v>
      </c>
      <c r="D316" s="243"/>
      <c r="E316" s="243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  <c r="X316" s="243"/>
      <c r="Y316" s="243"/>
      <c r="Z316" s="243"/>
      <c r="AA316" s="243"/>
      <c r="AB316" s="243"/>
      <c r="AC316" s="243"/>
      <c r="AD316" s="243"/>
      <c r="AE316" s="243"/>
      <c r="AF316" s="243"/>
      <c r="AG316" s="243"/>
      <c r="AH316" s="243"/>
      <c r="AI316" s="243"/>
      <c r="AJ316" s="243"/>
      <c r="AK316" s="243"/>
      <c r="AL316" s="243"/>
      <c r="AM316" s="243"/>
      <c r="AN316" s="243"/>
      <c r="AO316" s="243"/>
      <c r="AP316" s="243"/>
      <c r="AQ316" s="243"/>
      <c r="AR316" s="243"/>
      <c r="AS316" s="243"/>
      <c r="AT316" s="243"/>
    </row>
    <row r="317" spans="1:68" ht="18.75" customHeight="1">
      <c r="A317" s="243"/>
      <c r="B317" s="243"/>
      <c r="C317" s="243" t="s">
        <v>595</v>
      </c>
      <c r="D317" s="243"/>
      <c r="E317" s="243"/>
      <c r="F317" s="243"/>
      <c r="G317" s="243"/>
      <c r="H317" s="243"/>
      <c r="I317" s="403">
        <f>H238</f>
        <v>0</v>
      </c>
      <c r="J317" s="403"/>
      <c r="K317" s="403"/>
      <c r="L317" s="403"/>
      <c r="M317" s="403"/>
      <c r="N317" s="397" t="str">
        <f>M238</f>
        <v>mm</v>
      </c>
      <c r="O317" s="397"/>
      <c r="P317" s="237"/>
      <c r="Q317" s="243"/>
      <c r="R317" s="243"/>
      <c r="S317" s="243"/>
      <c r="T317" s="243"/>
      <c r="U317" s="243"/>
      <c r="V317" s="243"/>
      <c r="W317" s="243"/>
      <c r="X317" s="243"/>
      <c r="Y317" s="243"/>
      <c r="Z317" s="243"/>
      <c r="AA317" s="243"/>
      <c r="AB317" s="243"/>
      <c r="AC317" s="243"/>
      <c r="AD317" s="243"/>
      <c r="AE317" s="243"/>
      <c r="AF317" s="243"/>
      <c r="AG317" s="243"/>
      <c r="AH317" s="243"/>
      <c r="AI317" s="243"/>
      <c r="AJ317" s="243"/>
      <c r="AK317" s="243"/>
      <c r="AL317" s="243"/>
      <c r="AM317" s="243"/>
      <c r="AN317" s="243"/>
      <c r="AO317" s="243"/>
      <c r="AP317" s="243"/>
      <c r="AQ317" s="243"/>
      <c r="AR317" s="243"/>
      <c r="AS317" s="243"/>
      <c r="AT317" s="243"/>
    </row>
    <row r="318" spans="1:68" ht="18.75" customHeight="1">
      <c r="A318" s="243"/>
      <c r="B318" s="60"/>
      <c r="C318" s="404" t="s">
        <v>596</v>
      </c>
      <c r="D318" s="404"/>
      <c r="E318" s="404"/>
      <c r="F318" s="404"/>
      <c r="G318" s="404"/>
      <c r="H318" s="404"/>
      <c r="I318" s="404"/>
      <c r="J318" s="390" t="s">
        <v>696</v>
      </c>
      <c r="K318" s="390"/>
      <c r="L318" s="390"/>
      <c r="M318" s="390" t="s">
        <v>589</v>
      </c>
      <c r="N318" s="424" t="s">
        <v>697</v>
      </c>
      <c r="O318" s="424"/>
      <c r="P318" s="390" t="s">
        <v>536</v>
      </c>
      <c r="Q318" s="449">
        <f>Calcu!G45</f>
        <v>0</v>
      </c>
      <c r="R318" s="449"/>
      <c r="S318" s="449"/>
      <c r="T318" s="205"/>
      <c r="U318" s="450">
        <f>Calcu!H45</f>
        <v>0</v>
      </c>
      <c r="V318" s="450"/>
      <c r="W318" s="450"/>
      <c r="X318" s="450"/>
      <c r="Y318" s="205"/>
      <c r="Z318" s="205"/>
      <c r="AA318" s="449" t="s">
        <v>556</v>
      </c>
      <c r="AB318" s="449"/>
      <c r="AC318" s="391" t="s">
        <v>121</v>
      </c>
      <c r="AD318" s="449">
        <f>Q318</f>
        <v>0</v>
      </c>
      <c r="AE318" s="449"/>
      <c r="AF318" s="449"/>
      <c r="AG318" s="205"/>
      <c r="AH318" s="450">
        <f>U318</f>
        <v>0</v>
      </c>
      <c r="AI318" s="450"/>
      <c r="AJ318" s="450"/>
      <c r="AK318" s="450"/>
      <c r="AL318" s="450">
        <f>Calcu!B9</f>
        <v>0</v>
      </c>
      <c r="AM318" s="450"/>
      <c r="AN318" s="450"/>
      <c r="AO318" s="205" t="s">
        <v>698</v>
      </c>
      <c r="AP318" s="205"/>
      <c r="AQ318" s="205"/>
      <c r="AS318" s="449" t="str">
        <f>AA318</f>
        <v>μm</v>
      </c>
      <c r="AT318" s="449"/>
    </row>
    <row r="319" spans="1:68" ht="18.75" customHeight="1">
      <c r="A319" s="243"/>
      <c r="B319" s="60"/>
      <c r="C319" s="404"/>
      <c r="D319" s="404"/>
      <c r="E319" s="404"/>
      <c r="F319" s="404"/>
      <c r="G319" s="404"/>
      <c r="H319" s="404"/>
      <c r="I319" s="404"/>
      <c r="J319" s="390"/>
      <c r="K319" s="390"/>
      <c r="L319" s="390"/>
      <c r="M319" s="390"/>
      <c r="N319" s="448" t="s">
        <v>183</v>
      </c>
      <c r="O319" s="448"/>
      <c r="P319" s="390"/>
      <c r="Q319" s="412">
        <f>Calcu!I45</f>
        <v>0</v>
      </c>
      <c r="R319" s="412"/>
      <c r="S319" s="412"/>
      <c r="T319" s="412"/>
      <c r="U319" s="412"/>
      <c r="V319" s="412"/>
      <c r="W319" s="412"/>
      <c r="X319" s="412"/>
      <c r="Y319" s="412"/>
      <c r="Z319" s="412"/>
      <c r="AA319" s="412"/>
      <c r="AB319" s="412"/>
      <c r="AC319" s="391"/>
      <c r="AD319" s="412">
        <f>Q319</f>
        <v>0</v>
      </c>
      <c r="AE319" s="412"/>
      <c r="AF319" s="412"/>
      <c r="AG319" s="412"/>
      <c r="AH319" s="412"/>
      <c r="AI319" s="412"/>
      <c r="AJ319" s="412"/>
      <c r="AK319" s="412"/>
      <c r="AL319" s="412"/>
      <c r="AM319" s="412"/>
      <c r="AN319" s="412"/>
      <c r="AO319" s="412"/>
      <c r="AP319" s="412"/>
      <c r="AQ319" s="412"/>
      <c r="AR319" s="412"/>
      <c r="AS319" s="412"/>
      <c r="AT319" s="412"/>
    </row>
    <row r="320" spans="1:68" ht="18.75" customHeight="1">
      <c r="A320" s="243"/>
      <c r="B320" s="60"/>
      <c r="C320" s="152"/>
      <c r="D320" s="243"/>
      <c r="E320" s="243"/>
      <c r="F320" s="243"/>
      <c r="G320" s="243"/>
      <c r="H320" s="243"/>
      <c r="I320" s="243"/>
      <c r="J320" s="180"/>
      <c r="K320" s="180"/>
      <c r="L320" s="180"/>
      <c r="M320" s="235" t="s">
        <v>527</v>
      </c>
      <c r="N320" s="392" t="e">
        <f>SQRT(SUMSQ(AD318,AH318*AL318))/AD319</f>
        <v>#DIV/0!</v>
      </c>
      <c r="O320" s="392"/>
      <c r="P320" s="392"/>
      <c r="Q320" s="238" t="str">
        <f>AS318</f>
        <v>μm</v>
      </c>
      <c r="R320" s="229"/>
      <c r="S320" s="229"/>
      <c r="T320" s="229"/>
      <c r="U320" s="229"/>
      <c r="V320" s="229"/>
      <c r="W320" s="229"/>
      <c r="X320" s="229"/>
      <c r="Y320" s="229"/>
      <c r="Z320" s="229"/>
      <c r="AA320" s="229"/>
      <c r="AB320" s="229"/>
      <c r="AC320" s="229"/>
      <c r="AD320" s="229"/>
      <c r="AE320" s="229"/>
      <c r="AF320" s="229"/>
      <c r="AG320" s="229"/>
      <c r="AH320" s="229"/>
      <c r="AI320" s="229"/>
      <c r="AJ320" s="229"/>
      <c r="AK320" s="229"/>
      <c r="AL320" s="229"/>
      <c r="AM320" s="229"/>
      <c r="AN320" s="229"/>
      <c r="AO320" s="229"/>
      <c r="AP320" s="229"/>
      <c r="AQ320" s="229"/>
      <c r="AR320" s="229"/>
      <c r="AS320" s="243"/>
      <c r="AT320" s="243"/>
    </row>
    <row r="321" spans="1:59" ht="18.75" customHeight="1">
      <c r="A321" s="243"/>
      <c r="B321" s="243"/>
      <c r="C321" s="243" t="s">
        <v>699</v>
      </c>
      <c r="D321" s="243"/>
      <c r="E321" s="243"/>
      <c r="F321" s="243"/>
      <c r="G321" s="243"/>
      <c r="H321" s="243"/>
      <c r="I321" s="393" t="str">
        <f>V238</f>
        <v>정규</v>
      </c>
      <c r="J321" s="393"/>
      <c r="K321" s="393"/>
      <c r="L321" s="393"/>
      <c r="M321" s="393"/>
      <c r="N321" s="393"/>
      <c r="O321" s="393"/>
      <c r="P321" s="393"/>
      <c r="Q321" s="243"/>
      <c r="R321" s="243"/>
      <c r="S321" s="243"/>
      <c r="T321" s="243"/>
      <c r="U321" s="243"/>
      <c r="V321" s="243"/>
      <c r="W321" s="243"/>
      <c r="X321" s="243"/>
      <c r="Y321" s="243"/>
      <c r="Z321" s="243"/>
      <c r="AA321" s="243"/>
      <c r="AB321" s="243"/>
      <c r="AC321" s="243"/>
      <c r="AD321" s="243"/>
      <c r="AE321" s="243"/>
      <c r="AF321" s="243"/>
      <c r="AG321" s="243"/>
      <c r="AH321" s="243"/>
      <c r="AI321" s="243"/>
      <c r="AJ321" s="243"/>
      <c r="AK321" s="243"/>
      <c r="AL321" s="243"/>
      <c r="AM321" s="243"/>
      <c r="AN321" s="243"/>
      <c r="AO321" s="243"/>
      <c r="AP321" s="243"/>
      <c r="AQ321" s="243"/>
      <c r="AR321" s="243"/>
      <c r="AS321" s="243"/>
      <c r="AT321" s="243"/>
    </row>
    <row r="322" spans="1:59" ht="18.75" customHeight="1">
      <c r="A322" s="243"/>
      <c r="B322" s="243"/>
      <c r="C322" s="394" t="s">
        <v>700</v>
      </c>
      <c r="D322" s="394"/>
      <c r="E322" s="394"/>
      <c r="F322" s="394"/>
      <c r="G322" s="394"/>
      <c r="H322" s="394"/>
      <c r="I322" s="238"/>
      <c r="J322" s="238"/>
      <c r="K322" s="243"/>
      <c r="L322" s="243"/>
      <c r="N322" s="391">
        <f>AA238</f>
        <v>1</v>
      </c>
      <c r="O322" s="391"/>
      <c r="P322" s="238"/>
      <c r="Q322" s="238"/>
      <c r="R322" s="238"/>
      <c r="S322" s="243"/>
      <c r="T322" s="243"/>
      <c r="U322" s="243"/>
      <c r="AA322" s="243"/>
      <c r="AB322" s="243"/>
      <c r="AC322" s="243"/>
      <c r="AD322" s="243"/>
      <c r="AE322" s="243"/>
      <c r="AH322" s="226"/>
      <c r="AI322" s="243"/>
      <c r="AJ322" s="243"/>
      <c r="AK322" s="243"/>
      <c r="AL322" s="243"/>
      <c r="AM322" s="243"/>
      <c r="AN322" s="243"/>
      <c r="AO322" s="243"/>
      <c r="AP322" s="243"/>
      <c r="AQ322" s="243"/>
      <c r="AR322" s="243"/>
      <c r="AS322" s="243"/>
      <c r="AT322" s="243"/>
    </row>
    <row r="323" spans="1:59" ht="18.75" customHeight="1">
      <c r="A323" s="243"/>
      <c r="B323" s="243"/>
      <c r="C323" s="394"/>
      <c r="D323" s="394"/>
      <c r="E323" s="394"/>
      <c r="F323" s="394"/>
      <c r="G323" s="394"/>
      <c r="H323" s="394"/>
      <c r="I323" s="233"/>
      <c r="J323" s="233"/>
      <c r="K323" s="243"/>
      <c r="L323" s="243"/>
      <c r="N323" s="391"/>
      <c r="O323" s="391"/>
      <c r="P323" s="238"/>
      <c r="Q323" s="238"/>
      <c r="R323" s="238"/>
      <c r="S323" s="243"/>
      <c r="T323" s="243"/>
      <c r="U323" s="243"/>
      <c r="AA323" s="243"/>
      <c r="AB323" s="243"/>
      <c r="AC323" s="243"/>
      <c r="AD323" s="243"/>
      <c r="AE323" s="243"/>
      <c r="AH323" s="243"/>
      <c r="AI323" s="243"/>
      <c r="AJ323" s="243"/>
      <c r="AK323" s="243"/>
      <c r="AL323" s="243"/>
      <c r="AM323" s="243"/>
      <c r="AN323" s="243"/>
      <c r="AO323" s="243"/>
      <c r="AP323" s="243"/>
      <c r="AQ323" s="243"/>
      <c r="AR323" s="243"/>
      <c r="AS323" s="243"/>
      <c r="AT323" s="243"/>
    </row>
    <row r="324" spans="1:59" s="243" customFormat="1" ht="18.75" customHeight="1">
      <c r="C324" s="243" t="s">
        <v>701</v>
      </c>
      <c r="K324" s="239" t="s">
        <v>73</v>
      </c>
      <c r="L324" s="395">
        <f>N322</f>
        <v>1</v>
      </c>
      <c r="M324" s="395"/>
      <c r="N324" s="229" t="s">
        <v>74</v>
      </c>
      <c r="O324" s="392" t="e">
        <f>N320</f>
        <v>#DIV/0!</v>
      </c>
      <c r="P324" s="392"/>
      <c r="Q324" s="392"/>
      <c r="R324" s="396" t="str">
        <f>Q320</f>
        <v>μm</v>
      </c>
      <c r="S324" s="397"/>
      <c r="T324" s="239" t="s">
        <v>702</v>
      </c>
      <c r="U324" s="71" t="s">
        <v>121</v>
      </c>
      <c r="V324" s="392" t="e">
        <f>O324</f>
        <v>#DIV/0!</v>
      </c>
      <c r="W324" s="392"/>
      <c r="X324" s="392"/>
      <c r="Y324" s="396" t="str">
        <f>R324</f>
        <v>μm</v>
      </c>
      <c r="Z324" s="397"/>
      <c r="AA324" s="237"/>
      <c r="AB324" s="238"/>
      <c r="AC324" s="237"/>
      <c r="AD324" s="237"/>
      <c r="AE324" s="237"/>
      <c r="AF324" s="238"/>
    </row>
    <row r="325" spans="1:59" ht="18.75" customHeight="1">
      <c r="A325" s="243"/>
      <c r="B325" s="243"/>
      <c r="C325" s="238" t="s">
        <v>604</v>
      </c>
      <c r="D325" s="238"/>
      <c r="E325" s="238"/>
      <c r="F325" s="238"/>
      <c r="G325" s="238"/>
      <c r="I325" s="104" t="s">
        <v>703</v>
      </c>
      <c r="J325" s="243"/>
      <c r="K325" s="243"/>
      <c r="L325" s="243"/>
      <c r="M325" s="243"/>
      <c r="N325" s="243"/>
      <c r="O325" s="243"/>
      <c r="P325" s="243"/>
      <c r="Q325" s="243"/>
      <c r="R325" s="243"/>
      <c r="U325" s="153"/>
      <c r="V325" s="153"/>
      <c r="W325" s="243"/>
      <c r="Y325" s="243"/>
      <c r="Z325" s="243"/>
      <c r="AA325" s="243"/>
      <c r="AB325" s="243"/>
      <c r="AC325" s="243"/>
      <c r="AD325" s="243"/>
      <c r="AG325" s="243"/>
      <c r="AH325" s="243"/>
      <c r="AI325" s="243"/>
      <c r="AJ325" s="243"/>
      <c r="AK325" s="243"/>
      <c r="AL325" s="243"/>
      <c r="AM325" s="243"/>
      <c r="AN325" s="243"/>
      <c r="AO325" s="243"/>
      <c r="AP325" s="243"/>
      <c r="AQ325" s="243"/>
      <c r="AR325" s="243"/>
      <c r="AS325" s="243"/>
      <c r="AT325" s="243"/>
    </row>
    <row r="326" spans="1:59" ht="18.75" customHeight="1">
      <c r="A326" s="243"/>
      <c r="B326" s="243"/>
      <c r="C326" s="238"/>
      <c r="D326" s="238"/>
      <c r="E326" s="238"/>
      <c r="F326" s="238"/>
      <c r="G326" s="238"/>
      <c r="H326" s="61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U326" s="153"/>
      <c r="V326" s="153"/>
      <c r="W326" s="243"/>
      <c r="X326" s="243"/>
      <c r="Y326" s="243"/>
      <c r="Z326" s="243"/>
      <c r="AA326" s="243"/>
      <c r="AB326" s="243"/>
      <c r="AC326" s="243"/>
      <c r="AD326" s="243"/>
      <c r="AG326" s="243"/>
      <c r="AH326" s="243"/>
      <c r="AI326" s="243"/>
      <c r="AJ326" s="243"/>
      <c r="AK326" s="243"/>
      <c r="AL326" s="243"/>
      <c r="AM326" s="243"/>
      <c r="AN326" s="243"/>
      <c r="AO326" s="243"/>
      <c r="AP326" s="243"/>
      <c r="AQ326" s="243"/>
      <c r="AR326" s="243"/>
      <c r="AS326" s="243"/>
      <c r="AT326" s="243"/>
    </row>
    <row r="327" spans="1:59" s="131" customFormat="1" ht="18.75" customHeight="1">
      <c r="B327" s="57" t="str">
        <f>"8. "&amp;$T$5&amp;" 분해능에 의한 표준불확도,"</f>
        <v>8. 표준 측장기 분해능에 의한 표준불확도,</v>
      </c>
      <c r="C327" s="238"/>
      <c r="E327" s="238"/>
      <c r="F327" s="238"/>
      <c r="G327" s="229"/>
      <c r="H327" s="238"/>
      <c r="I327" s="238"/>
      <c r="J327" s="238"/>
      <c r="K327" s="238"/>
      <c r="L327" s="238"/>
      <c r="M327" s="238"/>
      <c r="N327" s="238"/>
      <c r="O327" s="238"/>
      <c r="P327" s="238"/>
      <c r="R327" s="238"/>
      <c r="S327" s="210" t="s">
        <v>606</v>
      </c>
      <c r="T327" s="238"/>
      <c r="U327" s="238"/>
      <c r="V327" s="238"/>
      <c r="W327" s="238"/>
      <c r="X327" s="238"/>
      <c r="Y327" s="238"/>
      <c r="Z327" s="238"/>
      <c r="AA327" s="238"/>
      <c r="AB327" s="238"/>
      <c r="AC327" s="238"/>
      <c r="AD327" s="238"/>
      <c r="AE327" s="229"/>
      <c r="AF327" s="238"/>
      <c r="AG327" s="229"/>
      <c r="AH327" s="229"/>
      <c r="AI327" s="229"/>
      <c r="AJ327" s="229"/>
      <c r="AK327" s="229"/>
      <c r="AL327" s="229"/>
      <c r="AM327" s="229"/>
      <c r="AN327" s="229"/>
      <c r="AO327" s="229"/>
      <c r="AP327" s="229"/>
      <c r="AQ327" s="229"/>
      <c r="AR327" s="229"/>
      <c r="AS327" s="229"/>
      <c r="AT327" s="229"/>
      <c r="AU327" s="229"/>
      <c r="AV327" s="229"/>
      <c r="AW327" s="229"/>
      <c r="AX327" s="229"/>
      <c r="AY327" s="229"/>
      <c r="AZ327" s="229"/>
      <c r="BA327" s="229"/>
      <c r="BB327" s="229"/>
      <c r="BC327" s="229"/>
      <c r="BD327" s="229"/>
      <c r="BE327" s="229"/>
      <c r="BF327" s="229"/>
      <c r="BG327" s="229"/>
    </row>
    <row r="328" spans="1:59" s="131" customFormat="1" ht="18.75" customHeight="1">
      <c r="B328" s="57"/>
      <c r="C328" s="238" t="str">
        <f>"※ 교정에 사용된 "&amp;$T$5&amp;" 분해능의 반범위에 직사각형 확률분포를 적용하여 계산한다."</f>
        <v>※ 교정에 사용된 표준 측장기 분해능의 반범위에 직사각형 확률분포를 적용하여 계산한다.</v>
      </c>
      <c r="D328" s="229"/>
      <c r="E328" s="238"/>
      <c r="F328" s="238"/>
      <c r="G328" s="238"/>
      <c r="H328" s="238"/>
      <c r="I328" s="238"/>
      <c r="J328" s="238"/>
      <c r="K328" s="238"/>
      <c r="L328" s="238"/>
      <c r="M328" s="238"/>
      <c r="N328" s="238"/>
      <c r="O328" s="229"/>
      <c r="P328" s="211"/>
      <c r="Q328" s="211"/>
      <c r="R328" s="211"/>
      <c r="S328" s="211"/>
      <c r="T328" s="238"/>
      <c r="U328" s="238"/>
      <c r="V328" s="238"/>
      <c r="W328" s="238"/>
      <c r="X328" s="238"/>
      <c r="Y328" s="238"/>
      <c r="Z328" s="238"/>
      <c r="AA328" s="238"/>
      <c r="AB328" s="238"/>
      <c r="AC328" s="238"/>
      <c r="AD328" s="229"/>
      <c r="AE328" s="229"/>
      <c r="AF328" s="179"/>
      <c r="AG328" s="179"/>
      <c r="AH328" s="179"/>
      <c r="AI328" s="238"/>
      <c r="AJ328" s="229"/>
      <c r="AK328" s="229"/>
      <c r="AL328" s="229"/>
      <c r="AM328" s="229"/>
      <c r="AN328" s="229"/>
      <c r="AO328" s="229"/>
      <c r="AP328" s="229"/>
      <c r="AQ328" s="229"/>
      <c r="AR328" s="229"/>
      <c r="AS328" s="229"/>
      <c r="AT328" s="229"/>
      <c r="AU328" s="229"/>
      <c r="AV328" s="229"/>
      <c r="AW328" s="229"/>
      <c r="AX328" s="229"/>
      <c r="AY328" s="229"/>
      <c r="AZ328" s="229"/>
      <c r="BA328" s="229"/>
      <c r="BB328" s="229"/>
      <c r="BC328" s="229"/>
      <c r="BD328" s="229"/>
      <c r="BE328" s="229"/>
      <c r="BF328" s="229"/>
      <c r="BG328" s="229"/>
    </row>
    <row r="329" spans="1:59" s="131" customFormat="1" ht="18.75" customHeight="1">
      <c r="B329" s="229"/>
      <c r="C329" s="243" t="s">
        <v>607</v>
      </c>
      <c r="D329" s="238"/>
      <c r="E329" s="238"/>
      <c r="F329" s="238"/>
      <c r="G329" s="238"/>
      <c r="H329" s="397">
        <f>H239</f>
        <v>0</v>
      </c>
      <c r="I329" s="397"/>
      <c r="J329" s="397"/>
      <c r="K329" s="397"/>
      <c r="L329" s="397"/>
      <c r="M329" s="397" t="str">
        <f>M239</f>
        <v>mm</v>
      </c>
      <c r="N329" s="397"/>
      <c r="O329" s="237"/>
      <c r="P329" s="243"/>
      <c r="AS329" s="206"/>
      <c r="AT329" s="206"/>
      <c r="AU329" s="206"/>
      <c r="AV329" s="206"/>
      <c r="AW329" s="206"/>
      <c r="AX329" s="206"/>
      <c r="AY329" s="206"/>
      <c r="AZ329" s="206"/>
      <c r="BA329" s="206"/>
      <c r="BB329" s="229"/>
      <c r="BC329" s="229"/>
      <c r="BD329" s="229"/>
      <c r="BE329" s="229"/>
      <c r="BF329" s="229"/>
      <c r="BG329" s="229"/>
    </row>
    <row r="330" spans="1:59" s="131" customFormat="1" ht="18.75" customHeight="1">
      <c r="B330" s="229"/>
      <c r="C330" s="238" t="s">
        <v>704</v>
      </c>
      <c r="D330" s="238"/>
      <c r="E330" s="238"/>
      <c r="F330" s="238"/>
      <c r="G330" s="238"/>
      <c r="H330" s="238"/>
      <c r="I330" s="229"/>
      <c r="J330" s="61" t="s">
        <v>608</v>
      </c>
      <c r="K330" s="234"/>
      <c r="L330" s="234"/>
      <c r="M330" s="234"/>
      <c r="N330" s="234"/>
      <c r="O330" s="234"/>
      <c r="P330" s="234"/>
      <c r="Q330" s="451">
        <f>Calcu!G46</f>
        <v>0</v>
      </c>
      <c r="R330" s="451"/>
      <c r="S330" s="451"/>
      <c r="T330" s="452" t="s">
        <v>120</v>
      </c>
      <c r="U330" s="452"/>
      <c r="V330" s="452"/>
      <c r="W330" s="234"/>
      <c r="X330" s="234"/>
      <c r="Y330" s="234"/>
      <c r="Z330" s="234"/>
      <c r="AS330" s="206"/>
      <c r="AT330" s="206"/>
      <c r="AU330" s="206"/>
      <c r="AV330" s="206"/>
      <c r="AW330" s="206"/>
      <c r="AX330" s="206"/>
      <c r="AY330" s="206"/>
      <c r="AZ330" s="206"/>
      <c r="BA330" s="206"/>
      <c r="BB330" s="229"/>
      <c r="BC330" s="229"/>
      <c r="BD330" s="229"/>
      <c r="BE330" s="229"/>
      <c r="BF330" s="229"/>
      <c r="BG330" s="229"/>
    </row>
    <row r="331" spans="1:59" s="131" customFormat="1" ht="18.75" customHeight="1">
      <c r="B331" s="229"/>
      <c r="D331" s="238"/>
      <c r="E331" s="238"/>
      <c r="F331" s="238"/>
      <c r="G331" s="238"/>
      <c r="H331" s="238"/>
      <c r="I331" s="238"/>
      <c r="J331" s="390" t="s">
        <v>705</v>
      </c>
      <c r="K331" s="390"/>
      <c r="L331" s="390"/>
      <c r="M331" s="453" t="s">
        <v>121</v>
      </c>
      <c r="N331" s="389">
        <f>Q330</f>
        <v>0</v>
      </c>
      <c r="O331" s="389"/>
      <c r="P331" s="236" t="s">
        <v>148</v>
      </c>
      <c r="Q331" s="236"/>
      <c r="R331" s="453" t="s">
        <v>536</v>
      </c>
      <c r="S331" s="392">
        <f>N331/2/SQRT(3)</f>
        <v>0</v>
      </c>
      <c r="T331" s="392"/>
      <c r="U331" s="392"/>
      <c r="V331" s="397" t="s">
        <v>148</v>
      </c>
      <c r="W331" s="397"/>
      <c r="X331" s="238"/>
      <c r="Y331" s="59"/>
      <c r="Z331" s="229"/>
      <c r="AA331" s="229"/>
      <c r="AB331" s="229"/>
      <c r="AC331" s="229"/>
      <c r="AD331" s="229"/>
      <c r="AE331" s="238"/>
      <c r="AF331" s="238"/>
      <c r="AG331" s="238"/>
      <c r="AH331" s="238"/>
      <c r="AI331" s="238"/>
      <c r="AJ331" s="238"/>
      <c r="AK331" s="238"/>
      <c r="AL331" s="238"/>
      <c r="AM331" s="229"/>
      <c r="AN331" s="229"/>
      <c r="AO331" s="229"/>
      <c r="AP331" s="229"/>
      <c r="AQ331" s="238"/>
      <c r="AR331" s="238"/>
      <c r="AS331" s="238"/>
      <c r="AT331" s="238"/>
      <c r="AU331" s="238"/>
      <c r="AV331" s="238"/>
      <c r="AW331" s="238"/>
      <c r="AX331" s="238"/>
      <c r="AY331" s="229"/>
      <c r="AZ331" s="229"/>
      <c r="BA331" s="229"/>
      <c r="BB331" s="229"/>
      <c r="BC331" s="229"/>
      <c r="BD331" s="229"/>
      <c r="BE331" s="229"/>
      <c r="BF331" s="229"/>
      <c r="BG331" s="229"/>
    </row>
    <row r="332" spans="1:59" s="131" customFormat="1" ht="18.75" customHeight="1">
      <c r="B332" s="229"/>
      <c r="C332" s="238"/>
      <c r="D332" s="238"/>
      <c r="E332" s="238"/>
      <c r="F332" s="238"/>
      <c r="G332" s="238"/>
      <c r="H332" s="238"/>
      <c r="I332" s="238"/>
      <c r="J332" s="390"/>
      <c r="K332" s="390"/>
      <c r="L332" s="390"/>
      <c r="M332" s="453"/>
      <c r="N332" s="212"/>
      <c r="O332" s="212"/>
      <c r="P332" s="212"/>
      <c r="Q332" s="212"/>
      <c r="R332" s="453"/>
      <c r="S332" s="392"/>
      <c r="T332" s="392"/>
      <c r="U332" s="392"/>
      <c r="V332" s="397"/>
      <c r="W332" s="397"/>
      <c r="X332" s="213"/>
      <c r="Y332" s="59"/>
      <c r="Z332" s="238"/>
      <c r="AA332" s="229"/>
      <c r="AB332" s="229"/>
      <c r="AC332" s="229"/>
      <c r="AD332" s="229"/>
      <c r="AE332" s="238"/>
      <c r="AF332" s="238"/>
      <c r="AG332" s="238"/>
      <c r="AH332" s="238"/>
      <c r="AI332" s="238"/>
      <c r="AJ332" s="238"/>
      <c r="AK332" s="238"/>
      <c r="AL332" s="238"/>
      <c r="AM332" s="229"/>
      <c r="AN332" s="229"/>
      <c r="AO332" s="229"/>
      <c r="AP332" s="229"/>
      <c r="AQ332" s="238"/>
      <c r="AR332" s="238"/>
      <c r="AS332" s="238"/>
      <c r="AT332" s="238"/>
      <c r="AU332" s="238"/>
      <c r="AV332" s="238"/>
      <c r="AW332" s="238"/>
      <c r="AX332" s="238"/>
      <c r="AY332" s="229"/>
      <c r="AZ332" s="229"/>
      <c r="BA332" s="229"/>
      <c r="BB332" s="229"/>
      <c r="BC332" s="229"/>
      <c r="BD332" s="229"/>
      <c r="BE332" s="229"/>
      <c r="BF332" s="229"/>
      <c r="BG332" s="229"/>
    </row>
    <row r="333" spans="1:59" s="131" customFormat="1" ht="18.75" customHeight="1">
      <c r="B333" s="229"/>
      <c r="C333" s="238" t="s">
        <v>149</v>
      </c>
      <c r="D333" s="238"/>
      <c r="E333" s="238"/>
      <c r="F333" s="238"/>
      <c r="G333" s="238"/>
      <c r="H333" s="238"/>
      <c r="I333" s="393" t="str">
        <f>V239</f>
        <v>직사각형</v>
      </c>
      <c r="J333" s="393"/>
      <c r="K333" s="393"/>
      <c r="L333" s="393"/>
      <c r="M333" s="393"/>
      <c r="N333" s="393"/>
      <c r="O333" s="393"/>
      <c r="P333" s="393"/>
      <c r="Q333" s="238"/>
      <c r="R333" s="238"/>
      <c r="S333" s="238"/>
      <c r="T333" s="238"/>
      <c r="U333" s="238"/>
      <c r="V333" s="238"/>
      <c r="W333" s="238"/>
      <c r="X333" s="238"/>
      <c r="Y333" s="238"/>
      <c r="Z333" s="229"/>
      <c r="AA333" s="229"/>
      <c r="AB333" s="229"/>
      <c r="AC333" s="229"/>
      <c r="AD333" s="229"/>
      <c r="AE333" s="229"/>
      <c r="AF333" s="229"/>
      <c r="AG333" s="229"/>
      <c r="AH333" s="238"/>
      <c r="AI333" s="238"/>
      <c r="AJ333" s="238"/>
      <c r="AK333" s="238"/>
      <c r="AL333" s="229"/>
      <c r="AM333" s="229"/>
      <c r="AN333" s="229"/>
      <c r="AO333" s="229"/>
      <c r="AP333" s="229"/>
      <c r="AQ333" s="229"/>
      <c r="AR333" s="229"/>
      <c r="AS333" s="238"/>
      <c r="AT333" s="238"/>
      <c r="AU333" s="238"/>
      <c r="AV333" s="238"/>
      <c r="AW333" s="238"/>
      <c r="AX333" s="238"/>
      <c r="AY333" s="229"/>
      <c r="AZ333" s="229"/>
      <c r="BA333" s="229"/>
      <c r="BB333" s="229"/>
      <c r="BC333" s="229"/>
      <c r="BD333" s="229"/>
      <c r="BE333" s="229"/>
      <c r="BF333" s="229"/>
      <c r="BG333" s="229"/>
    </row>
    <row r="334" spans="1:59" ht="18.75" customHeight="1">
      <c r="A334" s="243"/>
      <c r="B334" s="243"/>
      <c r="C334" s="394" t="s">
        <v>150</v>
      </c>
      <c r="D334" s="394"/>
      <c r="E334" s="394"/>
      <c r="F334" s="394"/>
      <c r="G334" s="394"/>
      <c r="H334" s="394"/>
      <c r="I334" s="238"/>
      <c r="J334" s="238"/>
      <c r="K334" s="243"/>
      <c r="L334" s="243"/>
      <c r="O334" s="393">
        <f>AA239:AA239</f>
        <v>1</v>
      </c>
      <c r="P334" s="393"/>
      <c r="Q334" s="243"/>
      <c r="R334" s="243"/>
      <c r="S334" s="243"/>
      <c r="X334" s="243"/>
      <c r="Y334" s="243"/>
      <c r="Z334" s="243"/>
      <c r="AA334" s="243"/>
      <c r="AB334" s="243"/>
      <c r="AC334" s="243"/>
      <c r="AD334" s="243"/>
      <c r="AE334" s="243"/>
      <c r="AF334" s="243"/>
      <c r="AG334" s="243"/>
      <c r="AH334" s="243"/>
      <c r="AI334" s="243"/>
      <c r="AJ334" s="243"/>
      <c r="AK334" s="243"/>
      <c r="AL334" s="243"/>
    </row>
    <row r="335" spans="1:59" ht="18.75" customHeight="1">
      <c r="A335" s="243"/>
      <c r="B335" s="243"/>
      <c r="C335" s="394"/>
      <c r="D335" s="394"/>
      <c r="E335" s="394"/>
      <c r="F335" s="394"/>
      <c r="G335" s="394"/>
      <c r="H335" s="394"/>
      <c r="I335" s="233"/>
      <c r="J335" s="233"/>
      <c r="K335" s="243"/>
      <c r="L335" s="243"/>
      <c r="O335" s="393"/>
      <c r="P335" s="393"/>
      <c r="Q335" s="243"/>
      <c r="R335" s="243"/>
      <c r="S335" s="243"/>
      <c r="X335" s="243"/>
      <c r="Y335" s="243"/>
      <c r="Z335" s="243"/>
      <c r="AA335" s="243"/>
      <c r="AB335" s="243"/>
      <c r="AC335" s="243"/>
      <c r="AD335" s="243"/>
      <c r="AE335" s="243"/>
      <c r="AF335" s="243"/>
      <c r="AG335" s="243"/>
      <c r="AH335" s="243"/>
      <c r="AI335" s="243"/>
      <c r="AJ335" s="243"/>
      <c r="AK335" s="243"/>
      <c r="AL335" s="243"/>
    </row>
    <row r="336" spans="1:59" s="243" customFormat="1" ht="18.75" customHeight="1">
      <c r="C336" s="243" t="s">
        <v>151</v>
      </c>
      <c r="K336" s="239" t="s">
        <v>578</v>
      </c>
      <c r="L336" s="395">
        <f>O334</f>
        <v>1</v>
      </c>
      <c r="M336" s="395"/>
      <c r="N336" s="229" t="s">
        <v>74</v>
      </c>
      <c r="O336" s="392">
        <f>S331</f>
        <v>0</v>
      </c>
      <c r="P336" s="397"/>
      <c r="Q336" s="397"/>
      <c r="R336" s="396" t="str">
        <f>V331</f>
        <v>μm</v>
      </c>
      <c r="S336" s="397"/>
      <c r="T336" s="239" t="s">
        <v>73</v>
      </c>
      <c r="U336" s="71" t="s">
        <v>527</v>
      </c>
      <c r="V336" s="392">
        <f>L336*O336</f>
        <v>0</v>
      </c>
      <c r="W336" s="392"/>
      <c r="X336" s="392"/>
      <c r="Y336" s="240" t="str">
        <f>R336</f>
        <v>μm</v>
      </c>
      <c r="Z336" s="56"/>
      <c r="AA336" s="237"/>
      <c r="AB336" s="238"/>
      <c r="AC336" s="238"/>
      <c r="AD336" s="238"/>
      <c r="AE336" s="237"/>
    </row>
    <row r="337" spans="1:60" s="131" customFormat="1" ht="18.75" customHeight="1">
      <c r="B337" s="229"/>
      <c r="C337" s="394" t="s">
        <v>612</v>
      </c>
      <c r="D337" s="394"/>
      <c r="E337" s="394"/>
      <c r="F337" s="394"/>
      <c r="G337" s="394"/>
      <c r="H337" s="238"/>
      <c r="I337" s="104"/>
      <c r="J337" s="238"/>
      <c r="K337" s="238"/>
      <c r="L337" s="238"/>
      <c r="M337" s="238"/>
      <c r="N337" s="238"/>
      <c r="O337" s="238"/>
      <c r="P337" s="238"/>
      <c r="Q337" s="238"/>
      <c r="R337" s="132"/>
      <c r="S337" s="238"/>
      <c r="T337" s="238"/>
      <c r="U337" s="238"/>
      <c r="V337" s="243"/>
      <c r="W337" s="243" t="s">
        <v>558</v>
      </c>
      <c r="Y337" s="238"/>
      <c r="Z337" s="238"/>
      <c r="AA337" s="238"/>
      <c r="AB337" s="238"/>
      <c r="AC337" s="238"/>
      <c r="AD337" s="238"/>
      <c r="AE337" s="229"/>
      <c r="AF337" s="229"/>
      <c r="AG337" s="229"/>
      <c r="AH337" s="229"/>
      <c r="AI337" s="229"/>
      <c r="AJ337" s="229"/>
      <c r="AK337" s="229"/>
      <c r="AL337" s="229"/>
      <c r="AM337" s="229"/>
      <c r="AN337" s="229"/>
      <c r="AO337" s="229"/>
      <c r="AP337" s="229"/>
      <c r="AQ337" s="229"/>
      <c r="AR337" s="229"/>
      <c r="AS337" s="229"/>
      <c r="AT337" s="229"/>
      <c r="AU337" s="229"/>
      <c r="AV337" s="229"/>
      <c r="AW337" s="229"/>
      <c r="AX337" s="229"/>
      <c r="AY337" s="229"/>
      <c r="AZ337" s="229"/>
      <c r="BA337" s="229"/>
      <c r="BB337" s="229"/>
      <c r="BC337" s="229"/>
      <c r="BD337" s="229"/>
      <c r="BE337" s="229"/>
      <c r="BF337" s="229"/>
      <c r="BG337" s="229"/>
    </row>
    <row r="338" spans="1:60" s="131" customFormat="1" ht="18.75" customHeight="1">
      <c r="B338" s="229"/>
      <c r="C338" s="394"/>
      <c r="D338" s="394"/>
      <c r="E338" s="394"/>
      <c r="F338" s="394"/>
      <c r="G338" s="394"/>
      <c r="H338" s="238"/>
      <c r="I338" s="238"/>
      <c r="J338" s="238"/>
      <c r="K338" s="238"/>
      <c r="L338" s="238"/>
      <c r="M338" s="238"/>
      <c r="N338" s="238"/>
      <c r="O338" s="238"/>
      <c r="P338" s="238"/>
      <c r="Q338" s="238"/>
      <c r="R338" s="238"/>
      <c r="S338" s="238"/>
      <c r="T338" s="238"/>
      <c r="U338" s="238"/>
      <c r="V338" s="238"/>
      <c r="W338" s="238"/>
      <c r="X338" s="238"/>
      <c r="Y338" s="238"/>
      <c r="Z338" s="238"/>
      <c r="AA338" s="238"/>
      <c r="AB338" s="238"/>
      <c r="AC338" s="238"/>
      <c r="AD338" s="238"/>
      <c r="AE338" s="229"/>
      <c r="AF338" s="238"/>
      <c r="AG338" s="229"/>
      <c r="AH338" s="229"/>
      <c r="AI338" s="229"/>
      <c r="AJ338" s="229"/>
      <c r="AK338" s="229"/>
      <c r="AL338" s="229"/>
      <c r="AM338" s="229"/>
      <c r="AN338" s="229"/>
      <c r="AO338" s="229"/>
      <c r="AP338" s="229"/>
      <c r="AQ338" s="229"/>
      <c r="AR338" s="229"/>
      <c r="AS338" s="229"/>
      <c r="AT338" s="229"/>
      <c r="AU338" s="229"/>
      <c r="AV338" s="229"/>
      <c r="AW338" s="229"/>
      <c r="AX338" s="229"/>
      <c r="AY338" s="229"/>
      <c r="AZ338" s="229"/>
      <c r="BA338" s="229"/>
      <c r="BB338" s="229"/>
      <c r="BC338" s="229"/>
      <c r="BD338" s="229"/>
      <c r="BE338" s="229"/>
      <c r="BF338" s="229"/>
      <c r="BG338" s="229"/>
    </row>
    <row r="339" spans="1:60" s="131" customFormat="1" ht="18.75" customHeight="1">
      <c r="B339" s="229"/>
      <c r="C339" s="238"/>
      <c r="D339" s="238"/>
      <c r="E339" s="238"/>
      <c r="F339" s="238"/>
      <c r="G339" s="229"/>
      <c r="H339" s="238"/>
      <c r="I339" s="238"/>
      <c r="J339" s="238"/>
      <c r="K339" s="238"/>
      <c r="L339" s="238"/>
      <c r="M339" s="238"/>
      <c r="N339" s="238"/>
      <c r="O339" s="238"/>
      <c r="P339" s="238"/>
      <c r="Q339" s="238"/>
      <c r="R339" s="238"/>
      <c r="S339" s="238"/>
      <c r="T339" s="238"/>
      <c r="U339" s="238"/>
      <c r="V339" s="238"/>
      <c r="W339" s="238"/>
      <c r="X339" s="238"/>
      <c r="Y339" s="238"/>
      <c r="Z339" s="238"/>
      <c r="AA339" s="238"/>
      <c r="AB339" s="238"/>
      <c r="AC339" s="238"/>
      <c r="AD339" s="238"/>
      <c r="AE339" s="229"/>
      <c r="AF339" s="238"/>
      <c r="AG339" s="229"/>
      <c r="AH339" s="229"/>
      <c r="AI339" s="229"/>
      <c r="AJ339" s="229"/>
      <c r="AK339" s="229"/>
      <c r="AL339" s="229"/>
      <c r="AM339" s="229"/>
      <c r="AN339" s="229"/>
      <c r="AO339" s="229"/>
      <c r="AP339" s="229"/>
      <c r="AQ339" s="229"/>
      <c r="AR339" s="229"/>
      <c r="AS339" s="229"/>
      <c r="AT339" s="229"/>
      <c r="AU339" s="229"/>
      <c r="AV339" s="229"/>
      <c r="AW339" s="229"/>
      <c r="AX339" s="229"/>
      <c r="AY339" s="229"/>
      <c r="AZ339" s="229"/>
      <c r="BA339" s="229"/>
      <c r="BB339" s="229"/>
      <c r="BC339" s="229"/>
      <c r="BD339" s="229"/>
      <c r="BE339" s="229"/>
      <c r="BF339" s="229"/>
      <c r="BG339" s="229"/>
    </row>
    <row r="340" spans="1:60" s="131" customFormat="1" ht="18.75" customHeight="1">
      <c r="A340" s="57" t="s">
        <v>613</v>
      </c>
      <c r="B340" s="229"/>
      <c r="C340" s="229"/>
      <c r="D340" s="229"/>
      <c r="E340" s="229"/>
      <c r="F340" s="229"/>
      <c r="G340" s="229"/>
      <c r="H340" s="229"/>
      <c r="I340" s="229"/>
      <c r="J340" s="229"/>
      <c r="K340" s="229"/>
      <c r="L340" s="229"/>
      <c r="M340" s="229"/>
      <c r="N340" s="229"/>
      <c r="O340" s="229"/>
      <c r="P340" s="229"/>
      <c r="Q340" s="229"/>
      <c r="R340" s="229"/>
      <c r="S340" s="229"/>
      <c r="T340" s="229"/>
      <c r="U340" s="229"/>
      <c r="V340" s="229"/>
      <c r="W340" s="229"/>
      <c r="X340" s="229"/>
      <c r="Y340" s="229"/>
      <c r="Z340" s="229"/>
      <c r="AA340" s="229"/>
      <c r="AB340" s="229"/>
      <c r="AC340" s="229"/>
      <c r="AD340" s="229"/>
      <c r="AE340" s="229"/>
      <c r="AF340" s="229"/>
      <c r="AG340" s="229"/>
      <c r="AH340" s="229"/>
      <c r="AI340" s="229"/>
      <c r="AJ340" s="229"/>
      <c r="AK340" s="229"/>
      <c r="AL340" s="229"/>
      <c r="AM340" s="229"/>
      <c r="AN340" s="229"/>
      <c r="AO340" s="229"/>
      <c r="AP340" s="229"/>
      <c r="AQ340" s="229"/>
      <c r="AR340" s="229"/>
      <c r="AS340" s="229"/>
      <c r="AT340" s="229"/>
      <c r="AU340" s="229"/>
      <c r="AV340" s="229"/>
      <c r="AW340" s="229"/>
      <c r="AX340" s="229"/>
      <c r="AY340" s="229"/>
      <c r="AZ340" s="229"/>
      <c r="BA340" s="229"/>
      <c r="BB340" s="229"/>
      <c r="BC340" s="229"/>
      <c r="BD340" s="229"/>
      <c r="BE340" s="229"/>
      <c r="BF340" s="229"/>
    </row>
    <row r="341" spans="1:60" s="131" customFormat="1" ht="18.75" customHeight="1">
      <c r="A341" s="229"/>
      <c r="B341" s="229"/>
      <c r="C341" s="229"/>
      <c r="D341" s="229"/>
      <c r="E341" s="229"/>
      <c r="F341" s="229"/>
      <c r="G341" s="229"/>
      <c r="H341" s="229"/>
      <c r="I341" s="229"/>
      <c r="J341" s="229"/>
      <c r="K341" s="229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  <c r="AA341" s="229"/>
      <c r="AB341" s="229"/>
      <c r="AC341" s="229"/>
      <c r="AD341" s="229"/>
      <c r="AE341" s="238"/>
      <c r="AF341" s="229"/>
      <c r="AG341" s="229"/>
      <c r="AH341" s="229"/>
      <c r="AI341" s="229"/>
      <c r="AJ341" s="229"/>
      <c r="AK341" s="229"/>
      <c r="AL341" s="229"/>
      <c r="AM341" s="229"/>
      <c r="AN341" s="229"/>
      <c r="AO341" s="229"/>
      <c r="AP341" s="229"/>
      <c r="AQ341" s="229"/>
      <c r="AR341" s="229"/>
      <c r="AS341" s="229"/>
      <c r="AT341" s="229"/>
      <c r="AU341" s="229"/>
      <c r="AV341" s="229"/>
      <c r="AW341" s="229"/>
      <c r="AX341" s="229"/>
      <c r="AY341" s="229"/>
      <c r="AZ341" s="229"/>
      <c r="BA341" s="229"/>
      <c r="BB341" s="229"/>
      <c r="BC341" s="229"/>
      <c r="BD341" s="229"/>
      <c r="BE341" s="229"/>
      <c r="BF341" s="229"/>
    </row>
    <row r="342" spans="1:60" s="58" customFormat="1" ht="18.75" customHeight="1">
      <c r="C342" s="238"/>
      <c r="D342" s="238"/>
      <c r="E342" s="229" t="s">
        <v>536</v>
      </c>
      <c r="F342" s="409" t="e">
        <f>AH232</f>
        <v>#DIV/0!</v>
      </c>
      <c r="G342" s="409"/>
      <c r="H342" s="409"/>
      <c r="I342" s="238" t="s">
        <v>556</v>
      </c>
      <c r="J342" s="238"/>
      <c r="K342" s="391" t="s">
        <v>614</v>
      </c>
      <c r="L342" s="391"/>
      <c r="M342" s="409" t="e">
        <f>AH233</f>
        <v>#DIV/0!</v>
      </c>
      <c r="N342" s="409"/>
      <c r="O342" s="409"/>
      <c r="P342" s="238" t="s">
        <v>556</v>
      </c>
      <c r="Q342" s="238"/>
      <c r="R342" s="391" t="s">
        <v>152</v>
      </c>
      <c r="S342" s="391"/>
      <c r="T342" s="409">
        <f>AH234</f>
        <v>0</v>
      </c>
      <c r="U342" s="409"/>
      <c r="V342" s="409"/>
      <c r="W342" s="238" t="s">
        <v>556</v>
      </c>
      <c r="X342" s="238"/>
      <c r="Y342" s="391" t="s">
        <v>706</v>
      </c>
      <c r="Z342" s="391"/>
      <c r="AA342" s="409" t="e">
        <f>AH235</f>
        <v>#DIV/0!</v>
      </c>
      <c r="AB342" s="409"/>
      <c r="AC342" s="409"/>
      <c r="AD342" s="238" t="s">
        <v>707</v>
      </c>
      <c r="AE342" s="238"/>
      <c r="AF342" s="391" t="s">
        <v>152</v>
      </c>
      <c r="AG342" s="391"/>
      <c r="AH342" s="409" t="e">
        <f>AH236</f>
        <v>#DIV/0!</v>
      </c>
      <c r="AI342" s="409"/>
      <c r="AJ342" s="409"/>
      <c r="AK342" s="238" t="s">
        <v>120</v>
      </c>
      <c r="AL342" s="238"/>
      <c r="AM342" s="391" t="s">
        <v>152</v>
      </c>
      <c r="AN342" s="391"/>
      <c r="AO342" s="409">
        <f>AH237</f>
        <v>0</v>
      </c>
      <c r="AP342" s="409"/>
      <c r="AQ342" s="409"/>
      <c r="AR342" s="238" t="s">
        <v>556</v>
      </c>
      <c r="AS342" s="238"/>
      <c r="AT342" s="238"/>
      <c r="AU342" s="238"/>
      <c r="AV342" s="179"/>
      <c r="AW342" s="179"/>
      <c r="AX342" s="179"/>
      <c r="AY342" s="238"/>
      <c r="AZ342" s="238"/>
      <c r="BA342" s="238"/>
      <c r="BB342" s="238"/>
      <c r="BC342" s="238"/>
      <c r="BD342" s="238"/>
      <c r="BE342" s="238"/>
      <c r="BF342" s="238"/>
      <c r="BG342" s="238"/>
      <c r="BH342" s="238"/>
    </row>
    <row r="343" spans="1:60" s="58" customFormat="1" ht="18.75" customHeight="1">
      <c r="C343" s="238"/>
      <c r="D343" s="238"/>
      <c r="E343" s="229"/>
      <c r="F343" s="391" t="s">
        <v>152</v>
      </c>
      <c r="G343" s="391"/>
      <c r="H343" s="409" t="e">
        <f>AH238</f>
        <v>#DIV/0!</v>
      </c>
      <c r="I343" s="409"/>
      <c r="J343" s="409"/>
      <c r="K343" s="238" t="s">
        <v>120</v>
      </c>
      <c r="L343" s="238"/>
      <c r="M343" s="391" t="s">
        <v>706</v>
      </c>
      <c r="N343" s="391"/>
      <c r="O343" s="409">
        <f>AH239</f>
        <v>0</v>
      </c>
      <c r="P343" s="409"/>
      <c r="Q343" s="409"/>
      <c r="R343" s="238" t="s">
        <v>120</v>
      </c>
      <c r="S343" s="238"/>
      <c r="T343" s="230"/>
      <c r="U343" s="230"/>
      <c r="V343" s="230"/>
      <c r="W343" s="238"/>
      <c r="X343" s="238"/>
      <c r="Y343" s="229"/>
      <c r="Z343" s="229"/>
      <c r="AA343" s="230"/>
      <c r="AB343" s="230"/>
      <c r="AC343" s="230"/>
      <c r="AD343" s="238"/>
      <c r="AE343" s="238"/>
      <c r="AF343" s="229"/>
      <c r="AG343" s="229"/>
      <c r="AH343" s="230"/>
      <c r="AI343" s="230"/>
      <c r="AJ343" s="230"/>
      <c r="AK343" s="238"/>
      <c r="AL343" s="238"/>
      <c r="AM343" s="229"/>
      <c r="AN343" s="229"/>
      <c r="AO343" s="230"/>
      <c r="AP343" s="230"/>
      <c r="AQ343" s="230"/>
      <c r="AR343" s="238"/>
      <c r="AS343" s="238"/>
      <c r="AT343" s="238"/>
      <c r="AU343" s="238"/>
      <c r="AV343" s="179"/>
      <c r="AW343" s="179"/>
      <c r="AX343" s="179"/>
      <c r="AY343" s="238"/>
      <c r="AZ343" s="238"/>
      <c r="BA343" s="238"/>
      <c r="BB343" s="238"/>
      <c r="BC343" s="238"/>
      <c r="BD343" s="238"/>
      <c r="BE343" s="238"/>
      <c r="BF343" s="238"/>
      <c r="BG343" s="238"/>
      <c r="BH343" s="238"/>
    </row>
    <row r="344" spans="1:60" s="58" customFormat="1" ht="18.75" customHeight="1">
      <c r="C344" s="238"/>
      <c r="D344" s="238"/>
      <c r="E344" s="229" t="s">
        <v>536</v>
      </c>
      <c r="F344" s="409" t="e">
        <f>AH240</f>
        <v>#DIV/0!</v>
      </c>
      <c r="G344" s="409"/>
      <c r="H344" s="409"/>
      <c r="I344" s="238" t="s">
        <v>590</v>
      </c>
      <c r="J344" s="238"/>
      <c r="K344" s="238"/>
      <c r="L344" s="238"/>
      <c r="M344" s="134"/>
      <c r="N344" s="134"/>
      <c r="O344" s="134"/>
      <c r="P344" s="134"/>
      <c r="Q344" s="238"/>
      <c r="R344" s="238"/>
      <c r="S344" s="238"/>
      <c r="T344" s="238"/>
      <c r="U344" s="238"/>
      <c r="V344" s="238"/>
      <c r="W344" s="238"/>
      <c r="X344" s="238"/>
      <c r="Y344" s="238"/>
      <c r="Z344" s="238"/>
      <c r="AA344" s="238"/>
      <c r="AB344" s="238"/>
      <c r="AC344" s="238"/>
      <c r="AD344" s="238"/>
      <c r="AE344" s="238"/>
      <c r="AF344" s="238"/>
      <c r="AG344" s="229"/>
      <c r="AH344" s="238"/>
      <c r="AI344" s="238"/>
      <c r="AJ344" s="238"/>
      <c r="AK344" s="238"/>
      <c r="AL344" s="238"/>
      <c r="AM344" s="238"/>
      <c r="AN344" s="238"/>
      <c r="AO344" s="238"/>
      <c r="AP344" s="238"/>
      <c r="AQ344" s="238"/>
      <c r="AR344" s="238"/>
      <c r="AS344" s="238"/>
      <c r="AT344" s="238"/>
      <c r="AU344" s="238"/>
      <c r="AV344" s="238"/>
      <c r="AW344" s="238"/>
      <c r="AX344" s="238"/>
      <c r="AY344" s="238"/>
      <c r="AZ344" s="238"/>
      <c r="BA344" s="238"/>
      <c r="BB344" s="238"/>
      <c r="BC344" s="238"/>
      <c r="BD344" s="238"/>
      <c r="BE344" s="238"/>
      <c r="BF344" s="238"/>
      <c r="BG344" s="238"/>
      <c r="BH344" s="238"/>
    </row>
    <row r="345" spans="1:60" s="58" customFormat="1" ht="18.75" customHeight="1">
      <c r="C345" s="238"/>
      <c r="D345" s="238"/>
      <c r="E345" s="238"/>
      <c r="F345" s="130"/>
      <c r="G345" s="130"/>
      <c r="H345" s="130"/>
      <c r="I345" s="238"/>
      <c r="J345" s="238"/>
      <c r="K345" s="229"/>
      <c r="L345" s="229"/>
      <c r="M345" s="232"/>
      <c r="N345" s="232"/>
      <c r="O345" s="232"/>
      <c r="P345" s="232"/>
      <c r="Q345" s="238"/>
      <c r="R345" s="238"/>
      <c r="S345" s="238"/>
      <c r="T345" s="238"/>
      <c r="U345" s="238"/>
      <c r="V345" s="238"/>
      <c r="W345" s="238"/>
      <c r="X345" s="238"/>
      <c r="Y345" s="238"/>
      <c r="Z345" s="238"/>
      <c r="AA345" s="238"/>
      <c r="AB345" s="238"/>
      <c r="AC345" s="238"/>
      <c r="AD345" s="238"/>
      <c r="AE345" s="238"/>
      <c r="AF345" s="238"/>
      <c r="AG345" s="238"/>
      <c r="AH345" s="238"/>
      <c r="AI345" s="238"/>
      <c r="AJ345" s="238"/>
      <c r="AK345" s="238"/>
      <c r="AL345" s="238"/>
      <c r="AM345" s="238"/>
      <c r="AN345" s="238"/>
      <c r="AO345" s="238"/>
      <c r="AP345" s="238"/>
      <c r="AQ345" s="238"/>
      <c r="AR345" s="238"/>
      <c r="AS345" s="238"/>
      <c r="AT345" s="238"/>
      <c r="AU345" s="238"/>
      <c r="AV345" s="238"/>
      <c r="AW345" s="238"/>
      <c r="AX345" s="238"/>
      <c r="AY345" s="238"/>
      <c r="AZ345" s="238"/>
      <c r="BA345" s="238"/>
      <c r="BB345" s="238"/>
      <c r="BC345" s="238"/>
      <c r="BD345" s="238"/>
      <c r="BE345" s="238"/>
      <c r="BF345" s="238"/>
      <c r="BG345" s="238"/>
      <c r="BH345" s="238"/>
    </row>
    <row r="346" spans="1:60" s="131" customFormat="1" ht="18.75" customHeight="1">
      <c r="A346" s="229"/>
      <c r="B346" s="229"/>
      <c r="C346" s="229"/>
      <c r="D346" s="133" t="s">
        <v>708</v>
      </c>
      <c r="E346" s="229" t="s">
        <v>121</v>
      </c>
      <c r="F346" s="409" t="e">
        <f>F344</f>
        <v>#DIV/0!</v>
      </c>
      <c r="G346" s="409"/>
      <c r="H346" s="409"/>
      <c r="I346" s="238" t="s">
        <v>120</v>
      </c>
      <c r="J346" s="134"/>
      <c r="K346" s="134"/>
      <c r="L346" s="134"/>
      <c r="M346" s="134"/>
      <c r="N346" s="229"/>
      <c r="O346" s="229"/>
      <c r="P346" s="238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  <c r="AA346" s="229"/>
      <c r="AB346" s="229"/>
      <c r="AC346" s="229"/>
      <c r="AD346" s="229"/>
      <c r="AE346" s="238"/>
      <c r="AF346" s="229"/>
      <c r="AG346" s="229"/>
      <c r="AH346" s="229"/>
      <c r="AI346" s="229"/>
      <c r="AJ346" s="229"/>
      <c r="AK346" s="229"/>
      <c r="AL346" s="229"/>
      <c r="AM346" s="229"/>
      <c r="AN346" s="229"/>
      <c r="AO346" s="229"/>
      <c r="AP346" s="229"/>
      <c r="AQ346" s="229"/>
      <c r="AR346" s="229"/>
      <c r="AS346" s="229"/>
      <c r="AT346" s="229"/>
      <c r="AU346" s="229"/>
      <c r="AV346" s="229"/>
      <c r="AW346" s="229"/>
      <c r="AX346" s="229"/>
      <c r="AY346" s="229"/>
      <c r="AZ346" s="229"/>
      <c r="BA346" s="229"/>
      <c r="BB346" s="229"/>
      <c r="BC346" s="229"/>
      <c r="BD346" s="229"/>
      <c r="BE346" s="229"/>
      <c r="BF346" s="229"/>
    </row>
    <row r="347" spans="1:60" s="238" customFormat="1" ht="18.75" customHeight="1"/>
    <row r="348" spans="1:60" ht="18.75" customHeight="1">
      <c r="A348" s="57" t="s">
        <v>709</v>
      </c>
      <c r="B348" s="243"/>
      <c r="C348" s="243"/>
      <c r="D348" s="243"/>
      <c r="E348" s="243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  <c r="X348" s="243"/>
      <c r="Y348" s="243"/>
      <c r="Z348" s="243"/>
      <c r="AA348" s="243"/>
      <c r="AB348" s="243"/>
      <c r="AC348" s="243"/>
      <c r="AD348" s="243"/>
      <c r="AE348" s="243"/>
      <c r="AF348" s="243"/>
      <c r="AG348" s="243"/>
      <c r="AH348" s="243"/>
      <c r="AI348" s="243"/>
      <c r="AJ348" s="243"/>
      <c r="AK348" s="243"/>
      <c r="AL348" s="243"/>
      <c r="AM348" s="243"/>
      <c r="AN348" s="243"/>
      <c r="AO348" s="243"/>
      <c r="AP348" s="243"/>
      <c r="AQ348" s="243"/>
      <c r="AR348" s="243"/>
      <c r="AS348" s="243"/>
      <c r="AT348" s="243"/>
      <c r="AU348" s="243"/>
      <c r="AV348" s="243"/>
      <c r="AW348" s="243"/>
      <c r="AX348" s="243"/>
      <c r="AY348" s="243"/>
      <c r="AZ348" s="243"/>
      <c r="BA348" s="243"/>
      <c r="BB348" s="243"/>
      <c r="BC348" s="243"/>
      <c r="BD348" s="243"/>
      <c r="BE348" s="243"/>
      <c r="BF348" s="243"/>
    </row>
    <row r="349" spans="1:60" ht="18.75" customHeight="1">
      <c r="A349" s="243"/>
      <c r="B349" s="243"/>
      <c r="C349" s="243"/>
      <c r="D349" s="243"/>
      <c r="E349" s="243"/>
      <c r="F349" s="243"/>
      <c r="G349" s="243"/>
      <c r="H349" s="243"/>
      <c r="I349" s="243"/>
      <c r="J349" s="243"/>
      <c r="K349" s="243"/>
      <c r="L349" s="454" t="e">
        <f>AH240</f>
        <v>#DIV/0!</v>
      </c>
      <c r="M349" s="454"/>
      <c r="N349" s="454"/>
      <c r="O349" s="454"/>
      <c r="P349" s="454"/>
      <c r="Q349" s="454"/>
      <c r="R349" s="454"/>
      <c r="S349" s="454"/>
      <c r="T349" s="454"/>
      <c r="U349" s="454"/>
      <c r="V349" s="454"/>
      <c r="W349" s="454"/>
      <c r="X349" s="454"/>
      <c r="Y349" s="454"/>
      <c r="Z349" s="454"/>
      <c r="AA349" s="454"/>
      <c r="AB349" s="454"/>
      <c r="AC349" s="454"/>
      <c r="AD349" s="454"/>
      <c r="AE349" s="454"/>
      <c r="AF349" s="454"/>
      <c r="AG349" s="454"/>
      <c r="AH349" s="454"/>
      <c r="AI349" s="454"/>
      <c r="AJ349" s="454"/>
      <c r="AK349" s="454"/>
      <c r="AL349" s="391" t="s">
        <v>154</v>
      </c>
      <c r="AM349" s="393" t="e">
        <f>AP240</f>
        <v>#DIV/0!</v>
      </c>
      <c r="AN349" s="393"/>
      <c r="AO349" s="393"/>
      <c r="AP349" s="393"/>
      <c r="AQ349" s="393"/>
      <c r="AR349" s="393"/>
    </row>
    <row r="350" spans="1:60" ht="18.75" customHeight="1">
      <c r="A350" s="243"/>
      <c r="B350" s="243"/>
      <c r="C350" s="243"/>
      <c r="D350" s="243"/>
      <c r="E350" s="243"/>
      <c r="F350" s="243"/>
      <c r="G350" s="243"/>
      <c r="H350" s="243"/>
      <c r="I350" s="243"/>
      <c r="J350" s="243"/>
      <c r="K350" s="243"/>
      <c r="L350" s="243"/>
      <c r="M350" s="411" t="e">
        <f>AH232</f>
        <v>#DIV/0!</v>
      </c>
      <c r="N350" s="411"/>
      <c r="O350" s="411"/>
      <c r="P350" s="205"/>
      <c r="Q350" s="410" t="s">
        <v>155</v>
      </c>
      <c r="R350" s="411" t="e">
        <f>AH233</f>
        <v>#DIV/0!</v>
      </c>
      <c r="S350" s="411"/>
      <c r="T350" s="411"/>
      <c r="U350" s="205"/>
      <c r="V350" s="410" t="s">
        <v>155</v>
      </c>
      <c r="W350" s="411">
        <f>AH234</f>
        <v>0</v>
      </c>
      <c r="X350" s="411"/>
      <c r="Y350" s="411"/>
      <c r="Z350" s="205"/>
      <c r="AA350" s="410" t="s">
        <v>155</v>
      </c>
      <c r="AB350" s="411" t="e">
        <f>AH235</f>
        <v>#DIV/0!</v>
      </c>
      <c r="AC350" s="411"/>
      <c r="AD350" s="411"/>
      <c r="AE350" s="205"/>
      <c r="AF350" s="410" t="s">
        <v>155</v>
      </c>
      <c r="AG350" s="411" t="e">
        <f>AH236</f>
        <v>#DIV/0!</v>
      </c>
      <c r="AH350" s="411"/>
      <c r="AI350" s="411"/>
      <c r="AJ350" s="205"/>
      <c r="AK350" s="134"/>
      <c r="AL350" s="391"/>
      <c r="AM350" s="393"/>
      <c r="AN350" s="393"/>
      <c r="AO350" s="393"/>
      <c r="AP350" s="393"/>
      <c r="AQ350" s="393"/>
      <c r="AR350" s="393"/>
    </row>
    <row r="351" spans="1:60" ht="18.75" customHeight="1">
      <c r="A351" s="243"/>
      <c r="B351" s="243"/>
      <c r="C351" s="243"/>
      <c r="D351" s="243"/>
      <c r="E351" s="243"/>
      <c r="F351" s="243"/>
      <c r="G351" s="243"/>
      <c r="H351" s="243"/>
      <c r="I351" s="243"/>
      <c r="J351" s="243"/>
      <c r="K351" s="243"/>
      <c r="L351" s="243"/>
      <c r="M351" s="412" t="str">
        <f>AP232</f>
        <v>∞</v>
      </c>
      <c r="N351" s="412"/>
      <c r="O351" s="412"/>
      <c r="P351" s="412"/>
      <c r="Q351" s="410"/>
      <c r="R351" s="412">
        <f>AP233</f>
        <v>50</v>
      </c>
      <c r="S351" s="412"/>
      <c r="T351" s="412"/>
      <c r="U351" s="412"/>
      <c r="V351" s="410"/>
      <c r="W351" s="412" t="str">
        <f>AP234</f>
        <v>∞</v>
      </c>
      <c r="X351" s="412"/>
      <c r="Y351" s="412"/>
      <c r="Z351" s="412"/>
      <c r="AA351" s="410"/>
      <c r="AB351" s="412">
        <f>AP235</f>
        <v>4</v>
      </c>
      <c r="AC351" s="412"/>
      <c r="AD351" s="412"/>
      <c r="AE351" s="412"/>
      <c r="AF351" s="410"/>
      <c r="AG351" s="412">
        <f>AP236</f>
        <v>50</v>
      </c>
      <c r="AH351" s="412"/>
      <c r="AI351" s="412"/>
      <c r="AJ351" s="412"/>
      <c r="AK351" s="134"/>
    </row>
    <row r="352" spans="1:60" ht="18.75" customHeight="1">
      <c r="A352" s="243"/>
      <c r="B352" s="243"/>
      <c r="C352" s="243"/>
      <c r="D352" s="243"/>
      <c r="E352" s="243"/>
      <c r="F352" s="243"/>
      <c r="G352" s="243"/>
      <c r="H352" s="243"/>
      <c r="I352" s="243"/>
      <c r="J352" s="243"/>
      <c r="K352" s="243"/>
      <c r="L352" s="243"/>
      <c r="M352" s="410" t="s">
        <v>155</v>
      </c>
      <c r="N352" s="411">
        <f>AH237</f>
        <v>0</v>
      </c>
      <c r="O352" s="411"/>
      <c r="P352" s="411"/>
      <c r="Q352" s="205"/>
      <c r="R352" s="410" t="s">
        <v>155</v>
      </c>
      <c r="S352" s="411" t="e">
        <f>AH238</f>
        <v>#DIV/0!</v>
      </c>
      <c r="T352" s="411"/>
      <c r="U352" s="411"/>
      <c r="V352" s="205"/>
      <c r="W352" s="410" t="s">
        <v>155</v>
      </c>
      <c r="X352" s="411">
        <f>AH239</f>
        <v>0</v>
      </c>
      <c r="Y352" s="411"/>
      <c r="Z352" s="411"/>
      <c r="AA352" s="205"/>
    </row>
    <row r="353" spans="1:27" ht="18.75" customHeight="1">
      <c r="A353" s="243"/>
      <c r="B353" s="243"/>
      <c r="C353" s="243"/>
      <c r="D353" s="243"/>
      <c r="E353" s="243"/>
      <c r="F353" s="243"/>
      <c r="G353" s="243"/>
      <c r="H353" s="243"/>
      <c r="I353" s="243"/>
      <c r="J353" s="243"/>
      <c r="K353" s="243"/>
      <c r="L353" s="243"/>
      <c r="M353" s="410"/>
      <c r="N353" s="412" t="str">
        <f>AP237</f>
        <v>∞</v>
      </c>
      <c r="O353" s="412"/>
      <c r="P353" s="412"/>
      <c r="Q353" s="412"/>
      <c r="R353" s="410"/>
      <c r="S353" s="412" t="str">
        <f>AP238</f>
        <v>∞</v>
      </c>
      <c r="T353" s="412"/>
      <c r="U353" s="412"/>
      <c r="V353" s="412"/>
      <c r="W353" s="410"/>
      <c r="X353" s="412" t="str">
        <f>AP239</f>
        <v>∞</v>
      </c>
      <c r="Y353" s="412"/>
      <c r="Z353" s="412"/>
      <c r="AA353" s="412"/>
    </row>
    <row r="354" spans="1:27" ht="18.75" customHeight="1">
      <c r="A354" s="243"/>
      <c r="B354" s="243"/>
      <c r="C354" s="243"/>
      <c r="D354" s="243"/>
      <c r="E354" s="243"/>
      <c r="F354" s="243"/>
      <c r="G354" s="243"/>
      <c r="H354" s="243"/>
      <c r="I354" s="243"/>
      <c r="J354" s="243"/>
      <c r="K354" s="243"/>
      <c r="L354" s="243"/>
      <c r="M354" s="243"/>
      <c r="N354" s="243"/>
    </row>
  </sheetData>
  <mergeCells count="973">
    <mergeCell ref="M352:M353"/>
    <mergeCell ref="N352:P352"/>
    <mergeCell ref="R352:R353"/>
    <mergeCell ref="S352:U352"/>
    <mergeCell ref="W352:W353"/>
    <mergeCell ref="X352:Z352"/>
    <mergeCell ref="N353:Q353"/>
    <mergeCell ref="S353:V353"/>
    <mergeCell ref="X353:AA353"/>
    <mergeCell ref="F344:H344"/>
    <mergeCell ref="F346:H346"/>
    <mergeCell ref="L349:AK349"/>
    <mergeCell ref="AL349:AL350"/>
    <mergeCell ref="AM349:AR350"/>
    <mergeCell ref="M350:O350"/>
    <mergeCell ref="Q350:Q351"/>
    <mergeCell ref="R350:T350"/>
    <mergeCell ref="V350:V351"/>
    <mergeCell ref="W350:Y350"/>
    <mergeCell ref="AA350:AA351"/>
    <mergeCell ref="AB350:AD350"/>
    <mergeCell ref="AF350:AF351"/>
    <mergeCell ref="AG350:AI350"/>
    <mergeCell ref="M351:P351"/>
    <mergeCell ref="R351:U351"/>
    <mergeCell ref="W351:Z351"/>
    <mergeCell ref="AB351:AE351"/>
    <mergeCell ref="AG351:AJ351"/>
    <mergeCell ref="Y342:Z342"/>
    <mergeCell ref="AA342:AC342"/>
    <mergeCell ref="AF342:AG342"/>
    <mergeCell ref="AH342:AJ342"/>
    <mergeCell ref="AM342:AN342"/>
    <mergeCell ref="AO342:AQ342"/>
    <mergeCell ref="F343:G343"/>
    <mergeCell ref="H343:J343"/>
    <mergeCell ref="M343:N343"/>
    <mergeCell ref="O343:Q343"/>
    <mergeCell ref="C334:H335"/>
    <mergeCell ref="O334:P335"/>
    <mergeCell ref="L336:M336"/>
    <mergeCell ref="O336:Q336"/>
    <mergeCell ref="R336:S336"/>
    <mergeCell ref="V336:X336"/>
    <mergeCell ref="C337:G338"/>
    <mergeCell ref="F342:H342"/>
    <mergeCell ref="K342:L342"/>
    <mergeCell ref="M342:O342"/>
    <mergeCell ref="R342:S342"/>
    <mergeCell ref="T342:V342"/>
    <mergeCell ref="Q330:S330"/>
    <mergeCell ref="T330:V330"/>
    <mergeCell ref="J331:L332"/>
    <mergeCell ref="M331:M332"/>
    <mergeCell ref="N331:O331"/>
    <mergeCell ref="R331:R332"/>
    <mergeCell ref="S331:U332"/>
    <mergeCell ref="V331:W332"/>
    <mergeCell ref="I333:P333"/>
    <mergeCell ref="C322:H323"/>
    <mergeCell ref="N322:O323"/>
    <mergeCell ref="L324:M324"/>
    <mergeCell ref="O324:Q324"/>
    <mergeCell ref="R324:S324"/>
    <mergeCell ref="V324:X324"/>
    <mergeCell ref="Y324:Z324"/>
    <mergeCell ref="H329:L329"/>
    <mergeCell ref="M329:N329"/>
    <mergeCell ref="AD318:AF318"/>
    <mergeCell ref="AH318:AK318"/>
    <mergeCell ref="AL318:AN318"/>
    <mergeCell ref="AS318:AT318"/>
    <mergeCell ref="N319:O319"/>
    <mergeCell ref="Q319:AB319"/>
    <mergeCell ref="AD319:AT319"/>
    <mergeCell ref="N320:P320"/>
    <mergeCell ref="I321:P321"/>
    <mergeCell ref="C318:I319"/>
    <mergeCell ref="J318:L319"/>
    <mergeCell ref="M318:M319"/>
    <mergeCell ref="N318:O318"/>
    <mergeCell ref="P318:P319"/>
    <mergeCell ref="Q318:S318"/>
    <mergeCell ref="U318:X318"/>
    <mergeCell ref="AA318:AB318"/>
    <mergeCell ref="AC318:AC319"/>
    <mergeCell ref="I308:P308"/>
    <mergeCell ref="C309:H310"/>
    <mergeCell ref="R309:U310"/>
    <mergeCell ref="V309:X310"/>
    <mergeCell ref="L311:O311"/>
    <mergeCell ref="T311:W311"/>
    <mergeCell ref="Z311:AB311"/>
    <mergeCell ref="C312:G313"/>
    <mergeCell ref="I317:M317"/>
    <mergeCell ref="N317:O317"/>
    <mergeCell ref="L298:O298"/>
    <mergeCell ref="AA298:AC298"/>
    <mergeCell ref="C299:G300"/>
    <mergeCell ref="H305:L305"/>
    <mergeCell ref="M305:N305"/>
    <mergeCell ref="C306:I307"/>
    <mergeCell ref="J306:L307"/>
    <mergeCell ref="M306:M307"/>
    <mergeCell ref="N306:O306"/>
    <mergeCell ref="R306:R307"/>
    <mergeCell ref="S306:U307"/>
    <mergeCell ref="V306:W307"/>
    <mergeCell ref="H292:J292"/>
    <mergeCell ref="C293:I294"/>
    <mergeCell ref="J293:W294"/>
    <mergeCell ref="X293:AB293"/>
    <mergeCell ref="AC293:AC294"/>
    <mergeCell ref="AD293:AI294"/>
    <mergeCell ref="I295:P295"/>
    <mergeCell ref="C296:H297"/>
    <mergeCell ref="T296:W297"/>
    <mergeCell ref="X296:Z297"/>
    <mergeCell ref="X283:Z284"/>
    <mergeCell ref="AA283:AB284"/>
    <mergeCell ref="O284:P284"/>
    <mergeCell ref="R284:V284"/>
    <mergeCell ref="I285:P285"/>
    <mergeCell ref="C286:H287"/>
    <mergeCell ref="W286:AA287"/>
    <mergeCell ref="L288:P288"/>
    <mergeCell ref="R288:T288"/>
    <mergeCell ref="U288:V288"/>
    <mergeCell ref="Y288:AA288"/>
    <mergeCell ref="AB288:AC288"/>
    <mergeCell ref="Q282:S282"/>
    <mergeCell ref="T282:U282"/>
    <mergeCell ref="K283:M284"/>
    <mergeCell ref="N283:N284"/>
    <mergeCell ref="O283:P283"/>
    <mergeCell ref="Q283:Q284"/>
    <mergeCell ref="R283:T283"/>
    <mergeCell ref="U283:V283"/>
    <mergeCell ref="W283:W284"/>
    <mergeCell ref="I271:P271"/>
    <mergeCell ref="C272:H273"/>
    <mergeCell ref="Q272:T273"/>
    <mergeCell ref="U272:W273"/>
    <mergeCell ref="L274:O274"/>
    <mergeCell ref="T274:W274"/>
    <mergeCell ref="Z274:AB274"/>
    <mergeCell ref="C275:G276"/>
    <mergeCell ref="I281:M281"/>
    <mergeCell ref="N281:O281"/>
    <mergeCell ref="L261:O261"/>
    <mergeCell ref="AA261:AC261"/>
    <mergeCell ref="C262:G263"/>
    <mergeCell ref="H268:L268"/>
    <mergeCell ref="M268:N268"/>
    <mergeCell ref="C269:I270"/>
    <mergeCell ref="J269:L270"/>
    <mergeCell ref="M269:M270"/>
    <mergeCell ref="N269:O269"/>
    <mergeCell ref="R269:R270"/>
    <mergeCell ref="S269:U270"/>
    <mergeCell ref="V269:W270"/>
    <mergeCell ref="H255:J255"/>
    <mergeCell ref="C256:I257"/>
    <mergeCell ref="J256:W257"/>
    <mergeCell ref="X256:AB256"/>
    <mergeCell ref="AC256:AC257"/>
    <mergeCell ref="AD256:AI257"/>
    <mergeCell ref="I258:P258"/>
    <mergeCell ref="C259:H260"/>
    <mergeCell ref="T259:W260"/>
    <mergeCell ref="X259:Z260"/>
    <mergeCell ref="I248:P248"/>
    <mergeCell ref="C249:H250"/>
    <mergeCell ref="U249:Z250"/>
    <mergeCell ref="L251:P251"/>
    <mergeCell ref="R251:T251"/>
    <mergeCell ref="U251:V251"/>
    <mergeCell ref="Y251:AA251"/>
    <mergeCell ref="AB251:AC251"/>
    <mergeCell ref="L252:Q252"/>
    <mergeCell ref="AP240:AS240"/>
    <mergeCell ref="I245:M245"/>
    <mergeCell ref="N245:O245"/>
    <mergeCell ref="C246:I246"/>
    <mergeCell ref="J246:L247"/>
    <mergeCell ref="M246:M247"/>
    <mergeCell ref="N246:O246"/>
    <mergeCell ref="P246:P247"/>
    <mergeCell ref="Q246:R246"/>
    <mergeCell ref="U246:U247"/>
    <mergeCell ref="V246:X247"/>
    <mergeCell ref="Y246:Z247"/>
    <mergeCell ref="N247:O247"/>
    <mergeCell ref="Q247:T247"/>
    <mergeCell ref="B240:C240"/>
    <mergeCell ref="D240:G240"/>
    <mergeCell ref="H240:L240"/>
    <mergeCell ref="M240:N240"/>
    <mergeCell ref="O240:U240"/>
    <mergeCell ref="V240:Z240"/>
    <mergeCell ref="AA240:AG240"/>
    <mergeCell ref="AH240:AL240"/>
    <mergeCell ref="AM240:AO240"/>
    <mergeCell ref="AA236:AD236"/>
    <mergeCell ref="AE236:AG236"/>
    <mergeCell ref="AM238:AO238"/>
    <mergeCell ref="AP238:AS238"/>
    <mergeCell ref="B239:C239"/>
    <mergeCell ref="D239:G239"/>
    <mergeCell ref="H239:L239"/>
    <mergeCell ref="M239:N239"/>
    <mergeCell ref="O239:R239"/>
    <mergeCell ref="S239:U239"/>
    <mergeCell ref="V239:Z239"/>
    <mergeCell ref="AA239:AG239"/>
    <mergeCell ref="AH239:AL239"/>
    <mergeCell ref="AM239:AO239"/>
    <mergeCell ref="AP239:AS239"/>
    <mergeCell ref="B238:C238"/>
    <mergeCell ref="D238:G238"/>
    <mergeCell ref="H238:L238"/>
    <mergeCell ref="M238:N238"/>
    <mergeCell ref="O238:R238"/>
    <mergeCell ref="S238:U238"/>
    <mergeCell ref="V238:Z238"/>
    <mergeCell ref="AA238:AG238"/>
    <mergeCell ref="AH238:AL238"/>
    <mergeCell ref="AA234:AD234"/>
    <mergeCell ref="AE234:AG234"/>
    <mergeCell ref="AH236:AL236"/>
    <mergeCell ref="AM236:AO236"/>
    <mergeCell ref="AP236:AS236"/>
    <mergeCell ref="B237:C237"/>
    <mergeCell ref="D237:G237"/>
    <mergeCell ref="H237:L237"/>
    <mergeCell ref="M237:N237"/>
    <mergeCell ref="O237:R237"/>
    <mergeCell ref="S237:U237"/>
    <mergeCell ref="V237:Z237"/>
    <mergeCell ref="AA237:AD237"/>
    <mergeCell ref="AE237:AG237"/>
    <mergeCell ref="AH237:AL237"/>
    <mergeCell ref="AM237:AO237"/>
    <mergeCell ref="AP237:AS237"/>
    <mergeCell ref="B236:C236"/>
    <mergeCell ref="D236:G236"/>
    <mergeCell ref="H236:L236"/>
    <mergeCell ref="M236:N236"/>
    <mergeCell ref="O236:R236"/>
    <mergeCell ref="S236:U236"/>
    <mergeCell ref="V236:Z236"/>
    <mergeCell ref="V232:Z232"/>
    <mergeCell ref="AA232:AG232"/>
    <mergeCell ref="AH232:AL232"/>
    <mergeCell ref="AH234:AL234"/>
    <mergeCell ref="AM234:AO234"/>
    <mergeCell ref="AP234:AS234"/>
    <mergeCell ref="B235:C235"/>
    <mergeCell ref="D235:G235"/>
    <mergeCell ref="H235:L235"/>
    <mergeCell ref="M235:N235"/>
    <mergeCell ref="O235:R235"/>
    <mergeCell ref="S235:U235"/>
    <mergeCell ref="V235:Z235"/>
    <mergeCell ref="AA235:AG235"/>
    <mergeCell ref="AH235:AL235"/>
    <mergeCell ref="AM235:AO235"/>
    <mergeCell ref="AP235:AS235"/>
    <mergeCell ref="B234:C234"/>
    <mergeCell ref="D234:G234"/>
    <mergeCell ref="H234:L234"/>
    <mergeCell ref="M234:N234"/>
    <mergeCell ref="O234:R234"/>
    <mergeCell ref="S234:U234"/>
    <mergeCell ref="V234:Z234"/>
    <mergeCell ref="V231:Z231"/>
    <mergeCell ref="AA231:AG231"/>
    <mergeCell ref="AH231:AO231"/>
    <mergeCell ref="AP231:AS231"/>
    <mergeCell ref="AM232:AO232"/>
    <mergeCell ref="AP232:AS232"/>
    <mergeCell ref="B233:C233"/>
    <mergeCell ref="D233:G233"/>
    <mergeCell ref="H233:L233"/>
    <mergeCell ref="M233:N233"/>
    <mergeCell ref="O233:R233"/>
    <mergeCell ref="S233:U233"/>
    <mergeCell ref="V233:Z233"/>
    <mergeCell ref="AA233:AD233"/>
    <mergeCell ref="AE233:AG233"/>
    <mergeCell ref="AH233:AL233"/>
    <mergeCell ref="AM233:AO233"/>
    <mergeCell ref="AP233:AS233"/>
    <mergeCell ref="B232:C232"/>
    <mergeCell ref="D232:G232"/>
    <mergeCell ref="H232:L232"/>
    <mergeCell ref="M232:N232"/>
    <mergeCell ref="O232:R232"/>
    <mergeCell ref="S232:U232"/>
    <mergeCell ref="V229:Z229"/>
    <mergeCell ref="AA229:AG229"/>
    <mergeCell ref="AH229:AO229"/>
    <mergeCell ref="AP229:AS229"/>
    <mergeCell ref="D230:G230"/>
    <mergeCell ref="H230:N230"/>
    <mergeCell ref="O230:U230"/>
    <mergeCell ref="V230:Z230"/>
    <mergeCell ref="AA230:AG230"/>
    <mergeCell ref="AH230:AO230"/>
    <mergeCell ref="AP230:AS230"/>
    <mergeCell ref="C214:E214"/>
    <mergeCell ref="C215:E215"/>
    <mergeCell ref="C216:E216"/>
    <mergeCell ref="C217:E217"/>
    <mergeCell ref="C218:E218"/>
    <mergeCell ref="B229:C231"/>
    <mergeCell ref="D229:G229"/>
    <mergeCell ref="H229:N229"/>
    <mergeCell ref="O229:U229"/>
    <mergeCell ref="D231:G231"/>
    <mergeCell ref="H231:N231"/>
    <mergeCell ref="O231:U231"/>
    <mergeCell ref="I201:K201"/>
    <mergeCell ref="M201:P201"/>
    <mergeCell ref="R201:U201"/>
    <mergeCell ref="W201:Z201"/>
    <mergeCell ref="C209:E209"/>
    <mergeCell ref="C210:E210"/>
    <mergeCell ref="C211:E211"/>
    <mergeCell ref="C212:E212"/>
    <mergeCell ref="C213:E213"/>
    <mergeCell ref="AM182:AN182"/>
    <mergeCell ref="AO182:AQ182"/>
    <mergeCell ref="F183:G183"/>
    <mergeCell ref="H183:J183"/>
    <mergeCell ref="M183:N183"/>
    <mergeCell ref="O183:Q183"/>
    <mergeCell ref="AM189:AR190"/>
    <mergeCell ref="M190:O190"/>
    <mergeCell ref="Q190:Q191"/>
    <mergeCell ref="R190:T190"/>
    <mergeCell ref="V190:V191"/>
    <mergeCell ref="W190:Y190"/>
    <mergeCell ref="AA190:AA191"/>
    <mergeCell ref="AB190:AD190"/>
    <mergeCell ref="AF190:AF191"/>
    <mergeCell ref="AG190:AI190"/>
    <mergeCell ref="M191:P191"/>
    <mergeCell ref="R191:U191"/>
    <mergeCell ref="W191:Z191"/>
    <mergeCell ref="AB191:AE191"/>
    <mergeCell ref="AG191:AJ191"/>
    <mergeCell ref="F186:H186"/>
    <mergeCell ref="L189:AK189"/>
    <mergeCell ref="AL189:AL190"/>
    <mergeCell ref="J171:L172"/>
    <mergeCell ref="M171:M172"/>
    <mergeCell ref="N171:O171"/>
    <mergeCell ref="R171:R172"/>
    <mergeCell ref="S171:U172"/>
    <mergeCell ref="V171:W172"/>
    <mergeCell ref="C174:H175"/>
    <mergeCell ref="O174:P175"/>
    <mergeCell ref="L176:M176"/>
    <mergeCell ref="O176:Q176"/>
    <mergeCell ref="R176:S176"/>
    <mergeCell ref="V176:X176"/>
    <mergeCell ref="AC161:AF162"/>
    <mergeCell ref="AG161:AI162"/>
    <mergeCell ref="L163:O163"/>
    <mergeCell ref="T163:W163"/>
    <mergeCell ref="Z163:AB163"/>
    <mergeCell ref="H169:L169"/>
    <mergeCell ref="M169:N169"/>
    <mergeCell ref="Q170:S170"/>
    <mergeCell ref="T170:V170"/>
    <mergeCell ref="AD145:AI146"/>
    <mergeCell ref="I147:P147"/>
    <mergeCell ref="C148:H149"/>
    <mergeCell ref="AF148:AI149"/>
    <mergeCell ref="AJ148:AL149"/>
    <mergeCell ref="L150:O150"/>
    <mergeCell ref="AA150:AC150"/>
    <mergeCell ref="R158:R159"/>
    <mergeCell ref="S158:U159"/>
    <mergeCell ref="V158:W159"/>
    <mergeCell ref="C151:G152"/>
    <mergeCell ref="H157:L157"/>
    <mergeCell ref="M157:N157"/>
    <mergeCell ref="C158:I159"/>
    <mergeCell ref="J158:L159"/>
    <mergeCell ref="M158:M159"/>
    <mergeCell ref="N158:O158"/>
    <mergeCell ref="AD99:AI100"/>
    <mergeCell ref="I101:P101"/>
    <mergeCell ref="C102:H103"/>
    <mergeCell ref="AA102:AD103"/>
    <mergeCell ref="AE102:AG103"/>
    <mergeCell ref="AS124:AT124"/>
    <mergeCell ref="N125:O125"/>
    <mergeCell ref="Q125:AB125"/>
    <mergeCell ref="AD125:AT125"/>
    <mergeCell ref="AL124:AN124"/>
    <mergeCell ref="C118:G119"/>
    <mergeCell ref="I123:M123"/>
    <mergeCell ref="N123:O123"/>
    <mergeCell ref="C124:I125"/>
    <mergeCell ref="J124:L125"/>
    <mergeCell ref="M124:M125"/>
    <mergeCell ref="N124:O124"/>
    <mergeCell ref="P124:P125"/>
    <mergeCell ref="Q124:S124"/>
    <mergeCell ref="AH124:AK124"/>
    <mergeCell ref="U124:X124"/>
    <mergeCell ref="AA124:AB124"/>
    <mergeCell ref="AC124:AC125"/>
    <mergeCell ref="AD124:AF124"/>
    <mergeCell ref="AP81:AS81"/>
    <mergeCell ref="I87:M87"/>
    <mergeCell ref="N87:O87"/>
    <mergeCell ref="Q88:S88"/>
    <mergeCell ref="T88:U88"/>
    <mergeCell ref="K89:M90"/>
    <mergeCell ref="N89:N90"/>
    <mergeCell ref="O89:P89"/>
    <mergeCell ref="Q89:Q90"/>
    <mergeCell ref="R89:T89"/>
    <mergeCell ref="U89:V89"/>
    <mergeCell ref="W89:W90"/>
    <mergeCell ref="X89:Z90"/>
    <mergeCell ref="AA89:AB90"/>
    <mergeCell ref="O90:P90"/>
    <mergeCell ref="R90:V90"/>
    <mergeCell ref="B81:C81"/>
    <mergeCell ref="D81:G81"/>
    <mergeCell ref="H81:L81"/>
    <mergeCell ref="M81:N81"/>
    <mergeCell ref="O81:U81"/>
    <mergeCell ref="V81:Z81"/>
    <mergeCell ref="AA81:AG81"/>
    <mergeCell ref="AH81:AL81"/>
    <mergeCell ref="AM81:AO81"/>
    <mergeCell ref="AH79:AL79"/>
    <mergeCell ref="AM79:AO79"/>
    <mergeCell ref="AP79:AS79"/>
    <mergeCell ref="B80:C80"/>
    <mergeCell ref="D80:G80"/>
    <mergeCell ref="H80:L80"/>
    <mergeCell ref="M80:N80"/>
    <mergeCell ref="O80:R80"/>
    <mergeCell ref="S80:U80"/>
    <mergeCell ref="V80:Z80"/>
    <mergeCell ref="AA80:AG80"/>
    <mergeCell ref="AH80:AL80"/>
    <mergeCell ref="AM80:AO80"/>
    <mergeCell ref="AP80:AS80"/>
    <mergeCell ref="B79:C79"/>
    <mergeCell ref="D79:G79"/>
    <mergeCell ref="H79:L79"/>
    <mergeCell ref="M79:N79"/>
    <mergeCell ref="O79:R79"/>
    <mergeCell ref="S79:U79"/>
    <mergeCell ref="V79:Z79"/>
    <mergeCell ref="AA79:AD79"/>
    <mergeCell ref="AE79:AG79"/>
    <mergeCell ref="AH77:AL77"/>
    <mergeCell ref="AM77:AO77"/>
    <mergeCell ref="AP77:AS77"/>
    <mergeCell ref="B78:C78"/>
    <mergeCell ref="D78:G78"/>
    <mergeCell ref="H78:L78"/>
    <mergeCell ref="M78:N78"/>
    <mergeCell ref="O78:R78"/>
    <mergeCell ref="S78:U78"/>
    <mergeCell ref="V78:Z78"/>
    <mergeCell ref="AA78:AD78"/>
    <mergeCell ref="AE78:AG78"/>
    <mergeCell ref="AH78:AL78"/>
    <mergeCell ref="AM78:AO78"/>
    <mergeCell ref="AP78:AS78"/>
    <mergeCell ref="B77:C77"/>
    <mergeCell ref="D77:G77"/>
    <mergeCell ref="H77:L77"/>
    <mergeCell ref="M77:N77"/>
    <mergeCell ref="O77:R77"/>
    <mergeCell ref="S77:U77"/>
    <mergeCell ref="V77:Z77"/>
    <mergeCell ref="AA77:AG77"/>
    <mergeCell ref="AH75:AL75"/>
    <mergeCell ref="AM75:AO75"/>
    <mergeCell ref="AP75:AS75"/>
    <mergeCell ref="B76:C76"/>
    <mergeCell ref="D76:G76"/>
    <mergeCell ref="H76:L76"/>
    <mergeCell ref="M76:N76"/>
    <mergeCell ref="O76:R76"/>
    <mergeCell ref="S76:U76"/>
    <mergeCell ref="V76:Z76"/>
    <mergeCell ref="AA76:AG76"/>
    <mergeCell ref="AH76:AL76"/>
    <mergeCell ref="AM76:AO76"/>
    <mergeCell ref="AP76:AS76"/>
    <mergeCell ref="B75:C75"/>
    <mergeCell ref="D75:G75"/>
    <mergeCell ref="H75:L75"/>
    <mergeCell ref="M75:N75"/>
    <mergeCell ref="O75:R75"/>
    <mergeCell ref="S75:U75"/>
    <mergeCell ref="V75:Z75"/>
    <mergeCell ref="AA75:AD75"/>
    <mergeCell ref="AE75:AG75"/>
    <mergeCell ref="AM73:AO73"/>
    <mergeCell ref="AP73:AS73"/>
    <mergeCell ref="B74:C74"/>
    <mergeCell ref="D74:G74"/>
    <mergeCell ref="H74:L74"/>
    <mergeCell ref="M74:N74"/>
    <mergeCell ref="O74:R74"/>
    <mergeCell ref="S74:U74"/>
    <mergeCell ref="V74:Z74"/>
    <mergeCell ref="AA74:AD74"/>
    <mergeCell ref="AE74:AG74"/>
    <mergeCell ref="AH74:AL74"/>
    <mergeCell ref="AM74:AO74"/>
    <mergeCell ref="AP74:AS74"/>
    <mergeCell ref="B73:C73"/>
    <mergeCell ref="D73:G73"/>
    <mergeCell ref="H73:L73"/>
    <mergeCell ref="M73:N73"/>
    <mergeCell ref="O73:R73"/>
    <mergeCell ref="S73:U73"/>
    <mergeCell ref="V73:Z73"/>
    <mergeCell ref="AA73:AG73"/>
    <mergeCell ref="AH73:AL73"/>
    <mergeCell ref="B70:C72"/>
    <mergeCell ref="D70:G70"/>
    <mergeCell ref="H70:N70"/>
    <mergeCell ref="O70:U70"/>
    <mergeCell ref="V70:Z70"/>
    <mergeCell ref="AA70:AG70"/>
    <mergeCell ref="AH70:AO70"/>
    <mergeCell ref="AP70:AS70"/>
    <mergeCell ref="D71:G71"/>
    <mergeCell ref="H71:N71"/>
    <mergeCell ref="O71:U71"/>
    <mergeCell ref="V71:Z71"/>
    <mergeCell ref="AA71:AG71"/>
    <mergeCell ref="AH71:AO71"/>
    <mergeCell ref="AP71:AS71"/>
    <mergeCell ref="D72:G72"/>
    <mergeCell ref="H72:N72"/>
    <mergeCell ref="O72:U72"/>
    <mergeCell ref="V72:Z72"/>
    <mergeCell ref="AA72:AG72"/>
    <mergeCell ref="AH72:AO72"/>
    <mergeCell ref="AP72:AS72"/>
    <mergeCell ref="AU44:AY44"/>
    <mergeCell ref="AZ44:BD44"/>
    <mergeCell ref="BE44:BI44"/>
    <mergeCell ref="C49:E49"/>
    <mergeCell ref="C50:E50"/>
    <mergeCell ref="C51:E51"/>
    <mergeCell ref="C52:E52"/>
    <mergeCell ref="C53:E53"/>
    <mergeCell ref="C54:E54"/>
    <mergeCell ref="B44:F44"/>
    <mergeCell ref="G44:K44"/>
    <mergeCell ref="L44:P44"/>
    <mergeCell ref="Q44:U44"/>
    <mergeCell ref="V44:Z44"/>
    <mergeCell ref="AA44:AE44"/>
    <mergeCell ref="AF44:AJ44"/>
    <mergeCell ref="AK44:AO44"/>
    <mergeCell ref="AP44:AT44"/>
    <mergeCell ref="AU42:AY42"/>
    <mergeCell ref="AZ42:BD42"/>
    <mergeCell ref="BE42:BI42"/>
    <mergeCell ref="B43:F43"/>
    <mergeCell ref="G43:K43"/>
    <mergeCell ref="L43:P43"/>
    <mergeCell ref="Q43:U43"/>
    <mergeCell ref="V43:Z43"/>
    <mergeCell ref="AA43:AE43"/>
    <mergeCell ref="AF43:AJ43"/>
    <mergeCell ref="AK43:AO43"/>
    <mergeCell ref="AP43:AT43"/>
    <mergeCell ref="AU43:AY43"/>
    <mergeCell ref="AZ43:BD43"/>
    <mergeCell ref="BE43:BI43"/>
    <mergeCell ref="B42:F42"/>
    <mergeCell ref="G42:K42"/>
    <mergeCell ref="L42:P42"/>
    <mergeCell ref="Q42:U42"/>
    <mergeCell ref="V42:Z42"/>
    <mergeCell ref="AA42:AE42"/>
    <mergeCell ref="AF42:AJ42"/>
    <mergeCell ref="AK42:AO42"/>
    <mergeCell ref="AP42:AT42"/>
    <mergeCell ref="AU40:AY40"/>
    <mergeCell ref="AZ40:BD40"/>
    <mergeCell ref="BE40:BI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AP41:AT41"/>
    <mergeCell ref="AU41:AY41"/>
    <mergeCell ref="AZ41:BD41"/>
    <mergeCell ref="BE41:BI41"/>
    <mergeCell ref="B40:F40"/>
    <mergeCell ref="G40:K40"/>
    <mergeCell ref="L40:P40"/>
    <mergeCell ref="Q40:U40"/>
    <mergeCell ref="V40:Z40"/>
    <mergeCell ref="AA40:AE40"/>
    <mergeCell ref="AF40:AJ40"/>
    <mergeCell ref="AK40:AO40"/>
    <mergeCell ref="AP40:AT40"/>
    <mergeCell ref="Q39:U39"/>
    <mergeCell ref="V39:Z39"/>
    <mergeCell ref="AA39:AE39"/>
    <mergeCell ref="AF39:AJ39"/>
    <mergeCell ref="AK39:AO39"/>
    <mergeCell ref="AP39:AT39"/>
    <mergeCell ref="AU39:AY39"/>
    <mergeCell ref="AZ39:BD39"/>
    <mergeCell ref="BE39:BI39"/>
    <mergeCell ref="Q38:U38"/>
    <mergeCell ref="V38:Z38"/>
    <mergeCell ref="AA38:AE38"/>
    <mergeCell ref="AF38:AJ38"/>
    <mergeCell ref="AK38:AO38"/>
    <mergeCell ref="AP38:AT38"/>
    <mergeCell ref="AU38:AY38"/>
    <mergeCell ref="AZ38:BD38"/>
    <mergeCell ref="BE38:BI38"/>
    <mergeCell ref="AZ36:BD36"/>
    <mergeCell ref="BE36:BI36"/>
    <mergeCell ref="Q37:U37"/>
    <mergeCell ref="V37:Z37"/>
    <mergeCell ref="AA37:AE37"/>
    <mergeCell ref="AF37:AJ37"/>
    <mergeCell ref="AK37:AO37"/>
    <mergeCell ref="AP37:AT37"/>
    <mergeCell ref="AU37:AY37"/>
    <mergeCell ref="AZ37:BD37"/>
    <mergeCell ref="BE37:BI37"/>
    <mergeCell ref="AK34:AO34"/>
    <mergeCell ref="AP34:AT34"/>
    <mergeCell ref="Q36:U36"/>
    <mergeCell ref="V36:Z36"/>
    <mergeCell ref="AA36:AE36"/>
    <mergeCell ref="AF36:AJ36"/>
    <mergeCell ref="AK36:AO36"/>
    <mergeCell ref="AP36:AT36"/>
    <mergeCell ref="AU36:AY36"/>
    <mergeCell ref="AZ33:BD33"/>
    <mergeCell ref="BE33:BI33"/>
    <mergeCell ref="AU34:AY34"/>
    <mergeCell ref="AZ34:BD34"/>
    <mergeCell ref="BE34:BI34"/>
    <mergeCell ref="B35:F35"/>
    <mergeCell ref="G35:K35"/>
    <mergeCell ref="L35:P35"/>
    <mergeCell ref="Q35:U35"/>
    <mergeCell ref="V35:Z35"/>
    <mergeCell ref="AA35:AE35"/>
    <mergeCell ref="AF35:AJ35"/>
    <mergeCell ref="AK35:AO35"/>
    <mergeCell ref="AP35:AT35"/>
    <mergeCell ref="AU35:AY35"/>
    <mergeCell ref="AZ35:BD35"/>
    <mergeCell ref="BE35:BI35"/>
    <mergeCell ref="B34:F34"/>
    <mergeCell ref="G34:K34"/>
    <mergeCell ref="L34:P34"/>
    <mergeCell ref="Q34:U34"/>
    <mergeCell ref="V34:Z34"/>
    <mergeCell ref="AA34:AE34"/>
    <mergeCell ref="AF34:AJ34"/>
    <mergeCell ref="AG18:AK18"/>
    <mergeCell ref="AL18:AP18"/>
    <mergeCell ref="AQ18:AU18"/>
    <mergeCell ref="Q33:U33"/>
    <mergeCell ref="V33:Z33"/>
    <mergeCell ref="AA33:AE33"/>
    <mergeCell ref="AF33:AJ33"/>
    <mergeCell ref="AK33:AO33"/>
    <mergeCell ref="AP33:AT33"/>
    <mergeCell ref="AU33:AY33"/>
    <mergeCell ref="AP31:AT31"/>
    <mergeCell ref="AU31:AY31"/>
    <mergeCell ref="AA29:AE29"/>
    <mergeCell ref="AF29:AJ29"/>
    <mergeCell ref="AK29:AO29"/>
    <mergeCell ref="AF28:AJ28"/>
    <mergeCell ref="AK28:AO28"/>
    <mergeCell ref="AA28:AE28"/>
    <mergeCell ref="AA27:AE27"/>
    <mergeCell ref="AK26:AO26"/>
    <mergeCell ref="AF25:AJ25"/>
    <mergeCell ref="AK25:AO25"/>
    <mergeCell ref="AU26:AY26"/>
    <mergeCell ref="AA30:AE30"/>
    <mergeCell ref="M192:M193"/>
    <mergeCell ref="N192:P192"/>
    <mergeCell ref="R192:R193"/>
    <mergeCell ref="S192:U192"/>
    <mergeCell ref="I173:P173"/>
    <mergeCell ref="F184:H184"/>
    <mergeCell ref="C177:G178"/>
    <mergeCell ref="F182:H182"/>
    <mergeCell ref="K182:L182"/>
    <mergeCell ref="M182:O182"/>
    <mergeCell ref="R182:S182"/>
    <mergeCell ref="T182:V182"/>
    <mergeCell ref="Y182:Z182"/>
    <mergeCell ref="AA182:AC182"/>
    <mergeCell ref="AF182:AG182"/>
    <mergeCell ref="AH182:AJ182"/>
    <mergeCell ref="W192:W193"/>
    <mergeCell ref="X192:Z192"/>
    <mergeCell ref="N193:Q193"/>
    <mergeCell ref="S193:V193"/>
    <mergeCell ref="X193:AA193"/>
    <mergeCell ref="C164:G165"/>
    <mergeCell ref="I137:P137"/>
    <mergeCell ref="C138:H139"/>
    <mergeCell ref="I160:P160"/>
    <mergeCell ref="C161:H162"/>
    <mergeCell ref="U138:Z139"/>
    <mergeCell ref="L140:P140"/>
    <mergeCell ref="R140:T140"/>
    <mergeCell ref="U140:V140"/>
    <mergeCell ref="Y140:AA140"/>
    <mergeCell ref="I127:P127"/>
    <mergeCell ref="C128:H129"/>
    <mergeCell ref="V128:Z129"/>
    <mergeCell ref="L130:P130"/>
    <mergeCell ref="R130:T130"/>
    <mergeCell ref="U130:V130"/>
    <mergeCell ref="Y130:AA130"/>
    <mergeCell ref="AB130:AC130"/>
    <mergeCell ref="I114:P114"/>
    <mergeCell ref="C115:H116"/>
    <mergeCell ref="X115:AA116"/>
    <mergeCell ref="AB115:AD116"/>
    <mergeCell ref="L117:O117"/>
    <mergeCell ref="T117:W117"/>
    <mergeCell ref="Z117:AB117"/>
    <mergeCell ref="N126:P126"/>
    <mergeCell ref="AB140:AC140"/>
    <mergeCell ref="L141:Q141"/>
    <mergeCell ref="H144:J144"/>
    <mergeCell ref="C145:I146"/>
    <mergeCell ref="J145:W146"/>
    <mergeCell ref="X145:AB145"/>
    <mergeCell ref="AC145:AC146"/>
    <mergeCell ref="I135:M135"/>
    <mergeCell ref="N135:O135"/>
    <mergeCell ref="C136:I136"/>
    <mergeCell ref="J136:L136"/>
    <mergeCell ref="N136:P136"/>
    <mergeCell ref="R112:R113"/>
    <mergeCell ref="S112:U113"/>
    <mergeCell ref="I91:P91"/>
    <mergeCell ref="C92:H93"/>
    <mergeCell ref="N92:R93"/>
    <mergeCell ref="L94:P94"/>
    <mergeCell ref="R94:T94"/>
    <mergeCell ref="U94:V94"/>
    <mergeCell ref="Y94:AA94"/>
    <mergeCell ref="L104:O104"/>
    <mergeCell ref="AA104:AC104"/>
    <mergeCell ref="AB94:AC94"/>
    <mergeCell ref="H98:J98"/>
    <mergeCell ref="C99:I100"/>
    <mergeCell ref="J99:W100"/>
    <mergeCell ref="X99:AB99"/>
    <mergeCell ref="AC99:AC100"/>
    <mergeCell ref="V112:W113"/>
    <mergeCell ref="C105:G106"/>
    <mergeCell ref="H111:L111"/>
    <mergeCell ref="M111:N111"/>
    <mergeCell ref="C112:I113"/>
    <mergeCell ref="J112:L113"/>
    <mergeCell ref="M112:M113"/>
    <mergeCell ref="C55:E55"/>
    <mergeCell ref="C56:E56"/>
    <mergeCell ref="C57:E57"/>
    <mergeCell ref="C58:E58"/>
    <mergeCell ref="B36:F36"/>
    <mergeCell ref="G36:K36"/>
    <mergeCell ref="L36:P36"/>
    <mergeCell ref="B37:F37"/>
    <mergeCell ref="G37:K37"/>
    <mergeCell ref="L37:P37"/>
    <mergeCell ref="B38:F38"/>
    <mergeCell ref="G38:K38"/>
    <mergeCell ref="L38:P38"/>
    <mergeCell ref="B39:F39"/>
    <mergeCell ref="G39:K39"/>
    <mergeCell ref="L39:P39"/>
    <mergeCell ref="N112:O112"/>
    <mergeCell ref="AZ31:BD31"/>
    <mergeCell ref="BE31:BI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P32:AT32"/>
    <mergeCell ref="AU32:AY32"/>
    <mergeCell ref="AZ32:BD32"/>
    <mergeCell ref="BE32:BI32"/>
    <mergeCell ref="B31:F31"/>
    <mergeCell ref="G31:K31"/>
    <mergeCell ref="L31:P31"/>
    <mergeCell ref="Q31:U31"/>
    <mergeCell ref="V31:Z31"/>
    <mergeCell ref="AA31:AE31"/>
    <mergeCell ref="AF31:AJ31"/>
    <mergeCell ref="AK31:AO31"/>
    <mergeCell ref="B33:F33"/>
    <mergeCell ref="G33:K33"/>
    <mergeCell ref="L33:P33"/>
    <mergeCell ref="AP27:AT27"/>
    <mergeCell ref="AU27:AY27"/>
    <mergeCell ref="AZ27:BD27"/>
    <mergeCell ref="BE27:BI27"/>
    <mergeCell ref="AP28:AT28"/>
    <mergeCell ref="AU28:AY28"/>
    <mergeCell ref="AZ28:BD28"/>
    <mergeCell ref="BE28:BI28"/>
    <mergeCell ref="AP29:AT29"/>
    <mergeCell ref="AU29:AY29"/>
    <mergeCell ref="AZ29:BD29"/>
    <mergeCell ref="BE29:BI29"/>
    <mergeCell ref="AP30:AT30"/>
    <mergeCell ref="AU30:AY30"/>
    <mergeCell ref="AZ30:BD30"/>
    <mergeCell ref="BE30:BI30"/>
    <mergeCell ref="L30:P30"/>
    <mergeCell ref="G29:K29"/>
    <mergeCell ref="L29:P29"/>
    <mergeCell ref="Q29:U29"/>
    <mergeCell ref="V29:Z29"/>
    <mergeCell ref="G27:K27"/>
    <mergeCell ref="BE24:BI24"/>
    <mergeCell ref="AP22:AT23"/>
    <mergeCell ref="AU22:AY23"/>
    <mergeCell ref="AZ22:BD23"/>
    <mergeCell ref="BE22:BI23"/>
    <mergeCell ref="AL16:AP17"/>
    <mergeCell ref="B28:F28"/>
    <mergeCell ref="G28:K28"/>
    <mergeCell ref="L28:P28"/>
    <mergeCell ref="Q28:U28"/>
    <mergeCell ref="V28:Z28"/>
    <mergeCell ref="AZ26:BD26"/>
    <mergeCell ref="BE26:BI26"/>
    <mergeCell ref="AL19:AP19"/>
    <mergeCell ref="AQ19:AU19"/>
    <mergeCell ref="AV19:AZ19"/>
    <mergeCell ref="AP25:AT25"/>
    <mergeCell ref="AU25:AY25"/>
    <mergeCell ref="AZ25:BD25"/>
    <mergeCell ref="BE25:BI25"/>
    <mergeCell ref="B27:F27"/>
    <mergeCell ref="V25:Z25"/>
    <mergeCell ref="AA25:AE25"/>
    <mergeCell ref="B26:F26"/>
    <mergeCell ref="AQ16:AU17"/>
    <mergeCell ref="AV16:AZ17"/>
    <mergeCell ref="AV18:AZ18"/>
    <mergeCell ref="AP24:AT24"/>
    <mergeCell ref="AU24:AY24"/>
    <mergeCell ref="AZ24:BD24"/>
    <mergeCell ref="G26:K26"/>
    <mergeCell ref="L26:P26"/>
    <mergeCell ref="N4:S4"/>
    <mergeCell ref="T4:Y4"/>
    <mergeCell ref="N5:S5"/>
    <mergeCell ref="T5:Y5"/>
    <mergeCell ref="W8:AC8"/>
    <mergeCell ref="AA23:AE23"/>
    <mergeCell ref="AD9:AJ9"/>
    <mergeCell ref="T10:AB10"/>
    <mergeCell ref="I11:S11"/>
    <mergeCell ref="T11:AB11"/>
    <mergeCell ref="I12:S12"/>
    <mergeCell ref="T12:AB12"/>
    <mergeCell ref="B16:G17"/>
    <mergeCell ref="H16:AF16"/>
    <mergeCell ref="AG16:AK17"/>
    <mergeCell ref="H17:L17"/>
    <mergeCell ref="G25:K25"/>
    <mergeCell ref="L25:P25"/>
    <mergeCell ref="B4:G4"/>
    <mergeCell ref="H4:M4"/>
    <mergeCell ref="B5:G5"/>
    <mergeCell ref="H5:M5"/>
    <mergeCell ref="B8:H8"/>
    <mergeCell ref="I8:O8"/>
    <mergeCell ref="P8:V8"/>
    <mergeCell ref="Q23:U23"/>
    <mergeCell ref="V23:Z23"/>
    <mergeCell ref="Q25:U25"/>
    <mergeCell ref="B9:H9"/>
    <mergeCell ref="I9:O9"/>
    <mergeCell ref="P9:V9"/>
    <mergeCell ref="W9:AC9"/>
    <mergeCell ref="M17:Q17"/>
    <mergeCell ref="R17:V17"/>
    <mergeCell ref="W17:AA17"/>
    <mergeCell ref="AB17:AF17"/>
    <mergeCell ref="B10:H12"/>
    <mergeCell ref="I10:S10"/>
    <mergeCell ref="AK30:AO30"/>
    <mergeCell ref="AD8:AJ8"/>
    <mergeCell ref="B18:G18"/>
    <mergeCell ref="H18:L18"/>
    <mergeCell ref="M18:Q18"/>
    <mergeCell ref="R18:V18"/>
    <mergeCell ref="W18:AA18"/>
    <mergeCell ref="B19:G19"/>
    <mergeCell ref="H19:L19"/>
    <mergeCell ref="M19:Q19"/>
    <mergeCell ref="R19:V19"/>
    <mergeCell ref="W19:AA19"/>
    <mergeCell ref="AB19:AF19"/>
    <mergeCell ref="AG19:AK19"/>
    <mergeCell ref="AK8:AQ8"/>
    <mergeCell ref="AK9:AQ9"/>
    <mergeCell ref="AP26:AT26"/>
    <mergeCell ref="Q26:U26"/>
    <mergeCell ref="V26:Z26"/>
    <mergeCell ref="AA26:AE26"/>
    <mergeCell ref="AF26:AJ26"/>
    <mergeCell ref="AB18:AF18"/>
    <mergeCell ref="L27:P27"/>
    <mergeCell ref="B25:F25"/>
    <mergeCell ref="Q27:U27"/>
    <mergeCell ref="V27:Z27"/>
    <mergeCell ref="B29:F29"/>
    <mergeCell ref="B30:F30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2:F23"/>
    <mergeCell ref="G22:K23"/>
    <mergeCell ref="L22:P23"/>
    <mergeCell ref="Q22:AO22"/>
    <mergeCell ref="AF27:AJ27"/>
    <mergeCell ref="AK27:AO27"/>
    <mergeCell ref="Q30:U30"/>
    <mergeCell ref="G30:K30"/>
    <mergeCell ref="V30:Z30"/>
    <mergeCell ref="AF30:AJ30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96"/>
  <sheetViews>
    <sheetView showGridLines="0" zoomScaleNormal="100" workbookViewId="0"/>
  </sheetViews>
  <sheetFormatPr defaultColWidth="8.77734375" defaultRowHeight="15" customHeight="1"/>
  <cols>
    <col min="1" max="1" width="2.77734375" style="116" customWidth="1"/>
    <col min="2" max="2" width="8.77734375" style="118"/>
    <col min="3" max="3" width="8.77734375" style="118" customWidth="1"/>
    <col min="4" max="4" width="8.77734375" style="118"/>
    <col min="5" max="5" width="9.88671875" style="117" bestFit="1" customWidth="1"/>
    <col min="6" max="8" width="8.77734375" style="117"/>
    <col min="9" max="12" width="8.77734375" style="117" customWidth="1"/>
    <col min="13" max="13" width="8.77734375" style="117"/>
    <col min="14" max="14" width="9.109375" style="117" bestFit="1" customWidth="1"/>
    <col min="15" max="15" width="9.6640625" style="117" bestFit="1" customWidth="1"/>
    <col min="16" max="21" width="8.77734375" style="117"/>
    <col min="22" max="16384" width="8.77734375" style="116"/>
  </cols>
  <sheetData>
    <row r="1" spans="1:32" ht="15" customHeight="1">
      <c r="A1" s="113" t="s">
        <v>208</v>
      </c>
      <c r="B1" s="114"/>
      <c r="C1" s="114"/>
      <c r="D1" s="114"/>
      <c r="E1" s="114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32" ht="15" customHeight="1">
      <c r="B2" s="147" t="s">
        <v>209</v>
      </c>
      <c r="C2" s="147" t="s">
        <v>210</v>
      </c>
      <c r="D2" s="147" t="s">
        <v>211</v>
      </c>
      <c r="E2" s="147" t="s">
        <v>212</v>
      </c>
      <c r="F2" s="147" t="s">
        <v>214</v>
      </c>
      <c r="G2" s="147" t="s">
        <v>215</v>
      </c>
      <c r="H2" s="147" t="s">
        <v>216</v>
      </c>
      <c r="I2" s="147" t="s">
        <v>217</v>
      </c>
      <c r="J2" s="147" t="s">
        <v>218</v>
      </c>
      <c r="K2" s="181" t="s">
        <v>219</v>
      </c>
      <c r="L2" s="147" t="s">
        <v>220</v>
      </c>
      <c r="M2" s="147" t="s">
        <v>217</v>
      </c>
      <c r="N2" s="147" t="s">
        <v>221</v>
      </c>
      <c r="O2" s="147" t="s">
        <v>222</v>
      </c>
      <c r="P2" s="147" t="s">
        <v>223</v>
      </c>
      <c r="Q2" s="159" t="s">
        <v>89</v>
      </c>
      <c r="R2" s="159" t="s">
        <v>90</v>
      </c>
      <c r="S2" s="116"/>
      <c r="T2" s="116"/>
      <c r="U2" s="116"/>
    </row>
    <row r="3" spans="1:32" ht="15" customHeight="1">
      <c r="B3" s="149" t="e">
        <f>C3</f>
        <v>#DIV/0!</v>
      </c>
      <c r="C3" s="149" t="e">
        <f>AVERAGE(기본정보!B12:B13)</f>
        <v>#DIV/0!</v>
      </c>
      <c r="D3" s="149" t="e">
        <f>C3</f>
        <v>#DIV/0!</v>
      </c>
      <c r="E3" s="149">
        <f>11.5*10^-6</f>
        <v>1.15E-5</v>
      </c>
      <c r="F3" s="149">
        <f>Length_13!K27</f>
        <v>0</v>
      </c>
      <c r="G3" s="149">
        <f>Length_13!AB50</f>
        <v>0</v>
      </c>
      <c r="H3" s="149" t="s">
        <v>194</v>
      </c>
      <c r="I3" s="149" t="str">
        <f>F15</f>
        <v/>
      </c>
      <c r="J3" s="149">
        <f>IF(I3="inch",25.4,1)</f>
        <v>1</v>
      </c>
      <c r="K3" s="149">
        <f>MAX(T15:T34)</f>
        <v>0</v>
      </c>
      <c r="L3" s="149">
        <f>Length_13!J4</f>
        <v>0</v>
      </c>
      <c r="M3" s="149">
        <f>Length_13!K4</f>
        <v>0</v>
      </c>
      <c r="N3" s="149" t="e">
        <f ca="1">OFFSET(Length_13!E3,MATCH($K3,$T15:$T34,0),0)</f>
        <v>#N/A</v>
      </c>
      <c r="O3" s="149" t="e">
        <f ca="1">OFFSET(Length_13!F3,MATCH($K3,$T15:$T34,0),0)</f>
        <v>#N/A</v>
      </c>
      <c r="P3" s="149" t="e">
        <f ca="1">OFFSET(Length_13!G3,MATCH($K3,$T15:$T34,0),0)</f>
        <v>#N/A</v>
      </c>
      <c r="Q3" s="124" t="e">
        <f ca="1">IF(SUM(R64)=0,"","초과")</f>
        <v>#VALUE!</v>
      </c>
      <c r="R3" s="215" t="str">
        <f>IF(SUM(AE14)=0,"PASS","FAIL")</f>
        <v>PASS</v>
      </c>
      <c r="S3" s="116"/>
      <c r="T3" s="116"/>
      <c r="U3" s="116"/>
    </row>
    <row r="4" spans="1:32" ht="15" customHeight="1">
      <c r="B4" s="114"/>
      <c r="C4" s="114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</row>
    <row r="5" spans="1:32" ht="15" customHeight="1">
      <c r="A5" s="113" t="s">
        <v>224</v>
      </c>
      <c r="B5" s="114"/>
      <c r="C5" s="114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</row>
    <row r="6" spans="1:32" ht="15" customHeight="1">
      <c r="B6" s="463" t="s">
        <v>225</v>
      </c>
      <c r="C6" s="460" t="str">
        <f>H3&amp;" 지시값"</f>
        <v>표준 측장기 지시값</v>
      </c>
      <c r="D6" s="462"/>
      <c r="E6" s="462"/>
      <c r="F6" s="462"/>
      <c r="G6" s="462"/>
      <c r="H6" s="461"/>
      <c r="I6" s="463" t="s">
        <v>226</v>
      </c>
      <c r="J6" s="147" t="s">
        <v>227</v>
      </c>
      <c r="K6" s="147" t="s">
        <v>415</v>
      </c>
      <c r="L6" s="147" t="s">
        <v>228</v>
      </c>
      <c r="M6" s="147" t="s">
        <v>229</v>
      </c>
      <c r="N6" s="147" t="s">
        <v>416</v>
      </c>
      <c r="O6" s="147" t="s">
        <v>230</v>
      </c>
      <c r="P6" s="147" t="s">
        <v>231</v>
      </c>
      <c r="Q6" s="147" t="s">
        <v>232</v>
      </c>
      <c r="R6" s="115"/>
      <c r="S6" s="115"/>
      <c r="T6" s="115"/>
      <c r="U6" s="115"/>
    </row>
    <row r="7" spans="1:32" ht="15" customHeight="1">
      <c r="B7" s="464"/>
      <c r="C7" s="147" t="s">
        <v>233</v>
      </c>
      <c r="D7" s="147" t="s">
        <v>234</v>
      </c>
      <c r="E7" s="147" t="s">
        <v>235</v>
      </c>
      <c r="F7" s="147" t="s">
        <v>236</v>
      </c>
      <c r="G7" s="147" t="s">
        <v>237</v>
      </c>
      <c r="H7" s="147" t="s">
        <v>238</v>
      </c>
      <c r="I7" s="464"/>
      <c r="J7" s="147" t="s">
        <v>239</v>
      </c>
      <c r="K7" s="147" t="s">
        <v>215</v>
      </c>
      <c r="L7" s="147" t="s">
        <v>211</v>
      </c>
      <c r="M7" s="147" t="s">
        <v>240</v>
      </c>
      <c r="N7" s="147" t="s">
        <v>213</v>
      </c>
      <c r="O7" s="147" t="s">
        <v>210</v>
      </c>
      <c r="P7" s="147" t="s">
        <v>241</v>
      </c>
      <c r="Q7" s="147" t="s">
        <v>242</v>
      </c>
      <c r="R7" s="115"/>
      <c r="S7" s="115"/>
      <c r="T7" s="115"/>
      <c r="U7" s="115"/>
    </row>
    <row r="8" spans="1:32" ht="15" customHeight="1">
      <c r="B8" s="147" t="s">
        <v>243</v>
      </c>
      <c r="C8" s="147" t="s">
        <v>244</v>
      </c>
      <c r="D8" s="147" t="s">
        <v>245</v>
      </c>
      <c r="E8" s="147" t="s">
        <v>246</v>
      </c>
      <c r="F8" s="147" t="s">
        <v>243</v>
      </c>
      <c r="G8" s="147" t="s">
        <v>245</v>
      </c>
      <c r="H8" s="147" t="s">
        <v>243</v>
      </c>
      <c r="I8" s="216" t="s">
        <v>247</v>
      </c>
      <c r="J8" s="147" t="s">
        <v>248</v>
      </c>
      <c r="K8" s="183" t="s">
        <v>249</v>
      </c>
      <c r="L8" s="183" t="s">
        <v>250</v>
      </c>
      <c r="M8" s="147" t="s">
        <v>243</v>
      </c>
      <c r="N8" s="183" t="s">
        <v>251</v>
      </c>
      <c r="O8" s="183" t="s">
        <v>250</v>
      </c>
      <c r="P8" s="147" t="s">
        <v>243</v>
      </c>
      <c r="Q8" s="147" t="s">
        <v>243</v>
      </c>
      <c r="R8" s="115"/>
      <c r="S8" s="115"/>
      <c r="T8" s="115"/>
      <c r="U8" s="115"/>
    </row>
    <row r="9" spans="1:32" ht="15" customHeight="1">
      <c r="B9" s="149">
        <f>Length_13!N50</f>
        <v>0</v>
      </c>
      <c r="C9" s="149">
        <f>Length_13!T4</f>
        <v>0</v>
      </c>
      <c r="D9" s="149">
        <f>Length_13!U4</f>
        <v>0</v>
      </c>
      <c r="E9" s="149">
        <f>Length_13!V4</f>
        <v>0</v>
      </c>
      <c r="F9" s="149">
        <f>Length_13!W4</f>
        <v>0</v>
      </c>
      <c r="G9" s="149">
        <f>Length_13!X4</f>
        <v>0</v>
      </c>
      <c r="H9" s="149">
        <f>AVERAGE(C9:G9)</f>
        <v>0</v>
      </c>
      <c r="I9" s="149">
        <f>STDEV(C9:G9)*1000</f>
        <v>0</v>
      </c>
      <c r="J9" s="149">
        <f>Length_13!P50</f>
        <v>0</v>
      </c>
      <c r="K9" s="149">
        <f>G3</f>
        <v>0</v>
      </c>
      <c r="L9" s="149" t="e">
        <f>D3</f>
        <v>#DIV/0!</v>
      </c>
      <c r="M9" s="149">
        <f>H9</f>
        <v>0</v>
      </c>
      <c r="N9" s="149">
        <f>F3</f>
        <v>0</v>
      </c>
      <c r="O9" s="149" t="e">
        <f>D3</f>
        <v>#DIV/0!</v>
      </c>
      <c r="P9" s="149">
        <f>Length_13!D54/IF(Length_13!E54="μm",1000,1)</f>
        <v>0</v>
      </c>
      <c r="Q9" s="186" t="e">
        <f>J9*(1+K9*(L9-20))-M9*(1+N9*(O9-20))+P9</f>
        <v>#DIV/0!</v>
      </c>
      <c r="R9" s="115"/>
      <c r="S9" s="115"/>
      <c r="T9" s="115"/>
      <c r="U9" s="115"/>
    </row>
    <row r="10" spans="1:32" ht="15" customHeight="1"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</row>
    <row r="11" spans="1:32" ht="15" customHeight="1">
      <c r="A11" s="113" t="s">
        <v>252</v>
      </c>
      <c r="E11" s="114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Y11" s="125" t="s">
        <v>253</v>
      </c>
    </row>
    <row r="12" spans="1:32" ht="15" customHeight="1">
      <c r="B12" s="463" t="s">
        <v>254</v>
      </c>
      <c r="C12" s="465" t="s">
        <v>255</v>
      </c>
      <c r="D12" s="465" t="s">
        <v>256</v>
      </c>
      <c r="E12" s="465" t="s">
        <v>80</v>
      </c>
      <c r="F12" s="465" t="s">
        <v>217</v>
      </c>
      <c r="G12" s="469" t="str">
        <f>H3&amp;" 지시값"</f>
        <v>표준 측장기 지시값</v>
      </c>
      <c r="H12" s="470"/>
      <c r="I12" s="470"/>
      <c r="J12" s="470"/>
      <c r="K12" s="470"/>
      <c r="L12" s="471"/>
      <c r="M12" s="485" t="s">
        <v>257</v>
      </c>
      <c r="N12" s="147" t="s">
        <v>229</v>
      </c>
      <c r="O12" s="147" t="s">
        <v>413</v>
      </c>
      <c r="P12" s="147" t="s">
        <v>230</v>
      </c>
      <c r="Q12" s="147" t="s">
        <v>414</v>
      </c>
      <c r="R12" s="147" t="s">
        <v>258</v>
      </c>
      <c r="S12" s="147" t="s">
        <v>231</v>
      </c>
      <c r="T12" s="147" t="s">
        <v>80</v>
      </c>
      <c r="U12" s="147" t="s">
        <v>77</v>
      </c>
      <c r="V12" s="460" t="s">
        <v>259</v>
      </c>
      <c r="W12" s="462"/>
      <c r="X12" s="119"/>
      <c r="Y12" s="487" t="s">
        <v>260</v>
      </c>
      <c r="Z12" s="488"/>
      <c r="AA12" s="460" t="s">
        <v>261</v>
      </c>
      <c r="AB12" s="462"/>
      <c r="AC12" s="462"/>
      <c r="AD12" s="462"/>
      <c r="AE12" s="462"/>
      <c r="AF12" s="461"/>
    </row>
    <row r="13" spans="1:32" ht="15" customHeight="1">
      <c r="B13" s="467"/>
      <c r="C13" s="468"/>
      <c r="D13" s="468"/>
      <c r="E13" s="468"/>
      <c r="F13" s="468"/>
      <c r="G13" s="160" t="s">
        <v>262</v>
      </c>
      <c r="H13" s="160" t="s">
        <v>195</v>
      </c>
      <c r="I13" s="160" t="s">
        <v>196</v>
      </c>
      <c r="J13" s="160" t="s">
        <v>197</v>
      </c>
      <c r="K13" s="160" t="s">
        <v>198</v>
      </c>
      <c r="L13" s="181" t="s">
        <v>263</v>
      </c>
      <c r="M13" s="486"/>
      <c r="N13" s="217" t="s">
        <v>240</v>
      </c>
      <c r="O13" s="147" t="s">
        <v>264</v>
      </c>
      <c r="P13" s="147" t="s">
        <v>210</v>
      </c>
      <c r="Q13" s="147" t="s">
        <v>265</v>
      </c>
      <c r="R13" s="147" t="s">
        <v>209</v>
      </c>
      <c r="S13" s="147" t="s">
        <v>266</v>
      </c>
      <c r="T13" s="147" t="s">
        <v>267</v>
      </c>
      <c r="U13" s="147" t="s">
        <v>268</v>
      </c>
      <c r="V13" s="147" t="s">
        <v>77</v>
      </c>
      <c r="W13" s="147" t="s">
        <v>731</v>
      </c>
      <c r="X13" s="119"/>
      <c r="Y13" s="221" t="s">
        <v>269</v>
      </c>
      <c r="Z13" s="221" t="s">
        <v>270</v>
      </c>
      <c r="AA13" s="147" t="s">
        <v>271</v>
      </c>
      <c r="AB13" s="147" t="s">
        <v>77</v>
      </c>
      <c r="AC13" s="147" t="s">
        <v>732</v>
      </c>
      <c r="AD13" s="220" t="s">
        <v>272</v>
      </c>
      <c r="AE13" s="220" t="s">
        <v>273</v>
      </c>
      <c r="AF13" s="253" t="s">
        <v>181</v>
      </c>
    </row>
    <row r="14" spans="1:32" ht="15" customHeight="1">
      <c r="B14" s="464"/>
      <c r="C14" s="466"/>
      <c r="D14" s="466"/>
      <c r="E14" s="466"/>
      <c r="F14" s="466"/>
      <c r="G14" s="181">
        <f>M3</f>
        <v>0</v>
      </c>
      <c r="H14" s="181">
        <f t="shared" ref="H14:K14" si="0">G14</f>
        <v>0</v>
      </c>
      <c r="I14" s="181">
        <f t="shared" si="0"/>
        <v>0</v>
      </c>
      <c r="J14" s="181">
        <f t="shared" si="0"/>
        <v>0</v>
      </c>
      <c r="K14" s="181">
        <f t="shared" si="0"/>
        <v>0</v>
      </c>
      <c r="L14" s="181">
        <f>K14</f>
        <v>0</v>
      </c>
      <c r="M14" s="147" t="s">
        <v>243</v>
      </c>
      <c r="N14" s="147" t="s">
        <v>243</v>
      </c>
      <c r="O14" s="183" t="s">
        <v>251</v>
      </c>
      <c r="P14" s="183" t="s">
        <v>274</v>
      </c>
      <c r="Q14" s="183" t="s">
        <v>251</v>
      </c>
      <c r="R14" s="183" t="s">
        <v>274</v>
      </c>
      <c r="S14" s="147" t="s">
        <v>275</v>
      </c>
      <c r="T14" s="147" t="s">
        <v>248</v>
      </c>
      <c r="U14" s="147" t="s">
        <v>243</v>
      </c>
      <c r="V14" s="147" t="s">
        <v>248</v>
      </c>
      <c r="W14" s="147" t="s">
        <v>126</v>
      </c>
      <c r="X14" s="119"/>
      <c r="Y14" s="147" t="s">
        <v>243</v>
      </c>
      <c r="Z14" s="147" t="s">
        <v>243</v>
      </c>
      <c r="AA14" s="147" t="s">
        <v>243</v>
      </c>
      <c r="AB14" s="147" t="s">
        <v>248</v>
      </c>
      <c r="AC14" s="147" t="s">
        <v>126</v>
      </c>
      <c r="AD14" s="147" t="s">
        <v>275</v>
      </c>
      <c r="AE14" s="266">
        <f>IF(TYPE(MATCH("FAIL",AE15:AE34,0))=16,0,1)</f>
        <v>0</v>
      </c>
      <c r="AF14" s="253" t="s">
        <v>733</v>
      </c>
    </row>
    <row r="15" spans="1:32" ht="15" customHeight="1">
      <c r="B15" s="161" t="b">
        <f>IF(TRIM(Length_13!C4)="",FALSE,TRUE)</f>
        <v>0</v>
      </c>
      <c r="C15" s="149" t="str">
        <f>IF($B15=FALSE,"",Length_13!A4)</f>
        <v/>
      </c>
      <c r="D15" s="149" t="str">
        <f>IF($B15=FALSE,"",Length_13!B4)</f>
        <v/>
      </c>
      <c r="E15" s="149" t="str">
        <f>IF($B15=FALSE,"",VALUE(Length_13!C4))</f>
        <v/>
      </c>
      <c r="F15" s="149" t="str">
        <f>IF($B15=FALSE,"",Length_13!D4)</f>
        <v/>
      </c>
      <c r="G15" s="161" t="str">
        <f>IF($B15=FALSE,"",Length_13!O4)</f>
        <v/>
      </c>
      <c r="H15" s="161" t="str">
        <f>IF($B15=FALSE,"",Length_13!P4)</f>
        <v/>
      </c>
      <c r="I15" s="161" t="str">
        <f>IF($B15=FALSE,"",Length_13!Q4)</f>
        <v/>
      </c>
      <c r="J15" s="161" t="str">
        <f>IF($B15=FALSE,"",Length_13!R4)</f>
        <v/>
      </c>
      <c r="K15" s="161" t="str">
        <f>IF($B15=FALSE,"",Length_13!S4)</f>
        <v/>
      </c>
      <c r="L15" s="149" t="str">
        <f t="shared" ref="L15:L34" si="1">IF($B15=FALSE,"",AVERAGE(G15:K15))</f>
        <v/>
      </c>
      <c r="M15" s="162" t="str">
        <f t="shared" ref="M15:M34" si="2">IF($B15=FALSE,"",STDEV(G15:K15)*J$3)</f>
        <v/>
      </c>
      <c r="N15" s="164" t="str">
        <f>IF($B15=FALSE,"",Calcu!L15*J$3)</f>
        <v/>
      </c>
      <c r="O15" s="184" t="str">
        <f t="shared" ref="O15:O34" si="3">IF($B15=FALSE,"",F$3)</f>
        <v/>
      </c>
      <c r="P15" s="182" t="str">
        <f>IF($B15=FALSE,"",$C$3)</f>
        <v/>
      </c>
      <c r="Q15" s="182" t="str">
        <f>IF($B15=FALSE,"",$E$3)</f>
        <v/>
      </c>
      <c r="R15" s="182" t="str">
        <f t="shared" ref="R15:R34" si="4">IF($B15=FALSE,"",B$3)</f>
        <v/>
      </c>
      <c r="S15" s="163" t="str">
        <f>IF($B15=FALSE,"",Length_13!D27/IF(Length_13!E27="μm",1000,1))</f>
        <v/>
      </c>
      <c r="T15" s="156" t="str">
        <f t="shared" ref="T15:T34" si="5">IF($B15=FALSE,"",E15*J$3)</f>
        <v/>
      </c>
      <c r="U15" s="185" t="str">
        <f t="shared" ref="U15:U34" si="6">IF($B15=FALSE,"",(N15*(1+O15*(P15-20))+S15+$Q$9)*(1-Q15*(R15-20)))</f>
        <v/>
      </c>
      <c r="V15" s="149" t="str">
        <f>IF($B15=FALSE,"",ROUND(U15,$M$64))</f>
        <v/>
      </c>
      <c r="W15" s="149" t="str">
        <f>IF($B15=FALSE,"",ROUND(T15-V15,$M$64))</f>
        <v/>
      </c>
      <c r="X15" s="119"/>
      <c r="Y15" s="149" t="e">
        <f ca="1">IF(Length_13!L4&lt;0,ROUNDUP(Length_13!L4*J$3,$M$64),ROUNDDOWN(Length_13!L4*J$3,$M$64))</f>
        <v>#VALUE!</v>
      </c>
      <c r="Z15" s="149" t="e">
        <f ca="1">IF(Length_13!M4&lt;0,ROUNDDOWN(Length_13!M4*J$3,$M$64),ROUNDUP(Length_13!M4*J$3,$M$64))</f>
        <v>#VALUE!</v>
      </c>
      <c r="AA15" s="149" t="str">
        <f t="shared" ref="AA15:AA34" si="7">IF(B15=FALSE,"-",TEXT(T15,IF(T15&gt;=1000,"# ##","")&amp;$P$64))</f>
        <v>-</v>
      </c>
      <c r="AB15" s="149" t="str">
        <f t="shared" ref="AB15:AB34" si="8">IF(B15=FALSE,"-",TEXT(V15,IF(V15&gt;=1000,"# ##","")&amp;$P$64))</f>
        <v>-</v>
      </c>
      <c r="AC15" s="149" t="str">
        <f t="shared" ref="AC15:AC34" si="9">IF(B15=FALSE,"-",TEXT(W15,$P$64))</f>
        <v>-</v>
      </c>
      <c r="AD15" s="149" t="str">
        <f t="shared" ref="AD15:AD34" si="10">IF(B15=FALSE,"-","± "&amp;TEXT(Z15-T15,P$64))</f>
        <v>-</v>
      </c>
      <c r="AE15" s="149" t="str">
        <f>IF(B15=FALSE,"",IF(AND(Y15&lt;=V15,V15&lt;=Z15),"PASS","FAIL"))</f>
        <v/>
      </c>
      <c r="AF15" s="149" t="e">
        <f ca="1">S$64</f>
        <v>#VALUE!</v>
      </c>
    </row>
    <row r="16" spans="1:32" ht="15" customHeight="1">
      <c r="B16" s="161" t="b">
        <f>IF(TRIM(Length_13!C5)="",FALSE,TRUE)</f>
        <v>0</v>
      </c>
      <c r="C16" s="149" t="str">
        <f>IF($B16=FALSE,"",Length_13!A5)</f>
        <v/>
      </c>
      <c r="D16" s="149" t="str">
        <f>IF($B16=FALSE,"",Length_13!B5)</f>
        <v/>
      </c>
      <c r="E16" s="149" t="str">
        <f>IF($B16=FALSE,"",VALUE(Length_13!C5))</f>
        <v/>
      </c>
      <c r="F16" s="149" t="str">
        <f>IF($B16=FALSE,"",Length_13!D5)</f>
        <v/>
      </c>
      <c r="G16" s="161" t="str">
        <f>IF($B16=FALSE,"",Length_13!O5)</f>
        <v/>
      </c>
      <c r="H16" s="161" t="str">
        <f>IF($B16=FALSE,"",Length_13!P5)</f>
        <v/>
      </c>
      <c r="I16" s="161" t="str">
        <f>IF($B16=FALSE,"",Length_13!Q5)</f>
        <v/>
      </c>
      <c r="J16" s="161" t="str">
        <f>IF($B16=FALSE,"",Length_13!R5)</f>
        <v/>
      </c>
      <c r="K16" s="161" t="str">
        <f>IF($B16=FALSE,"",Length_13!S5)</f>
        <v/>
      </c>
      <c r="L16" s="149" t="str">
        <f t="shared" si="1"/>
        <v/>
      </c>
      <c r="M16" s="162" t="str">
        <f t="shared" si="2"/>
        <v/>
      </c>
      <c r="N16" s="164" t="str">
        <f>IF($B16=FALSE,"",Calcu!L16*J$3)</f>
        <v/>
      </c>
      <c r="O16" s="184" t="str">
        <f t="shared" si="3"/>
        <v/>
      </c>
      <c r="P16" s="182" t="str">
        <f t="shared" ref="P16:P34" si="11">IF($B16=FALSE,"",$C$3)</f>
        <v/>
      </c>
      <c r="Q16" s="182" t="str">
        <f t="shared" ref="Q16:Q34" si="12">IF($B16=FALSE,"",$E$3)</f>
        <v/>
      </c>
      <c r="R16" s="182" t="str">
        <f t="shared" si="4"/>
        <v/>
      </c>
      <c r="S16" s="163" t="str">
        <f>IF($B16=FALSE,"",Length_13!D28/IF(Length_13!E28="μm",1000,1))</f>
        <v/>
      </c>
      <c r="T16" s="156" t="str">
        <f t="shared" si="5"/>
        <v/>
      </c>
      <c r="U16" s="185" t="str">
        <f t="shared" si="6"/>
        <v/>
      </c>
      <c r="V16" s="149" t="str">
        <f t="shared" ref="V16:V34" si="13">IF($B16=FALSE,"",ROUND(U16,$M$64))</f>
        <v/>
      </c>
      <c r="W16" s="149" t="str">
        <f t="shared" ref="W16:W34" si="14">IF($B16=FALSE,"",ROUND(T16-V16,$M$64))</f>
        <v/>
      </c>
      <c r="X16" s="119"/>
      <c r="Y16" s="149" t="e">
        <f ca="1">IF(Length_13!L5&lt;0,ROUNDUP(Length_13!L5*J$3,$M$64),ROUNDDOWN(Length_13!L5*J$3,$M$64))</f>
        <v>#VALUE!</v>
      </c>
      <c r="Z16" s="149" t="e">
        <f ca="1">IF(Length_13!M5&lt;0,ROUNDDOWN(Length_13!M5*J$3,$M$64),ROUNDUP(Length_13!M5*J$3,$M$64))</f>
        <v>#VALUE!</v>
      </c>
      <c r="AA16" s="149" t="str">
        <f t="shared" si="7"/>
        <v>-</v>
      </c>
      <c r="AB16" s="149" t="str">
        <f t="shared" si="8"/>
        <v>-</v>
      </c>
      <c r="AC16" s="149" t="str">
        <f t="shared" si="9"/>
        <v>-</v>
      </c>
      <c r="AD16" s="149" t="str">
        <f t="shared" si="10"/>
        <v>-</v>
      </c>
      <c r="AE16" s="149" t="str">
        <f t="shared" ref="AE16:AE34" si="15">IF(B16=FALSE,"",IF(AND(Y16&lt;=V16,V16&lt;=Z16),"PASS","FAIL"))</f>
        <v/>
      </c>
      <c r="AF16" s="149" t="e">
        <f t="shared" ref="AF16:AF34" ca="1" si="16">S$64</f>
        <v>#VALUE!</v>
      </c>
    </row>
    <row r="17" spans="2:32" ht="15" customHeight="1">
      <c r="B17" s="161" t="b">
        <f>IF(TRIM(Length_13!C6)="",FALSE,TRUE)</f>
        <v>0</v>
      </c>
      <c r="C17" s="149" t="str">
        <f>IF($B17=FALSE,"",Length_13!A6)</f>
        <v/>
      </c>
      <c r="D17" s="149" t="str">
        <f>IF($B17=FALSE,"",Length_13!B6)</f>
        <v/>
      </c>
      <c r="E17" s="149" t="str">
        <f>IF($B17=FALSE,"",VALUE(Length_13!C6))</f>
        <v/>
      </c>
      <c r="F17" s="149" t="str">
        <f>IF($B17=FALSE,"",Length_13!D6)</f>
        <v/>
      </c>
      <c r="G17" s="161" t="str">
        <f>IF($B17=FALSE,"",Length_13!O6)</f>
        <v/>
      </c>
      <c r="H17" s="161" t="str">
        <f>IF($B17=FALSE,"",Length_13!P6)</f>
        <v/>
      </c>
      <c r="I17" s="161" t="str">
        <f>IF($B17=FALSE,"",Length_13!Q6)</f>
        <v/>
      </c>
      <c r="J17" s="161" t="str">
        <f>IF($B17=FALSE,"",Length_13!R6)</f>
        <v/>
      </c>
      <c r="K17" s="161" t="str">
        <f>IF($B17=FALSE,"",Length_13!S6)</f>
        <v/>
      </c>
      <c r="L17" s="149" t="str">
        <f t="shared" si="1"/>
        <v/>
      </c>
      <c r="M17" s="162" t="str">
        <f t="shared" si="2"/>
        <v/>
      </c>
      <c r="N17" s="164" t="str">
        <f>IF($B17=FALSE,"",Calcu!L17*J$3)</f>
        <v/>
      </c>
      <c r="O17" s="184" t="str">
        <f t="shared" si="3"/>
        <v/>
      </c>
      <c r="P17" s="182" t="str">
        <f t="shared" si="11"/>
        <v/>
      </c>
      <c r="Q17" s="182" t="str">
        <f t="shared" si="12"/>
        <v/>
      </c>
      <c r="R17" s="182" t="str">
        <f t="shared" si="4"/>
        <v/>
      </c>
      <c r="S17" s="163" t="str">
        <f>IF($B17=FALSE,"",Length_13!D29/IF(Length_13!E29="μm",1000,1))</f>
        <v/>
      </c>
      <c r="T17" s="156" t="str">
        <f t="shared" si="5"/>
        <v/>
      </c>
      <c r="U17" s="185" t="str">
        <f t="shared" si="6"/>
        <v/>
      </c>
      <c r="V17" s="149" t="str">
        <f t="shared" si="13"/>
        <v/>
      </c>
      <c r="W17" s="149" t="str">
        <f t="shared" si="14"/>
        <v/>
      </c>
      <c r="X17" s="119"/>
      <c r="Y17" s="149" t="e">
        <f ca="1">IF(Length_13!L6&lt;0,ROUNDUP(Length_13!L6*J$3,$M$64),ROUNDDOWN(Length_13!L6*J$3,$M$64))</f>
        <v>#VALUE!</v>
      </c>
      <c r="Z17" s="149" t="e">
        <f ca="1">IF(Length_13!M6&lt;0,ROUNDDOWN(Length_13!M6*J$3,$M$64),ROUNDUP(Length_13!M6*J$3,$M$64))</f>
        <v>#VALUE!</v>
      </c>
      <c r="AA17" s="149" t="str">
        <f t="shared" si="7"/>
        <v>-</v>
      </c>
      <c r="AB17" s="149" t="str">
        <f t="shared" si="8"/>
        <v>-</v>
      </c>
      <c r="AC17" s="149" t="str">
        <f t="shared" si="9"/>
        <v>-</v>
      </c>
      <c r="AD17" s="149" t="str">
        <f t="shared" si="10"/>
        <v>-</v>
      </c>
      <c r="AE17" s="149" t="str">
        <f t="shared" si="15"/>
        <v/>
      </c>
      <c r="AF17" s="149" t="e">
        <f t="shared" ca="1" si="16"/>
        <v>#VALUE!</v>
      </c>
    </row>
    <row r="18" spans="2:32" ht="15" customHeight="1">
      <c r="B18" s="161" t="b">
        <f>IF(TRIM(Length_13!C7)="",FALSE,TRUE)</f>
        <v>0</v>
      </c>
      <c r="C18" s="149" t="str">
        <f>IF($B18=FALSE,"",Length_13!A7)</f>
        <v/>
      </c>
      <c r="D18" s="149" t="str">
        <f>IF($B18=FALSE,"",Length_13!B7)</f>
        <v/>
      </c>
      <c r="E18" s="149" t="str">
        <f>IF($B18=FALSE,"",VALUE(Length_13!C7))</f>
        <v/>
      </c>
      <c r="F18" s="149" t="str">
        <f>IF($B18=FALSE,"",Length_13!D7)</f>
        <v/>
      </c>
      <c r="G18" s="161" t="str">
        <f>IF($B18=FALSE,"",Length_13!O7)</f>
        <v/>
      </c>
      <c r="H18" s="161" t="str">
        <f>IF($B18=FALSE,"",Length_13!P7)</f>
        <v/>
      </c>
      <c r="I18" s="161" t="str">
        <f>IF($B18=FALSE,"",Length_13!Q7)</f>
        <v/>
      </c>
      <c r="J18" s="161" t="str">
        <f>IF($B18=FALSE,"",Length_13!R7)</f>
        <v/>
      </c>
      <c r="K18" s="161" t="str">
        <f>IF($B18=FALSE,"",Length_13!S7)</f>
        <v/>
      </c>
      <c r="L18" s="149" t="str">
        <f t="shared" si="1"/>
        <v/>
      </c>
      <c r="M18" s="162" t="str">
        <f t="shared" si="2"/>
        <v/>
      </c>
      <c r="N18" s="164" t="str">
        <f>IF($B18=FALSE,"",Calcu!L18*J$3)</f>
        <v/>
      </c>
      <c r="O18" s="184" t="str">
        <f t="shared" si="3"/>
        <v/>
      </c>
      <c r="P18" s="182" t="str">
        <f t="shared" si="11"/>
        <v/>
      </c>
      <c r="Q18" s="182" t="str">
        <f t="shared" si="12"/>
        <v/>
      </c>
      <c r="R18" s="182" t="str">
        <f t="shared" si="4"/>
        <v/>
      </c>
      <c r="S18" s="163" t="str">
        <f>IF($B18=FALSE,"",Length_13!D30/IF(Length_13!E30="μm",1000,1))</f>
        <v/>
      </c>
      <c r="T18" s="156" t="str">
        <f t="shared" si="5"/>
        <v/>
      </c>
      <c r="U18" s="185" t="str">
        <f t="shared" si="6"/>
        <v/>
      </c>
      <c r="V18" s="149" t="str">
        <f t="shared" si="13"/>
        <v/>
      </c>
      <c r="W18" s="149" t="str">
        <f t="shared" si="14"/>
        <v/>
      </c>
      <c r="X18" s="119"/>
      <c r="Y18" s="149" t="e">
        <f ca="1">IF(Length_13!L7&lt;0,ROUNDUP(Length_13!L7*J$3,$M$64),ROUNDDOWN(Length_13!L7*J$3,$M$64))</f>
        <v>#VALUE!</v>
      </c>
      <c r="Z18" s="149" t="e">
        <f ca="1">IF(Length_13!M7&lt;0,ROUNDDOWN(Length_13!M7*J$3,$M$64),ROUNDUP(Length_13!M7*J$3,$M$64))</f>
        <v>#VALUE!</v>
      </c>
      <c r="AA18" s="149" t="str">
        <f t="shared" si="7"/>
        <v>-</v>
      </c>
      <c r="AB18" s="149" t="str">
        <f t="shared" si="8"/>
        <v>-</v>
      </c>
      <c r="AC18" s="149" t="str">
        <f t="shared" si="9"/>
        <v>-</v>
      </c>
      <c r="AD18" s="149" t="str">
        <f t="shared" si="10"/>
        <v>-</v>
      </c>
      <c r="AE18" s="149" t="str">
        <f t="shared" si="15"/>
        <v/>
      </c>
      <c r="AF18" s="149" t="e">
        <f t="shared" ca="1" si="16"/>
        <v>#VALUE!</v>
      </c>
    </row>
    <row r="19" spans="2:32" ht="15" customHeight="1">
      <c r="B19" s="161" t="b">
        <f>IF(TRIM(Length_13!C8)="",FALSE,TRUE)</f>
        <v>0</v>
      </c>
      <c r="C19" s="149" t="str">
        <f>IF($B19=FALSE,"",Length_13!A8)</f>
        <v/>
      </c>
      <c r="D19" s="149" t="str">
        <f>IF($B19=FALSE,"",Length_13!B8)</f>
        <v/>
      </c>
      <c r="E19" s="149" t="str">
        <f>IF($B19=FALSE,"",VALUE(Length_13!C8))</f>
        <v/>
      </c>
      <c r="F19" s="149" t="str">
        <f>IF($B19=FALSE,"",Length_13!D8)</f>
        <v/>
      </c>
      <c r="G19" s="161" t="str">
        <f>IF($B19=FALSE,"",Length_13!O8)</f>
        <v/>
      </c>
      <c r="H19" s="161" t="str">
        <f>IF($B19=FALSE,"",Length_13!P8)</f>
        <v/>
      </c>
      <c r="I19" s="161" t="str">
        <f>IF($B19=FALSE,"",Length_13!Q8)</f>
        <v/>
      </c>
      <c r="J19" s="161" t="str">
        <f>IF($B19=FALSE,"",Length_13!R8)</f>
        <v/>
      </c>
      <c r="K19" s="161" t="str">
        <f>IF($B19=FALSE,"",Length_13!S8)</f>
        <v/>
      </c>
      <c r="L19" s="149" t="str">
        <f t="shared" si="1"/>
        <v/>
      </c>
      <c r="M19" s="162" t="str">
        <f t="shared" si="2"/>
        <v/>
      </c>
      <c r="N19" s="164" t="str">
        <f>IF($B19=FALSE,"",Calcu!L19*J$3)</f>
        <v/>
      </c>
      <c r="O19" s="184" t="str">
        <f t="shared" si="3"/>
        <v/>
      </c>
      <c r="P19" s="182" t="str">
        <f t="shared" si="11"/>
        <v/>
      </c>
      <c r="Q19" s="182" t="str">
        <f t="shared" si="12"/>
        <v/>
      </c>
      <c r="R19" s="182" t="str">
        <f t="shared" si="4"/>
        <v/>
      </c>
      <c r="S19" s="163" t="str">
        <f>IF($B19=FALSE,"",Length_13!D31/IF(Length_13!E31="μm",1000,1))</f>
        <v/>
      </c>
      <c r="T19" s="156" t="str">
        <f t="shared" si="5"/>
        <v/>
      </c>
      <c r="U19" s="185" t="str">
        <f t="shared" si="6"/>
        <v/>
      </c>
      <c r="V19" s="149" t="str">
        <f t="shared" si="13"/>
        <v/>
      </c>
      <c r="W19" s="149" t="str">
        <f t="shared" si="14"/>
        <v/>
      </c>
      <c r="X19" s="119"/>
      <c r="Y19" s="149" t="e">
        <f ca="1">IF(Length_13!L8&lt;0,ROUNDUP(Length_13!L8*J$3,$M$64),ROUNDDOWN(Length_13!L8*J$3,$M$64))</f>
        <v>#VALUE!</v>
      </c>
      <c r="Z19" s="149" t="e">
        <f ca="1">IF(Length_13!M8&lt;0,ROUNDDOWN(Length_13!M8*J$3,$M$64),ROUNDUP(Length_13!M8*J$3,$M$64))</f>
        <v>#VALUE!</v>
      </c>
      <c r="AA19" s="149" t="str">
        <f t="shared" si="7"/>
        <v>-</v>
      </c>
      <c r="AB19" s="149" t="str">
        <f t="shared" si="8"/>
        <v>-</v>
      </c>
      <c r="AC19" s="149" t="str">
        <f t="shared" si="9"/>
        <v>-</v>
      </c>
      <c r="AD19" s="149" t="str">
        <f t="shared" si="10"/>
        <v>-</v>
      </c>
      <c r="AE19" s="149" t="str">
        <f t="shared" si="15"/>
        <v/>
      </c>
      <c r="AF19" s="149" t="e">
        <f t="shared" ca="1" si="16"/>
        <v>#VALUE!</v>
      </c>
    </row>
    <row r="20" spans="2:32" ht="15" customHeight="1">
      <c r="B20" s="161" t="b">
        <f>IF(TRIM(Length_13!C9)="",FALSE,TRUE)</f>
        <v>0</v>
      </c>
      <c r="C20" s="149" t="str">
        <f>IF($B20=FALSE,"",Length_13!A9)</f>
        <v/>
      </c>
      <c r="D20" s="149" t="str">
        <f>IF($B20=FALSE,"",Length_13!B9)</f>
        <v/>
      </c>
      <c r="E20" s="149" t="str">
        <f>IF($B20=FALSE,"",VALUE(Length_13!C9))</f>
        <v/>
      </c>
      <c r="F20" s="149" t="str">
        <f>IF($B20=FALSE,"",Length_13!D9)</f>
        <v/>
      </c>
      <c r="G20" s="161" t="str">
        <f>IF($B20=FALSE,"",Length_13!O9)</f>
        <v/>
      </c>
      <c r="H20" s="161" t="str">
        <f>IF($B20=FALSE,"",Length_13!P9)</f>
        <v/>
      </c>
      <c r="I20" s="161" t="str">
        <f>IF($B20=FALSE,"",Length_13!Q9)</f>
        <v/>
      </c>
      <c r="J20" s="161" t="str">
        <f>IF($B20=FALSE,"",Length_13!R9)</f>
        <v/>
      </c>
      <c r="K20" s="161" t="str">
        <f>IF($B20=FALSE,"",Length_13!S9)</f>
        <v/>
      </c>
      <c r="L20" s="149" t="str">
        <f t="shared" si="1"/>
        <v/>
      </c>
      <c r="M20" s="162" t="str">
        <f t="shared" si="2"/>
        <v/>
      </c>
      <c r="N20" s="164" t="str">
        <f>IF($B20=FALSE,"",Calcu!L20*J$3)</f>
        <v/>
      </c>
      <c r="O20" s="184" t="str">
        <f t="shared" si="3"/>
        <v/>
      </c>
      <c r="P20" s="182" t="str">
        <f t="shared" si="11"/>
        <v/>
      </c>
      <c r="Q20" s="182" t="str">
        <f t="shared" si="12"/>
        <v/>
      </c>
      <c r="R20" s="182" t="str">
        <f t="shared" si="4"/>
        <v/>
      </c>
      <c r="S20" s="163" t="str">
        <f>IF($B20=FALSE,"",Length_13!D32/IF(Length_13!E32="μm",1000,1))</f>
        <v/>
      </c>
      <c r="T20" s="156" t="str">
        <f t="shared" si="5"/>
        <v/>
      </c>
      <c r="U20" s="185" t="str">
        <f t="shared" si="6"/>
        <v/>
      </c>
      <c r="V20" s="149" t="str">
        <f t="shared" si="13"/>
        <v/>
      </c>
      <c r="W20" s="149" t="str">
        <f t="shared" si="14"/>
        <v/>
      </c>
      <c r="X20" s="119"/>
      <c r="Y20" s="149" t="e">
        <f ca="1">IF(Length_13!L9&lt;0,ROUNDUP(Length_13!L9*J$3,$M$64),ROUNDDOWN(Length_13!L9*J$3,$M$64))</f>
        <v>#VALUE!</v>
      </c>
      <c r="Z20" s="149" t="e">
        <f ca="1">IF(Length_13!M9&lt;0,ROUNDDOWN(Length_13!M9*J$3,$M$64),ROUNDUP(Length_13!M9*J$3,$M$64))</f>
        <v>#VALUE!</v>
      </c>
      <c r="AA20" s="149" t="str">
        <f t="shared" si="7"/>
        <v>-</v>
      </c>
      <c r="AB20" s="149" t="str">
        <f t="shared" si="8"/>
        <v>-</v>
      </c>
      <c r="AC20" s="149" t="str">
        <f t="shared" si="9"/>
        <v>-</v>
      </c>
      <c r="AD20" s="149" t="str">
        <f t="shared" si="10"/>
        <v>-</v>
      </c>
      <c r="AE20" s="149" t="str">
        <f t="shared" si="15"/>
        <v/>
      </c>
      <c r="AF20" s="149" t="e">
        <f t="shared" ca="1" si="16"/>
        <v>#VALUE!</v>
      </c>
    </row>
    <row r="21" spans="2:32" ht="15" customHeight="1">
      <c r="B21" s="161" t="b">
        <f>IF(TRIM(Length_13!C10)="",FALSE,TRUE)</f>
        <v>0</v>
      </c>
      <c r="C21" s="149" t="str">
        <f>IF($B21=FALSE,"",Length_13!A10)</f>
        <v/>
      </c>
      <c r="D21" s="149" t="str">
        <f>IF($B21=FALSE,"",Length_13!B10)</f>
        <v/>
      </c>
      <c r="E21" s="149" t="str">
        <f>IF($B21=FALSE,"",VALUE(Length_13!C10))</f>
        <v/>
      </c>
      <c r="F21" s="149" t="str">
        <f>IF($B21=FALSE,"",Length_13!D10)</f>
        <v/>
      </c>
      <c r="G21" s="161" t="str">
        <f>IF($B21=FALSE,"",Length_13!O10)</f>
        <v/>
      </c>
      <c r="H21" s="161" t="str">
        <f>IF($B21=FALSE,"",Length_13!P10)</f>
        <v/>
      </c>
      <c r="I21" s="161" t="str">
        <f>IF($B21=FALSE,"",Length_13!Q10)</f>
        <v/>
      </c>
      <c r="J21" s="161" t="str">
        <f>IF($B21=FALSE,"",Length_13!R10)</f>
        <v/>
      </c>
      <c r="K21" s="161" t="str">
        <f>IF($B21=FALSE,"",Length_13!S10)</f>
        <v/>
      </c>
      <c r="L21" s="149" t="str">
        <f t="shared" si="1"/>
        <v/>
      </c>
      <c r="M21" s="162" t="str">
        <f t="shared" si="2"/>
        <v/>
      </c>
      <c r="N21" s="164" t="str">
        <f>IF($B21=FALSE,"",Calcu!L21*J$3)</f>
        <v/>
      </c>
      <c r="O21" s="184" t="str">
        <f t="shared" si="3"/>
        <v/>
      </c>
      <c r="P21" s="182" t="str">
        <f t="shared" si="11"/>
        <v/>
      </c>
      <c r="Q21" s="182" t="str">
        <f t="shared" si="12"/>
        <v/>
      </c>
      <c r="R21" s="182" t="str">
        <f t="shared" si="4"/>
        <v/>
      </c>
      <c r="S21" s="163" t="str">
        <f>IF($B21=FALSE,"",Length_13!D33/IF(Length_13!E33="μm",1000,1))</f>
        <v/>
      </c>
      <c r="T21" s="156" t="str">
        <f t="shared" si="5"/>
        <v/>
      </c>
      <c r="U21" s="185" t="str">
        <f t="shared" si="6"/>
        <v/>
      </c>
      <c r="V21" s="149" t="str">
        <f t="shared" si="13"/>
        <v/>
      </c>
      <c r="W21" s="149" t="str">
        <f t="shared" si="14"/>
        <v/>
      </c>
      <c r="X21" s="119"/>
      <c r="Y21" s="149" t="e">
        <f ca="1">IF(Length_13!L10&lt;0,ROUNDUP(Length_13!L10*J$3,$M$64),ROUNDDOWN(Length_13!L10*J$3,$M$64))</f>
        <v>#VALUE!</v>
      </c>
      <c r="Z21" s="149" t="e">
        <f ca="1">IF(Length_13!M10&lt;0,ROUNDDOWN(Length_13!M10*J$3,$M$64),ROUNDUP(Length_13!M10*J$3,$M$64))</f>
        <v>#VALUE!</v>
      </c>
      <c r="AA21" s="149" t="str">
        <f t="shared" si="7"/>
        <v>-</v>
      </c>
      <c r="AB21" s="149" t="str">
        <f t="shared" si="8"/>
        <v>-</v>
      </c>
      <c r="AC21" s="149" t="str">
        <f t="shared" si="9"/>
        <v>-</v>
      </c>
      <c r="AD21" s="149" t="str">
        <f t="shared" si="10"/>
        <v>-</v>
      </c>
      <c r="AE21" s="149" t="str">
        <f t="shared" si="15"/>
        <v/>
      </c>
      <c r="AF21" s="149" t="e">
        <f t="shared" ca="1" si="16"/>
        <v>#VALUE!</v>
      </c>
    </row>
    <row r="22" spans="2:32" ht="15" customHeight="1">
      <c r="B22" s="161" t="b">
        <f>IF(TRIM(Length_13!C11)="",FALSE,TRUE)</f>
        <v>0</v>
      </c>
      <c r="C22" s="149" t="str">
        <f>IF($B22=FALSE,"",Length_13!A11)</f>
        <v/>
      </c>
      <c r="D22" s="149" t="str">
        <f>IF($B22=FALSE,"",Length_13!B11)</f>
        <v/>
      </c>
      <c r="E22" s="149" t="str">
        <f>IF($B22=FALSE,"",VALUE(Length_13!C11))</f>
        <v/>
      </c>
      <c r="F22" s="149" t="str">
        <f>IF($B22=FALSE,"",Length_13!D11)</f>
        <v/>
      </c>
      <c r="G22" s="161" t="str">
        <f>IF($B22=FALSE,"",Length_13!O11)</f>
        <v/>
      </c>
      <c r="H22" s="161" t="str">
        <f>IF($B22=FALSE,"",Length_13!P11)</f>
        <v/>
      </c>
      <c r="I22" s="161" t="str">
        <f>IF($B22=FALSE,"",Length_13!Q11)</f>
        <v/>
      </c>
      <c r="J22" s="161" t="str">
        <f>IF($B22=FALSE,"",Length_13!R11)</f>
        <v/>
      </c>
      <c r="K22" s="161" t="str">
        <f>IF($B22=FALSE,"",Length_13!S11)</f>
        <v/>
      </c>
      <c r="L22" s="149" t="str">
        <f t="shared" si="1"/>
        <v/>
      </c>
      <c r="M22" s="162" t="str">
        <f t="shared" si="2"/>
        <v/>
      </c>
      <c r="N22" s="164" t="str">
        <f>IF($B22=FALSE,"",Calcu!L22*J$3)</f>
        <v/>
      </c>
      <c r="O22" s="184" t="str">
        <f t="shared" si="3"/>
        <v/>
      </c>
      <c r="P22" s="182" t="str">
        <f t="shared" si="11"/>
        <v/>
      </c>
      <c r="Q22" s="182" t="str">
        <f t="shared" si="12"/>
        <v/>
      </c>
      <c r="R22" s="182" t="str">
        <f t="shared" si="4"/>
        <v/>
      </c>
      <c r="S22" s="163" t="str">
        <f>IF($B22=FALSE,"",Length_13!D34/IF(Length_13!E34="μm",1000,1))</f>
        <v/>
      </c>
      <c r="T22" s="156" t="str">
        <f t="shared" si="5"/>
        <v/>
      </c>
      <c r="U22" s="185" t="str">
        <f t="shared" si="6"/>
        <v/>
      </c>
      <c r="V22" s="149" t="str">
        <f t="shared" si="13"/>
        <v/>
      </c>
      <c r="W22" s="149" t="str">
        <f t="shared" si="14"/>
        <v/>
      </c>
      <c r="X22" s="119"/>
      <c r="Y22" s="149" t="e">
        <f ca="1">IF(Length_13!L11&lt;0,ROUNDUP(Length_13!L11*J$3,$M$64),ROUNDDOWN(Length_13!L11*J$3,$M$64))</f>
        <v>#VALUE!</v>
      </c>
      <c r="Z22" s="149" t="e">
        <f ca="1">IF(Length_13!M11&lt;0,ROUNDDOWN(Length_13!M11*J$3,$M$64),ROUNDUP(Length_13!M11*J$3,$M$64))</f>
        <v>#VALUE!</v>
      </c>
      <c r="AA22" s="149" t="str">
        <f t="shared" si="7"/>
        <v>-</v>
      </c>
      <c r="AB22" s="149" t="str">
        <f t="shared" si="8"/>
        <v>-</v>
      </c>
      <c r="AC22" s="149" t="str">
        <f t="shared" si="9"/>
        <v>-</v>
      </c>
      <c r="AD22" s="149" t="str">
        <f t="shared" si="10"/>
        <v>-</v>
      </c>
      <c r="AE22" s="149" t="str">
        <f t="shared" si="15"/>
        <v/>
      </c>
      <c r="AF22" s="149" t="e">
        <f t="shared" ca="1" si="16"/>
        <v>#VALUE!</v>
      </c>
    </row>
    <row r="23" spans="2:32" ht="15" customHeight="1">
      <c r="B23" s="161" t="b">
        <f>IF(TRIM(Length_13!C12)="",FALSE,TRUE)</f>
        <v>0</v>
      </c>
      <c r="C23" s="149" t="str">
        <f>IF($B23=FALSE,"",Length_13!A12)</f>
        <v/>
      </c>
      <c r="D23" s="149" t="str">
        <f>IF($B23=FALSE,"",Length_13!B12)</f>
        <v/>
      </c>
      <c r="E23" s="149" t="str">
        <f>IF($B23=FALSE,"",VALUE(Length_13!C12))</f>
        <v/>
      </c>
      <c r="F23" s="149" t="str">
        <f>IF($B23=FALSE,"",Length_13!D12)</f>
        <v/>
      </c>
      <c r="G23" s="161" t="str">
        <f>IF($B23=FALSE,"",Length_13!O12)</f>
        <v/>
      </c>
      <c r="H23" s="161" t="str">
        <f>IF($B23=FALSE,"",Length_13!P12)</f>
        <v/>
      </c>
      <c r="I23" s="161" t="str">
        <f>IF($B23=FALSE,"",Length_13!Q12)</f>
        <v/>
      </c>
      <c r="J23" s="161" t="str">
        <f>IF($B23=FALSE,"",Length_13!R12)</f>
        <v/>
      </c>
      <c r="K23" s="161" t="str">
        <f>IF($B23=FALSE,"",Length_13!S12)</f>
        <v/>
      </c>
      <c r="L23" s="149" t="str">
        <f t="shared" si="1"/>
        <v/>
      </c>
      <c r="M23" s="162" t="str">
        <f t="shared" si="2"/>
        <v/>
      </c>
      <c r="N23" s="164" t="str">
        <f>IF($B23=FALSE,"",Calcu!L23*J$3)</f>
        <v/>
      </c>
      <c r="O23" s="184" t="str">
        <f t="shared" si="3"/>
        <v/>
      </c>
      <c r="P23" s="182" t="str">
        <f t="shared" si="11"/>
        <v/>
      </c>
      <c r="Q23" s="182" t="str">
        <f t="shared" si="12"/>
        <v/>
      </c>
      <c r="R23" s="182" t="str">
        <f t="shared" si="4"/>
        <v/>
      </c>
      <c r="S23" s="163" t="str">
        <f>IF($B23=FALSE,"",Length_13!D35/IF(Length_13!E35="μm",1000,1))</f>
        <v/>
      </c>
      <c r="T23" s="156" t="str">
        <f t="shared" si="5"/>
        <v/>
      </c>
      <c r="U23" s="185" t="str">
        <f t="shared" si="6"/>
        <v/>
      </c>
      <c r="V23" s="149" t="str">
        <f t="shared" si="13"/>
        <v/>
      </c>
      <c r="W23" s="149" t="str">
        <f t="shared" si="14"/>
        <v/>
      </c>
      <c r="X23" s="119"/>
      <c r="Y23" s="149" t="e">
        <f ca="1">IF(Length_13!L12&lt;0,ROUNDUP(Length_13!L12*J$3,$M$64),ROUNDDOWN(Length_13!L12*J$3,$M$64))</f>
        <v>#VALUE!</v>
      </c>
      <c r="Z23" s="149" t="e">
        <f ca="1">IF(Length_13!M12&lt;0,ROUNDDOWN(Length_13!M12*J$3,$M$64),ROUNDUP(Length_13!M12*J$3,$M$64))</f>
        <v>#VALUE!</v>
      </c>
      <c r="AA23" s="149" t="str">
        <f t="shared" si="7"/>
        <v>-</v>
      </c>
      <c r="AB23" s="149" t="str">
        <f t="shared" si="8"/>
        <v>-</v>
      </c>
      <c r="AC23" s="149" t="str">
        <f t="shared" si="9"/>
        <v>-</v>
      </c>
      <c r="AD23" s="149" t="str">
        <f t="shared" si="10"/>
        <v>-</v>
      </c>
      <c r="AE23" s="149" t="str">
        <f t="shared" si="15"/>
        <v/>
      </c>
      <c r="AF23" s="149" t="e">
        <f t="shared" ca="1" si="16"/>
        <v>#VALUE!</v>
      </c>
    </row>
    <row r="24" spans="2:32" ht="15" customHeight="1">
      <c r="B24" s="161" t="b">
        <f>IF(TRIM(Length_13!C13)="",FALSE,TRUE)</f>
        <v>0</v>
      </c>
      <c r="C24" s="149" t="str">
        <f>IF($B24=FALSE,"",Length_13!A13)</f>
        <v/>
      </c>
      <c r="D24" s="149" t="str">
        <f>IF($B24=FALSE,"",Length_13!B13)</f>
        <v/>
      </c>
      <c r="E24" s="149" t="str">
        <f>IF($B24=FALSE,"",VALUE(Length_13!C13))</f>
        <v/>
      </c>
      <c r="F24" s="149" t="str">
        <f>IF($B24=FALSE,"",Length_13!D13)</f>
        <v/>
      </c>
      <c r="G24" s="161" t="str">
        <f>IF($B24=FALSE,"",Length_13!O13)</f>
        <v/>
      </c>
      <c r="H24" s="161" t="str">
        <f>IF($B24=FALSE,"",Length_13!P13)</f>
        <v/>
      </c>
      <c r="I24" s="161" t="str">
        <f>IF($B24=FALSE,"",Length_13!Q13)</f>
        <v/>
      </c>
      <c r="J24" s="161" t="str">
        <f>IF($B24=FALSE,"",Length_13!R13)</f>
        <v/>
      </c>
      <c r="K24" s="161" t="str">
        <f>IF($B24=FALSE,"",Length_13!S13)</f>
        <v/>
      </c>
      <c r="L24" s="149" t="str">
        <f t="shared" si="1"/>
        <v/>
      </c>
      <c r="M24" s="162" t="str">
        <f t="shared" si="2"/>
        <v/>
      </c>
      <c r="N24" s="164" t="str">
        <f>IF($B24=FALSE,"",Calcu!L24*J$3)</f>
        <v/>
      </c>
      <c r="O24" s="184" t="str">
        <f t="shared" si="3"/>
        <v/>
      </c>
      <c r="P24" s="182" t="str">
        <f t="shared" si="11"/>
        <v/>
      </c>
      <c r="Q24" s="182" t="str">
        <f t="shared" si="12"/>
        <v/>
      </c>
      <c r="R24" s="182" t="str">
        <f t="shared" si="4"/>
        <v/>
      </c>
      <c r="S24" s="163" t="str">
        <f>IF($B24=FALSE,"",Length_13!D36/IF(Length_13!E36="μm",1000,1))</f>
        <v/>
      </c>
      <c r="T24" s="156" t="str">
        <f t="shared" si="5"/>
        <v/>
      </c>
      <c r="U24" s="185" t="str">
        <f t="shared" si="6"/>
        <v/>
      </c>
      <c r="V24" s="149" t="str">
        <f t="shared" si="13"/>
        <v/>
      </c>
      <c r="W24" s="149" t="str">
        <f t="shared" si="14"/>
        <v/>
      </c>
      <c r="X24" s="119"/>
      <c r="Y24" s="149" t="e">
        <f ca="1">IF(Length_13!L13&lt;0,ROUNDUP(Length_13!L13*J$3,$M$64),ROUNDDOWN(Length_13!L13*J$3,$M$64))</f>
        <v>#VALUE!</v>
      </c>
      <c r="Z24" s="149" t="e">
        <f ca="1">IF(Length_13!M13&lt;0,ROUNDDOWN(Length_13!M13*J$3,$M$64),ROUNDUP(Length_13!M13*J$3,$M$64))</f>
        <v>#VALUE!</v>
      </c>
      <c r="AA24" s="149" t="str">
        <f t="shared" si="7"/>
        <v>-</v>
      </c>
      <c r="AB24" s="149" t="str">
        <f t="shared" si="8"/>
        <v>-</v>
      </c>
      <c r="AC24" s="149" t="str">
        <f t="shared" si="9"/>
        <v>-</v>
      </c>
      <c r="AD24" s="149" t="str">
        <f t="shared" si="10"/>
        <v>-</v>
      </c>
      <c r="AE24" s="149" t="str">
        <f t="shared" si="15"/>
        <v/>
      </c>
      <c r="AF24" s="149" t="e">
        <f t="shared" ca="1" si="16"/>
        <v>#VALUE!</v>
      </c>
    </row>
    <row r="25" spans="2:32" ht="15" customHeight="1">
      <c r="B25" s="161" t="b">
        <f>IF(TRIM(Length_13!C14)="",FALSE,TRUE)</f>
        <v>0</v>
      </c>
      <c r="C25" s="149" t="str">
        <f>IF($B25=FALSE,"",Length_13!A14)</f>
        <v/>
      </c>
      <c r="D25" s="149" t="str">
        <f>IF($B25=FALSE,"",Length_13!B14)</f>
        <v/>
      </c>
      <c r="E25" s="149" t="str">
        <f>IF($B25=FALSE,"",VALUE(Length_13!C14))</f>
        <v/>
      </c>
      <c r="F25" s="149" t="str">
        <f>IF($B25=FALSE,"",Length_13!D14)</f>
        <v/>
      </c>
      <c r="G25" s="161" t="str">
        <f>IF($B25=FALSE,"",Length_13!O14)</f>
        <v/>
      </c>
      <c r="H25" s="161" t="str">
        <f>IF($B25=FALSE,"",Length_13!P14)</f>
        <v/>
      </c>
      <c r="I25" s="161" t="str">
        <f>IF($B25=FALSE,"",Length_13!Q14)</f>
        <v/>
      </c>
      <c r="J25" s="161" t="str">
        <f>IF($B25=FALSE,"",Length_13!R14)</f>
        <v/>
      </c>
      <c r="K25" s="161" t="str">
        <f>IF($B25=FALSE,"",Length_13!S14)</f>
        <v/>
      </c>
      <c r="L25" s="149" t="str">
        <f t="shared" si="1"/>
        <v/>
      </c>
      <c r="M25" s="162" t="str">
        <f t="shared" si="2"/>
        <v/>
      </c>
      <c r="N25" s="164" t="str">
        <f>IF($B25=FALSE,"",Calcu!L25*J$3)</f>
        <v/>
      </c>
      <c r="O25" s="184" t="str">
        <f t="shared" si="3"/>
        <v/>
      </c>
      <c r="P25" s="182" t="str">
        <f t="shared" si="11"/>
        <v/>
      </c>
      <c r="Q25" s="182" t="str">
        <f t="shared" si="12"/>
        <v/>
      </c>
      <c r="R25" s="182" t="str">
        <f t="shared" si="4"/>
        <v/>
      </c>
      <c r="S25" s="163" t="str">
        <f>IF($B25=FALSE,"",Length_13!D37/IF(Length_13!E37="μm",1000,1))</f>
        <v/>
      </c>
      <c r="T25" s="156" t="str">
        <f t="shared" si="5"/>
        <v/>
      </c>
      <c r="U25" s="185" t="str">
        <f t="shared" si="6"/>
        <v/>
      </c>
      <c r="V25" s="149" t="str">
        <f t="shared" si="13"/>
        <v/>
      </c>
      <c r="W25" s="149" t="str">
        <f t="shared" si="14"/>
        <v/>
      </c>
      <c r="X25" s="119"/>
      <c r="Y25" s="149" t="e">
        <f ca="1">IF(Length_13!L14&lt;0,ROUNDUP(Length_13!L14*J$3,$M$64),ROUNDDOWN(Length_13!L14*J$3,$M$64))</f>
        <v>#VALUE!</v>
      </c>
      <c r="Z25" s="149" t="e">
        <f ca="1">IF(Length_13!M14&lt;0,ROUNDDOWN(Length_13!M14*J$3,$M$64),ROUNDUP(Length_13!M14*J$3,$M$64))</f>
        <v>#VALUE!</v>
      </c>
      <c r="AA25" s="149" t="str">
        <f t="shared" si="7"/>
        <v>-</v>
      </c>
      <c r="AB25" s="149" t="str">
        <f t="shared" si="8"/>
        <v>-</v>
      </c>
      <c r="AC25" s="149" t="str">
        <f t="shared" si="9"/>
        <v>-</v>
      </c>
      <c r="AD25" s="149" t="str">
        <f t="shared" si="10"/>
        <v>-</v>
      </c>
      <c r="AE25" s="149" t="str">
        <f t="shared" si="15"/>
        <v/>
      </c>
      <c r="AF25" s="149" t="e">
        <f t="shared" ca="1" si="16"/>
        <v>#VALUE!</v>
      </c>
    </row>
    <row r="26" spans="2:32" ht="15" customHeight="1">
      <c r="B26" s="161" t="b">
        <f>IF(TRIM(Length_13!C15)="",FALSE,TRUE)</f>
        <v>0</v>
      </c>
      <c r="C26" s="149" t="str">
        <f>IF($B26=FALSE,"",Length_13!A15)</f>
        <v/>
      </c>
      <c r="D26" s="149" t="str">
        <f>IF($B26=FALSE,"",Length_13!B15)</f>
        <v/>
      </c>
      <c r="E26" s="149" t="str">
        <f>IF($B26=FALSE,"",VALUE(Length_13!C15))</f>
        <v/>
      </c>
      <c r="F26" s="149" t="str">
        <f>IF($B26=FALSE,"",Length_13!D15)</f>
        <v/>
      </c>
      <c r="G26" s="161" t="str">
        <f>IF($B26=FALSE,"",Length_13!O15)</f>
        <v/>
      </c>
      <c r="H26" s="161" t="str">
        <f>IF($B26=FALSE,"",Length_13!P15)</f>
        <v/>
      </c>
      <c r="I26" s="161" t="str">
        <f>IF($B26=FALSE,"",Length_13!Q15)</f>
        <v/>
      </c>
      <c r="J26" s="161" t="str">
        <f>IF($B26=FALSE,"",Length_13!R15)</f>
        <v/>
      </c>
      <c r="K26" s="161" t="str">
        <f>IF($B26=FALSE,"",Length_13!S15)</f>
        <v/>
      </c>
      <c r="L26" s="149" t="str">
        <f t="shared" si="1"/>
        <v/>
      </c>
      <c r="M26" s="162" t="str">
        <f t="shared" si="2"/>
        <v/>
      </c>
      <c r="N26" s="164" t="str">
        <f>IF($B26=FALSE,"",Calcu!L26*J$3)</f>
        <v/>
      </c>
      <c r="O26" s="184" t="str">
        <f t="shared" si="3"/>
        <v/>
      </c>
      <c r="P26" s="182" t="str">
        <f t="shared" si="11"/>
        <v/>
      </c>
      <c r="Q26" s="182" t="str">
        <f t="shared" si="12"/>
        <v/>
      </c>
      <c r="R26" s="182" t="str">
        <f t="shared" si="4"/>
        <v/>
      </c>
      <c r="S26" s="163" t="str">
        <f>IF($B26=FALSE,"",Length_13!D38/IF(Length_13!E38="μm",1000,1))</f>
        <v/>
      </c>
      <c r="T26" s="156" t="str">
        <f t="shared" si="5"/>
        <v/>
      </c>
      <c r="U26" s="185" t="str">
        <f t="shared" si="6"/>
        <v/>
      </c>
      <c r="V26" s="149" t="str">
        <f t="shared" si="13"/>
        <v/>
      </c>
      <c r="W26" s="149" t="str">
        <f t="shared" si="14"/>
        <v/>
      </c>
      <c r="X26" s="119"/>
      <c r="Y26" s="149" t="e">
        <f ca="1">IF(Length_13!L15&lt;0,ROUNDUP(Length_13!L15*J$3,$M$64),ROUNDDOWN(Length_13!L15*J$3,$M$64))</f>
        <v>#VALUE!</v>
      </c>
      <c r="Z26" s="149" t="e">
        <f ca="1">IF(Length_13!M15&lt;0,ROUNDDOWN(Length_13!M15*J$3,$M$64),ROUNDUP(Length_13!M15*J$3,$M$64))</f>
        <v>#VALUE!</v>
      </c>
      <c r="AA26" s="149" t="str">
        <f t="shared" si="7"/>
        <v>-</v>
      </c>
      <c r="AB26" s="149" t="str">
        <f t="shared" si="8"/>
        <v>-</v>
      </c>
      <c r="AC26" s="149" t="str">
        <f t="shared" si="9"/>
        <v>-</v>
      </c>
      <c r="AD26" s="149" t="str">
        <f t="shared" si="10"/>
        <v>-</v>
      </c>
      <c r="AE26" s="149" t="str">
        <f t="shared" si="15"/>
        <v/>
      </c>
      <c r="AF26" s="149" t="e">
        <f t="shared" ca="1" si="16"/>
        <v>#VALUE!</v>
      </c>
    </row>
    <row r="27" spans="2:32" ht="15" customHeight="1">
      <c r="B27" s="161" t="b">
        <f>IF(TRIM(Length_13!C16)="",FALSE,TRUE)</f>
        <v>0</v>
      </c>
      <c r="C27" s="149" t="str">
        <f>IF($B27=FALSE,"",Length_13!A16)</f>
        <v/>
      </c>
      <c r="D27" s="149" t="str">
        <f>IF($B27=FALSE,"",Length_13!B16)</f>
        <v/>
      </c>
      <c r="E27" s="149" t="str">
        <f>IF($B27=FALSE,"",VALUE(Length_13!C16))</f>
        <v/>
      </c>
      <c r="F27" s="149" t="str">
        <f>IF($B27=FALSE,"",Length_13!D16)</f>
        <v/>
      </c>
      <c r="G27" s="161" t="str">
        <f>IF($B27=FALSE,"",Length_13!O16)</f>
        <v/>
      </c>
      <c r="H27" s="161" t="str">
        <f>IF($B27=FALSE,"",Length_13!P16)</f>
        <v/>
      </c>
      <c r="I27" s="161" t="str">
        <f>IF($B27=FALSE,"",Length_13!Q16)</f>
        <v/>
      </c>
      <c r="J27" s="161" t="str">
        <f>IF($B27=FALSE,"",Length_13!R16)</f>
        <v/>
      </c>
      <c r="K27" s="161" t="str">
        <f>IF($B27=FALSE,"",Length_13!S16)</f>
        <v/>
      </c>
      <c r="L27" s="149" t="str">
        <f t="shared" si="1"/>
        <v/>
      </c>
      <c r="M27" s="162" t="str">
        <f t="shared" si="2"/>
        <v/>
      </c>
      <c r="N27" s="164" t="str">
        <f>IF($B27=FALSE,"",Calcu!L27*J$3)</f>
        <v/>
      </c>
      <c r="O27" s="184" t="str">
        <f t="shared" si="3"/>
        <v/>
      </c>
      <c r="P27" s="182" t="str">
        <f t="shared" si="11"/>
        <v/>
      </c>
      <c r="Q27" s="182" t="str">
        <f t="shared" si="12"/>
        <v/>
      </c>
      <c r="R27" s="182" t="str">
        <f t="shared" si="4"/>
        <v/>
      </c>
      <c r="S27" s="163" t="str">
        <f>IF($B27=FALSE,"",Length_13!D39/IF(Length_13!E39="μm",1000,1))</f>
        <v/>
      </c>
      <c r="T27" s="156" t="str">
        <f t="shared" si="5"/>
        <v/>
      </c>
      <c r="U27" s="185" t="str">
        <f t="shared" si="6"/>
        <v/>
      </c>
      <c r="V27" s="149" t="str">
        <f t="shared" si="13"/>
        <v/>
      </c>
      <c r="W27" s="149" t="str">
        <f t="shared" si="14"/>
        <v/>
      </c>
      <c r="X27" s="119"/>
      <c r="Y27" s="149" t="e">
        <f ca="1">IF(Length_13!L16&lt;0,ROUNDUP(Length_13!L16*J$3,$M$64),ROUNDDOWN(Length_13!L16*J$3,$M$64))</f>
        <v>#VALUE!</v>
      </c>
      <c r="Z27" s="149" t="e">
        <f ca="1">IF(Length_13!M16&lt;0,ROUNDDOWN(Length_13!M16*J$3,$M$64),ROUNDUP(Length_13!M16*J$3,$M$64))</f>
        <v>#VALUE!</v>
      </c>
      <c r="AA27" s="149" t="str">
        <f t="shared" si="7"/>
        <v>-</v>
      </c>
      <c r="AB27" s="149" t="str">
        <f t="shared" si="8"/>
        <v>-</v>
      </c>
      <c r="AC27" s="149" t="str">
        <f t="shared" si="9"/>
        <v>-</v>
      </c>
      <c r="AD27" s="149" t="str">
        <f t="shared" si="10"/>
        <v>-</v>
      </c>
      <c r="AE27" s="149" t="str">
        <f t="shared" si="15"/>
        <v/>
      </c>
      <c r="AF27" s="149" t="e">
        <f t="shared" ca="1" si="16"/>
        <v>#VALUE!</v>
      </c>
    </row>
    <row r="28" spans="2:32" ht="15" customHeight="1">
      <c r="B28" s="161" t="b">
        <f>IF(TRIM(Length_13!C17)="",FALSE,TRUE)</f>
        <v>0</v>
      </c>
      <c r="C28" s="149" t="str">
        <f>IF($B28=FALSE,"",Length_13!A17)</f>
        <v/>
      </c>
      <c r="D28" s="149" t="str">
        <f>IF($B28=FALSE,"",Length_13!B17)</f>
        <v/>
      </c>
      <c r="E28" s="149" t="str">
        <f>IF($B28=FALSE,"",VALUE(Length_13!C17))</f>
        <v/>
      </c>
      <c r="F28" s="149" t="str">
        <f>IF($B28=FALSE,"",Length_13!D17)</f>
        <v/>
      </c>
      <c r="G28" s="161" t="str">
        <f>IF($B28=FALSE,"",Length_13!O17)</f>
        <v/>
      </c>
      <c r="H28" s="161" t="str">
        <f>IF($B28=FALSE,"",Length_13!P17)</f>
        <v/>
      </c>
      <c r="I28" s="161" t="str">
        <f>IF($B28=FALSE,"",Length_13!Q17)</f>
        <v/>
      </c>
      <c r="J28" s="161" t="str">
        <f>IF($B28=FALSE,"",Length_13!R17)</f>
        <v/>
      </c>
      <c r="K28" s="161" t="str">
        <f>IF($B28=FALSE,"",Length_13!S17)</f>
        <v/>
      </c>
      <c r="L28" s="149" t="str">
        <f t="shared" si="1"/>
        <v/>
      </c>
      <c r="M28" s="162" t="str">
        <f t="shared" si="2"/>
        <v/>
      </c>
      <c r="N28" s="164" t="str">
        <f>IF($B28=FALSE,"",Calcu!L28*J$3)</f>
        <v/>
      </c>
      <c r="O28" s="184" t="str">
        <f t="shared" si="3"/>
        <v/>
      </c>
      <c r="P28" s="182" t="str">
        <f t="shared" si="11"/>
        <v/>
      </c>
      <c r="Q28" s="182" t="str">
        <f t="shared" si="12"/>
        <v/>
      </c>
      <c r="R28" s="182" t="str">
        <f t="shared" si="4"/>
        <v/>
      </c>
      <c r="S28" s="163" t="str">
        <f>IF($B28=FALSE,"",Length_13!D40/IF(Length_13!E40="μm",1000,1))</f>
        <v/>
      </c>
      <c r="T28" s="156" t="str">
        <f t="shared" si="5"/>
        <v/>
      </c>
      <c r="U28" s="185" t="str">
        <f t="shared" si="6"/>
        <v/>
      </c>
      <c r="V28" s="149" t="str">
        <f t="shared" si="13"/>
        <v/>
      </c>
      <c r="W28" s="149" t="str">
        <f t="shared" si="14"/>
        <v/>
      </c>
      <c r="X28" s="119"/>
      <c r="Y28" s="149" t="e">
        <f ca="1">IF(Length_13!L17&lt;0,ROUNDUP(Length_13!L17*J$3,$M$64),ROUNDDOWN(Length_13!L17*J$3,$M$64))</f>
        <v>#VALUE!</v>
      </c>
      <c r="Z28" s="149" t="e">
        <f ca="1">IF(Length_13!M17&lt;0,ROUNDDOWN(Length_13!M17*J$3,$M$64),ROUNDUP(Length_13!M17*J$3,$M$64))</f>
        <v>#VALUE!</v>
      </c>
      <c r="AA28" s="149" t="str">
        <f t="shared" si="7"/>
        <v>-</v>
      </c>
      <c r="AB28" s="149" t="str">
        <f t="shared" si="8"/>
        <v>-</v>
      </c>
      <c r="AC28" s="149" t="str">
        <f t="shared" si="9"/>
        <v>-</v>
      </c>
      <c r="AD28" s="149" t="str">
        <f t="shared" si="10"/>
        <v>-</v>
      </c>
      <c r="AE28" s="149" t="str">
        <f t="shared" si="15"/>
        <v/>
      </c>
      <c r="AF28" s="149" t="e">
        <f t="shared" ca="1" si="16"/>
        <v>#VALUE!</v>
      </c>
    </row>
    <row r="29" spans="2:32" ht="15" customHeight="1">
      <c r="B29" s="161" t="b">
        <f>IF(TRIM(Length_13!C18)="",FALSE,TRUE)</f>
        <v>0</v>
      </c>
      <c r="C29" s="149" t="str">
        <f>IF($B29=FALSE,"",Length_13!A18)</f>
        <v/>
      </c>
      <c r="D29" s="149" t="str">
        <f>IF($B29=FALSE,"",Length_13!B18)</f>
        <v/>
      </c>
      <c r="E29" s="149" t="str">
        <f>IF($B29=FALSE,"",VALUE(Length_13!C18))</f>
        <v/>
      </c>
      <c r="F29" s="149" t="str">
        <f>IF($B29=FALSE,"",Length_13!D18)</f>
        <v/>
      </c>
      <c r="G29" s="161" t="str">
        <f>IF($B29=FALSE,"",Length_13!O18)</f>
        <v/>
      </c>
      <c r="H29" s="161" t="str">
        <f>IF($B29=FALSE,"",Length_13!P18)</f>
        <v/>
      </c>
      <c r="I29" s="161" t="str">
        <f>IF($B29=FALSE,"",Length_13!Q18)</f>
        <v/>
      </c>
      <c r="J29" s="161" t="str">
        <f>IF($B29=FALSE,"",Length_13!R18)</f>
        <v/>
      </c>
      <c r="K29" s="161" t="str">
        <f>IF($B29=FALSE,"",Length_13!S18)</f>
        <v/>
      </c>
      <c r="L29" s="149" t="str">
        <f t="shared" si="1"/>
        <v/>
      </c>
      <c r="M29" s="162" t="str">
        <f t="shared" si="2"/>
        <v/>
      </c>
      <c r="N29" s="164" t="str">
        <f>IF($B29=FALSE,"",Calcu!L29*J$3)</f>
        <v/>
      </c>
      <c r="O29" s="184" t="str">
        <f t="shared" si="3"/>
        <v/>
      </c>
      <c r="P29" s="182" t="str">
        <f t="shared" si="11"/>
        <v/>
      </c>
      <c r="Q29" s="182" t="str">
        <f t="shared" si="12"/>
        <v/>
      </c>
      <c r="R29" s="182" t="str">
        <f t="shared" si="4"/>
        <v/>
      </c>
      <c r="S29" s="163" t="str">
        <f>IF($B29=FALSE,"",Length_13!D41/IF(Length_13!E41="μm",1000,1))</f>
        <v/>
      </c>
      <c r="T29" s="156" t="str">
        <f t="shared" si="5"/>
        <v/>
      </c>
      <c r="U29" s="185" t="str">
        <f t="shared" si="6"/>
        <v/>
      </c>
      <c r="V29" s="149" t="str">
        <f t="shared" si="13"/>
        <v/>
      </c>
      <c r="W29" s="149" t="str">
        <f t="shared" si="14"/>
        <v/>
      </c>
      <c r="X29" s="119"/>
      <c r="Y29" s="149" t="e">
        <f ca="1">IF(Length_13!L18&lt;0,ROUNDUP(Length_13!L18*J$3,$M$64),ROUNDDOWN(Length_13!L18*J$3,$M$64))</f>
        <v>#VALUE!</v>
      </c>
      <c r="Z29" s="149" t="e">
        <f ca="1">IF(Length_13!M18&lt;0,ROUNDDOWN(Length_13!M18*J$3,$M$64),ROUNDUP(Length_13!M18*J$3,$M$64))</f>
        <v>#VALUE!</v>
      </c>
      <c r="AA29" s="149" t="str">
        <f t="shared" si="7"/>
        <v>-</v>
      </c>
      <c r="AB29" s="149" t="str">
        <f t="shared" si="8"/>
        <v>-</v>
      </c>
      <c r="AC29" s="149" t="str">
        <f t="shared" si="9"/>
        <v>-</v>
      </c>
      <c r="AD29" s="149" t="str">
        <f t="shared" si="10"/>
        <v>-</v>
      </c>
      <c r="AE29" s="149" t="str">
        <f t="shared" si="15"/>
        <v/>
      </c>
      <c r="AF29" s="149" t="e">
        <f t="shared" ca="1" si="16"/>
        <v>#VALUE!</v>
      </c>
    </row>
    <row r="30" spans="2:32" ht="15" customHeight="1">
      <c r="B30" s="161" t="b">
        <f>IF(TRIM(Length_13!C19)="",FALSE,TRUE)</f>
        <v>0</v>
      </c>
      <c r="C30" s="149" t="str">
        <f>IF($B30=FALSE,"",Length_13!A19)</f>
        <v/>
      </c>
      <c r="D30" s="149" t="str">
        <f>IF($B30=FALSE,"",Length_13!B19)</f>
        <v/>
      </c>
      <c r="E30" s="149" t="str">
        <f>IF($B30=FALSE,"",VALUE(Length_13!C19))</f>
        <v/>
      </c>
      <c r="F30" s="149" t="str">
        <f>IF($B30=FALSE,"",Length_13!D19)</f>
        <v/>
      </c>
      <c r="G30" s="161" t="str">
        <f>IF($B30=FALSE,"",Length_13!O19)</f>
        <v/>
      </c>
      <c r="H30" s="161" t="str">
        <f>IF($B30=FALSE,"",Length_13!P19)</f>
        <v/>
      </c>
      <c r="I30" s="161" t="str">
        <f>IF($B30=FALSE,"",Length_13!Q19)</f>
        <v/>
      </c>
      <c r="J30" s="161" t="str">
        <f>IF($B30=FALSE,"",Length_13!R19)</f>
        <v/>
      </c>
      <c r="K30" s="161" t="str">
        <f>IF($B30=FALSE,"",Length_13!S19)</f>
        <v/>
      </c>
      <c r="L30" s="149" t="str">
        <f t="shared" si="1"/>
        <v/>
      </c>
      <c r="M30" s="162" t="str">
        <f t="shared" si="2"/>
        <v/>
      </c>
      <c r="N30" s="164" t="str">
        <f>IF($B30=FALSE,"",Calcu!L30*J$3)</f>
        <v/>
      </c>
      <c r="O30" s="184" t="str">
        <f t="shared" si="3"/>
        <v/>
      </c>
      <c r="P30" s="182" t="str">
        <f t="shared" si="11"/>
        <v/>
      </c>
      <c r="Q30" s="182" t="str">
        <f t="shared" si="12"/>
        <v/>
      </c>
      <c r="R30" s="182" t="str">
        <f t="shared" si="4"/>
        <v/>
      </c>
      <c r="S30" s="163" t="str">
        <f>IF($B30=FALSE,"",Length_13!D42/IF(Length_13!E42="μm",1000,1))</f>
        <v/>
      </c>
      <c r="T30" s="156" t="str">
        <f t="shared" si="5"/>
        <v/>
      </c>
      <c r="U30" s="185" t="str">
        <f t="shared" si="6"/>
        <v/>
      </c>
      <c r="V30" s="149" t="str">
        <f t="shared" si="13"/>
        <v/>
      </c>
      <c r="W30" s="149" t="str">
        <f t="shared" si="14"/>
        <v/>
      </c>
      <c r="X30" s="119"/>
      <c r="Y30" s="149" t="e">
        <f ca="1">IF(Length_13!L19&lt;0,ROUNDUP(Length_13!L19*J$3,$M$64),ROUNDDOWN(Length_13!L19*J$3,$M$64))</f>
        <v>#VALUE!</v>
      </c>
      <c r="Z30" s="149" t="e">
        <f ca="1">IF(Length_13!M19&lt;0,ROUNDDOWN(Length_13!M19*J$3,$M$64),ROUNDUP(Length_13!M19*J$3,$M$64))</f>
        <v>#VALUE!</v>
      </c>
      <c r="AA30" s="149" t="str">
        <f t="shared" si="7"/>
        <v>-</v>
      </c>
      <c r="AB30" s="149" t="str">
        <f t="shared" si="8"/>
        <v>-</v>
      </c>
      <c r="AC30" s="149" t="str">
        <f t="shared" si="9"/>
        <v>-</v>
      </c>
      <c r="AD30" s="149" t="str">
        <f t="shared" si="10"/>
        <v>-</v>
      </c>
      <c r="AE30" s="149" t="str">
        <f t="shared" si="15"/>
        <v/>
      </c>
      <c r="AF30" s="149" t="e">
        <f t="shared" ca="1" si="16"/>
        <v>#VALUE!</v>
      </c>
    </row>
    <row r="31" spans="2:32" ht="15" customHeight="1">
      <c r="B31" s="161" t="b">
        <f>IF(TRIM(Length_13!C20)="",FALSE,TRUE)</f>
        <v>0</v>
      </c>
      <c r="C31" s="149" t="str">
        <f>IF($B31=FALSE,"",Length_13!A20)</f>
        <v/>
      </c>
      <c r="D31" s="149" t="str">
        <f>IF($B31=FALSE,"",Length_13!B20)</f>
        <v/>
      </c>
      <c r="E31" s="149" t="str">
        <f>IF($B31=FALSE,"",VALUE(Length_13!C20))</f>
        <v/>
      </c>
      <c r="F31" s="149" t="str">
        <f>IF($B31=FALSE,"",Length_13!D20)</f>
        <v/>
      </c>
      <c r="G31" s="161" t="str">
        <f>IF($B31=FALSE,"",Length_13!O20)</f>
        <v/>
      </c>
      <c r="H31" s="161" t="str">
        <f>IF($B31=FALSE,"",Length_13!P20)</f>
        <v/>
      </c>
      <c r="I31" s="161" t="str">
        <f>IF($B31=FALSE,"",Length_13!Q20)</f>
        <v/>
      </c>
      <c r="J31" s="161" t="str">
        <f>IF($B31=FALSE,"",Length_13!R20)</f>
        <v/>
      </c>
      <c r="K31" s="161" t="str">
        <f>IF($B31=FALSE,"",Length_13!S20)</f>
        <v/>
      </c>
      <c r="L31" s="149" t="str">
        <f t="shared" si="1"/>
        <v/>
      </c>
      <c r="M31" s="162" t="str">
        <f t="shared" si="2"/>
        <v/>
      </c>
      <c r="N31" s="164" t="str">
        <f>IF($B31=FALSE,"",Calcu!L31*J$3)</f>
        <v/>
      </c>
      <c r="O31" s="184" t="str">
        <f t="shared" si="3"/>
        <v/>
      </c>
      <c r="P31" s="182" t="str">
        <f t="shared" si="11"/>
        <v/>
      </c>
      <c r="Q31" s="182" t="str">
        <f t="shared" si="12"/>
        <v/>
      </c>
      <c r="R31" s="182" t="str">
        <f t="shared" si="4"/>
        <v/>
      </c>
      <c r="S31" s="163" t="str">
        <f>IF($B31=FALSE,"",Length_13!D43/IF(Length_13!E43="μm",1000,1))</f>
        <v/>
      </c>
      <c r="T31" s="156" t="str">
        <f t="shared" si="5"/>
        <v/>
      </c>
      <c r="U31" s="185" t="str">
        <f t="shared" si="6"/>
        <v/>
      </c>
      <c r="V31" s="149" t="str">
        <f t="shared" si="13"/>
        <v/>
      </c>
      <c r="W31" s="149" t="str">
        <f t="shared" si="14"/>
        <v/>
      </c>
      <c r="X31" s="119"/>
      <c r="Y31" s="149" t="e">
        <f ca="1">IF(Length_13!L20&lt;0,ROUNDUP(Length_13!L20*J$3,$M$64),ROUNDDOWN(Length_13!L20*J$3,$M$64))</f>
        <v>#VALUE!</v>
      </c>
      <c r="Z31" s="149" t="e">
        <f ca="1">IF(Length_13!M20&lt;0,ROUNDDOWN(Length_13!M20*J$3,$M$64),ROUNDUP(Length_13!M20*J$3,$M$64))</f>
        <v>#VALUE!</v>
      </c>
      <c r="AA31" s="149" t="str">
        <f t="shared" si="7"/>
        <v>-</v>
      </c>
      <c r="AB31" s="149" t="str">
        <f t="shared" si="8"/>
        <v>-</v>
      </c>
      <c r="AC31" s="149" t="str">
        <f t="shared" si="9"/>
        <v>-</v>
      </c>
      <c r="AD31" s="149" t="str">
        <f t="shared" si="10"/>
        <v>-</v>
      </c>
      <c r="AE31" s="149" t="str">
        <f t="shared" si="15"/>
        <v/>
      </c>
      <c r="AF31" s="149" t="e">
        <f t="shared" ca="1" si="16"/>
        <v>#VALUE!</v>
      </c>
    </row>
    <row r="32" spans="2:32" ht="15" customHeight="1">
      <c r="B32" s="161" t="b">
        <f>IF(TRIM(Length_13!C21)="",FALSE,TRUE)</f>
        <v>0</v>
      </c>
      <c r="C32" s="149" t="str">
        <f>IF($B32=FALSE,"",Length_13!A21)</f>
        <v/>
      </c>
      <c r="D32" s="149" t="str">
        <f>IF($B32=FALSE,"",Length_13!B21)</f>
        <v/>
      </c>
      <c r="E32" s="149" t="str">
        <f>IF($B32=FALSE,"",VALUE(Length_13!C21))</f>
        <v/>
      </c>
      <c r="F32" s="149" t="str">
        <f>IF($B32=FALSE,"",Length_13!D21)</f>
        <v/>
      </c>
      <c r="G32" s="161" t="str">
        <f>IF($B32=FALSE,"",Length_13!O21)</f>
        <v/>
      </c>
      <c r="H32" s="161" t="str">
        <f>IF($B32=FALSE,"",Length_13!P21)</f>
        <v/>
      </c>
      <c r="I32" s="161" t="str">
        <f>IF($B32=FALSE,"",Length_13!Q21)</f>
        <v/>
      </c>
      <c r="J32" s="161" t="str">
        <f>IF($B32=FALSE,"",Length_13!R21)</f>
        <v/>
      </c>
      <c r="K32" s="161" t="str">
        <f>IF($B32=FALSE,"",Length_13!S21)</f>
        <v/>
      </c>
      <c r="L32" s="149" t="str">
        <f t="shared" si="1"/>
        <v/>
      </c>
      <c r="M32" s="162" t="str">
        <f t="shared" si="2"/>
        <v/>
      </c>
      <c r="N32" s="164" t="str">
        <f>IF($B32=FALSE,"",Calcu!L32*J$3)</f>
        <v/>
      </c>
      <c r="O32" s="184" t="str">
        <f t="shared" si="3"/>
        <v/>
      </c>
      <c r="P32" s="182" t="str">
        <f t="shared" si="11"/>
        <v/>
      </c>
      <c r="Q32" s="182" t="str">
        <f t="shared" si="12"/>
        <v/>
      </c>
      <c r="R32" s="182" t="str">
        <f t="shared" si="4"/>
        <v/>
      </c>
      <c r="S32" s="163" t="str">
        <f>IF($B32=FALSE,"",Length_13!D44/IF(Length_13!E44="μm",1000,1))</f>
        <v/>
      </c>
      <c r="T32" s="156" t="str">
        <f t="shared" si="5"/>
        <v/>
      </c>
      <c r="U32" s="185" t="str">
        <f t="shared" si="6"/>
        <v/>
      </c>
      <c r="V32" s="149" t="str">
        <f t="shared" si="13"/>
        <v/>
      </c>
      <c r="W32" s="149" t="str">
        <f t="shared" si="14"/>
        <v/>
      </c>
      <c r="X32" s="119"/>
      <c r="Y32" s="149" t="e">
        <f ca="1">IF(Length_13!L21&lt;0,ROUNDUP(Length_13!L21*J$3,$M$64),ROUNDDOWN(Length_13!L21*J$3,$M$64))</f>
        <v>#VALUE!</v>
      </c>
      <c r="Z32" s="149" t="e">
        <f ca="1">IF(Length_13!M21&lt;0,ROUNDDOWN(Length_13!M21*J$3,$M$64),ROUNDUP(Length_13!M21*J$3,$M$64))</f>
        <v>#VALUE!</v>
      </c>
      <c r="AA32" s="149" t="str">
        <f t="shared" si="7"/>
        <v>-</v>
      </c>
      <c r="AB32" s="149" t="str">
        <f t="shared" si="8"/>
        <v>-</v>
      </c>
      <c r="AC32" s="149" t="str">
        <f t="shared" si="9"/>
        <v>-</v>
      </c>
      <c r="AD32" s="149" t="str">
        <f t="shared" si="10"/>
        <v>-</v>
      </c>
      <c r="AE32" s="149" t="str">
        <f t="shared" si="15"/>
        <v/>
      </c>
      <c r="AF32" s="149" t="e">
        <f t="shared" ca="1" si="16"/>
        <v>#VALUE!</v>
      </c>
    </row>
    <row r="33" spans="1:32" ht="15" customHeight="1">
      <c r="B33" s="161" t="b">
        <f>IF(TRIM(Length_13!C22)="",FALSE,TRUE)</f>
        <v>0</v>
      </c>
      <c r="C33" s="149" t="str">
        <f>IF($B33=FALSE,"",Length_13!A22)</f>
        <v/>
      </c>
      <c r="D33" s="149" t="str">
        <f>IF($B33=FALSE,"",Length_13!B22)</f>
        <v/>
      </c>
      <c r="E33" s="149" t="str">
        <f>IF($B33=FALSE,"",VALUE(Length_13!C22))</f>
        <v/>
      </c>
      <c r="F33" s="149" t="str">
        <f>IF($B33=FALSE,"",Length_13!D22)</f>
        <v/>
      </c>
      <c r="G33" s="161" t="str">
        <f>IF($B33=FALSE,"",Length_13!O22)</f>
        <v/>
      </c>
      <c r="H33" s="161" t="str">
        <f>IF($B33=FALSE,"",Length_13!P22)</f>
        <v/>
      </c>
      <c r="I33" s="161" t="str">
        <f>IF($B33=FALSE,"",Length_13!Q22)</f>
        <v/>
      </c>
      <c r="J33" s="161" t="str">
        <f>IF($B33=FALSE,"",Length_13!R22)</f>
        <v/>
      </c>
      <c r="K33" s="161" t="str">
        <f>IF($B33=FALSE,"",Length_13!S22)</f>
        <v/>
      </c>
      <c r="L33" s="149" t="str">
        <f t="shared" si="1"/>
        <v/>
      </c>
      <c r="M33" s="162" t="str">
        <f t="shared" si="2"/>
        <v/>
      </c>
      <c r="N33" s="164" t="str">
        <f>IF($B33=FALSE,"",Calcu!L33*J$3)</f>
        <v/>
      </c>
      <c r="O33" s="184" t="str">
        <f t="shared" si="3"/>
        <v/>
      </c>
      <c r="P33" s="182" t="str">
        <f t="shared" si="11"/>
        <v/>
      </c>
      <c r="Q33" s="182" t="str">
        <f t="shared" si="12"/>
        <v/>
      </c>
      <c r="R33" s="182" t="str">
        <f t="shared" si="4"/>
        <v/>
      </c>
      <c r="S33" s="163" t="str">
        <f>IF($B33=FALSE,"",Length_13!D45/IF(Length_13!E45="μm",1000,1))</f>
        <v/>
      </c>
      <c r="T33" s="156" t="str">
        <f t="shared" si="5"/>
        <v/>
      </c>
      <c r="U33" s="185" t="str">
        <f t="shared" si="6"/>
        <v/>
      </c>
      <c r="V33" s="149" t="str">
        <f t="shared" si="13"/>
        <v/>
      </c>
      <c r="W33" s="149" t="str">
        <f t="shared" si="14"/>
        <v/>
      </c>
      <c r="X33" s="119"/>
      <c r="Y33" s="149" t="e">
        <f ca="1">IF(Length_13!L22&lt;0,ROUNDUP(Length_13!L22*J$3,$M$64),ROUNDDOWN(Length_13!L22*J$3,$M$64))</f>
        <v>#VALUE!</v>
      </c>
      <c r="Z33" s="149" t="e">
        <f ca="1">IF(Length_13!M22&lt;0,ROUNDDOWN(Length_13!M22*J$3,$M$64),ROUNDUP(Length_13!M22*J$3,$M$64))</f>
        <v>#VALUE!</v>
      </c>
      <c r="AA33" s="149" t="str">
        <f t="shared" si="7"/>
        <v>-</v>
      </c>
      <c r="AB33" s="149" t="str">
        <f t="shared" si="8"/>
        <v>-</v>
      </c>
      <c r="AC33" s="149" t="str">
        <f t="shared" si="9"/>
        <v>-</v>
      </c>
      <c r="AD33" s="149" t="str">
        <f t="shared" si="10"/>
        <v>-</v>
      </c>
      <c r="AE33" s="149" t="str">
        <f t="shared" si="15"/>
        <v/>
      </c>
      <c r="AF33" s="149" t="e">
        <f t="shared" ca="1" si="16"/>
        <v>#VALUE!</v>
      </c>
    </row>
    <row r="34" spans="1:32" ht="15" customHeight="1">
      <c r="B34" s="161" t="b">
        <f>IF(TRIM(Length_13!C23)="",FALSE,TRUE)</f>
        <v>0</v>
      </c>
      <c r="C34" s="149" t="str">
        <f>IF($B34=FALSE,"",Length_13!A23)</f>
        <v/>
      </c>
      <c r="D34" s="149" t="str">
        <f>IF($B34=FALSE,"",Length_13!B23)</f>
        <v/>
      </c>
      <c r="E34" s="149" t="str">
        <f>IF($B34=FALSE,"",VALUE(Length_13!C23))</f>
        <v/>
      </c>
      <c r="F34" s="149" t="str">
        <f>IF($B34=FALSE,"",Length_13!D23)</f>
        <v/>
      </c>
      <c r="G34" s="161" t="str">
        <f>IF($B34=FALSE,"",Length_13!O23)</f>
        <v/>
      </c>
      <c r="H34" s="161" t="str">
        <f>IF($B34=FALSE,"",Length_13!P23)</f>
        <v/>
      </c>
      <c r="I34" s="161" t="str">
        <f>IF($B34=FALSE,"",Length_13!Q23)</f>
        <v/>
      </c>
      <c r="J34" s="161" t="str">
        <f>IF($B34=FALSE,"",Length_13!R23)</f>
        <v/>
      </c>
      <c r="K34" s="161" t="str">
        <f>IF($B34=FALSE,"",Length_13!S23)</f>
        <v/>
      </c>
      <c r="L34" s="149" t="str">
        <f t="shared" si="1"/>
        <v/>
      </c>
      <c r="M34" s="162" t="str">
        <f t="shared" si="2"/>
        <v/>
      </c>
      <c r="N34" s="164" t="str">
        <f>IF($B34=FALSE,"",Calcu!L34*J$3)</f>
        <v/>
      </c>
      <c r="O34" s="184" t="str">
        <f t="shared" si="3"/>
        <v/>
      </c>
      <c r="P34" s="182" t="str">
        <f t="shared" si="11"/>
        <v/>
      </c>
      <c r="Q34" s="182" t="str">
        <f t="shared" si="12"/>
        <v/>
      </c>
      <c r="R34" s="182" t="str">
        <f t="shared" si="4"/>
        <v/>
      </c>
      <c r="S34" s="163" t="str">
        <f>IF($B34=FALSE,"",Length_13!D46/IF(Length_13!E46="μm",1000,1))</f>
        <v/>
      </c>
      <c r="T34" s="156" t="str">
        <f t="shared" si="5"/>
        <v/>
      </c>
      <c r="U34" s="185" t="str">
        <f t="shared" si="6"/>
        <v/>
      </c>
      <c r="V34" s="149" t="str">
        <f t="shared" si="13"/>
        <v/>
      </c>
      <c r="W34" s="149" t="str">
        <f t="shared" si="14"/>
        <v/>
      </c>
      <c r="X34" s="119"/>
      <c r="Y34" s="149" t="e">
        <f ca="1">IF(Length_13!L23&lt;0,ROUNDUP(Length_13!L23*J$3,$M$64),ROUNDDOWN(Length_13!L23*J$3,$M$64))</f>
        <v>#VALUE!</v>
      </c>
      <c r="Z34" s="149" t="e">
        <f ca="1">IF(Length_13!M23&lt;0,ROUNDDOWN(Length_13!M23*J$3,$M$64),ROUNDUP(Length_13!M23*J$3,$M$64))</f>
        <v>#VALUE!</v>
      </c>
      <c r="AA34" s="149" t="str">
        <f t="shared" si="7"/>
        <v>-</v>
      </c>
      <c r="AB34" s="149" t="str">
        <f t="shared" si="8"/>
        <v>-</v>
      </c>
      <c r="AC34" s="149" t="str">
        <f t="shared" si="9"/>
        <v>-</v>
      </c>
      <c r="AD34" s="149" t="str">
        <f t="shared" si="10"/>
        <v>-</v>
      </c>
      <c r="AE34" s="149" t="str">
        <f t="shared" si="15"/>
        <v/>
      </c>
      <c r="AF34" s="149" t="e">
        <f t="shared" ca="1" si="16"/>
        <v>#VALUE!</v>
      </c>
    </row>
    <row r="35" spans="1:32" ht="15" customHeight="1">
      <c r="N35" s="115"/>
      <c r="O35" s="115"/>
      <c r="P35" s="115"/>
      <c r="Q35" s="115"/>
      <c r="R35" s="115"/>
      <c r="S35" s="115"/>
      <c r="T35" s="115"/>
      <c r="W35" s="115"/>
    </row>
    <row r="36" spans="1:32" ht="15" customHeight="1">
      <c r="A36" s="113" t="s">
        <v>276</v>
      </c>
      <c r="C36" s="114"/>
      <c r="D36" s="114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</row>
    <row r="37" spans="1:32" ht="15" customHeight="1">
      <c r="A37" s="113"/>
      <c r="B37" s="463"/>
      <c r="C37" s="463" t="s">
        <v>277</v>
      </c>
      <c r="D37" s="465" t="s">
        <v>278</v>
      </c>
      <c r="E37" s="463" t="s">
        <v>279</v>
      </c>
      <c r="F37" s="463" t="s">
        <v>217</v>
      </c>
      <c r="G37" s="460">
        <v>1</v>
      </c>
      <c r="H37" s="462"/>
      <c r="I37" s="462"/>
      <c r="J37" s="462"/>
      <c r="K37" s="461"/>
      <c r="L37" s="147">
        <v>2</v>
      </c>
      <c r="M37" s="460">
        <v>3</v>
      </c>
      <c r="N37" s="462"/>
      <c r="O37" s="462"/>
      <c r="P37" s="461"/>
      <c r="Q37" s="460">
        <v>4</v>
      </c>
      <c r="R37" s="461"/>
      <c r="S37" s="147">
        <v>5</v>
      </c>
      <c r="T37" s="463" t="s">
        <v>765</v>
      </c>
      <c r="U37" s="460" t="s">
        <v>773</v>
      </c>
      <c r="V37" s="461"/>
    </row>
    <row r="38" spans="1:32" ht="15" customHeight="1">
      <c r="A38" s="113"/>
      <c r="B38" s="464"/>
      <c r="C38" s="464"/>
      <c r="D38" s="466"/>
      <c r="E38" s="464"/>
      <c r="F38" s="464"/>
      <c r="G38" s="147" t="s">
        <v>280</v>
      </c>
      <c r="H38" s="147" t="s">
        <v>281</v>
      </c>
      <c r="I38" s="147" t="s">
        <v>282</v>
      </c>
      <c r="J38" s="460" t="s">
        <v>283</v>
      </c>
      <c r="K38" s="461"/>
      <c r="L38" s="147" t="s">
        <v>284</v>
      </c>
      <c r="M38" s="460" t="s">
        <v>280</v>
      </c>
      <c r="N38" s="461"/>
      <c r="O38" s="460" t="s">
        <v>285</v>
      </c>
      <c r="P38" s="461"/>
      <c r="Q38" s="460" t="s">
        <v>286</v>
      </c>
      <c r="R38" s="461"/>
      <c r="S38" s="147" t="s">
        <v>287</v>
      </c>
      <c r="T38" s="476"/>
      <c r="U38" s="147" t="s">
        <v>305</v>
      </c>
      <c r="V38" s="147" t="s">
        <v>728</v>
      </c>
    </row>
    <row r="39" spans="1:32" ht="15" customHeight="1">
      <c r="B39" s="147" t="s">
        <v>288</v>
      </c>
      <c r="C39" s="165" t="s">
        <v>289</v>
      </c>
      <c r="D39" s="166" t="s">
        <v>290</v>
      </c>
      <c r="E39" s="186">
        <f>J9</f>
        <v>0</v>
      </c>
      <c r="F39" s="167" t="str">
        <f>J8</f>
        <v>mm</v>
      </c>
      <c r="G39" s="168">
        <f>Length_13!T50</f>
        <v>0</v>
      </c>
      <c r="H39" s="150"/>
      <c r="I39" s="149">
        <f>Length_13!W50</f>
        <v>0</v>
      </c>
      <c r="J39" s="187" t="e">
        <f>G39/I39</f>
        <v>#DIV/0!</v>
      </c>
      <c r="K39" s="151" t="s">
        <v>291</v>
      </c>
      <c r="L39" s="170" t="s">
        <v>292</v>
      </c>
      <c r="M39" s="149">
        <f>E40</f>
        <v>0</v>
      </c>
      <c r="N39" s="149" t="e">
        <f>E41</f>
        <v>#DIV/0!</v>
      </c>
      <c r="O39" s="225" t="e">
        <f>1+M39*(N39-20)</f>
        <v>#DIV/0!</v>
      </c>
      <c r="P39" s="149"/>
      <c r="Q39" s="171" t="e">
        <f t="shared" ref="Q39" si="17">ABS(J39*O39)</f>
        <v>#DIV/0!</v>
      </c>
      <c r="R39" s="151" t="s">
        <v>291</v>
      </c>
      <c r="S39" s="149" t="s">
        <v>293</v>
      </c>
      <c r="T39" s="174">
        <f t="shared" ref="T39:T46" si="18">IF(S39="∞",0,Q39^4/S39)</f>
        <v>0</v>
      </c>
      <c r="U39" s="171" t="str">
        <f t="shared" ref="U39:U46" si="19">IF(OR(L39="직사각형",L39="삼각형"),Q39,"")</f>
        <v/>
      </c>
      <c r="V39" s="171" t="e">
        <f t="shared" ref="V39:V46" si="20">IF(OR(L39="직사각형",L39="삼각형"),"",Q39)</f>
        <v>#DIV/0!</v>
      </c>
    </row>
    <row r="40" spans="1:32" ht="15" customHeight="1">
      <c r="B40" s="147" t="s">
        <v>294</v>
      </c>
      <c r="C40" s="165" t="s">
        <v>295</v>
      </c>
      <c r="D40" s="166" t="s">
        <v>296</v>
      </c>
      <c r="E40" s="149">
        <f>K9</f>
        <v>0</v>
      </c>
      <c r="F40" s="167" t="str">
        <f>K8</f>
        <v>/℃</v>
      </c>
      <c r="G40" s="189">
        <f>1*10^-6</f>
        <v>9.9999999999999995E-7</v>
      </c>
      <c r="H40" s="150">
        <v>1</v>
      </c>
      <c r="I40" s="172">
        <v>3</v>
      </c>
      <c r="J40" s="190">
        <f>G40/H40/SQRT(I40)</f>
        <v>5.7735026918962578E-7</v>
      </c>
      <c r="K40" s="167" t="s">
        <v>297</v>
      </c>
      <c r="L40" s="170" t="s">
        <v>298</v>
      </c>
      <c r="M40" s="149" t="e">
        <f>E41</f>
        <v>#DIV/0!</v>
      </c>
      <c r="N40" s="149">
        <f>E39</f>
        <v>0</v>
      </c>
      <c r="O40" s="164" t="e">
        <f>(M40-20)*N40*1000</f>
        <v>#DIV/0!</v>
      </c>
      <c r="P40" s="149" t="s">
        <v>299</v>
      </c>
      <c r="Q40" s="171" t="e">
        <f>ABS(J40*O40)</f>
        <v>#DIV/0!</v>
      </c>
      <c r="R40" s="151" t="s">
        <v>300</v>
      </c>
      <c r="S40" s="149">
        <f>ROUNDDOWN(1/2*(100/10)^2,0)</f>
        <v>50</v>
      </c>
      <c r="T40" s="174" t="e">
        <f t="shared" si="18"/>
        <v>#DIV/0!</v>
      </c>
      <c r="U40" s="171" t="e">
        <f t="shared" si="19"/>
        <v>#DIV/0!</v>
      </c>
      <c r="V40" s="171" t="str">
        <f t="shared" si="20"/>
        <v/>
      </c>
    </row>
    <row r="41" spans="1:32" ht="15" customHeight="1">
      <c r="B41" s="147" t="s">
        <v>301</v>
      </c>
      <c r="C41" s="165" t="s">
        <v>302</v>
      </c>
      <c r="D41" s="166" t="s">
        <v>303</v>
      </c>
      <c r="E41" s="149" t="e">
        <f>L9</f>
        <v>#DIV/0!</v>
      </c>
      <c r="F41" s="167" t="str">
        <f>L8</f>
        <v>℃</v>
      </c>
      <c r="G41" s="149">
        <v>0.5</v>
      </c>
      <c r="H41" s="150">
        <v>1</v>
      </c>
      <c r="I41" s="172">
        <v>3</v>
      </c>
      <c r="J41" s="169">
        <f>G41/H41/SQRT(I41)</f>
        <v>0.28867513459481292</v>
      </c>
      <c r="K41" s="167" t="s">
        <v>304</v>
      </c>
      <c r="L41" s="170" t="s">
        <v>305</v>
      </c>
      <c r="M41" s="149">
        <f>E40</f>
        <v>0</v>
      </c>
      <c r="N41" s="149">
        <f>E39</f>
        <v>0</v>
      </c>
      <c r="O41" s="225">
        <f>M41*N41*1000</f>
        <v>0</v>
      </c>
      <c r="P41" s="149" t="s">
        <v>306</v>
      </c>
      <c r="Q41" s="171">
        <f t="shared" ref="Q41:Q46" si="21">ABS(J41*O41)</f>
        <v>0</v>
      </c>
      <c r="R41" s="151" t="s">
        <v>300</v>
      </c>
      <c r="S41" s="149" t="s">
        <v>307</v>
      </c>
      <c r="T41" s="174">
        <f t="shared" si="18"/>
        <v>0</v>
      </c>
      <c r="U41" s="171">
        <f t="shared" si="19"/>
        <v>0</v>
      </c>
      <c r="V41" s="171" t="str">
        <f t="shared" si="20"/>
        <v/>
      </c>
    </row>
    <row r="42" spans="1:32" ht="15" customHeight="1">
      <c r="B42" s="147" t="s">
        <v>308</v>
      </c>
      <c r="C42" s="165" t="s">
        <v>309</v>
      </c>
      <c r="D42" s="166" t="s">
        <v>310</v>
      </c>
      <c r="E42" s="149">
        <f>M9</f>
        <v>0</v>
      </c>
      <c r="F42" s="167" t="str">
        <f>M8</f>
        <v>mm</v>
      </c>
      <c r="G42" s="222">
        <f>I9</f>
        <v>0</v>
      </c>
      <c r="H42" s="150">
        <v>1</v>
      </c>
      <c r="I42" s="172">
        <v>5</v>
      </c>
      <c r="J42" s="187">
        <f>G42/SQRT(I42)</f>
        <v>0</v>
      </c>
      <c r="K42" s="151" t="s">
        <v>300</v>
      </c>
      <c r="L42" s="170" t="s">
        <v>311</v>
      </c>
      <c r="M42" s="189">
        <f>E43</f>
        <v>0</v>
      </c>
      <c r="N42" s="149" t="e">
        <f>E44</f>
        <v>#DIV/0!</v>
      </c>
      <c r="O42" s="164" t="e">
        <f>-(1+M42*(N42-20))</f>
        <v>#DIV/0!</v>
      </c>
      <c r="P42" s="149"/>
      <c r="Q42" s="171" t="e">
        <f t="shared" si="21"/>
        <v>#DIV/0!</v>
      </c>
      <c r="R42" s="151" t="s">
        <v>300</v>
      </c>
      <c r="S42" s="149">
        <v>4</v>
      </c>
      <c r="T42" s="174" t="e">
        <f t="shared" si="18"/>
        <v>#DIV/0!</v>
      </c>
      <c r="U42" s="171" t="str">
        <f t="shared" si="19"/>
        <v/>
      </c>
      <c r="V42" s="171" t="e">
        <f t="shared" si="20"/>
        <v>#DIV/0!</v>
      </c>
    </row>
    <row r="43" spans="1:32" ht="15" customHeight="1">
      <c r="B43" s="147" t="s">
        <v>312</v>
      </c>
      <c r="C43" s="165" t="s">
        <v>313</v>
      </c>
      <c r="D43" s="166" t="s">
        <v>314</v>
      </c>
      <c r="E43" s="188">
        <f>N9</f>
        <v>0</v>
      </c>
      <c r="F43" s="167" t="str">
        <f>N8</f>
        <v>/℃</v>
      </c>
      <c r="G43" s="189">
        <f>1*10^-6</f>
        <v>9.9999999999999995E-7</v>
      </c>
      <c r="H43" s="150">
        <v>1</v>
      </c>
      <c r="I43" s="172">
        <v>3</v>
      </c>
      <c r="J43" s="190">
        <f>G43/H43/SQRT(I43)</f>
        <v>5.7735026918962578E-7</v>
      </c>
      <c r="K43" s="167" t="s">
        <v>304</v>
      </c>
      <c r="L43" s="170" t="s">
        <v>305</v>
      </c>
      <c r="M43" s="149" t="e">
        <f>E44</f>
        <v>#DIV/0!</v>
      </c>
      <c r="N43" s="149">
        <f>E42</f>
        <v>0</v>
      </c>
      <c r="O43" s="164" t="e">
        <f>(M43-20)*N43*1000</f>
        <v>#DIV/0!</v>
      </c>
      <c r="P43" s="149" t="s">
        <v>299</v>
      </c>
      <c r="Q43" s="171" t="e">
        <f>ABS(J43*O43)</f>
        <v>#DIV/0!</v>
      </c>
      <c r="R43" s="151" t="s">
        <v>300</v>
      </c>
      <c r="S43" s="149">
        <f>ROUNDDOWN(1/2*(100/10)^2,0)</f>
        <v>50</v>
      </c>
      <c r="T43" s="174" t="e">
        <f t="shared" si="18"/>
        <v>#DIV/0!</v>
      </c>
      <c r="U43" s="171" t="e">
        <f t="shared" si="19"/>
        <v>#DIV/0!</v>
      </c>
      <c r="V43" s="171" t="str">
        <f t="shared" si="20"/>
        <v/>
      </c>
    </row>
    <row r="44" spans="1:32" ht="15" customHeight="1">
      <c r="B44" s="147" t="s">
        <v>315</v>
      </c>
      <c r="C44" s="165" t="s">
        <v>316</v>
      </c>
      <c r="D44" s="166" t="s">
        <v>317</v>
      </c>
      <c r="E44" s="149" t="e">
        <f>O9</f>
        <v>#DIV/0!</v>
      </c>
      <c r="F44" s="167" t="str">
        <f>O8</f>
        <v>℃</v>
      </c>
      <c r="G44" s="149">
        <v>0.5</v>
      </c>
      <c r="H44" s="150">
        <v>1</v>
      </c>
      <c r="I44" s="172">
        <v>3</v>
      </c>
      <c r="J44" s="169">
        <f>G44/H44/SQRT(I44)</f>
        <v>0.28867513459481292</v>
      </c>
      <c r="K44" s="167" t="s">
        <v>304</v>
      </c>
      <c r="L44" s="170" t="s">
        <v>305</v>
      </c>
      <c r="M44" s="149">
        <f>E43</f>
        <v>0</v>
      </c>
      <c r="N44" s="149">
        <f>E42</f>
        <v>0</v>
      </c>
      <c r="O44" s="225">
        <f>M44*N44*1000</f>
        <v>0</v>
      </c>
      <c r="P44" s="149" t="s">
        <v>306</v>
      </c>
      <c r="Q44" s="171">
        <f t="shared" ref="Q44" si="22">ABS(J44*O44)</f>
        <v>0</v>
      </c>
      <c r="R44" s="151" t="s">
        <v>300</v>
      </c>
      <c r="S44" s="149" t="s">
        <v>307</v>
      </c>
      <c r="T44" s="174">
        <f t="shared" si="18"/>
        <v>0</v>
      </c>
      <c r="U44" s="171">
        <f t="shared" si="19"/>
        <v>0</v>
      </c>
      <c r="V44" s="171" t="str">
        <f t="shared" si="20"/>
        <v/>
      </c>
    </row>
    <row r="45" spans="1:32" ht="15" customHeight="1">
      <c r="B45" s="147" t="s">
        <v>318</v>
      </c>
      <c r="C45" s="165" t="s">
        <v>319</v>
      </c>
      <c r="D45" s="166" t="s">
        <v>320</v>
      </c>
      <c r="E45" s="186">
        <f>P9</f>
        <v>0</v>
      </c>
      <c r="F45" s="167" t="str">
        <f>P8</f>
        <v>mm</v>
      </c>
      <c r="G45" s="171">
        <f>Length_13!F54</f>
        <v>0</v>
      </c>
      <c r="H45" s="149">
        <f>Length_13!G54</f>
        <v>0</v>
      </c>
      <c r="I45" s="149">
        <f>Length_13!I54</f>
        <v>0</v>
      </c>
      <c r="J45" s="187" t="e">
        <f>SQRT(SUMSQ(G45,H45*B9))/I45</f>
        <v>#DIV/0!</v>
      </c>
      <c r="K45" s="151" t="s">
        <v>300</v>
      </c>
      <c r="L45" s="170" t="s">
        <v>321</v>
      </c>
      <c r="M45" s="149"/>
      <c r="N45" s="149"/>
      <c r="O45" s="164">
        <v>1</v>
      </c>
      <c r="P45" s="149"/>
      <c r="Q45" s="171" t="e">
        <f t="shared" si="21"/>
        <v>#DIV/0!</v>
      </c>
      <c r="R45" s="151" t="s">
        <v>300</v>
      </c>
      <c r="S45" s="149" t="s">
        <v>322</v>
      </c>
      <c r="T45" s="174">
        <f t="shared" si="18"/>
        <v>0</v>
      </c>
      <c r="U45" s="171" t="str">
        <f t="shared" si="19"/>
        <v/>
      </c>
      <c r="V45" s="171" t="e">
        <f t="shared" si="20"/>
        <v>#DIV/0!</v>
      </c>
    </row>
    <row r="46" spans="1:32" ht="15" customHeight="1">
      <c r="B46" s="147" t="s">
        <v>323</v>
      </c>
      <c r="C46" s="165" t="s">
        <v>324</v>
      </c>
      <c r="D46" s="166" t="s">
        <v>325</v>
      </c>
      <c r="E46" s="149">
        <v>0</v>
      </c>
      <c r="F46" s="167" t="str">
        <f>Q8</f>
        <v>mm</v>
      </c>
      <c r="G46" s="149">
        <f>L3*1000</f>
        <v>0</v>
      </c>
      <c r="H46" s="149">
        <v>2</v>
      </c>
      <c r="I46" s="172">
        <v>3</v>
      </c>
      <c r="J46" s="187">
        <f>G46/H46/SQRT(I46)</f>
        <v>0</v>
      </c>
      <c r="K46" s="151" t="s">
        <v>326</v>
      </c>
      <c r="L46" s="170" t="s">
        <v>305</v>
      </c>
      <c r="M46" s="149"/>
      <c r="N46" s="149"/>
      <c r="O46" s="164">
        <v>1</v>
      </c>
      <c r="P46" s="149"/>
      <c r="Q46" s="171">
        <f t="shared" si="21"/>
        <v>0</v>
      </c>
      <c r="R46" s="151" t="s">
        <v>326</v>
      </c>
      <c r="S46" s="149" t="s">
        <v>327</v>
      </c>
      <c r="T46" s="174">
        <f t="shared" si="18"/>
        <v>0</v>
      </c>
      <c r="U46" s="171">
        <f t="shared" si="19"/>
        <v>0</v>
      </c>
      <c r="V46" s="171" t="str">
        <f t="shared" si="20"/>
        <v/>
      </c>
    </row>
    <row r="47" spans="1:32" ht="15" customHeight="1">
      <c r="B47" s="147" t="s">
        <v>328</v>
      </c>
      <c r="C47" s="165" t="s">
        <v>329</v>
      </c>
      <c r="D47" s="166" t="s">
        <v>330</v>
      </c>
      <c r="E47" s="186" t="e">
        <f>Q9</f>
        <v>#DIV/0!</v>
      </c>
      <c r="F47" s="167" t="str">
        <f>Q8</f>
        <v>mm</v>
      </c>
      <c r="G47" s="477"/>
      <c r="H47" s="478"/>
      <c r="I47" s="478"/>
      <c r="J47" s="478"/>
      <c r="K47" s="478"/>
      <c r="L47" s="478"/>
      <c r="M47" s="478"/>
      <c r="N47" s="478"/>
      <c r="O47" s="478"/>
      <c r="P47" s="479"/>
      <c r="Q47" s="173" t="e">
        <f>SQRT(SUMSQ(Q39:Q46))</f>
        <v>#DIV/0!</v>
      </c>
      <c r="R47" s="151" t="s">
        <v>300</v>
      </c>
      <c r="S47" s="156" t="e">
        <f>IF(T47=0,"∞",ROUNDDOWN(Q47^4/T47,0))</f>
        <v>#DIV/0!</v>
      </c>
      <c r="T47" s="265" t="e">
        <f>SUM(T39:T46)</f>
        <v>#DIV/0!</v>
      </c>
      <c r="U47" s="254" t="e">
        <f>SQRT(SUMSQ(U39:U46))</f>
        <v>#DIV/0!</v>
      </c>
      <c r="V47" s="254" t="e">
        <f>SQRT(SUMSQ(V39:V46))</f>
        <v>#DIV/0!</v>
      </c>
    </row>
    <row r="48" spans="1:32" ht="15" customHeight="1">
      <c r="R48" s="119"/>
      <c r="S48" s="119"/>
      <c r="T48" s="116"/>
      <c r="U48" s="116"/>
    </row>
    <row r="49" spans="1:25" ht="15" customHeight="1">
      <c r="A49" s="113" t="s">
        <v>331</v>
      </c>
      <c r="C49" s="114"/>
      <c r="E49" s="119"/>
      <c r="F49" s="119"/>
      <c r="G49" s="114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6"/>
      <c r="U49" s="119"/>
      <c r="V49" s="119"/>
    </row>
    <row r="50" spans="1:25" ht="15" customHeight="1">
      <c r="A50" s="113"/>
      <c r="B50" s="463"/>
      <c r="C50" s="463" t="s">
        <v>332</v>
      </c>
      <c r="D50" s="465" t="s">
        <v>333</v>
      </c>
      <c r="E50" s="463" t="s">
        <v>334</v>
      </c>
      <c r="F50" s="463" t="s">
        <v>335</v>
      </c>
      <c r="G50" s="460">
        <v>1</v>
      </c>
      <c r="H50" s="462"/>
      <c r="I50" s="462"/>
      <c r="J50" s="462"/>
      <c r="K50" s="461"/>
      <c r="L50" s="147">
        <v>2</v>
      </c>
      <c r="M50" s="460">
        <v>3</v>
      </c>
      <c r="N50" s="462"/>
      <c r="O50" s="462"/>
      <c r="P50" s="461"/>
      <c r="Q50" s="460">
        <v>4</v>
      </c>
      <c r="R50" s="461"/>
      <c r="S50" s="147">
        <v>5</v>
      </c>
      <c r="T50" s="463" t="s">
        <v>765</v>
      </c>
      <c r="U50" s="460" t="s">
        <v>774</v>
      </c>
      <c r="V50" s="461"/>
    </row>
    <row r="51" spans="1:25" ht="15" customHeight="1">
      <c r="A51" s="113"/>
      <c r="B51" s="464"/>
      <c r="C51" s="464"/>
      <c r="D51" s="466"/>
      <c r="E51" s="464"/>
      <c r="F51" s="464"/>
      <c r="G51" s="147" t="s">
        <v>336</v>
      </c>
      <c r="H51" s="147" t="s">
        <v>337</v>
      </c>
      <c r="I51" s="147" t="s">
        <v>338</v>
      </c>
      <c r="J51" s="460" t="s">
        <v>339</v>
      </c>
      <c r="K51" s="461"/>
      <c r="L51" s="147" t="s">
        <v>340</v>
      </c>
      <c r="M51" s="460" t="s">
        <v>336</v>
      </c>
      <c r="N51" s="461"/>
      <c r="O51" s="460" t="s">
        <v>341</v>
      </c>
      <c r="P51" s="461"/>
      <c r="Q51" s="460" t="s">
        <v>342</v>
      </c>
      <c r="R51" s="461"/>
      <c r="S51" s="147" t="s">
        <v>343</v>
      </c>
      <c r="T51" s="476"/>
      <c r="U51" s="147" t="s">
        <v>305</v>
      </c>
      <c r="V51" s="147" t="s">
        <v>728</v>
      </c>
    </row>
    <row r="52" spans="1:25" ht="15" customHeight="1">
      <c r="B52" s="147" t="s">
        <v>344</v>
      </c>
      <c r="C52" s="165" t="s">
        <v>345</v>
      </c>
      <c r="D52" s="166" t="s">
        <v>346</v>
      </c>
      <c r="E52" s="149" t="str">
        <f>N15</f>
        <v/>
      </c>
      <c r="F52" s="167" t="str">
        <f>N14</f>
        <v>mm</v>
      </c>
      <c r="G52" s="168">
        <f>MAX(M15:M34,L3)*1000</f>
        <v>0</v>
      </c>
      <c r="H52" s="150">
        <v>1</v>
      </c>
      <c r="I52" s="172">
        <v>5</v>
      </c>
      <c r="J52" s="187">
        <f>G52/(H52*SQRT(I52))</f>
        <v>0</v>
      </c>
      <c r="K52" s="151" t="s">
        <v>300</v>
      </c>
      <c r="L52" s="170" t="s">
        <v>311</v>
      </c>
      <c r="M52" s="226" t="s">
        <v>347</v>
      </c>
      <c r="N52" s="149"/>
      <c r="O52" s="164" t="e">
        <f>(1+E53*(E54-20))*(1-E57*(E58-20))</f>
        <v>#VALUE!</v>
      </c>
      <c r="P52" s="149"/>
      <c r="Q52" s="171" t="e">
        <f t="shared" ref="Q52:Q59" si="23">ABS(J52*O52)</f>
        <v>#VALUE!</v>
      </c>
      <c r="R52" s="151" t="s">
        <v>300</v>
      </c>
      <c r="S52" s="149">
        <v>4</v>
      </c>
      <c r="T52" s="174" t="e">
        <f t="shared" ref="T52:T59" si="24">IF(S52="∞",0,Q52^4/S52)</f>
        <v>#VALUE!</v>
      </c>
      <c r="U52" s="171" t="str">
        <f t="shared" ref="U52:U59" si="25">IF(OR(L52="직사각형",L52="삼각형"),Q52,"")</f>
        <v/>
      </c>
      <c r="V52" s="171" t="e">
        <f t="shared" ref="V52:V59" si="26">IF(OR(L52="직사각형",L52="삼각형"),"",Q52)</f>
        <v>#VALUE!</v>
      </c>
    </row>
    <row r="53" spans="1:25" ht="15" customHeight="1">
      <c r="B53" s="147" t="s">
        <v>348</v>
      </c>
      <c r="C53" s="165" t="s">
        <v>313</v>
      </c>
      <c r="D53" s="166" t="s">
        <v>314</v>
      </c>
      <c r="E53" s="149" t="str">
        <f>O15</f>
        <v/>
      </c>
      <c r="F53" s="167" t="str">
        <f>O14</f>
        <v>/℃</v>
      </c>
      <c r="G53" s="189">
        <f>1*10^-6</f>
        <v>9.9999999999999995E-7</v>
      </c>
      <c r="H53" s="150">
        <v>1</v>
      </c>
      <c r="I53" s="172">
        <v>3</v>
      </c>
      <c r="J53" s="190">
        <f>G53/H53/SQRT(I53)</f>
        <v>5.7735026918962578E-7</v>
      </c>
      <c r="K53" s="167" t="s">
        <v>349</v>
      </c>
      <c r="L53" s="170" t="s">
        <v>350</v>
      </c>
      <c r="M53" s="226" t="s">
        <v>351</v>
      </c>
      <c r="N53" s="149"/>
      <c r="O53" s="164" t="e">
        <f>E52*1000*(E54-20)*(1-E57*(E58-20))</f>
        <v>#VALUE!</v>
      </c>
      <c r="P53" s="149" t="s">
        <v>299</v>
      </c>
      <c r="Q53" s="171" t="e">
        <f>ABS(J53*O53)</f>
        <v>#VALUE!</v>
      </c>
      <c r="R53" s="151" t="s">
        <v>326</v>
      </c>
      <c r="S53" s="149">
        <f>ROUNDDOWN(1/2*(100/10)^2,0)</f>
        <v>50</v>
      </c>
      <c r="T53" s="174" t="e">
        <f t="shared" si="24"/>
        <v>#VALUE!</v>
      </c>
      <c r="U53" s="171" t="e">
        <f t="shared" si="25"/>
        <v>#VALUE!</v>
      </c>
      <c r="V53" s="171" t="str">
        <f t="shared" si="26"/>
        <v/>
      </c>
    </row>
    <row r="54" spans="1:25" ht="15" customHeight="1">
      <c r="B54" s="147" t="s">
        <v>301</v>
      </c>
      <c r="C54" s="165" t="s">
        <v>352</v>
      </c>
      <c r="D54" s="166" t="s">
        <v>353</v>
      </c>
      <c r="E54" s="149" t="str">
        <f>P15</f>
        <v/>
      </c>
      <c r="F54" s="167" t="str">
        <f>P14</f>
        <v>℃</v>
      </c>
      <c r="G54" s="149">
        <v>0.5</v>
      </c>
      <c r="H54" s="150">
        <v>1</v>
      </c>
      <c r="I54" s="172">
        <v>3</v>
      </c>
      <c r="J54" s="169">
        <f>G54/H54/SQRT(I54)</f>
        <v>0.28867513459481292</v>
      </c>
      <c r="K54" s="167" t="s">
        <v>274</v>
      </c>
      <c r="L54" s="170" t="s">
        <v>305</v>
      </c>
      <c r="M54" s="226" t="s">
        <v>354</v>
      </c>
      <c r="N54" s="149"/>
      <c r="O54" s="225" t="e">
        <f>E52*1000*E53*(1-E57*(E58-20))</f>
        <v>#VALUE!</v>
      </c>
      <c r="P54" s="149" t="s">
        <v>306</v>
      </c>
      <c r="Q54" s="171" t="e">
        <f t="shared" ref="Q54" si="27">ABS(J54*O54)</f>
        <v>#VALUE!</v>
      </c>
      <c r="R54" s="151" t="s">
        <v>300</v>
      </c>
      <c r="S54" s="149" t="s">
        <v>307</v>
      </c>
      <c r="T54" s="174">
        <f t="shared" si="24"/>
        <v>0</v>
      </c>
      <c r="U54" s="171" t="e">
        <f t="shared" si="25"/>
        <v>#VALUE!</v>
      </c>
      <c r="V54" s="171" t="str">
        <f t="shared" si="26"/>
        <v/>
      </c>
    </row>
    <row r="55" spans="1:25" ht="15" customHeight="1">
      <c r="B55" s="147" t="s">
        <v>312</v>
      </c>
      <c r="C55" s="165" t="s">
        <v>363</v>
      </c>
      <c r="D55" s="166" t="s">
        <v>320</v>
      </c>
      <c r="E55" s="149" t="str">
        <f>S15</f>
        <v/>
      </c>
      <c r="F55" s="167" t="str">
        <f>S14</f>
        <v>mm</v>
      </c>
      <c r="G55" s="171">
        <f>Length_13!F54</f>
        <v>0</v>
      </c>
      <c r="H55" s="149">
        <f>Length_13!G54</f>
        <v>0</v>
      </c>
      <c r="I55" s="149">
        <f>Length_13!I54</f>
        <v>0</v>
      </c>
      <c r="J55" s="187" t="e">
        <f>SQRT(SUMSQ(G55,H55*K3))/I55</f>
        <v>#DIV/0!</v>
      </c>
      <c r="K55" s="151" t="s">
        <v>300</v>
      </c>
      <c r="L55" s="170" t="s">
        <v>321</v>
      </c>
      <c r="M55" s="226" t="s">
        <v>365</v>
      </c>
      <c r="N55" s="149"/>
      <c r="O55" s="164" t="e">
        <f>1-E57*(E58-20)</f>
        <v>#VALUE!</v>
      </c>
      <c r="P55" s="149"/>
      <c r="Q55" s="171" t="e">
        <f t="shared" ref="Q55" si="28">ABS(J55*O55)</f>
        <v>#DIV/0!</v>
      </c>
      <c r="R55" s="151" t="s">
        <v>300</v>
      </c>
      <c r="S55" s="149" t="s">
        <v>307</v>
      </c>
      <c r="T55" s="174">
        <f t="shared" si="24"/>
        <v>0</v>
      </c>
      <c r="U55" s="171" t="str">
        <f t="shared" si="25"/>
        <v/>
      </c>
      <c r="V55" s="171" t="e">
        <f t="shared" si="26"/>
        <v>#DIV/0!</v>
      </c>
    </row>
    <row r="56" spans="1:25" ht="15" customHeight="1">
      <c r="B56" s="147" t="s">
        <v>447</v>
      </c>
      <c r="C56" s="165" t="s">
        <v>364</v>
      </c>
      <c r="D56" s="166" t="s">
        <v>330</v>
      </c>
      <c r="E56" s="186" t="e">
        <f>E47</f>
        <v>#DIV/0!</v>
      </c>
      <c r="F56" s="167" t="str">
        <f>F47</f>
        <v>mm</v>
      </c>
      <c r="G56" s="171"/>
      <c r="H56" s="149"/>
      <c r="I56" s="172"/>
      <c r="J56" s="187" t="e">
        <f>Q47</f>
        <v>#DIV/0!</v>
      </c>
      <c r="K56" s="151" t="s">
        <v>300</v>
      </c>
      <c r="L56" s="170" t="s">
        <v>321</v>
      </c>
      <c r="M56" s="226" t="s">
        <v>365</v>
      </c>
      <c r="N56" s="149"/>
      <c r="O56" s="164" t="e">
        <f>1-E57*(E58-20)</f>
        <v>#VALUE!</v>
      </c>
      <c r="P56" s="149"/>
      <c r="Q56" s="171" t="e">
        <f t="shared" si="23"/>
        <v>#DIV/0!</v>
      </c>
      <c r="R56" s="151" t="s">
        <v>300</v>
      </c>
      <c r="S56" s="149" t="e">
        <f>S47</f>
        <v>#DIV/0!</v>
      </c>
      <c r="T56" s="174" t="e">
        <f t="shared" si="24"/>
        <v>#DIV/0!</v>
      </c>
      <c r="U56" s="171" t="str">
        <f t="shared" si="25"/>
        <v/>
      </c>
      <c r="V56" s="171" t="e">
        <f t="shared" si="26"/>
        <v>#DIV/0!</v>
      </c>
    </row>
    <row r="57" spans="1:25" ht="15" customHeight="1">
      <c r="B57" s="147" t="s">
        <v>448</v>
      </c>
      <c r="C57" s="165" t="s">
        <v>355</v>
      </c>
      <c r="D57" s="166" t="s">
        <v>356</v>
      </c>
      <c r="E57" s="149" t="str">
        <f>Q15</f>
        <v/>
      </c>
      <c r="F57" s="167" t="str">
        <f>Q14</f>
        <v>/℃</v>
      </c>
      <c r="G57" s="189">
        <f>1*10^-6</f>
        <v>9.9999999999999995E-7</v>
      </c>
      <c r="H57" s="150">
        <v>1</v>
      </c>
      <c r="I57" s="172">
        <v>3</v>
      </c>
      <c r="J57" s="190">
        <f>G57/H57/SQRT(I57)</f>
        <v>5.7735026918962578E-7</v>
      </c>
      <c r="K57" s="167" t="s">
        <v>357</v>
      </c>
      <c r="L57" s="170" t="s">
        <v>305</v>
      </c>
      <c r="M57" s="227" t="s">
        <v>358</v>
      </c>
      <c r="N57" s="149"/>
      <c r="O57" s="228" t="e">
        <f>-(E58-20)*(E52*1000*(1+E53*(E54-20))+E55*1000+E56*1000)</f>
        <v>#VALUE!</v>
      </c>
      <c r="P57" s="149" t="s">
        <v>299</v>
      </c>
      <c r="Q57" s="171" t="e">
        <f>ABS(J57*O57)</f>
        <v>#VALUE!</v>
      </c>
      <c r="R57" s="151" t="s">
        <v>359</v>
      </c>
      <c r="S57" s="149">
        <f>ROUNDDOWN(1/2*(100/10)^2,0)</f>
        <v>50</v>
      </c>
      <c r="T57" s="174" t="e">
        <f t="shared" si="24"/>
        <v>#VALUE!</v>
      </c>
      <c r="U57" s="171" t="e">
        <f t="shared" si="25"/>
        <v>#VALUE!</v>
      </c>
      <c r="V57" s="171" t="str">
        <f t="shared" si="26"/>
        <v/>
      </c>
    </row>
    <row r="58" spans="1:25" ht="15" customHeight="1">
      <c r="B58" s="147" t="s">
        <v>114</v>
      </c>
      <c r="C58" s="165" t="s">
        <v>360</v>
      </c>
      <c r="D58" s="166" t="s">
        <v>361</v>
      </c>
      <c r="E58" s="149" t="str">
        <f>R15</f>
        <v/>
      </c>
      <c r="F58" s="167" t="str">
        <f>R14</f>
        <v>℃</v>
      </c>
      <c r="G58" s="149">
        <v>0.5</v>
      </c>
      <c r="H58" s="150">
        <v>1</v>
      </c>
      <c r="I58" s="172">
        <v>3</v>
      </c>
      <c r="J58" s="169">
        <f>G58/H58/SQRT(I58)</f>
        <v>0.28867513459481292</v>
      </c>
      <c r="K58" s="167" t="s">
        <v>450</v>
      </c>
      <c r="L58" s="170" t="s">
        <v>305</v>
      </c>
      <c r="M58" s="227" t="s">
        <v>362</v>
      </c>
      <c r="N58" s="149"/>
      <c r="O58" s="225" t="e">
        <f>-E57*(E52*1000*(1+E53*(E54-20))+E55*1000+E56*1000)</f>
        <v>#VALUE!</v>
      </c>
      <c r="P58" s="149" t="s">
        <v>306</v>
      </c>
      <c r="Q58" s="171" t="e">
        <f>ABS(J58*O58)</f>
        <v>#VALUE!</v>
      </c>
      <c r="R58" s="151" t="s">
        <v>300</v>
      </c>
      <c r="S58" s="149" t="s">
        <v>307</v>
      </c>
      <c r="T58" s="174">
        <f t="shared" si="24"/>
        <v>0</v>
      </c>
      <c r="U58" s="171" t="e">
        <f t="shared" si="25"/>
        <v>#VALUE!</v>
      </c>
      <c r="V58" s="171" t="str">
        <f t="shared" si="26"/>
        <v/>
      </c>
    </row>
    <row r="59" spans="1:25" ht="15" customHeight="1">
      <c r="B59" s="147" t="s">
        <v>115</v>
      </c>
      <c r="C59" s="165" t="s">
        <v>366</v>
      </c>
      <c r="D59" s="166" t="s">
        <v>367</v>
      </c>
      <c r="E59" s="149">
        <v>0</v>
      </c>
      <c r="F59" s="167" t="str">
        <f>U14</f>
        <v>mm</v>
      </c>
      <c r="G59" s="149">
        <f>L3*1000</f>
        <v>0</v>
      </c>
      <c r="H59" s="149">
        <v>2</v>
      </c>
      <c r="I59" s="172">
        <v>3</v>
      </c>
      <c r="J59" s="187">
        <f>G59/H59/SQRT(I59)</f>
        <v>0</v>
      </c>
      <c r="K59" s="151" t="s">
        <v>300</v>
      </c>
      <c r="L59" s="170" t="s">
        <v>305</v>
      </c>
      <c r="M59" s="149"/>
      <c r="N59" s="149"/>
      <c r="O59" s="164">
        <v>1</v>
      </c>
      <c r="P59" s="149"/>
      <c r="Q59" s="171">
        <f t="shared" si="23"/>
        <v>0</v>
      </c>
      <c r="R59" s="151" t="s">
        <v>300</v>
      </c>
      <c r="S59" s="149" t="s">
        <v>327</v>
      </c>
      <c r="T59" s="174">
        <f t="shared" si="24"/>
        <v>0</v>
      </c>
      <c r="U59" s="171">
        <f t="shared" si="25"/>
        <v>0</v>
      </c>
      <c r="V59" s="171" t="str">
        <f t="shared" si="26"/>
        <v/>
      </c>
    </row>
    <row r="60" spans="1:25" ht="15" customHeight="1">
      <c r="B60" s="147" t="s">
        <v>449</v>
      </c>
      <c r="C60" s="165" t="s">
        <v>368</v>
      </c>
      <c r="D60" s="166" t="s">
        <v>369</v>
      </c>
      <c r="E60" s="149" t="str">
        <f>U15</f>
        <v/>
      </c>
      <c r="F60" s="167" t="str">
        <f>U14</f>
        <v>mm</v>
      </c>
      <c r="G60" s="477"/>
      <c r="H60" s="478"/>
      <c r="I60" s="478"/>
      <c r="J60" s="478"/>
      <c r="K60" s="478"/>
      <c r="L60" s="478"/>
      <c r="M60" s="478"/>
      <c r="N60" s="478"/>
      <c r="O60" s="478"/>
      <c r="P60" s="479"/>
      <c r="Q60" s="173" t="e">
        <f>SQRT(SUMSQ(Q52:Q59))</f>
        <v>#VALUE!</v>
      </c>
      <c r="R60" s="151" t="s">
        <v>300</v>
      </c>
      <c r="S60" s="156" t="e">
        <f>IF(T60=0,"∞",ROUNDDOWN(Q60^4/T60,0))</f>
        <v>#VALUE!</v>
      </c>
      <c r="T60" s="265" t="e">
        <f>SUM(T52:T59)</f>
        <v>#VALUE!</v>
      </c>
      <c r="U60" s="254" t="e">
        <f>SQRT(SUMSQ(U52:U59))</f>
        <v>#VALUE!</v>
      </c>
      <c r="V60" s="254" t="e">
        <f>SQRT(SUMSQ(V52:V59))</f>
        <v>#VALUE!</v>
      </c>
      <c r="W60" s="119"/>
      <c r="X60" s="119"/>
      <c r="Y60" s="119"/>
    </row>
    <row r="61" spans="1:25" ht="15" customHeight="1">
      <c r="R61" s="119"/>
      <c r="S61" s="119"/>
      <c r="T61" s="116"/>
      <c r="U61" s="116"/>
    </row>
    <row r="62" spans="1:25" ht="15" customHeight="1">
      <c r="B62" s="181"/>
      <c r="C62" s="460" t="s">
        <v>372</v>
      </c>
      <c r="D62" s="462"/>
      <c r="E62" s="462"/>
      <c r="F62" s="462"/>
      <c r="G62" s="461"/>
      <c r="H62" s="147" t="s">
        <v>373</v>
      </c>
      <c r="I62" s="147" t="s">
        <v>374</v>
      </c>
      <c r="J62" s="460" t="s">
        <v>375</v>
      </c>
      <c r="K62" s="462"/>
      <c r="L62" s="462"/>
      <c r="M62" s="461"/>
      <c r="N62" s="147" t="s">
        <v>376</v>
      </c>
      <c r="O62" s="460" t="s">
        <v>377</v>
      </c>
      <c r="P62" s="462"/>
      <c r="Q62" s="461"/>
      <c r="R62" s="463" t="s">
        <v>770</v>
      </c>
      <c r="S62" s="460" t="s">
        <v>778</v>
      </c>
      <c r="T62" s="461"/>
      <c r="U62" s="116"/>
    </row>
    <row r="63" spans="1:25" ht="15" customHeight="1">
      <c r="B63" s="181"/>
      <c r="C63" s="181">
        <v>1</v>
      </c>
      <c r="D63" s="181">
        <v>2</v>
      </c>
      <c r="E63" s="181" t="s">
        <v>378</v>
      </c>
      <c r="F63" s="181" t="s">
        <v>335</v>
      </c>
      <c r="G63" s="181" t="s">
        <v>379</v>
      </c>
      <c r="H63" s="181" t="s">
        <v>380</v>
      </c>
      <c r="I63" s="181" t="s">
        <v>380</v>
      </c>
      <c r="J63" s="147" t="s">
        <v>181</v>
      </c>
      <c r="K63" s="147" t="s">
        <v>381</v>
      </c>
      <c r="L63" s="147" t="s">
        <v>366</v>
      </c>
      <c r="M63" s="147" t="s">
        <v>771</v>
      </c>
      <c r="N63" s="181"/>
      <c r="O63" s="147" t="s">
        <v>181</v>
      </c>
      <c r="P63" s="147" t="s">
        <v>772</v>
      </c>
      <c r="Q63" s="147" t="s">
        <v>382</v>
      </c>
      <c r="R63" s="475"/>
      <c r="S63" s="147" t="s">
        <v>779</v>
      </c>
      <c r="T63" s="147" t="s">
        <v>780</v>
      </c>
      <c r="U63" s="116"/>
    </row>
    <row r="64" spans="1:25" ht="15" customHeight="1">
      <c r="B64" s="181" t="s">
        <v>385</v>
      </c>
      <c r="C64" s="121" t="e">
        <f ca="1">E75*Q60</f>
        <v>#VALUE!</v>
      </c>
      <c r="D64" s="121"/>
      <c r="E64" s="121"/>
      <c r="F64" s="123" t="str">
        <f>R60</f>
        <v>μm</v>
      </c>
      <c r="G64" s="195" t="e">
        <f ca="1">C64/1000</f>
        <v>#VALUE!</v>
      </c>
      <c r="H64" s="195" t="e">
        <f ca="1">MAX(G64:G65)</f>
        <v>#VALUE!</v>
      </c>
      <c r="I64" s="140">
        <f>L3</f>
        <v>0</v>
      </c>
      <c r="J64" s="120" t="e">
        <f ca="1">IF(H64&lt;0.00001,6,IF(H64&lt;0.0001,5,IF(H64&lt;0.001,4,IF(H64&lt;0.01,3,IF(H64&lt;0.1,2,IF(H64&lt;1,1,IF(H64&lt;10,0,IF(H64&lt;100,-1,-2))))))))+K65</f>
        <v>#VALUE!</v>
      </c>
      <c r="K64" s="120" t="e">
        <f ca="1">J64+IF(AND(H63="μm",I63="mm"),3,0)</f>
        <v>#VALUE!</v>
      </c>
      <c r="L64" s="149">
        <f>IFERROR(LEN(I64)-FIND(".",I64),0)</f>
        <v>0</v>
      </c>
      <c r="M64" s="174" t="e">
        <f ca="1">IF(M65=TRUE,MIN(K64:L64),K64)</f>
        <v>#VALUE!</v>
      </c>
      <c r="N64" s="140" t="e">
        <f ca="1">ABS((H64-ROUND(H64,M64))/H64*100)</f>
        <v>#VALUE!</v>
      </c>
      <c r="O64" s="149" t="e">
        <f ca="1">OFFSET(P68,MATCH(J64,O69:O78,0),0)</f>
        <v>#VALUE!</v>
      </c>
      <c r="P64" s="149" t="e">
        <f ca="1">OFFSET(P68,MATCH(M64,O69:O78,0),0)</f>
        <v>#VALUE!</v>
      </c>
      <c r="Q64" s="149" t="str">
        <f ca="1">OFFSET(P68,MATCH(L64,O69:O78,0),0)</f>
        <v>0</v>
      </c>
      <c r="R64" s="124" t="e">
        <f ca="1">IF(H64=G64,0,1)</f>
        <v>#VALUE!</v>
      </c>
      <c r="S64" s="126" t="e">
        <f ca="1">TEXT(IF(N64&gt;5,ROUNDUP(H64,M64),ROUND(H64,M64)),P64)</f>
        <v>#VALUE!</v>
      </c>
      <c r="T64" s="126" t="e">
        <f ca="1">S64&amp;" "&amp;H63</f>
        <v>#VALUE!</v>
      </c>
      <c r="U64" s="116"/>
    </row>
    <row r="65" spans="2:28" ht="15" customHeight="1">
      <c r="B65" s="181" t="s">
        <v>387</v>
      </c>
      <c r="C65" s="122" t="e">
        <f ca="1">$N$3</f>
        <v>#N/A</v>
      </c>
      <c r="D65" s="123" t="e">
        <f ca="1">$O$3</f>
        <v>#N/A</v>
      </c>
      <c r="E65" s="123">
        <f>K3</f>
        <v>0</v>
      </c>
      <c r="F65" s="123" t="e">
        <f ca="1">$P$3</f>
        <v>#N/A</v>
      </c>
      <c r="G65" s="196" t="e">
        <f ca="1">SQRT(SUMSQ(C65,D65*E65))/1000</f>
        <v>#N/A</v>
      </c>
      <c r="J65" s="147" t="s">
        <v>762</v>
      </c>
      <c r="K65" s="149">
        <f>IF(O65=TRUE,1,기본정보!$A$47)</f>
        <v>1</v>
      </c>
      <c r="L65" s="147" t="s">
        <v>763</v>
      </c>
      <c r="M65" s="149" t="b">
        <f>IF(O65=TRUE,FALSE,기본정보!$A$52)</f>
        <v>0</v>
      </c>
      <c r="N65" s="147" t="s">
        <v>764</v>
      </c>
      <c r="O65" s="149" t="b">
        <f>기본정보!$A$46=0</f>
        <v>1</v>
      </c>
      <c r="P65" s="119"/>
      <c r="Q65" s="116"/>
      <c r="R65" s="116"/>
      <c r="S65" s="116"/>
      <c r="T65" s="116"/>
      <c r="U65" s="116"/>
    </row>
    <row r="66" spans="2:28" ht="15" customHeight="1">
      <c r="B66" s="117"/>
      <c r="C66" s="117"/>
      <c r="D66" s="117"/>
      <c r="O66" s="119"/>
      <c r="P66" s="119"/>
      <c r="Q66" s="116"/>
      <c r="R66" s="116"/>
      <c r="S66" s="116"/>
      <c r="T66" s="116"/>
      <c r="U66" s="116"/>
    </row>
    <row r="67" spans="2:28" ht="15" customHeight="1">
      <c r="B67" s="191" t="s">
        <v>370</v>
      </c>
      <c r="C67" s="117"/>
      <c r="D67" s="117"/>
      <c r="L67" s="119"/>
      <c r="M67" s="119"/>
      <c r="N67" s="116"/>
      <c r="O67" s="218" t="s">
        <v>389</v>
      </c>
      <c r="P67" s="218" t="s">
        <v>390</v>
      </c>
      <c r="Q67" s="116"/>
      <c r="R67" s="116"/>
      <c r="S67" s="116"/>
      <c r="T67" s="116"/>
      <c r="U67" s="116"/>
    </row>
    <row r="68" spans="2:28" ht="15" customHeight="1">
      <c r="B68" s="469" t="s">
        <v>766</v>
      </c>
      <c r="C68" s="471"/>
      <c r="D68" s="463" t="s">
        <v>775</v>
      </c>
      <c r="E68" s="147" t="s">
        <v>305</v>
      </c>
      <c r="F68" s="147" t="s">
        <v>776</v>
      </c>
      <c r="G68" s="147" t="s">
        <v>777</v>
      </c>
      <c r="I68" s="165" t="s">
        <v>53</v>
      </c>
      <c r="J68" s="165" t="s">
        <v>388</v>
      </c>
      <c r="L68" s="119"/>
      <c r="M68" s="119"/>
      <c r="N68" s="116"/>
      <c r="O68" s="219" t="s">
        <v>391</v>
      </c>
      <c r="P68" s="219" t="s">
        <v>392</v>
      </c>
      <c r="Q68" s="116"/>
      <c r="R68" s="116"/>
      <c r="S68" s="116"/>
      <c r="T68" s="116"/>
      <c r="U68" s="116"/>
    </row>
    <row r="69" spans="2:28" ht="15" customHeight="1">
      <c r="B69" s="181" t="s">
        <v>767</v>
      </c>
      <c r="C69" s="264" t="s">
        <v>768</v>
      </c>
      <c r="D69" s="475"/>
      <c r="E69" s="263" t="e">
        <f>U60</f>
        <v>#VALUE!</v>
      </c>
      <c r="F69" s="263" t="e">
        <f>V60</f>
        <v>#VALUE!</v>
      </c>
      <c r="G69" s="192" t="e">
        <f>F69/E69</f>
        <v>#VALUE!</v>
      </c>
      <c r="I69" s="165"/>
      <c r="J69" s="165">
        <v>95.45</v>
      </c>
      <c r="L69" s="119"/>
      <c r="M69" s="119"/>
      <c r="N69" s="116"/>
      <c r="O69" s="175">
        <v>0</v>
      </c>
      <c r="P69" s="176" t="s">
        <v>393</v>
      </c>
      <c r="Q69" s="116"/>
      <c r="R69" s="116"/>
      <c r="S69" s="116"/>
      <c r="T69" s="116"/>
      <c r="U69" s="116"/>
    </row>
    <row r="70" spans="2:28" ht="15" customHeight="1">
      <c r="B70" s="149">
        <v>1</v>
      </c>
      <c r="C70" s="171">
        <f>IFERROR(LARGE(U52:U59,B70),0)</f>
        <v>0</v>
      </c>
      <c r="D70" s="147" t="s">
        <v>729</v>
      </c>
      <c r="E70" s="472" t="e">
        <f>SQRT(SUMSQ(C72:C77,V52:V59))</f>
        <v>#VALUE!</v>
      </c>
      <c r="F70" s="472"/>
      <c r="G70" s="473" t="e">
        <f>E70/SQRT(SUMSQ(E71,F71))</f>
        <v>#VALUE!</v>
      </c>
      <c r="H70" s="118"/>
      <c r="I70" s="149">
        <v>1</v>
      </c>
      <c r="J70" s="149">
        <v>13.97</v>
      </c>
      <c r="L70" s="119"/>
      <c r="M70" s="119"/>
      <c r="N70" s="116"/>
      <c r="O70" s="175">
        <v>1</v>
      </c>
      <c r="P70" s="176" t="s">
        <v>394</v>
      </c>
      <c r="Q70" s="116"/>
      <c r="R70" s="116"/>
      <c r="S70" s="116"/>
      <c r="T70" s="116"/>
      <c r="U70" s="116"/>
    </row>
    <row r="71" spans="2:28" ht="15" customHeight="1">
      <c r="B71" s="149">
        <v>2</v>
      </c>
      <c r="C71" s="171">
        <f>IFERROR(LARGE(U52:U59,B71),0)</f>
        <v>0</v>
      </c>
      <c r="D71" s="147" t="s">
        <v>730</v>
      </c>
      <c r="E71" s="262">
        <f>C70</f>
        <v>0</v>
      </c>
      <c r="F71" s="262">
        <f>C71</f>
        <v>0</v>
      </c>
      <c r="G71" s="474"/>
      <c r="H71" s="118"/>
      <c r="I71" s="149">
        <v>2</v>
      </c>
      <c r="J71" s="149">
        <v>4.53</v>
      </c>
      <c r="L71" s="119"/>
      <c r="M71" s="119"/>
      <c r="N71" s="116"/>
      <c r="O71" s="175">
        <v>2</v>
      </c>
      <c r="P71" s="176" t="s">
        <v>395</v>
      </c>
      <c r="Q71" s="116"/>
      <c r="R71" s="116"/>
      <c r="S71" s="116"/>
      <c r="T71" s="116"/>
      <c r="U71" s="116"/>
    </row>
    <row r="72" spans="2:28" ht="15" customHeight="1">
      <c r="B72" s="149">
        <v>3</v>
      </c>
      <c r="C72" s="173">
        <f>IFERROR(LARGE(U52:U59,B72),0)</f>
        <v>0</v>
      </c>
      <c r="D72" s="463" t="s">
        <v>371</v>
      </c>
      <c r="E72" s="194" t="s">
        <v>383</v>
      </c>
      <c r="F72" s="194" t="s">
        <v>769</v>
      </c>
      <c r="G72" s="194" t="s">
        <v>384</v>
      </c>
      <c r="H72" s="118"/>
      <c r="I72" s="149">
        <v>3</v>
      </c>
      <c r="J72" s="149">
        <v>3.31</v>
      </c>
      <c r="L72" s="119"/>
      <c r="N72" s="116"/>
      <c r="O72" s="175">
        <v>3</v>
      </c>
      <c r="P72" s="176" t="s">
        <v>396</v>
      </c>
      <c r="Q72" s="116"/>
      <c r="R72" s="116"/>
      <c r="S72" s="116"/>
      <c r="T72" s="116"/>
      <c r="U72" s="116"/>
    </row>
    <row r="73" spans="2:28" ht="15" customHeight="1">
      <c r="B73" s="149">
        <v>4</v>
      </c>
      <c r="C73" s="173">
        <f>IFERROR(LARGE(U52:U59,B73),0)</f>
        <v>0</v>
      </c>
      <c r="D73" s="464"/>
      <c r="E73" s="149">
        <f ca="1">OFFSET(G51,MATCH(E71,U52:U59,0),0)/IF(OFFSET(H51,MATCH(E71,U52:U59,0),0)="",1,OFFSET(H51,MATCH(E71,U52:U59,0),0))</f>
        <v>0</v>
      </c>
      <c r="F73" s="149">
        <f ca="1">OFFSET(G51,MATCH(F71,U52:U59,0),0)/IF(OFFSET(H51,MATCH(F71,U52:U59,0),0)="",1,OFFSET(H51,MATCH(F71,U52:U59,0),0))</f>
        <v>0</v>
      </c>
      <c r="G73" s="222" t="e">
        <f ca="1">ABS(E73-F73)/(E73+F73)</f>
        <v>#DIV/0!</v>
      </c>
      <c r="I73" s="149">
        <v>4</v>
      </c>
      <c r="J73" s="149">
        <v>2.87</v>
      </c>
      <c r="N73" s="116"/>
      <c r="O73" s="175">
        <v>4</v>
      </c>
      <c r="P73" s="176" t="s">
        <v>397</v>
      </c>
      <c r="Q73" s="116"/>
      <c r="R73" s="116"/>
      <c r="S73" s="116"/>
      <c r="T73" s="116"/>
      <c r="U73" s="116"/>
    </row>
    <row r="74" spans="2:28" ht="15" customHeight="1">
      <c r="B74" s="149">
        <v>5</v>
      </c>
      <c r="C74" s="173">
        <f>IFERROR(LARGE(U52:U59,B74),0)</f>
        <v>0</v>
      </c>
      <c r="D74" s="147" t="s">
        <v>340</v>
      </c>
      <c r="E74" s="193" t="e">
        <f>IF(AND(G69&lt;0.3,G70&lt;0.3),"사다리꼴","정규")</f>
        <v>#VALUE!</v>
      </c>
      <c r="I74" s="149">
        <v>5</v>
      </c>
      <c r="J74" s="149">
        <v>2.65</v>
      </c>
      <c r="N74" s="116"/>
      <c r="O74" s="175">
        <v>5</v>
      </c>
      <c r="P74" s="176" t="s">
        <v>398</v>
      </c>
      <c r="Q74" s="116"/>
      <c r="R74" s="116"/>
      <c r="S74" s="116"/>
      <c r="T74" s="116"/>
      <c r="U74" s="116"/>
    </row>
    <row r="75" spans="2:28" ht="15" customHeight="1">
      <c r="B75" s="149">
        <v>6</v>
      </c>
      <c r="C75" s="173">
        <f>IFERROR(LARGE(U52:U59,B75),0)</f>
        <v>0</v>
      </c>
      <c r="D75" s="147" t="s">
        <v>386</v>
      </c>
      <c r="E75" s="149" t="e">
        <f ca="1">IF(E74="정규",IF(OR(S60="∞",S60&gt;=10),2,OFFSET(J69,MATCH(S60,I70:I79,0),0)),ROUND((1-SQRT((1-0.95)*(1-G73^2)))/SQRT((1+G73^2)/6),2))</f>
        <v>#VALUE!</v>
      </c>
      <c r="I75" s="149">
        <v>6</v>
      </c>
      <c r="J75" s="149">
        <v>2.52</v>
      </c>
      <c r="N75" s="116"/>
      <c r="O75" s="175">
        <v>6</v>
      </c>
      <c r="P75" s="176" t="s">
        <v>399</v>
      </c>
      <c r="Q75" s="116"/>
      <c r="R75" s="116"/>
      <c r="S75" s="116"/>
      <c r="T75" s="116"/>
      <c r="U75" s="116"/>
    </row>
    <row r="76" spans="2:28" ht="15" customHeight="1">
      <c r="B76" s="149">
        <v>7</v>
      </c>
      <c r="C76" s="173">
        <f>IFERROR(LARGE(U52:U59,B76),0)</f>
        <v>0</v>
      </c>
      <c r="D76" s="117"/>
      <c r="I76" s="149">
        <v>7</v>
      </c>
      <c r="J76" s="149">
        <v>2.4300000000000002</v>
      </c>
      <c r="N76" s="116"/>
      <c r="O76" s="175">
        <v>7</v>
      </c>
      <c r="P76" s="176" t="s">
        <v>400</v>
      </c>
      <c r="Q76" s="116"/>
      <c r="R76" s="116"/>
      <c r="S76" s="116"/>
      <c r="T76" s="116"/>
      <c r="U76" s="116"/>
    </row>
    <row r="77" spans="2:28" ht="15" customHeight="1">
      <c r="B77" s="149">
        <v>8</v>
      </c>
      <c r="C77" s="173">
        <f>IFERROR(LARGE(U52:U59,B77),0)</f>
        <v>0</v>
      </c>
      <c r="D77" s="117"/>
      <c r="I77" s="149">
        <v>8</v>
      </c>
      <c r="J77" s="149">
        <v>2.37</v>
      </c>
      <c r="O77" s="175">
        <v>8</v>
      </c>
      <c r="P77" s="176" t="s">
        <v>401</v>
      </c>
      <c r="Q77" s="116"/>
      <c r="R77" s="116"/>
      <c r="S77" s="116"/>
      <c r="T77" s="116"/>
      <c r="U77" s="116"/>
    </row>
    <row r="78" spans="2:28" ht="15" customHeight="1">
      <c r="B78" s="117"/>
      <c r="C78" s="117"/>
      <c r="D78" s="117"/>
      <c r="I78" s="149">
        <v>9</v>
      </c>
      <c r="J78" s="149">
        <v>2.3199999999999998</v>
      </c>
      <c r="O78" s="175">
        <v>9</v>
      </c>
      <c r="P78" s="176" t="s">
        <v>402</v>
      </c>
      <c r="Q78" s="116"/>
      <c r="R78" s="116"/>
      <c r="S78" s="116"/>
      <c r="T78" s="116"/>
      <c r="U78" s="116"/>
    </row>
    <row r="79" spans="2:28" ht="15" customHeight="1">
      <c r="B79" s="117"/>
      <c r="C79" s="117"/>
      <c r="D79" s="115"/>
      <c r="E79" s="116"/>
      <c r="I79" s="149" t="s">
        <v>54</v>
      </c>
      <c r="J79" s="149">
        <v>2</v>
      </c>
      <c r="Q79" s="116"/>
      <c r="R79" s="116"/>
      <c r="S79" s="116"/>
      <c r="T79" s="116"/>
      <c r="U79" s="116"/>
    </row>
    <row r="80" spans="2:28" ht="15" customHeight="1">
      <c r="B80" s="135" t="s">
        <v>403</v>
      </c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Y80" s="117"/>
      <c r="Z80" s="117"/>
      <c r="AA80" s="117"/>
      <c r="AB80" s="117"/>
    </row>
    <row r="81" spans="2:28" ht="15" customHeight="1">
      <c r="B81" s="136"/>
      <c r="C81" s="111" t="s">
        <v>404</v>
      </c>
      <c r="D81" s="111" t="s">
        <v>405</v>
      </c>
      <c r="E81" s="136"/>
      <c r="F81" s="111" t="s">
        <v>406</v>
      </c>
      <c r="G81" s="141" t="s">
        <v>407</v>
      </c>
      <c r="H81" s="111" t="s">
        <v>404</v>
      </c>
      <c r="I81" s="141" t="s">
        <v>408</v>
      </c>
      <c r="J81" s="111" t="s">
        <v>409</v>
      </c>
      <c r="K81" s="111" t="s">
        <v>410</v>
      </c>
      <c r="O81" s="116"/>
      <c r="P81" s="116"/>
      <c r="Q81" s="116"/>
    </row>
    <row r="82" spans="2:28" ht="15" customHeight="1">
      <c r="B82" s="136"/>
      <c r="C82" s="142">
        <v>13000</v>
      </c>
      <c r="D82" s="480" t="s">
        <v>411</v>
      </c>
      <c r="E82" s="136"/>
      <c r="F82" s="111" t="b">
        <f>IF(COUNTBLANK(Length_13_Result3)=1,FALSE,TRUE)</f>
        <v>0</v>
      </c>
      <c r="G82" s="111" t="b">
        <f>I3="inch"</f>
        <v>0</v>
      </c>
      <c r="H82" s="142">
        <f>C82</f>
        <v>13000</v>
      </c>
      <c r="I82" s="143">
        <f>IF(F82=TRUE,H82,0)</f>
        <v>0</v>
      </c>
      <c r="J82" s="144">
        <f>SUM(H82:I82)</f>
        <v>13000</v>
      </c>
      <c r="K82" s="483">
        <f>SUM(J82:J84)</f>
        <v>13000</v>
      </c>
      <c r="O82" s="116"/>
      <c r="P82" s="116"/>
      <c r="Q82" s="116"/>
    </row>
    <row r="83" spans="2:28" ht="15" customHeight="1">
      <c r="B83" s="136"/>
      <c r="C83" s="142"/>
      <c r="D83" s="481"/>
      <c r="E83" s="136"/>
      <c r="F83" s="111"/>
      <c r="G83" s="111"/>
      <c r="H83" s="142"/>
      <c r="I83" s="143"/>
      <c r="J83" s="144"/>
      <c r="K83" s="489"/>
      <c r="O83" s="116"/>
      <c r="P83" s="116"/>
      <c r="Q83" s="116"/>
    </row>
    <row r="84" spans="2:28" ht="15" customHeight="1">
      <c r="B84" s="136"/>
      <c r="C84" s="142"/>
      <c r="D84" s="481"/>
      <c r="E84" s="136"/>
      <c r="F84" s="111"/>
      <c r="G84" s="111"/>
      <c r="H84" s="142"/>
      <c r="I84" s="145"/>
      <c r="J84" s="144"/>
      <c r="K84" s="484"/>
      <c r="O84" s="116"/>
      <c r="P84" s="116"/>
      <c r="Q84" s="116"/>
    </row>
    <row r="85" spans="2:28" ht="15" customHeight="1">
      <c r="B85" s="136"/>
      <c r="C85" s="142"/>
      <c r="D85" s="481"/>
      <c r="E85" s="136"/>
      <c r="F85" s="136"/>
      <c r="G85" s="136"/>
      <c r="H85" s="136"/>
      <c r="I85" s="136"/>
      <c r="J85" s="136"/>
      <c r="K85" s="136"/>
      <c r="L85" s="137"/>
      <c r="M85" s="136"/>
      <c r="N85" s="136"/>
      <c r="O85" s="136"/>
      <c r="S85" s="116"/>
      <c r="T85" s="116"/>
      <c r="U85" s="116"/>
      <c r="V85" s="117"/>
      <c r="W85" s="117"/>
      <c r="X85" s="117"/>
      <c r="Y85" s="117"/>
    </row>
    <row r="86" spans="2:28" ht="15" customHeight="1">
      <c r="B86" s="136"/>
      <c r="C86" s="142"/>
      <c r="D86" s="481"/>
      <c r="E86" s="136"/>
      <c r="F86" s="138" t="s">
        <v>412</v>
      </c>
      <c r="G86" s="136"/>
      <c r="H86" s="136"/>
      <c r="I86" s="136"/>
      <c r="J86" s="136"/>
      <c r="K86" s="136"/>
      <c r="L86" s="136"/>
      <c r="M86" s="136"/>
      <c r="N86" s="136"/>
      <c r="O86" s="136"/>
      <c r="S86" s="116"/>
      <c r="T86" s="116"/>
      <c r="U86" s="116"/>
      <c r="V86" s="117"/>
      <c r="W86" s="117"/>
      <c r="X86" s="117"/>
      <c r="Y86" s="117"/>
    </row>
    <row r="87" spans="2:28" ht="15" customHeight="1">
      <c r="B87" s="136"/>
      <c r="C87" s="142"/>
      <c r="D87" s="481"/>
      <c r="E87" s="136"/>
      <c r="F87" s="139"/>
      <c r="J87" s="136"/>
      <c r="K87" s="136"/>
      <c r="L87" s="136"/>
      <c r="M87" s="136"/>
      <c r="N87" s="136"/>
      <c r="O87" s="136"/>
      <c r="S87" s="116"/>
      <c r="T87" s="116"/>
      <c r="U87" s="116"/>
      <c r="V87" s="117"/>
      <c r="W87" s="117"/>
      <c r="X87" s="117"/>
      <c r="Y87" s="117"/>
    </row>
    <row r="88" spans="2:28" ht="15" customHeight="1">
      <c r="B88" s="136"/>
      <c r="C88" s="111"/>
      <c r="D88" s="482"/>
      <c r="E88" s="136"/>
      <c r="F88" s="139"/>
      <c r="J88" s="136"/>
      <c r="K88" s="136"/>
      <c r="L88" s="136"/>
      <c r="M88" s="136"/>
      <c r="N88" s="136"/>
      <c r="O88" s="136"/>
      <c r="S88" s="116"/>
      <c r="T88" s="116"/>
      <c r="U88" s="116"/>
      <c r="V88" s="117"/>
      <c r="W88" s="117"/>
      <c r="X88" s="117"/>
      <c r="Y88" s="117"/>
    </row>
    <row r="89" spans="2:28" ht="15" customHeight="1">
      <c r="B89" s="70"/>
      <c r="C89" s="70"/>
      <c r="D89" s="70"/>
      <c r="E89" s="70"/>
      <c r="F89" s="70"/>
      <c r="G89" s="70"/>
      <c r="H89" s="70"/>
      <c r="M89" s="70"/>
      <c r="N89" s="70"/>
      <c r="O89" s="70"/>
      <c r="P89" s="136"/>
      <c r="Q89" s="136"/>
      <c r="R89" s="136"/>
      <c r="Y89" s="117"/>
      <c r="Z89" s="117"/>
      <c r="AA89" s="117"/>
      <c r="AB89" s="117"/>
    </row>
    <row r="90" spans="2:28" ht="15" customHeight="1">
      <c r="B90" s="117"/>
      <c r="C90" s="117"/>
      <c r="D90" s="117"/>
      <c r="I90" s="139"/>
      <c r="J90" s="136"/>
      <c r="K90" s="136"/>
      <c r="L90" s="136"/>
      <c r="P90" s="116"/>
      <c r="Q90" s="116"/>
      <c r="R90" s="116"/>
      <c r="Y90" s="117"/>
      <c r="Z90" s="117"/>
      <c r="AA90" s="117"/>
      <c r="AB90" s="117"/>
    </row>
    <row r="91" spans="2:28" ht="15" customHeight="1">
      <c r="B91" s="117"/>
      <c r="C91" s="117"/>
      <c r="D91" s="117"/>
      <c r="I91" s="139"/>
      <c r="J91" s="136"/>
      <c r="K91" s="136"/>
      <c r="L91" s="136"/>
      <c r="P91" s="116"/>
      <c r="Q91" s="116"/>
      <c r="R91" s="116"/>
      <c r="Y91" s="117"/>
      <c r="Z91" s="117"/>
      <c r="AA91" s="117"/>
      <c r="AB91" s="117"/>
    </row>
    <row r="92" spans="2:28" ht="15" customHeight="1">
      <c r="B92" s="117"/>
      <c r="C92" s="117"/>
      <c r="D92" s="117"/>
      <c r="J92" s="70"/>
      <c r="K92" s="70"/>
      <c r="L92" s="70"/>
      <c r="P92" s="116"/>
      <c r="Q92" s="116"/>
      <c r="R92" s="116"/>
      <c r="Y92" s="117"/>
      <c r="Z92" s="117"/>
      <c r="AA92" s="117"/>
      <c r="AB92" s="117"/>
    </row>
    <row r="93" spans="2:28" ht="15" customHeight="1">
      <c r="B93" s="117"/>
      <c r="C93" s="117"/>
      <c r="D93" s="117"/>
      <c r="I93" s="139"/>
      <c r="J93" s="119"/>
      <c r="K93" s="119"/>
      <c r="P93" s="116"/>
      <c r="Q93" s="116"/>
      <c r="R93" s="116"/>
      <c r="Y93" s="117"/>
      <c r="Z93" s="117"/>
      <c r="AA93" s="117"/>
      <c r="AB93" s="117"/>
    </row>
    <row r="94" spans="2:28" ht="15" customHeight="1">
      <c r="B94" s="117"/>
      <c r="C94" s="117"/>
      <c r="D94" s="117"/>
      <c r="I94" s="139"/>
      <c r="J94" s="119"/>
      <c r="K94" s="119"/>
      <c r="P94" s="116"/>
      <c r="Q94" s="116"/>
      <c r="R94" s="116"/>
      <c r="V94" s="117"/>
      <c r="W94" s="117"/>
      <c r="X94" s="117"/>
      <c r="Y94" s="117"/>
      <c r="Z94" s="117"/>
      <c r="AA94" s="117"/>
      <c r="AB94" s="117"/>
    </row>
    <row r="95" spans="2:28" ht="15" customHeight="1">
      <c r="B95" s="117"/>
      <c r="C95" s="117"/>
      <c r="D95" s="117"/>
      <c r="J95" s="119"/>
      <c r="K95" s="119"/>
      <c r="P95" s="116"/>
      <c r="Q95" s="116"/>
      <c r="R95" s="116"/>
      <c r="V95" s="117"/>
      <c r="W95" s="117"/>
      <c r="X95" s="117"/>
      <c r="Y95" s="117"/>
      <c r="Z95" s="117"/>
      <c r="AA95" s="117"/>
      <c r="AB95" s="117"/>
    </row>
    <row r="96" spans="2:28" ht="15" customHeight="1">
      <c r="B96" s="117"/>
      <c r="C96" s="117"/>
      <c r="D96" s="117"/>
      <c r="P96" s="116"/>
      <c r="Q96" s="116"/>
      <c r="R96" s="116"/>
    </row>
  </sheetData>
  <mergeCells count="55">
    <mergeCell ref="D82:D88"/>
    <mergeCell ref="K82:K84"/>
    <mergeCell ref="M12:M13"/>
    <mergeCell ref="Y12:Z12"/>
    <mergeCell ref="V12:W12"/>
    <mergeCell ref="G47:P47"/>
    <mergeCell ref="Q51:R51"/>
    <mergeCell ref="G37:K37"/>
    <mergeCell ref="M37:P37"/>
    <mergeCell ref="Q37:R37"/>
    <mergeCell ref="J38:K38"/>
    <mergeCell ref="M38:N38"/>
    <mergeCell ref="O38:P38"/>
    <mergeCell ref="U37:V37"/>
    <mergeCell ref="U50:V50"/>
    <mergeCell ref="D72:D73"/>
    <mergeCell ref="E70:F70"/>
    <mergeCell ref="G70:G71"/>
    <mergeCell ref="C62:G62"/>
    <mergeCell ref="AA12:AF12"/>
    <mergeCell ref="D68:D69"/>
    <mergeCell ref="T50:T51"/>
    <mergeCell ref="B68:C68"/>
    <mergeCell ref="T37:T38"/>
    <mergeCell ref="J62:M62"/>
    <mergeCell ref="O62:Q62"/>
    <mergeCell ref="R62:R63"/>
    <mergeCell ref="Q38:R38"/>
    <mergeCell ref="G60:P60"/>
    <mergeCell ref="G50:K50"/>
    <mergeCell ref="B37:B38"/>
    <mergeCell ref="C37:C38"/>
    <mergeCell ref="D37:D38"/>
    <mergeCell ref="E37:E38"/>
    <mergeCell ref="F37:F38"/>
    <mergeCell ref="C6:H6"/>
    <mergeCell ref="I6:I7"/>
    <mergeCell ref="B12:B14"/>
    <mergeCell ref="C12:C14"/>
    <mergeCell ref="D12:D14"/>
    <mergeCell ref="E12:E14"/>
    <mergeCell ref="F12:F14"/>
    <mergeCell ref="G12:L12"/>
    <mergeCell ref="B6:B7"/>
    <mergeCell ref="B50:B51"/>
    <mergeCell ref="C50:C51"/>
    <mergeCell ref="D50:D51"/>
    <mergeCell ref="E50:E51"/>
    <mergeCell ref="F50:F51"/>
    <mergeCell ref="S62:T62"/>
    <mergeCell ref="M50:P50"/>
    <mergeCell ref="Q50:R50"/>
    <mergeCell ref="J51:K51"/>
    <mergeCell ref="M51:N51"/>
    <mergeCell ref="O51:P5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21</vt:i4>
      </vt:variant>
    </vt:vector>
  </HeadingPairs>
  <TitlesOfParts>
    <vt:vector size="32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Length_13</vt:lpstr>
      <vt:lpstr>'교정결과-E'!B_Tag</vt:lpstr>
      <vt:lpstr>'교정결과-HY'!B_Tag</vt:lpstr>
      <vt:lpstr>B_Tag</vt:lpstr>
      <vt:lpstr>판정결과!B_Tag_2</vt:lpstr>
      <vt:lpstr>부록!B_Tag_3</vt:lpstr>
      <vt:lpstr>Length_13_CMC</vt:lpstr>
      <vt:lpstr>Length_13_Condition</vt:lpstr>
      <vt:lpstr>Length_13_Resolution</vt:lpstr>
      <vt:lpstr>Length_13_Result</vt:lpstr>
      <vt:lpstr>Length_13_Result2</vt:lpstr>
      <vt:lpstr>Length_13_Result3</vt:lpstr>
      <vt:lpstr>Length_13_Spec</vt:lpstr>
      <vt:lpstr>Length_13_STD1</vt:lpstr>
      <vt:lpstr>Length_13_STD2</vt:lpstr>
      <vt:lpstr>Length_13_STD3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2020-11-02T06:45:24Z</cp:lastPrinted>
  <dcterms:created xsi:type="dcterms:W3CDTF">2004-11-10T00:11:43Z</dcterms:created>
  <dcterms:modified xsi:type="dcterms:W3CDTF">2021-07-23T05:34:52Z</dcterms:modified>
</cp:coreProperties>
</file>