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D:\Jey\OneDrive\문서\업무_개발\Calibration Tool Project\MCT V2\Templates\"/>
    </mc:Choice>
  </mc:AlternateContent>
  <bookViews>
    <workbookView xWindow="0" yWindow="90" windowWidth="15225" windowHeight="8550" tabRatio="757"/>
  </bookViews>
  <sheets>
    <sheet name="기본정보" sheetId="13" r:id="rId1"/>
    <sheet name="교정결과" sheetId="11" r:id="rId2"/>
    <sheet name="교정결과-E" sheetId="24" r:id="rId3"/>
    <sheet name="교정결과-HY" sheetId="33" r:id="rId4"/>
    <sheet name="판정결과" sheetId="30" r:id="rId5"/>
    <sheet name="부록" sheetId="25" r:id="rId6"/>
    <sheet name="RAWDATA" sheetId="3" r:id="rId7"/>
    <sheet name="측정불확도추정보고서" sheetId="23" r:id="rId8"/>
    <sheet name="Calcu" sheetId="21" r:id="rId9"/>
    <sheet name="STD_Data" sheetId="29" r:id="rId10"/>
    <sheet name="Length_7" sheetId="31" r:id="rId11"/>
  </sheets>
  <definedNames>
    <definedName name="_xlnm._FilterDatabase" localSheetId="0" hidden="1">기본정보!#REF!</definedName>
    <definedName name="B_Tag" localSheetId="2">'교정결과-E'!$E$39:$J$39</definedName>
    <definedName name="B_Tag" localSheetId="3">'교정결과-HY'!$B$36:$Q$36</definedName>
    <definedName name="B_Tag">교정결과!$E$38:$I$38</definedName>
    <definedName name="B_Tag_2" localSheetId="4">판정결과!$C$29:$H$29</definedName>
    <definedName name="B_Tag_3" localSheetId="5">부록!$B$11:$K$11</definedName>
    <definedName name="Length_7_CMC" localSheetId="10">Length_7!$C$4:$E$23</definedName>
    <definedName name="Length_7_Condition" localSheetId="10">Length_7!$A$4:$B$23</definedName>
    <definedName name="Length_7_Resolution">Length_7!$F$4:$I$23</definedName>
    <definedName name="Length_7_Result" localSheetId="10">Length_7!$M$4:$Q$23</definedName>
    <definedName name="Length_7_Result2">Length_7!$R$4:$S$23</definedName>
    <definedName name="Length_7_Spec" localSheetId="10">Length_7!$J$4:$L$23</definedName>
    <definedName name="Length_7_STD1" localSheetId="10">Length_7!$A$27</definedName>
    <definedName name="Length_7_STD2">Length_7!$A$50</definedName>
    <definedName name="Length_7_STD3">Length_7!$A$73</definedName>
    <definedName name="_xlnm.Print_Area" localSheetId="0">기본정보!$A$1:$J$38</definedName>
    <definedName name="_xlnm.Print_Titles" localSheetId="1">교정결과!$1:$5</definedName>
    <definedName name="_xlnm.Print_Titles" localSheetId="2">'교정결과-E'!$1:$5</definedName>
    <definedName name="_xlnm.Print_Titles" localSheetId="3">'교정결과-HY'!$1:$5</definedName>
    <definedName name="_xlnm.Print_Titles" localSheetId="5">부록!$1:$5</definedName>
    <definedName name="_xlnm.Print_Titles" localSheetId="4">판정결과!$1:$5</definedName>
  </definedNames>
  <calcPr calcId="162913"/>
</workbook>
</file>

<file path=xl/calcChain.xml><?xml version="1.0" encoding="utf-8"?>
<calcChain xmlns="http://schemas.openxmlformats.org/spreadsheetml/2006/main">
  <c r="H73" i="21" l="1"/>
  <c r="J73" i="21"/>
  <c r="L73" i="21"/>
  <c r="I73" i="21"/>
  <c r="M73" i="21" s="1"/>
  <c r="AM314" i="23" l="1"/>
  <c r="AH314" i="23"/>
  <c r="S314" i="23"/>
  <c r="N314" i="23"/>
  <c r="AG312" i="23"/>
  <c r="W312" i="23"/>
  <c r="M312" i="23"/>
  <c r="AD246" i="23"/>
  <c r="AJ246" i="23" s="1"/>
  <c r="R251" i="23" s="1"/>
  <c r="Y251" i="23" s="1"/>
  <c r="O222" i="23"/>
  <c r="T222" i="23" s="1"/>
  <c r="P227" i="23" s="1"/>
  <c r="O210" i="23"/>
  <c r="O198" i="23"/>
  <c r="T198" i="23" s="1"/>
  <c r="P203" i="23" s="1"/>
  <c r="BA97" i="23"/>
  <c r="Q307" i="23" s="1"/>
  <c r="X327" i="23" s="1"/>
  <c r="AL327" i="23" s="1"/>
  <c r="AZ327" i="23" s="1"/>
  <c r="M97" i="23"/>
  <c r="BC96" i="23"/>
  <c r="AG96" i="23"/>
  <c r="AB96" i="23"/>
  <c r="J294" i="23" s="1"/>
  <c r="BC95" i="23"/>
  <c r="AG95" i="23"/>
  <c r="AB95" i="23"/>
  <c r="J286" i="23" s="1"/>
  <c r="AW94" i="23"/>
  <c r="AG94" i="23"/>
  <c r="AB94" i="23"/>
  <c r="I275" i="23" s="1"/>
  <c r="V94" i="23"/>
  <c r="AW93" i="23"/>
  <c r="AG93" i="23"/>
  <c r="AB93" i="23"/>
  <c r="I260" i="23" s="1"/>
  <c r="V93" i="23"/>
  <c r="BC92" i="23"/>
  <c r="AW92" i="23"/>
  <c r="AG92" i="23"/>
  <c r="N249" i="23" s="1"/>
  <c r="L251" i="23" s="1"/>
  <c r="AB92" i="23"/>
  <c r="I248" i="23" s="1"/>
  <c r="V92" i="23"/>
  <c r="BC91" i="23"/>
  <c r="AW91" i="23"/>
  <c r="AG91" i="23"/>
  <c r="N237" i="23" s="1"/>
  <c r="L239" i="23" s="1"/>
  <c r="AB91" i="23"/>
  <c r="V91" i="23"/>
  <c r="AG90" i="23"/>
  <c r="O225" i="23" s="1"/>
  <c r="M227" i="23" s="1"/>
  <c r="AB90" i="23"/>
  <c r="J224" i="23" s="1"/>
  <c r="Y90" i="23"/>
  <c r="AZ90" i="23" s="1"/>
  <c r="AG89" i="23"/>
  <c r="O213" i="23" s="1"/>
  <c r="M215" i="23" s="1"/>
  <c r="AB89" i="23"/>
  <c r="J212" i="23" s="1"/>
  <c r="Y89" i="23"/>
  <c r="AZ89" i="23" s="1"/>
  <c r="BC88" i="23"/>
  <c r="R193" i="23" s="1"/>
  <c r="AG88" i="23"/>
  <c r="O201" i="23" s="1"/>
  <c r="M203" i="23" s="1"/>
  <c r="AB88" i="23"/>
  <c r="J200" i="23" s="1"/>
  <c r="Y88" i="23"/>
  <c r="AZ88" i="23" s="1"/>
  <c r="AB87" i="23"/>
  <c r="I187" i="23" s="1"/>
  <c r="V87" i="23"/>
  <c r="AB293" i="23" s="1"/>
  <c r="V297" i="23" s="1"/>
  <c r="M87" i="23"/>
  <c r="BC86" i="23"/>
  <c r="AB86" i="23"/>
  <c r="I168" i="23" s="1"/>
  <c r="V86" i="23"/>
  <c r="M86" i="23"/>
  <c r="AB85" i="23"/>
  <c r="I154" i="23" s="1"/>
  <c r="V85" i="23"/>
  <c r="AA285" i="23" s="1"/>
  <c r="V289" i="23" s="1"/>
  <c r="M85" i="23"/>
  <c r="BC84" i="23"/>
  <c r="AB84" i="23"/>
  <c r="I138" i="23" s="1"/>
  <c r="V84" i="23"/>
  <c r="M84" i="23"/>
  <c r="AW83" i="23"/>
  <c r="AG83" i="23"/>
  <c r="N123" i="23" s="1"/>
  <c r="L125" i="23" s="1"/>
  <c r="V83" i="23"/>
  <c r="M83" i="23"/>
  <c r="N115" i="23" s="1"/>
  <c r="BC82" i="23"/>
  <c r="BA82" i="23"/>
  <c r="Z109" i="23" s="1"/>
  <c r="AO109" i="23" s="1"/>
  <c r="AG82" i="23"/>
  <c r="N107" i="23" s="1"/>
  <c r="L109" i="23" s="1"/>
  <c r="AB82" i="23"/>
  <c r="I106" i="23" s="1"/>
  <c r="Z82" i="23"/>
  <c r="M82" i="23"/>
  <c r="N101" i="23" s="1"/>
  <c r="AK9" i="23"/>
  <c r="Z273" i="23"/>
  <c r="R278" i="23" s="1"/>
  <c r="Y278" i="23" s="1"/>
  <c r="T273" i="23"/>
  <c r="C268" i="23"/>
  <c r="V258" i="23"/>
  <c r="AB258" i="23" s="1"/>
  <c r="R263" i="23" s="1"/>
  <c r="Y263" i="23" s="1"/>
  <c r="C243" i="23"/>
  <c r="AB234" i="23"/>
  <c r="R239" i="23" s="1"/>
  <c r="Y239" i="23" s="1"/>
  <c r="C232" i="23"/>
  <c r="C231" i="23"/>
  <c r="W222" i="23"/>
  <c r="S227" i="23" s="1"/>
  <c r="Z227" i="23" s="1"/>
  <c r="D220" i="23"/>
  <c r="W210" i="23"/>
  <c r="S215" i="23" s="1"/>
  <c r="Z215" i="23" s="1"/>
  <c r="D208" i="23"/>
  <c r="S203" i="23"/>
  <c r="Z203" i="23" s="1"/>
  <c r="W198" i="23"/>
  <c r="C178" i="23"/>
  <c r="C162" i="23"/>
  <c r="C161" i="23"/>
  <c r="V152" i="23"/>
  <c r="C148" i="23"/>
  <c r="C129" i="23"/>
  <c r="C128" i="23"/>
  <c r="AA120" i="23"/>
  <c r="U120" i="23"/>
  <c r="AA117" i="23"/>
  <c r="R125" i="23" s="1"/>
  <c r="Y125" i="23" s="1"/>
  <c r="U117" i="23"/>
  <c r="C112" i="23"/>
  <c r="N103" i="23"/>
  <c r="J102" i="23"/>
  <c r="C100" i="23"/>
  <c r="AJ98" i="23"/>
  <c r="N276" i="23"/>
  <c r="L278" i="23" s="1"/>
  <c r="I236" i="23"/>
  <c r="G65" i="23"/>
  <c r="G64" i="23"/>
  <c r="G63" i="23"/>
  <c r="G62" i="23"/>
  <c r="G61" i="23"/>
  <c r="G60" i="23"/>
  <c r="G59" i="23"/>
  <c r="G58" i="23"/>
  <c r="G57" i="23"/>
  <c r="U45" i="21"/>
  <c r="AC314" i="23" s="1"/>
  <c r="U44" i="21"/>
  <c r="X314" i="23" s="1"/>
  <c r="BC94" i="23" l="1"/>
  <c r="BC93" i="23"/>
  <c r="W203" i="23"/>
  <c r="D196" i="23"/>
  <c r="W227" i="23"/>
  <c r="AG186" i="23"/>
  <c r="T210" i="23"/>
  <c r="P215" i="23" s="1"/>
  <c r="W215" i="23" s="1"/>
  <c r="N261" i="23"/>
  <c r="L263" i="23" s="1"/>
  <c r="J39" i="21" l="1"/>
  <c r="O88" i="23" l="1"/>
  <c r="O186" i="23"/>
  <c r="H4" i="3"/>
  <c r="E4" i="3"/>
  <c r="C4" i="3"/>
  <c r="H3" i="3"/>
  <c r="E3" i="3"/>
  <c r="C3" i="3"/>
  <c r="R192" i="23" l="1"/>
  <c r="AP88" i="23"/>
  <c r="O53" i="21"/>
  <c r="M53" i="21" s="1"/>
  <c r="G44" i="21"/>
  <c r="O257" i="23" s="1"/>
  <c r="T258" i="23" s="1"/>
  <c r="I43" i="21"/>
  <c r="U247" i="23" s="1"/>
  <c r="H43" i="21"/>
  <c r="G43" i="21"/>
  <c r="U246" i="23" s="1"/>
  <c r="B28" i="21"/>
  <c r="B27" i="21"/>
  <c r="AK27" i="21" s="1"/>
  <c r="B26" i="21"/>
  <c r="B25" i="21"/>
  <c r="AK25" i="21" s="1"/>
  <c r="B24" i="21"/>
  <c r="AK24" i="21" s="1"/>
  <c r="B23" i="21"/>
  <c r="AK23" i="21" s="1"/>
  <c r="B22" i="21"/>
  <c r="B21" i="21"/>
  <c r="AK21" i="21" s="1"/>
  <c r="B20" i="21"/>
  <c r="B19" i="21"/>
  <c r="AK19" i="21" s="1"/>
  <c r="B18" i="21"/>
  <c r="B17" i="21"/>
  <c r="AK17" i="21" s="1"/>
  <c r="B16" i="21"/>
  <c r="AK16" i="21" s="1"/>
  <c r="B15" i="21"/>
  <c r="AK15" i="21" s="1"/>
  <c r="B14" i="21"/>
  <c r="B13" i="21"/>
  <c r="AK13" i="21" s="1"/>
  <c r="B12" i="21"/>
  <c r="B11" i="21"/>
  <c r="AK11" i="21" s="1"/>
  <c r="B10" i="21"/>
  <c r="AK10" i="21" s="1"/>
  <c r="B9" i="21"/>
  <c r="AK9" i="21" s="1"/>
  <c r="G3" i="21"/>
  <c r="F3" i="21"/>
  <c r="C3" i="21"/>
  <c r="B3" i="21" s="1"/>
  <c r="F52" i="21"/>
  <c r="X47" i="21"/>
  <c r="W47" i="21"/>
  <c r="R47" i="21"/>
  <c r="X46" i="21"/>
  <c r="W46" i="21"/>
  <c r="R46" i="21"/>
  <c r="Y45" i="21"/>
  <c r="S45" i="21"/>
  <c r="H45" i="21"/>
  <c r="Y44" i="21"/>
  <c r="S44" i="21"/>
  <c r="X43" i="21"/>
  <c r="W43" i="21"/>
  <c r="S43" i="21"/>
  <c r="Y42" i="21"/>
  <c r="W42" i="21"/>
  <c r="S42" i="21"/>
  <c r="U41" i="21"/>
  <c r="BC90" i="23" s="1"/>
  <c r="AB193" i="23" s="1"/>
  <c r="J41" i="21"/>
  <c r="U40" i="21"/>
  <c r="BC89" i="23" s="1"/>
  <c r="W193" i="23" s="1"/>
  <c r="J40" i="21"/>
  <c r="Y37" i="21"/>
  <c r="G37" i="21"/>
  <c r="K37" i="21" s="1"/>
  <c r="O86" i="23" s="1"/>
  <c r="Y36" i="21"/>
  <c r="U36" i="21"/>
  <c r="Y35" i="21"/>
  <c r="G35" i="21"/>
  <c r="K35" i="21" s="1"/>
  <c r="O84" i="23" s="1"/>
  <c r="S34" i="21"/>
  <c r="X33" i="21"/>
  <c r="W33" i="21"/>
  <c r="Y27" i="21"/>
  <c r="X27" i="21"/>
  <c r="AZ27" i="23" s="1"/>
  <c r="U27" i="21"/>
  <c r="T27" i="21"/>
  <c r="Q27" i="21"/>
  <c r="P27" i="21"/>
  <c r="M27" i="21"/>
  <c r="U51" i="23" s="1"/>
  <c r="AA27" i="21"/>
  <c r="M25" i="21"/>
  <c r="U49" i="23" s="1"/>
  <c r="N23" i="21"/>
  <c r="AK23" i="23" s="1"/>
  <c r="M11" i="21"/>
  <c r="U35" i="23" s="1"/>
  <c r="L8" i="21"/>
  <c r="M8" i="21" s="1"/>
  <c r="F8" i="21"/>
  <c r="G8" i="21" s="1"/>
  <c r="H8" i="21" s="1"/>
  <c r="I8" i="21" s="1"/>
  <c r="J8" i="21" s="1"/>
  <c r="N8" i="21" s="1"/>
  <c r="R20" i="21" l="1"/>
  <c r="AK20" i="21"/>
  <c r="O28" i="21"/>
  <c r="AP28" i="23" s="1"/>
  <c r="AK28" i="21"/>
  <c r="F14" i="21"/>
  <c r="L14" i="23" s="1"/>
  <c r="AK14" i="21"/>
  <c r="I18" i="21"/>
  <c r="AA18" i="23" s="1"/>
  <c r="AK18" i="21"/>
  <c r="I22" i="21"/>
  <c r="AA22" i="23" s="1"/>
  <c r="AK22" i="21"/>
  <c r="I26" i="21"/>
  <c r="AA26" i="23" s="1"/>
  <c r="AK26" i="21"/>
  <c r="R12" i="21"/>
  <c r="AK12" i="21"/>
  <c r="X25" i="21"/>
  <c r="AZ25" i="23" s="1"/>
  <c r="M13" i="21"/>
  <c r="U37" i="23" s="1"/>
  <c r="G11" i="21"/>
  <c r="Q11" i="23" s="1"/>
  <c r="J44" i="21"/>
  <c r="O93" i="23" s="1"/>
  <c r="G19" i="21"/>
  <c r="Q19" i="23" s="1"/>
  <c r="M15" i="21"/>
  <c r="U39" i="23" s="1"/>
  <c r="Q15" i="21"/>
  <c r="O19" i="21"/>
  <c r="AP19" i="23" s="1"/>
  <c r="R18" i="21"/>
  <c r="C21" i="21"/>
  <c r="AE21" i="21" s="1"/>
  <c r="D21" i="30" s="1"/>
  <c r="C23" i="21"/>
  <c r="AE23" i="21" s="1"/>
  <c r="D23" i="30" s="1"/>
  <c r="AB312" i="23"/>
  <c r="BC85" i="23"/>
  <c r="O90" i="23"/>
  <c r="Y186" i="23"/>
  <c r="Q13" i="21"/>
  <c r="P25" i="21"/>
  <c r="W28" i="21"/>
  <c r="AU28" i="23" s="1"/>
  <c r="R44" i="21"/>
  <c r="AP93" i="23" s="1"/>
  <c r="AR303" i="23" s="1"/>
  <c r="C13" i="21"/>
  <c r="AE13" i="21" s="1"/>
  <c r="D13" i="30" s="1"/>
  <c r="I14" i="21"/>
  <c r="AA14" i="23" s="1"/>
  <c r="X23" i="21"/>
  <c r="AZ23" i="23" s="1"/>
  <c r="T25" i="21"/>
  <c r="T186" i="23"/>
  <c r="O89" i="23"/>
  <c r="E12" i="21"/>
  <c r="G12" i="23" s="1"/>
  <c r="G13" i="21"/>
  <c r="Q13" i="23" s="1"/>
  <c r="L21" i="21"/>
  <c r="N45" i="23" s="1"/>
  <c r="L23" i="21"/>
  <c r="N47" i="23" s="1"/>
  <c r="J23" i="21"/>
  <c r="AF23" i="23" s="1"/>
  <c r="K38" i="21"/>
  <c r="O87" i="23" s="1"/>
  <c r="Q12" i="21"/>
  <c r="AA25" i="21"/>
  <c r="U25" i="21"/>
  <c r="O13" i="21"/>
  <c r="AP13" i="23" s="1"/>
  <c r="D15" i="21"/>
  <c r="C16" i="3" s="1"/>
  <c r="O17" i="21"/>
  <c r="AP17" i="23" s="1"/>
  <c r="C19" i="21"/>
  <c r="AE19" i="21" s="1"/>
  <c r="D19" i="30" s="1"/>
  <c r="F20" i="21"/>
  <c r="L20" i="23" s="1"/>
  <c r="C27" i="21"/>
  <c r="AE27" i="21" s="1"/>
  <c r="D27" i="30" s="1"/>
  <c r="B24" i="3"/>
  <c r="B51" i="23"/>
  <c r="B27" i="23"/>
  <c r="J43" i="21"/>
  <c r="AA246" i="23"/>
  <c r="AG246" i="23" s="1"/>
  <c r="O251" i="23" s="1"/>
  <c r="V251" i="23" s="1"/>
  <c r="L11" i="21"/>
  <c r="N35" i="23" s="1"/>
  <c r="I12" i="21"/>
  <c r="AA12" i="23" s="1"/>
  <c r="D13" i="21"/>
  <c r="C14" i="3" s="1"/>
  <c r="G15" i="21"/>
  <c r="Q15" i="23" s="1"/>
  <c r="D19" i="21"/>
  <c r="C20" i="3" s="1"/>
  <c r="I20" i="21"/>
  <c r="AA20" i="23" s="1"/>
  <c r="G21" i="21"/>
  <c r="Q21" i="23" s="1"/>
  <c r="F22" i="21"/>
  <c r="L22" i="23" s="1"/>
  <c r="G23" i="21"/>
  <c r="Q23" i="23" s="1"/>
  <c r="G27" i="21"/>
  <c r="Q27" i="23" s="1"/>
  <c r="E28" i="21"/>
  <c r="G28" i="23" s="1"/>
  <c r="B13" i="23"/>
  <c r="L15" i="21"/>
  <c r="N39" i="23" s="1"/>
  <c r="L27" i="21"/>
  <c r="N51" i="23" s="1"/>
  <c r="R28" i="21"/>
  <c r="Y258" i="23"/>
  <c r="O263" i="23" s="1"/>
  <c r="V263" i="23" s="1"/>
  <c r="C255" i="23"/>
  <c r="Q9" i="21"/>
  <c r="S28" i="21"/>
  <c r="C11" i="21"/>
  <c r="AE11" i="21" s="1"/>
  <c r="D11" i="30" s="1"/>
  <c r="L13" i="21"/>
  <c r="N37" i="23" s="1"/>
  <c r="C15" i="21"/>
  <c r="AE15" i="21" s="1"/>
  <c r="D15" i="30" s="1"/>
  <c r="O15" i="21"/>
  <c r="AP15" i="23" s="1"/>
  <c r="D17" i="21"/>
  <c r="C18" i="3" s="1"/>
  <c r="L19" i="21"/>
  <c r="N43" i="23" s="1"/>
  <c r="E20" i="21"/>
  <c r="G20" i="23" s="1"/>
  <c r="C244" i="23"/>
  <c r="H9" i="21"/>
  <c r="V9" i="23" s="1"/>
  <c r="D53" i="21"/>
  <c r="H25" i="21"/>
  <c r="V25" i="23" s="1"/>
  <c r="M9" i="21"/>
  <c r="U33" i="23" s="1"/>
  <c r="Q11" i="21"/>
  <c r="Q25" i="21"/>
  <c r="Y25" i="21"/>
  <c r="C9" i="21"/>
  <c r="AE9" i="21" s="1"/>
  <c r="D9" i="30" s="1"/>
  <c r="L9" i="21"/>
  <c r="N33" i="23" s="1"/>
  <c r="E10" i="21"/>
  <c r="G10" i="23" s="1"/>
  <c r="D11" i="21"/>
  <c r="C12" i="3" s="1"/>
  <c r="O11" i="21"/>
  <c r="AP11" i="23" s="1"/>
  <c r="F12" i="21"/>
  <c r="L12" i="23" s="1"/>
  <c r="H13" i="21"/>
  <c r="V13" i="23" s="1"/>
  <c r="H15" i="21"/>
  <c r="V15" i="23" s="1"/>
  <c r="G17" i="21"/>
  <c r="Q17" i="23" s="1"/>
  <c r="H19" i="21"/>
  <c r="V19" i="23" s="1"/>
  <c r="D21" i="21"/>
  <c r="C22" i="3" s="1"/>
  <c r="O21" i="21"/>
  <c r="AP21" i="23" s="1"/>
  <c r="D23" i="21"/>
  <c r="C24" i="3" s="1"/>
  <c r="O23" i="21"/>
  <c r="AP23" i="23" s="1"/>
  <c r="C25" i="21"/>
  <c r="AE25" i="21" s="1"/>
  <c r="D25" i="30" s="1"/>
  <c r="L25" i="21"/>
  <c r="N49" i="23" s="1"/>
  <c r="E26" i="21"/>
  <c r="G26" i="23" s="1"/>
  <c r="D27" i="21"/>
  <c r="C28" i="3" s="1"/>
  <c r="O27" i="21"/>
  <c r="AP27" i="23" s="1"/>
  <c r="I28" i="21"/>
  <c r="AA28" i="23" s="1"/>
  <c r="D9" i="21"/>
  <c r="O9" i="21"/>
  <c r="AP9" i="23" s="1"/>
  <c r="R10" i="21"/>
  <c r="H17" i="21"/>
  <c r="V17" i="23" s="1"/>
  <c r="D25" i="21"/>
  <c r="C26" i="3" s="1"/>
  <c r="O25" i="21"/>
  <c r="AP25" i="23" s="1"/>
  <c r="R26" i="21"/>
  <c r="G9" i="21"/>
  <c r="Q9" i="23" s="1"/>
  <c r="H11" i="21"/>
  <c r="V11" i="23" s="1"/>
  <c r="C17" i="21"/>
  <c r="AE17" i="21" s="1"/>
  <c r="D17" i="30" s="1"/>
  <c r="L17" i="21"/>
  <c r="N41" i="23" s="1"/>
  <c r="E18" i="21"/>
  <c r="G18" i="23" s="1"/>
  <c r="H21" i="21"/>
  <c r="V21" i="23" s="1"/>
  <c r="H23" i="21"/>
  <c r="V23" i="23" s="1"/>
  <c r="G25" i="21"/>
  <c r="Q25" i="23" s="1"/>
  <c r="H27" i="21"/>
  <c r="V27" i="23" s="1"/>
  <c r="O16" i="21"/>
  <c r="AP16" i="23" s="1"/>
  <c r="H16" i="21"/>
  <c r="V16" i="23" s="1"/>
  <c r="D16" i="21"/>
  <c r="C17" i="3" s="1"/>
  <c r="L16" i="21"/>
  <c r="N40" i="23" s="1"/>
  <c r="G16" i="21"/>
  <c r="Q16" i="23" s="1"/>
  <c r="C16" i="21"/>
  <c r="AE16" i="21" s="1"/>
  <c r="D16" i="30" s="1"/>
  <c r="K16" i="21"/>
  <c r="G40" i="23" s="1"/>
  <c r="O24" i="21"/>
  <c r="AP24" i="23" s="1"/>
  <c r="H24" i="21"/>
  <c r="V24" i="23" s="1"/>
  <c r="D24" i="21"/>
  <c r="C25" i="3" s="1"/>
  <c r="L24" i="21"/>
  <c r="N48" i="23" s="1"/>
  <c r="G24" i="21"/>
  <c r="Q24" i="23" s="1"/>
  <c r="C24" i="21"/>
  <c r="AE24" i="21" s="1"/>
  <c r="D24" i="30" s="1"/>
  <c r="P24" i="21"/>
  <c r="K24" i="21"/>
  <c r="G48" i="23" s="1"/>
  <c r="V24" i="21"/>
  <c r="F10" i="21"/>
  <c r="L10" i="23" s="1"/>
  <c r="O14" i="21"/>
  <c r="AP14" i="23" s="1"/>
  <c r="H14" i="21"/>
  <c r="V14" i="23" s="1"/>
  <c r="D14" i="21"/>
  <c r="C15" i="3" s="1"/>
  <c r="L14" i="21"/>
  <c r="N38" i="23" s="1"/>
  <c r="G14" i="21"/>
  <c r="Q14" i="23" s="1"/>
  <c r="C14" i="21"/>
  <c r="AE14" i="21" s="1"/>
  <c r="D14" i="30" s="1"/>
  <c r="K14" i="21"/>
  <c r="G38" i="23" s="1"/>
  <c r="E16" i="21"/>
  <c r="G16" i="23" s="1"/>
  <c r="R16" i="21"/>
  <c r="F18" i="21"/>
  <c r="L18" i="23" s="1"/>
  <c r="O22" i="21"/>
  <c r="AP22" i="23" s="1"/>
  <c r="H22" i="21"/>
  <c r="V22" i="23" s="1"/>
  <c r="D22" i="21"/>
  <c r="C23" i="3" s="1"/>
  <c r="L22" i="21"/>
  <c r="N46" i="23" s="1"/>
  <c r="G22" i="21"/>
  <c r="Q22" i="23" s="1"/>
  <c r="C22" i="21"/>
  <c r="AE22" i="21" s="1"/>
  <c r="D22" i="30" s="1"/>
  <c r="K22" i="21"/>
  <c r="G46" i="23" s="1"/>
  <c r="E24" i="21"/>
  <c r="G24" i="23" s="1"/>
  <c r="R24" i="21"/>
  <c r="F26" i="21"/>
  <c r="L26" i="23" s="1"/>
  <c r="Q10" i="21"/>
  <c r="W26" i="21"/>
  <c r="AU26" i="23" s="1"/>
  <c r="I10" i="21"/>
  <c r="AA10" i="23" s="1"/>
  <c r="O12" i="21"/>
  <c r="AP12" i="23" s="1"/>
  <c r="H12" i="21"/>
  <c r="V12" i="23" s="1"/>
  <c r="D12" i="21"/>
  <c r="C13" i="3" s="1"/>
  <c r="L12" i="21"/>
  <c r="N36" i="23" s="1"/>
  <c r="G12" i="21"/>
  <c r="Q12" i="23" s="1"/>
  <c r="C12" i="21"/>
  <c r="AE12" i="21" s="1"/>
  <c r="D12" i="30" s="1"/>
  <c r="K12" i="21"/>
  <c r="G36" i="23" s="1"/>
  <c r="E14" i="21"/>
  <c r="G14" i="23" s="1"/>
  <c r="R14" i="21"/>
  <c r="F16" i="21"/>
  <c r="L16" i="23" s="1"/>
  <c r="O20" i="21"/>
  <c r="AP20" i="23" s="1"/>
  <c r="H20" i="21"/>
  <c r="V20" i="23" s="1"/>
  <c r="D20" i="21"/>
  <c r="C21" i="3" s="1"/>
  <c r="L20" i="21"/>
  <c r="N44" i="23" s="1"/>
  <c r="G20" i="21"/>
  <c r="Q20" i="23" s="1"/>
  <c r="C20" i="21"/>
  <c r="AE20" i="21" s="1"/>
  <c r="D20" i="30" s="1"/>
  <c r="K20" i="21"/>
  <c r="G44" i="23" s="1"/>
  <c r="E22" i="21"/>
  <c r="G22" i="23" s="1"/>
  <c r="R22" i="21"/>
  <c r="F24" i="21"/>
  <c r="L24" i="23" s="1"/>
  <c r="C53" i="21"/>
  <c r="O10" i="21"/>
  <c r="AP10" i="23" s="1"/>
  <c r="H10" i="21"/>
  <c r="V10" i="23" s="1"/>
  <c r="D10" i="21"/>
  <c r="C11" i="3" s="1"/>
  <c r="L10" i="21"/>
  <c r="N34" i="23" s="1"/>
  <c r="G10" i="21"/>
  <c r="Q10" i="23" s="1"/>
  <c r="C10" i="21"/>
  <c r="AE10" i="21" s="1"/>
  <c r="D10" i="30" s="1"/>
  <c r="F53" i="21"/>
  <c r="K10" i="21"/>
  <c r="G34" i="23" s="1"/>
  <c r="I16" i="21"/>
  <c r="AA16" i="23" s="1"/>
  <c r="O18" i="21"/>
  <c r="AP18" i="23" s="1"/>
  <c r="H18" i="21"/>
  <c r="V18" i="23" s="1"/>
  <c r="D18" i="21"/>
  <c r="C19" i="3" s="1"/>
  <c r="L18" i="21"/>
  <c r="N42" i="23" s="1"/>
  <c r="G18" i="21"/>
  <c r="Q18" i="23" s="1"/>
  <c r="C18" i="21"/>
  <c r="AE18" i="21" s="1"/>
  <c r="D18" i="30" s="1"/>
  <c r="K18" i="21"/>
  <c r="G42" i="23" s="1"/>
  <c r="I24" i="21"/>
  <c r="AA24" i="23" s="1"/>
  <c r="O26" i="21"/>
  <c r="AP26" i="23" s="1"/>
  <c r="H26" i="21"/>
  <c r="V26" i="23" s="1"/>
  <c r="D26" i="21"/>
  <c r="C27" i="3" s="1"/>
  <c r="L26" i="21"/>
  <c r="N50" i="23" s="1"/>
  <c r="G26" i="21"/>
  <c r="Q26" i="23" s="1"/>
  <c r="C26" i="21"/>
  <c r="AE26" i="21" s="1"/>
  <c r="D26" i="30" s="1"/>
  <c r="K26" i="21"/>
  <c r="G50" i="23" s="1"/>
  <c r="F28" i="21"/>
  <c r="L28" i="23" s="1"/>
  <c r="K28" i="21"/>
  <c r="G52" i="23" s="1"/>
  <c r="Z28" i="21"/>
  <c r="AA28" i="21"/>
  <c r="E9" i="21"/>
  <c r="G9" i="23" s="1"/>
  <c r="I9" i="21"/>
  <c r="AA9" i="23" s="1"/>
  <c r="R9" i="21"/>
  <c r="E11" i="21"/>
  <c r="G11" i="23" s="1"/>
  <c r="I11" i="21"/>
  <c r="AA11" i="23" s="1"/>
  <c r="R11" i="21"/>
  <c r="E13" i="21"/>
  <c r="G13" i="23" s="1"/>
  <c r="I13" i="21"/>
  <c r="AA13" i="23" s="1"/>
  <c r="R13" i="21"/>
  <c r="E15" i="21"/>
  <c r="G15" i="23" s="1"/>
  <c r="I15" i="21"/>
  <c r="AA15" i="23" s="1"/>
  <c r="R15" i="21"/>
  <c r="E17" i="21"/>
  <c r="G17" i="23" s="1"/>
  <c r="I17" i="21"/>
  <c r="AA17" i="23" s="1"/>
  <c r="R17" i="21"/>
  <c r="E19" i="21"/>
  <c r="G19" i="23" s="1"/>
  <c r="I19" i="21"/>
  <c r="AA19" i="23" s="1"/>
  <c r="R19" i="21"/>
  <c r="E21" i="21"/>
  <c r="G21" i="23" s="1"/>
  <c r="I21" i="21"/>
  <c r="AA21" i="23" s="1"/>
  <c r="R21" i="21"/>
  <c r="E23" i="21"/>
  <c r="G23" i="23" s="1"/>
  <c r="I23" i="21"/>
  <c r="AA23" i="23" s="1"/>
  <c r="R23" i="21"/>
  <c r="E25" i="21"/>
  <c r="G25" i="23" s="1"/>
  <c r="I25" i="21"/>
  <c r="AA25" i="23" s="1"/>
  <c r="R25" i="21"/>
  <c r="E27" i="21"/>
  <c r="G27" i="23" s="1"/>
  <c r="I27" i="21"/>
  <c r="AA27" i="23" s="1"/>
  <c r="R27" i="21"/>
  <c r="C28" i="21"/>
  <c r="AE28" i="21" s="1"/>
  <c r="D28" i="30" s="1"/>
  <c r="G28" i="21"/>
  <c r="Q28" i="23" s="1"/>
  <c r="L28" i="21"/>
  <c r="N52" i="23" s="1"/>
  <c r="F9" i="21"/>
  <c r="L9" i="23" s="1"/>
  <c r="K9" i="21"/>
  <c r="G33" i="23" s="1"/>
  <c r="F11" i="21"/>
  <c r="L11" i="23" s="1"/>
  <c r="K11" i="21"/>
  <c r="G35" i="23" s="1"/>
  <c r="F13" i="21"/>
  <c r="L13" i="23" s="1"/>
  <c r="K13" i="21"/>
  <c r="G37" i="23" s="1"/>
  <c r="F15" i="21"/>
  <c r="L15" i="23" s="1"/>
  <c r="K15" i="21"/>
  <c r="G39" i="23" s="1"/>
  <c r="F17" i="21"/>
  <c r="L17" i="23" s="1"/>
  <c r="K17" i="21"/>
  <c r="G41" i="23" s="1"/>
  <c r="F19" i="21"/>
  <c r="L19" i="23" s="1"/>
  <c r="K19" i="21"/>
  <c r="G43" i="23" s="1"/>
  <c r="F21" i="21"/>
  <c r="L21" i="23" s="1"/>
  <c r="K21" i="21"/>
  <c r="G45" i="23" s="1"/>
  <c r="F23" i="21"/>
  <c r="L23" i="23" s="1"/>
  <c r="K23" i="21"/>
  <c r="G47" i="23" s="1"/>
  <c r="F25" i="21"/>
  <c r="L25" i="23" s="1"/>
  <c r="K25" i="21"/>
  <c r="G49" i="23" s="1"/>
  <c r="F27" i="21"/>
  <c r="L27" i="23" s="1"/>
  <c r="K27" i="21"/>
  <c r="G51" i="23" s="1"/>
  <c r="D28" i="21"/>
  <c r="C29" i="3" s="1"/>
  <c r="H28" i="21"/>
  <c r="V28" i="23" s="1"/>
  <c r="U21" i="21"/>
  <c r="Q21" i="21"/>
  <c r="S21" i="21" s="1"/>
  <c r="W21" i="21" s="1"/>
  <c r="AU21" i="23" s="1"/>
  <c r="J21" i="21"/>
  <c r="T21" i="21"/>
  <c r="M21" i="21"/>
  <c r="U45" i="23" s="1"/>
  <c r="V21" i="21"/>
  <c r="I52" i="21"/>
  <c r="L52" i="21" s="1"/>
  <c r="Q52" i="21" s="1"/>
  <c r="G42" i="21"/>
  <c r="V19" i="21"/>
  <c r="T15" i="21"/>
  <c r="T13" i="21"/>
  <c r="T11" i="21"/>
  <c r="T9" i="21"/>
  <c r="E36" i="21" s="1"/>
  <c r="T22" i="21"/>
  <c r="T18" i="21"/>
  <c r="V17" i="21"/>
  <c r="T20" i="21"/>
  <c r="J9" i="21"/>
  <c r="U9" i="21"/>
  <c r="V9" i="21"/>
  <c r="E38" i="21" s="1"/>
  <c r="M10" i="21"/>
  <c r="U34" i="23" s="1"/>
  <c r="T10" i="21"/>
  <c r="J11" i="21"/>
  <c r="S11" i="21"/>
  <c r="V11" i="21"/>
  <c r="M12" i="21"/>
  <c r="U36" i="23" s="1"/>
  <c r="T12" i="21"/>
  <c r="J13" i="21"/>
  <c r="S13" i="21"/>
  <c r="V13" i="21"/>
  <c r="M14" i="21"/>
  <c r="U38" i="23" s="1"/>
  <c r="T14" i="21"/>
  <c r="J15" i="21"/>
  <c r="N15" i="21"/>
  <c r="AK15" i="23" s="1"/>
  <c r="U15" i="21"/>
  <c r="V15" i="21"/>
  <c r="M16" i="21"/>
  <c r="U40" i="23" s="1"/>
  <c r="T16" i="21"/>
  <c r="T17" i="21"/>
  <c r="Q14" i="21"/>
  <c r="J16" i="21"/>
  <c r="Q16" i="21"/>
  <c r="U16" i="21"/>
  <c r="M17" i="21"/>
  <c r="U41" i="23" s="1"/>
  <c r="U19" i="21"/>
  <c r="Q19" i="21"/>
  <c r="S19" i="21" s="1"/>
  <c r="W19" i="21" s="1"/>
  <c r="AU19" i="23" s="1"/>
  <c r="J19" i="21"/>
  <c r="T19" i="21"/>
  <c r="M19" i="21"/>
  <c r="U43" i="23" s="1"/>
  <c r="AA23" i="21"/>
  <c r="W23" i="21"/>
  <c r="AU23" i="23" s="1"/>
  <c r="S23" i="21"/>
  <c r="V23" i="21"/>
  <c r="Q23" i="21"/>
  <c r="M23" i="21"/>
  <c r="U47" i="23" s="1"/>
  <c r="Z23" i="21"/>
  <c r="U23" i="21"/>
  <c r="P23" i="21"/>
  <c r="Y23" i="21"/>
  <c r="T23" i="21"/>
  <c r="N10" i="21"/>
  <c r="AK10" i="23" s="1"/>
  <c r="J10" i="21"/>
  <c r="S10" i="21"/>
  <c r="V10" i="21"/>
  <c r="J12" i="21"/>
  <c r="S12" i="21"/>
  <c r="V12" i="21"/>
  <c r="J14" i="21"/>
  <c r="N14" i="21"/>
  <c r="AK14" i="23" s="1"/>
  <c r="V14" i="21"/>
  <c r="N16" i="21"/>
  <c r="AK16" i="23" s="1"/>
  <c r="V16" i="21"/>
  <c r="Q17" i="21"/>
  <c r="J17" i="21"/>
  <c r="U17" i="21"/>
  <c r="M18" i="21"/>
  <c r="U42" i="23" s="1"/>
  <c r="Q18" i="21"/>
  <c r="U18" i="21" s="1"/>
  <c r="Q20" i="21"/>
  <c r="U20" i="21" s="1"/>
  <c r="J22" i="21"/>
  <c r="Q22" i="21"/>
  <c r="Y24" i="21"/>
  <c r="U24" i="21"/>
  <c r="Q24" i="21"/>
  <c r="M24" i="21"/>
  <c r="U48" i="23" s="1"/>
  <c r="X24" i="21"/>
  <c r="AZ24" i="23" s="1"/>
  <c r="W24" i="21"/>
  <c r="AU24" i="23" s="1"/>
  <c r="Y26" i="21"/>
  <c r="U26" i="21"/>
  <c r="Q26" i="21"/>
  <c r="M26" i="21"/>
  <c r="U50" i="23" s="1"/>
  <c r="X26" i="21"/>
  <c r="AZ26" i="23" s="1"/>
  <c r="T26" i="21"/>
  <c r="P26" i="21"/>
  <c r="J26" i="21"/>
  <c r="AF26" i="23" s="1"/>
  <c r="Z26" i="21"/>
  <c r="U38" i="21"/>
  <c r="J18" i="21"/>
  <c r="N18" i="21"/>
  <c r="AK18" i="23" s="1"/>
  <c r="V18" i="21"/>
  <c r="N20" i="21"/>
  <c r="AK20" i="23" s="1"/>
  <c r="J20" i="21"/>
  <c r="V20" i="21"/>
  <c r="U22" i="21"/>
  <c r="V22" i="21"/>
  <c r="N24" i="21"/>
  <c r="AK24" i="23" s="1"/>
  <c r="S24" i="21"/>
  <c r="Z24" i="21"/>
  <c r="S26" i="21"/>
  <c r="AA26" i="21"/>
  <c r="S18" i="21"/>
  <c r="W18" i="21" s="1"/>
  <c r="AU18" i="23" s="1"/>
  <c r="M20" i="21"/>
  <c r="U44" i="23" s="1"/>
  <c r="M22" i="21"/>
  <c r="U46" i="23" s="1"/>
  <c r="S22" i="21"/>
  <c r="W22" i="21" s="1"/>
  <c r="AU22" i="23" s="1"/>
  <c r="J24" i="21"/>
  <c r="AF24" i="23" s="1"/>
  <c r="T24" i="21"/>
  <c r="AA24" i="21"/>
  <c r="N26" i="21"/>
  <c r="AK26" i="23" s="1"/>
  <c r="V26" i="21"/>
  <c r="J25" i="21"/>
  <c r="AF25" i="23" s="1"/>
  <c r="N25" i="21"/>
  <c r="AK25" i="23" s="1"/>
  <c r="V25" i="21"/>
  <c r="Z25" i="21"/>
  <c r="J27" i="21"/>
  <c r="AF27" i="23" s="1"/>
  <c r="N27" i="21"/>
  <c r="AK27" i="23" s="1"/>
  <c r="V27" i="21"/>
  <c r="Z27" i="21"/>
  <c r="P28" i="21"/>
  <c r="T28" i="21"/>
  <c r="X28" i="21"/>
  <c r="AZ28" i="23" s="1"/>
  <c r="G47" i="21"/>
  <c r="S25" i="21"/>
  <c r="W25" i="21"/>
  <c r="AU25" i="23" s="1"/>
  <c r="S27" i="21"/>
  <c r="W27" i="21"/>
  <c r="AU27" i="23" s="1"/>
  <c r="M28" i="21"/>
  <c r="U52" i="23" s="1"/>
  <c r="Q28" i="21"/>
  <c r="U28" i="21"/>
  <c r="Y28" i="21"/>
  <c r="J28" i="21"/>
  <c r="AF28" i="23" s="1"/>
  <c r="N28" i="21"/>
  <c r="AK28" i="23" s="1"/>
  <c r="V28" i="21"/>
  <c r="A4" i="33"/>
  <c r="F9" i="33"/>
  <c r="F8" i="33"/>
  <c r="F7" i="33"/>
  <c r="F6" i="33"/>
  <c r="AK8" i="21" l="1"/>
  <c r="I3" i="21" s="1"/>
  <c r="B28" i="3"/>
  <c r="B20" i="3"/>
  <c r="B19" i="23"/>
  <c r="B21" i="23"/>
  <c r="B45" i="23"/>
  <c r="B22" i="3"/>
  <c r="B37" i="23"/>
  <c r="R191" i="23"/>
  <c r="Y293" i="23"/>
  <c r="S297" i="23" s="1"/>
  <c r="AD186" i="23"/>
  <c r="T190" i="23" s="1"/>
  <c r="B23" i="23"/>
  <c r="B43" i="23"/>
  <c r="AB192" i="23"/>
  <c r="AP90" i="23"/>
  <c r="BC87" i="23"/>
  <c r="AG191" i="23" s="1"/>
  <c r="AL312" i="23"/>
  <c r="B14" i="3"/>
  <c r="B47" i="23"/>
  <c r="W192" i="23"/>
  <c r="AP89" i="23"/>
  <c r="L33" i="33"/>
  <c r="G27" i="30"/>
  <c r="L31" i="33"/>
  <c r="G25" i="30"/>
  <c r="E24" i="11"/>
  <c r="F25" i="33"/>
  <c r="E24" i="24"/>
  <c r="P21" i="21"/>
  <c r="X21" i="21" s="1"/>
  <c r="AZ21" i="23" s="1"/>
  <c r="AF21" i="23"/>
  <c r="E3" i="21"/>
  <c r="C10" i="3"/>
  <c r="P22" i="21"/>
  <c r="AF22" i="23"/>
  <c r="P16" i="21"/>
  <c r="AF16" i="23"/>
  <c r="P15" i="21"/>
  <c r="AF15" i="23"/>
  <c r="G36" i="21"/>
  <c r="N152" i="23" s="1"/>
  <c r="H85" i="23"/>
  <c r="E26" i="11"/>
  <c r="F27" i="33"/>
  <c r="E26" i="24"/>
  <c r="B28" i="23"/>
  <c r="B52" i="23"/>
  <c r="B29" i="3"/>
  <c r="B46" i="23"/>
  <c r="B22" i="23"/>
  <c r="B23" i="3"/>
  <c r="B38" i="23"/>
  <c r="B14" i="23"/>
  <c r="B15" i="3"/>
  <c r="B24" i="23"/>
  <c r="B48" i="23"/>
  <c r="B25" i="3"/>
  <c r="B16" i="23"/>
  <c r="B40" i="23"/>
  <c r="B17" i="3"/>
  <c r="B33" i="23"/>
  <c r="B9" i="23"/>
  <c r="B10" i="3"/>
  <c r="P14" i="21"/>
  <c r="AF14" i="23"/>
  <c r="E28" i="11"/>
  <c r="F29" i="33"/>
  <c r="E28" i="24"/>
  <c r="B42" i="23"/>
  <c r="B18" i="23"/>
  <c r="B19" i="3"/>
  <c r="P20" i="21"/>
  <c r="AF20" i="23"/>
  <c r="P18" i="21"/>
  <c r="AF18" i="23"/>
  <c r="P17" i="21"/>
  <c r="AF17" i="23"/>
  <c r="P10" i="21"/>
  <c r="AF10" i="23"/>
  <c r="P13" i="21"/>
  <c r="AF13" i="23"/>
  <c r="N37" i="21"/>
  <c r="P37" i="21" s="1"/>
  <c r="H87" i="23"/>
  <c r="J42" i="21"/>
  <c r="T234" i="23"/>
  <c r="B34" i="23"/>
  <c r="B10" i="23"/>
  <c r="B11" i="3"/>
  <c r="B49" i="23"/>
  <c r="B25" i="23"/>
  <c r="B26" i="3"/>
  <c r="B39" i="23"/>
  <c r="B15" i="23"/>
  <c r="B16" i="3"/>
  <c r="E18" i="11"/>
  <c r="F19" i="33"/>
  <c r="E18" i="24"/>
  <c r="R43" i="21"/>
  <c r="AP92" i="23" s="1"/>
  <c r="AJ303" i="23" s="1"/>
  <c r="O92" i="23"/>
  <c r="P9" i="21"/>
  <c r="AF9" i="23"/>
  <c r="B35" i="23"/>
  <c r="B11" i="23"/>
  <c r="B12" i="3"/>
  <c r="E32" i="11"/>
  <c r="F33" i="33"/>
  <c r="E32" i="24"/>
  <c r="P12" i="21"/>
  <c r="AF12" i="23"/>
  <c r="P19" i="21"/>
  <c r="AF19" i="23"/>
  <c r="P11" i="21"/>
  <c r="AF11" i="23"/>
  <c r="B50" i="23"/>
  <c r="B26" i="23"/>
  <c r="B27" i="3"/>
  <c r="B20" i="23"/>
  <c r="B44" i="23"/>
  <c r="B21" i="3"/>
  <c r="B36" i="23"/>
  <c r="B12" i="23"/>
  <c r="B13" i="3"/>
  <c r="B41" i="23"/>
  <c r="B17" i="23"/>
  <c r="B18" i="3"/>
  <c r="K29" i="3"/>
  <c r="F29" i="3"/>
  <c r="G28" i="3"/>
  <c r="H27" i="3"/>
  <c r="D27" i="3"/>
  <c r="J26" i="3"/>
  <c r="E26" i="3"/>
  <c r="K25" i="3"/>
  <c r="F25" i="3"/>
  <c r="G24" i="3"/>
  <c r="H23" i="3"/>
  <c r="D23" i="3"/>
  <c r="J22" i="3"/>
  <c r="E22" i="3"/>
  <c r="K21" i="3"/>
  <c r="F21" i="3"/>
  <c r="G20" i="3"/>
  <c r="H19" i="3"/>
  <c r="D19" i="3"/>
  <c r="J18" i="3"/>
  <c r="E18" i="3"/>
  <c r="K17" i="3"/>
  <c r="F17" i="3"/>
  <c r="G16" i="3"/>
  <c r="H15" i="3"/>
  <c r="D15" i="3"/>
  <c r="J14" i="3"/>
  <c r="E14" i="3"/>
  <c r="K13" i="3"/>
  <c r="F13" i="3"/>
  <c r="G12" i="3"/>
  <c r="H11" i="3"/>
  <c r="D11" i="3"/>
  <c r="J10" i="3"/>
  <c r="E10" i="3"/>
  <c r="J29" i="3"/>
  <c r="E29" i="3"/>
  <c r="K28" i="3"/>
  <c r="F28" i="3"/>
  <c r="G27" i="3"/>
  <c r="H26" i="3"/>
  <c r="D26" i="3"/>
  <c r="J25" i="3"/>
  <c r="E25" i="3"/>
  <c r="K24" i="3"/>
  <c r="F24" i="3"/>
  <c r="G23" i="3"/>
  <c r="H22" i="3"/>
  <c r="D22" i="3"/>
  <c r="J21" i="3"/>
  <c r="E21" i="3"/>
  <c r="K20" i="3"/>
  <c r="F20" i="3"/>
  <c r="G19" i="3"/>
  <c r="H18" i="3"/>
  <c r="D18" i="3"/>
  <c r="J17" i="3"/>
  <c r="E17" i="3"/>
  <c r="K16" i="3"/>
  <c r="F16" i="3"/>
  <c r="G15" i="3"/>
  <c r="H14" i="3"/>
  <c r="D14" i="3"/>
  <c r="J13" i="3"/>
  <c r="E13" i="3"/>
  <c r="K12" i="3"/>
  <c r="F12" i="3"/>
  <c r="G11" i="3"/>
  <c r="H10" i="3"/>
  <c r="D10" i="3"/>
  <c r="H29" i="3"/>
  <c r="D29" i="3"/>
  <c r="J28" i="3"/>
  <c r="E28" i="3"/>
  <c r="K27" i="3"/>
  <c r="F27" i="3"/>
  <c r="G26" i="3"/>
  <c r="H25" i="3"/>
  <c r="D25" i="3"/>
  <c r="J24" i="3"/>
  <c r="E24" i="3"/>
  <c r="K23" i="3"/>
  <c r="F23" i="3"/>
  <c r="G22" i="3"/>
  <c r="H21" i="3"/>
  <c r="G29" i="3"/>
  <c r="D28" i="3"/>
  <c r="E27" i="3"/>
  <c r="F26" i="3"/>
  <c r="E20" i="3"/>
  <c r="K19" i="3"/>
  <c r="F18" i="3"/>
  <c r="G17" i="3"/>
  <c r="J16" i="3"/>
  <c r="F15" i="3"/>
  <c r="K14" i="3"/>
  <c r="E12" i="3"/>
  <c r="K11" i="3"/>
  <c r="F10" i="3"/>
  <c r="K10" i="3"/>
  <c r="H28" i="3"/>
  <c r="D24" i="3"/>
  <c r="F22" i="3"/>
  <c r="E19" i="3"/>
  <c r="J15" i="3"/>
  <c r="H12" i="3"/>
  <c r="D20" i="3"/>
  <c r="J19" i="3"/>
  <c r="D17" i="3"/>
  <c r="H16" i="3"/>
  <c r="E15" i="3"/>
  <c r="G14" i="3"/>
  <c r="H13" i="3"/>
  <c r="D12" i="3"/>
  <c r="J11" i="3"/>
  <c r="K15" i="3"/>
  <c r="G13" i="3"/>
  <c r="F11" i="3"/>
  <c r="J27" i="3"/>
  <c r="G25" i="3"/>
  <c r="E23" i="3"/>
  <c r="H20" i="3"/>
  <c r="G18" i="3"/>
  <c r="D16" i="3"/>
  <c r="D13" i="3"/>
  <c r="E11" i="3"/>
  <c r="H24" i="3"/>
  <c r="J23" i="3"/>
  <c r="K22" i="3"/>
  <c r="G21" i="3"/>
  <c r="J20" i="3"/>
  <c r="F19" i="3"/>
  <c r="K18" i="3"/>
  <c r="E16" i="3"/>
  <c r="F14" i="3"/>
  <c r="J12" i="3"/>
  <c r="K26" i="3"/>
  <c r="D21" i="3"/>
  <c r="H17" i="3"/>
  <c r="G10" i="3"/>
  <c r="Y21" i="21"/>
  <c r="X22" i="21"/>
  <c r="AZ22" i="23" s="1"/>
  <c r="X19" i="21"/>
  <c r="AZ19" i="23" s="1"/>
  <c r="W11" i="21"/>
  <c r="X18" i="21"/>
  <c r="AZ18" i="23" s="1"/>
  <c r="X15" i="21"/>
  <c r="AZ15" i="23" s="1"/>
  <c r="G45" i="21"/>
  <c r="N22" i="21"/>
  <c r="AK22" i="23" s="1"/>
  <c r="S16" i="21"/>
  <c r="W16" i="21" s="1"/>
  <c r="N13" i="21"/>
  <c r="AK13" i="23" s="1"/>
  <c r="N11" i="21"/>
  <c r="AK11" i="23" s="1"/>
  <c r="U10" i="21"/>
  <c r="N35" i="21"/>
  <c r="P35" i="21" s="1"/>
  <c r="AG84" i="23" s="1"/>
  <c r="U11" i="21"/>
  <c r="N21" i="21"/>
  <c r="AK21" i="23" s="1"/>
  <c r="S14" i="21"/>
  <c r="W14" i="21" s="1"/>
  <c r="U13" i="21"/>
  <c r="W13" i="21" s="1"/>
  <c r="D3" i="21"/>
  <c r="K73" i="21" s="1"/>
  <c r="N73" i="21" s="1"/>
  <c r="O73" i="21" s="1"/>
  <c r="P73" i="21" s="1"/>
  <c r="S20" i="21"/>
  <c r="W20" i="21" s="1"/>
  <c r="S37" i="21"/>
  <c r="AP86" i="23" s="1"/>
  <c r="H303" i="23" s="1"/>
  <c r="S17" i="21"/>
  <c r="W17" i="21" s="1"/>
  <c r="N12" i="21"/>
  <c r="AK12" i="23" s="1"/>
  <c r="W10" i="21"/>
  <c r="N9" i="21"/>
  <c r="N19" i="21"/>
  <c r="AK19" i="23" s="1"/>
  <c r="S9" i="21"/>
  <c r="W9" i="21" s="1"/>
  <c r="S15" i="21"/>
  <c r="W15" i="21" s="1"/>
  <c r="AU15" i="23" s="1"/>
  <c r="N17" i="21"/>
  <c r="AK17" i="23" s="1"/>
  <c r="U14" i="21"/>
  <c r="U12" i="21"/>
  <c r="W12" i="21" s="1"/>
  <c r="K36" i="21" l="1"/>
  <c r="O85" i="23" s="1"/>
  <c r="X285" i="23" s="1"/>
  <c r="S289" i="23" s="1"/>
  <c r="L29" i="33"/>
  <c r="G23" i="30"/>
  <c r="L34" i="33"/>
  <c r="G28" i="30"/>
  <c r="L30" i="33"/>
  <c r="G24" i="30"/>
  <c r="L32" i="33"/>
  <c r="G26" i="30"/>
  <c r="X13" i="21"/>
  <c r="AZ13" i="23" s="1"/>
  <c r="AU13" i="23"/>
  <c r="X12" i="21"/>
  <c r="AZ12" i="23" s="1"/>
  <c r="AU12" i="23"/>
  <c r="X10" i="21"/>
  <c r="AZ10" i="23" s="1"/>
  <c r="AU10" i="23"/>
  <c r="X14" i="21"/>
  <c r="AZ14" i="23" s="1"/>
  <c r="AU14" i="23"/>
  <c r="X16" i="21"/>
  <c r="AZ16" i="23" s="1"/>
  <c r="AU16" i="23"/>
  <c r="S169" i="23"/>
  <c r="AB169" i="23" s="1"/>
  <c r="L171" i="23" s="1"/>
  <c r="AB171" i="23" s="1"/>
  <c r="H185" i="23"/>
  <c r="E14" i="11"/>
  <c r="F15" i="33"/>
  <c r="E14" i="24"/>
  <c r="E21" i="11"/>
  <c r="F22" i="33"/>
  <c r="E21" i="24"/>
  <c r="E29" i="11"/>
  <c r="F30" i="33"/>
  <c r="E29" i="24"/>
  <c r="E19" i="11"/>
  <c r="F20" i="33"/>
  <c r="E19" i="24"/>
  <c r="E27" i="11"/>
  <c r="F28" i="33"/>
  <c r="E27" i="24"/>
  <c r="E33" i="11"/>
  <c r="F34" i="33"/>
  <c r="E33" i="24"/>
  <c r="P288" i="23"/>
  <c r="H151" i="23"/>
  <c r="R139" i="23"/>
  <c r="AA139" i="23" s="1"/>
  <c r="L141" i="23" s="1"/>
  <c r="AA141" i="23" s="1"/>
  <c r="J45" i="21"/>
  <c r="O272" i="23"/>
  <c r="R42" i="21"/>
  <c r="AP91" i="23" s="1"/>
  <c r="AB303" i="23" s="1"/>
  <c r="O91" i="23"/>
  <c r="E22" i="11"/>
  <c r="F23" i="33"/>
  <c r="E22" i="24"/>
  <c r="E17" i="11"/>
  <c r="F18" i="33"/>
  <c r="E17" i="24"/>
  <c r="E25" i="11"/>
  <c r="F26" i="33"/>
  <c r="E25" i="24"/>
  <c r="E31" i="11"/>
  <c r="F32" i="33"/>
  <c r="E31" i="24"/>
  <c r="E20" i="11"/>
  <c r="F21" i="33"/>
  <c r="E20" i="24"/>
  <c r="E30" i="11"/>
  <c r="F31" i="33"/>
  <c r="E30" i="24"/>
  <c r="E15" i="11"/>
  <c r="F16" i="33"/>
  <c r="E15" i="24"/>
  <c r="R37" i="21"/>
  <c r="AG86" i="23"/>
  <c r="S152" i="23"/>
  <c r="U157" i="23" s="1"/>
  <c r="C149" i="23"/>
  <c r="E16" i="11"/>
  <c r="F17" i="33"/>
  <c r="E16" i="24"/>
  <c r="E23" i="11"/>
  <c r="F24" i="33"/>
  <c r="E23" i="24"/>
  <c r="X9" i="21"/>
  <c r="AZ9" i="23" s="1"/>
  <c r="AU9" i="23"/>
  <c r="X20" i="21"/>
  <c r="AZ20" i="23" s="1"/>
  <c r="AU20" i="23"/>
  <c r="X17" i="21"/>
  <c r="AZ17" i="23" s="1"/>
  <c r="AU17" i="23"/>
  <c r="X11" i="21"/>
  <c r="AZ11" i="23" s="1"/>
  <c r="AU11" i="23"/>
  <c r="P233" i="23"/>
  <c r="Y234" i="23"/>
  <c r="O239" i="23" s="1"/>
  <c r="V239" i="23" s="1"/>
  <c r="V37" i="21"/>
  <c r="AG311" i="23" s="1"/>
  <c r="G33" i="21"/>
  <c r="Y102" i="23" s="1"/>
  <c r="I33" i="21"/>
  <c r="P105" i="23" s="1"/>
  <c r="H33" i="21"/>
  <c r="AB102" i="23" s="1"/>
  <c r="Y17" i="21"/>
  <c r="Y13" i="21"/>
  <c r="Y12" i="21"/>
  <c r="Y10" i="21"/>
  <c r="Y14" i="21"/>
  <c r="Y16" i="21"/>
  <c r="Y11" i="21"/>
  <c r="Y9" i="21"/>
  <c r="Y20" i="21"/>
  <c r="G46" i="21"/>
  <c r="Y22" i="21"/>
  <c r="H34" i="21"/>
  <c r="M34" i="21"/>
  <c r="AB83" i="23" s="1"/>
  <c r="I122" i="23" s="1"/>
  <c r="G34" i="21"/>
  <c r="U34" i="21"/>
  <c r="I34" i="21"/>
  <c r="Y15" i="21"/>
  <c r="E52" i="21"/>
  <c r="V44" i="21"/>
  <c r="X313" i="23" s="1"/>
  <c r="V43" i="21"/>
  <c r="E35" i="21"/>
  <c r="E53" i="21"/>
  <c r="G53" i="21" s="1"/>
  <c r="E37" i="21"/>
  <c r="E34" i="21"/>
  <c r="H83" i="23" s="1"/>
  <c r="E33" i="21"/>
  <c r="H82" i="23" s="1"/>
  <c r="Y19" i="21"/>
  <c r="R35" i="21"/>
  <c r="K46" i="21"/>
  <c r="S35" i="21"/>
  <c r="AP84" i="23" s="1"/>
  <c r="AD302" i="23" s="1"/>
  <c r="Y18" i="21"/>
  <c r="A4" i="24"/>
  <c r="X37" i="21" l="1"/>
  <c r="W37" i="21"/>
  <c r="D270" i="23"/>
  <c r="R273" i="23"/>
  <c r="W273" i="23" s="1"/>
  <c r="O278" i="23" s="1"/>
  <c r="V278" i="23" s="1"/>
  <c r="S46" i="21"/>
  <c r="O95" i="23"/>
  <c r="BC83" i="23"/>
  <c r="R312" i="23"/>
  <c r="R45" i="21"/>
  <c r="O94" i="23"/>
  <c r="V42" i="21"/>
  <c r="Y43" i="21"/>
  <c r="S313" i="23"/>
  <c r="R120" i="23"/>
  <c r="X120" i="23" s="1"/>
  <c r="Q116" i="23"/>
  <c r="R117" i="23" s="1"/>
  <c r="X117" i="23" s="1"/>
  <c r="N36" i="21"/>
  <c r="P36" i="21" s="1"/>
  <c r="R36" i="21" s="1"/>
  <c r="H84" i="23"/>
  <c r="N38" i="21"/>
  <c r="P38" i="21" s="1"/>
  <c r="AG87" i="23" s="1"/>
  <c r="H86" i="23"/>
  <c r="J34" i="21"/>
  <c r="V35" i="21"/>
  <c r="W311" i="23" s="1"/>
  <c r="K33" i="21"/>
  <c r="Y34" i="21"/>
  <c r="J33" i="21"/>
  <c r="X44" i="21"/>
  <c r="W44" i="21"/>
  <c r="E48" i="21"/>
  <c r="H97" i="23" s="1"/>
  <c r="W34" i="21"/>
  <c r="AP94" i="23" l="1"/>
  <c r="H304" i="23" s="1"/>
  <c r="V45" i="21"/>
  <c r="V46" i="21"/>
  <c r="AP95" i="23"/>
  <c r="R34" i="21"/>
  <c r="O83" i="23"/>
  <c r="X42" i="21"/>
  <c r="N313" i="23"/>
  <c r="S38" i="21"/>
  <c r="AP87" i="23" s="1"/>
  <c r="R38" i="21"/>
  <c r="R33" i="21"/>
  <c r="AP82" i="23" s="1"/>
  <c r="O82" i="23"/>
  <c r="S33" i="21"/>
  <c r="AT82" i="23" s="1"/>
  <c r="S82" i="23"/>
  <c r="K47" i="21"/>
  <c r="S36" i="21"/>
  <c r="AP85" i="23" s="1"/>
  <c r="AG85" i="23"/>
  <c r="X35" i="21"/>
  <c r="W35" i="21"/>
  <c r="AE289" i="23" l="1"/>
  <c r="O304" i="23"/>
  <c r="Y46" i="21"/>
  <c r="AH313" i="23"/>
  <c r="AC313" i="23"/>
  <c r="X45" i="21"/>
  <c r="W45" i="21"/>
  <c r="V34" i="21"/>
  <c r="AP83" i="23"/>
  <c r="V38" i="21"/>
  <c r="AL311" i="23" s="1"/>
  <c r="S48" i="21"/>
  <c r="AU97" i="23" s="1"/>
  <c r="R48" i="21"/>
  <c r="AP97" i="23" s="1"/>
  <c r="V33" i="21"/>
  <c r="M311" i="23" s="1"/>
  <c r="V36" i="21"/>
  <c r="AB311" i="23" s="1"/>
  <c r="S47" i="21"/>
  <c r="O96" i="23"/>
  <c r="X38" i="21"/>
  <c r="A48" i="13"/>
  <c r="A19" i="33"/>
  <c r="A16" i="33"/>
  <c r="A20" i="33"/>
  <c r="A24" i="33"/>
  <c r="A28" i="33"/>
  <c r="A32" i="33"/>
  <c r="A15" i="33"/>
  <c r="A27" i="33"/>
  <c r="A31" i="33"/>
  <c r="A17" i="33"/>
  <c r="A21" i="33"/>
  <c r="A25" i="33"/>
  <c r="A29" i="33"/>
  <c r="A33" i="33"/>
  <c r="A23" i="33"/>
  <c r="A18" i="33"/>
  <c r="A22" i="33"/>
  <c r="A26" i="33"/>
  <c r="A30" i="33"/>
  <c r="A34" i="33"/>
  <c r="A15" i="24"/>
  <c r="A16" i="24"/>
  <c r="A20" i="24"/>
  <c r="A21" i="24"/>
  <c r="A25" i="24"/>
  <c r="A31" i="24"/>
  <c r="A17" i="24"/>
  <c r="A22" i="24"/>
  <c r="A26" i="24"/>
  <c r="A32" i="24"/>
  <c r="A19" i="24"/>
  <c r="A24" i="24"/>
  <c r="A28" i="24"/>
  <c r="A30" i="24"/>
  <c r="A14" i="24"/>
  <c r="A18" i="24"/>
  <c r="A23" i="24"/>
  <c r="A27" i="24"/>
  <c r="A29" i="24"/>
  <c r="A33" i="24"/>
  <c r="R311" i="23" l="1"/>
  <c r="X34" i="21"/>
  <c r="C64" i="21" s="1"/>
  <c r="W302" i="23"/>
  <c r="O125" i="23"/>
  <c r="V125" i="23" s="1"/>
  <c r="Y38" i="21"/>
  <c r="W38" i="21"/>
  <c r="W36" i="21"/>
  <c r="W48" i="21" s="1"/>
  <c r="U48" i="21" s="1"/>
  <c r="BC97" i="23" s="1"/>
  <c r="Y33" i="21"/>
  <c r="Y48" i="21" s="1"/>
  <c r="F57" i="21" s="1"/>
  <c r="V48" i="21"/>
  <c r="L310" i="23" s="1"/>
  <c r="X36" i="21"/>
  <c r="X48" i="21" s="1"/>
  <c r="E57" i="21" s="1"/>
  <c r="V47" i="21"/>
  <c r="AP96" i="23"/>
  <c r="C68" i="21"/>
  <c r="C62" i="21"/>
  <c r="C63" i="21"/>
  <c r="C61" i="21"/>
  <c r="C69" i="21"/>
  <c r="C66" i="21"/>
  <c r="C59" i="21"/>
  <c r="F59" i="21" s="1"/>
  <c r="C67" i="21"/>
  <c r="C58" i="21" l="1"/>
  <c r="E59" i="21" s="1"/>
  <c r="E61" i="21" s="1"/>
  <c r="C60" i="21"/>
  <c r="C65" i="21"/>
  <c r="G57" i="21"/>
  <c r="E58" i="21"/>
  <c r="Y47" i="21"/>
  <c r="AM313" i="23"/>
  <c r="F61" i="21"/>
  <c r="G61" i="21" l="1"/>
  <c r="G58" i="21"/>
  <c r="E62" i="21" l="1"/>
  <c r="G36" i="24" s="1"/>
  <c r="G35" i="33" l="1"/>
  <c r="F36" i="11"/>
  <c r="E37" i="24"/>
  <c r="A37" i="24"/>
  <c r="E63" i="21"/>
  <c r="H36" i="24" l="1"/>
  <c r="H35" i="33"/>
  <c r="G36" i="11"/>
  <c r="I327" i="23"/>
  <c r="C52" i="21"/>
  <c r="AA327" i="23" s="1"/>
  <c r="D52" i="21"/>
  <c r="AF327" i="23" s="1"/>
  <c r="G52" i="21" l="1"/>
  <c r="H52" i="21" l="1"/>
  <c r="R52" i="21" s="1"/>
  <c r="H3" i="21" l="1"/>
  <c r="C43" i="13" s="1"/>
  <c r="U52" i="21"/>
  <c r="AS327" i="23" s="1"/>
  <c r="J52" i="21"/>
  <c r="K52" i="21" s="1"/>
  <c r="AA21" i="21"/>
  <c r="AA15" i="21"/>
  <c r="AA9" i="21"/>
  <c r="AA18" i="21"/>
  <c r="AA12" i="21"/>
  <c r="AA13" i="21"/>
  <c r="AA17" i="21"/>
  <c r="AA11" i="21"/>
  <c r="AA19" i="21"/>
  <c r="AA16" i="21"/>
  <c r="AA20" i="21"/>
  <c r="AA10" i="21"/>
  <c r="AA14" i="21"/>
  <c r="AA22" i="21"/>
  <c r="T52" i="21" l="1"/>
  <c r="AO327" i="23" s="1"/>
  <c r="N52" i="21"/>
  <c r="O52" i="21"/>
  <c r="AI20" i="21" s="1"/>
  <c r="M52" i="21"/>
  <c r="G35" i="11"/>
  <c r="H35" i="24"/>
  <c r="P52" i="21"/>
  <c r="Z21" i="21"/>
  <c r="Z17" i="21"/>
  <c r="Z14" i="21"/>
  <c r="Z20" i="21"/>
  <c r="Z15" i="21"/>
  <c r="Z12" i="21"/>
  <c r="Z11" i="21"/>
  <c r="Z22" i="21"/>
  <c r="Z13" i="21"/>
  <c r="Z10" i="21"/>
  <c r="Z16" i="21"/>
  <c r="Z9" i="21"/>
  <c r="Z19" i="21"/>
  <c r="Z18" i="21"/>
  <c r="A26" i="11"/>
  <c r="A22" i="11"/>
  <c r="A14" i="11"/>
  <c r="A18" i="11"/>
  <c r="A30" i="11"/>
  <c r="A24" i="30"/>
  <c r="A27" i="30"/>
  <c r="A33" i="11"/>
  <c r="A29" i="11"/>
  <c r="A25" i="11"/>
  <c r="A21" i="11"/>
  <c r="A17" i="11"/>
  <c r="A16" i="30"/>
  <c r="A23" i="30"/>
  <c r="A25" i="30"/>
  <c r="A28" i="30"/>
  <c r="A32" i="11"/>
  <c r="A28" i="11"/>
  <c r="A24" i="11"/>
  <c r="A20" i="11"/>
  <c r="A16" i="11"/>
  <c r="A10" i="30"/>
  <c r="A14" i="30"/>
  <c r="A18" i="30"/>
  <c r="A22" i="30"/>
  <c r="A11" i="30"/>
  <c r="A12" i="30"/>
  <c r="A15" i="30"/>
  <c r="A19" i="30"/>
  <c r="A20" i="30"/>
  <c r="A9" i="30"/>
  <c r="A13" i="30"/>
  <c r="A17" i="30"/>
  <c r="A21" i="30"/>
  <c r="A26" i="30"/>
  <c r="A31" i="11"/>
  <c r="A27" i="11"/>
  <c r="A23" i="11"/>
  <c r="A19" i="11"/>
  <c r="A15" i="11"/>
  <c r="AD9" i="21" l="1"/>
  <c r="AJ9" i="21" s="1"/>
  <c r="AD10" i="21"/>
  <c r="AD14" i="21"/>
  <c r="AJ14" i="21" s="1"/>
  <c r="AD18" i="21"/>
  <c r="AJ18" i="21" s="1"/>
  <c r="AD22" i="21"/>
  <c r="AJ22" i="21" s="1"/>
  <c r="AD26" i="21"/>
  <c r="AJ26" i="21" s="1"/>
  <c r="H32" i="33" s="1"/>
  <c r="AD16" i="21"/>
  <c r="AJ16" i="21" s="1"/>
  <c r="AD24" i="21"/>
  <c r="AJ24" i="21" s="1"/>
  <c r="H30" i="33" s="1"/>
  <c r="AD13" i="21"/>
  <c r="AJ13" i="21" s="1"/>
  <c r="AD21" i="21"/>
  <c r="AJ21" i="21" s="1"/>
  <c r="AD11" i="21"/>
  <c r="AJ11" i="21" s="1"/>
  <c r="AD15" i="21"/>
  <c r="AJ15" i="21" s="1"/>
  <c r="AD19" i="21"/>
  <c r="AJ19" i="21" s="1"/>
  <c r="AD23" i="21"/>
  <c r="AJ23" i="21" s="1"/>
  <c r="H29" i="33" s="1"/>
  <c r="AD27" i="21"/>
  <c r="AJ27" i="21" s="1"/>
  <c r="F27" i="30" s="1"/>
  <c r="AD12" i="21"/>
  <c r="AJ12" i="21" s="1"/>
  <c r="AD20" i="21"/>
  <c r="AJ20" i="21" s="1"/>
  <c r="AD28" i="21"/>
  <c r="AJ28" i="21" s="1"/>
  <c r="F28" i="30" s="1"/>
  <c r="AD17" i="21"/>
  <c r="AJ17" i="21" s="1"/>
  <c r="AD25" i="21"/>
  <c r="AJ25" i="21" s="1"/>
  <c r="H31" i="33" s="1"/>
  <c r="AC9" i="21"/>
  <c r="AC10" i="21"/>
  <c r="AC14" i="21"/>
  <c r="AC18" i="21"/>
  <c r="AC22" i="21"/>
  <c r="AC26" i="21"/>
  <c r="AC11" i="21"/>
  <c r="AC15" i="21"/>
  <c r="AC19" i="21"/>
  <c r="AC23" i="21"/>
  <c r="AC27" i="21"/>
  <c r="AC17" i="21"/>
  <c r="AC25" i="21"/>
  <c r="AC12" i="21"/>
  <c r="AC16" i="21"/>
  <c r="AC20" i="21"/>
  <c r="AC24" i="21"/>
  <c r="AC28" i="21"/>
  <c r="AC13" i="21"/>
  <c r="AC21" i="21"/>
  <c r="AH20" i="21"/>
  <c r="F25" i="11" s="1"/>
  <c r="AH11" i="21"/>
  <c r="F16" i="24" s="1"/>
  <c r="AI26" i="21"/>
  <c r="H31" i="24" s="1"/>
  <c r="AH16" i="21"/>
  <c r="F21" i="11" s="1"/>
  <c r="AH24" i="21"/>
  <c r="F29" i="11" s="1"/>
  <c r="AH25" i="21"/>
  <c r="F30" i="24" s="1"/>
  <c r="AI10" i="21"/>
  <c r="H15" i="11" s="1"/>
  <c r="AH28" i="21"/>
  <c r="F33" i="11" s="1"/>
  <c r="AH12" i="21"/>
  <c r="F17" i="11" s="1"/>
  <c r="AH22" i="21"/>
  <c r="F27" i="24" s="1"/>
  <c r="AH23" i="21"/>
  <c r="F28" i="24" s="1"/>
  <c r="AH19" i="21"/>
  <c r="F24" i="24" s="1"/>
  <c r="AH18" i="21"/>
  <c r="F23" i="11" s="1"/>
  <c r="AI23" i="21"/>
  <c r="H28" i="11" s="1"/>
  <c r="G35" i="24"/>
  <c r="F35" i="11"/>
  <c r="AI13" i="21"/>
  <c r="H18" i="11" s="1"/>
  <c r="AI16" i="21"/>
  <c r="H21" i="24" s="1"/>
  <c r="AH15" i="21"/>
  <c r="F20" i="11" s="1"/>
  <c r="AH26" i="21"/>
  <c r="F31" i="11" s="1"/>
  <c r="AH27" i="21"/>
  <c r="F32" i="24" s="1"/>
  <c r="AH9" i="21"/>
  <c r="F14" i="24" s="1"/>
  <c r="AH10" i="21"/>
  <c r="F15" i="11" s="1"/>
  <c r="AH14" i="21"/>
  <c r="F19" i="24" s="1"/>
  <c r="AI19" i="21"/>
  <c r="H24" i="11" s="1"/>
  <c r="AI22" i="21"/>
  <c r="H27" i="11" s="1"/>
  <c r="AI25" i="21"/>
  <c r="H30" i="11" s="1"/>
  <c r="AI28" i="21"/>
  <c r="H33" i="11" s="1"/>
  <c r="AI12" i="21"/>
  <c r="H17" i="24" s="1"/>
  <c r="AH13" i="21"/>
  <c r="F18" i="11" s="1"/>
  <c r="AH17" i="21"/>
  <c r="F22" i="11" s="1"/>
  <c r="AH21" i="21"/>
  <c r="F26" i="11" s="1"/>
  <c r="S52" i="21"/>
  <c r="AI15" i="21"/>
  <c r="H20" i="24" s="1"/>
  <c r="AI18" i="21"/>
  <c r="H23" i="11" s="1"/>
  <c r="AI21" i="21"/>
  <c r="H26" i="11" s="1"/>
  <c r="AI24" i="21"/>
  <c r="H29" i="11" s="1"/>
  <c r="AI9" i="21"/>
  <c r="H14" i="24" s="1"/>
  <c r="AI27" i="21"/>
  <c r="H32" i="11" s="1"/>
  <c r="AI11" i="21"/>
  <c r="H16" i="24" s="1"/>
  <c r="AI14" i="21"/>
  <c r="H19" i="11" s="1"/>
  <c r="AI17" i="21"/>
  <c r="H22" i="24" s="1"/>
  <c r="AG9" i="21"/>
  <c r="K15" i="33" s="1"/>
  <c r="AG14" i="21"/>
  <c r="K20" i="33" s="1"/>
  <c r="AG12" i="21"/>
  <c r="K18" i="33" s="1"/>
  <c r="AG16" i="21"/>
  <c r="K22" i="33" s="1"/>
  <c r="AG20" i="21"/>
  <c r="K26" i="33" s="1"/>
  <c r="AG24" i="21"/>
  <c r="K30" i="33" s="1"/>
  <c r="AG28" i="21"/>
  <c r="K34" i="33" s="1"/>
  <c r="AG13" i="21"/>
  <c r="K19" i="33" s="1"/>
  <c r="AG17" i="21"/>
  <c r="K23" i="33" s="1"/>
  <c r="AG21" i="21"/>
  <c r="K27" i="33" s="1"/>
  <c r="AG25" i="21"/>
  <c r="K31" i="33" s="1"/>
  <c r="AG10" i="21"/>
  <c r="K16" i="33" s="1"/>
  <c r="AG18" i="21"/>
  <c r="K24" i="33" s="1"/>
  <c r="AG22" i="21"/>
  <c r="K28" i="33" s="1"/>
  <c r="AG26" i="21"/>
  <c r="K32" i="33" s="1"/>
  <c r="AG11" i="21"/>
  <c r="K17" i="33" s="1"/>
  <c r="AG15" i="21"/>
  <c r="K21" i="33" s="1"/>
  <c r="AG19" i="21"/>
  <c r="K25" i="33" s="1"/>
  <c r="AG23" i="21"/>
  <c r="K29" i="33" s="1"/>
  <c r="AG27" i="21"/>
  <c r="K33" i="33" s="1"/>
  <c r="AF9" i="21"/>
  <c r="H25" i="11"/>
  <c r="H25" i="24"/>
  <c r="AJ10" i="21"/>
  <c r="AF18" i="21"/>
  <c r="AF10" i="21"/>
  <c r="AF12" i="21"/>
  <c r="AF17" i="21"/>
  <c r="AF19" i="21"/>
  <c r="AF13" i="21"/>
  <c r="AF15" i="21"/>
  <c r="AF21" i="21"/>
  <c r="AF22" i="21"/>
  <c r="AF20" i="21"/>
  <c r="AF28" i="21"/>
  <c r="AF24" i="21"/>
  <c r="AF23" i="21"/>
  <c r="AF26" i="21"/>
  <c r="AF27" i="21"/>
  <c r="AF25" i="21"/>
  <c r="AF16" i="21"/>
  <c r="AF11" i="21"/>
  <c r="AF14" i="21"/>
  <c r="F29" i="24" l="1"/>
  <c r="F25" i="24"/>
  <c r="F33" i="24"/>
  <c r="H23" i="24"/>
  <c r="H32" i="24"/>
  <c r="F17" i="24"/>
  <c r="F14" i="11"/>
  <c r="F30" i="11"/>
  <c r="F16" i="11"/>
  <c r="AL22" i="21"/>
  <c r="Q28" i="33" s="1"/>
  <c r="AL12" i="21"/>
  <c r="Q18" i="33" s="1"/>
  <c r="AL16" i="21"/>
  <c r="Q22" i="33" s="1"/>
  <c r="AL20" i="21"/>
  <c r="Q26" i="33" s="1"/>
  <c r="AL24" i="21"/>
  <c r="Q30" i="33" s="1"/>
  <c r="AL28" i="21"/>
  <c r="Q34" i="33" s="1"/>
  <c r="AL13" i="21"/>
  <c r="Q19" i="33" s="1"/>
  <c r="AL17" i="21"/>
  <c r="Q23" i="33" s="1"/>
  <c r="AL21" i="21"/>
  <c r="Q27" i="33" s="1"/>
  <c r="AL25" i="21"/>
  <c r="Q31" i="33" s="1"/>
  <c r="AL10" i="21"/>
  <c r="Q16" i="33" s="1"/>
  <c r="AL14" i="21"/>
  <c r="Q20" i="33" s="1"/>
  <c r="AL18" i="21"/>
  <c r="Q24" i="33" s="1"/>
  <c r="AL26" i="21"/>
  <c r="Q32" i="33" s="1"/>
  <c r="AL11" i="21"/>
  <c r="Q17" i="33" s="1"/>
  <c r="AL15" i="21"/>
  <c r="Q21" i="33" s="1"/>
  <c r="AL19" i="21"/>
  <c r="Q25" i="33" s="1"/>
  <c r="AL23" i="21"/>
  <c r="Q29" i="33" s="1"/>
  <c r="AL27" i="21"/>
  <c r="Q33" i="33" s="1"/>
  <c r="AL9" i="21"/>
  <c r="Q15" i="33" s="1"/>
  <c r="H31" i="11"/>
  <c r="H28" i="24"/>
  <c r="F20" i="24"/>
  <c r="F18" i="24"/>
  <c r="F22" i="24"/>
  <c r="H27" i="24"/>
  <c r="H33" i="33"/>
  <c r="F26" i="24"/>
  <c r="F24" i="11"/>
  <c r="F28" i="11"/>
  <c r="H21" i="11"/>
  <c r="H20" i="11"/>
  <c r="H15" i="24"/>
  <c r="H22" i="11"/>
  <c r="F32" i="11"/>
  <c r="F21" i="24"/>
  <c r="H17" i="11"/>
  <c r="H14" i="11"/>
  <c r="H34" i="33"/>
  <c r="F25" i="30"/>
  <c r="H29" i="24"/>
  <c r="F19" i="11"/>
  <c r="F27" i="11"/>
  <c r="H18" i="24"/>
  <c r="H19" i="24"/>
  <c r="F31" i="24"/>
  <c r="F23" i="24"/>
  <c r="H33" i="24"/>
  <c r="H16" i="11"/>
  <c r="F15" i="24"/>
  <c r="H30" i="24"/>
  <c r="H26" i="24"/>
  <c r="F26" i="30"/>
  <c r="F23" i="30"/>
  <c r="H24" i="24"/>
  <c r="F24" i="30"/>
  <c r="L25" i="33"/>
  <c r="G19" i="30"/>
  <c r="L26" i="33"/>
  <c r="G20" i="30"/>
  <c r="L24" i="33"/>
  <c r="G18" i="30"/>
  <c r="L15" i="33"/>
  <c r="G9" i="30"/>
  <c r="L23" i="33"/>
  <c r="G17" i="30"/>
  <c r="L28" i="33"/>
  <c r="G22" i="30"/>
  <c r="L17" i="33"/>
  <c r="G11" i="30"/>
  <c r="L20" i="33"/>
  <c r="G14" i="30"/>
  <c r="L22" i="33"/>
  <c r="G16" i="30"/>
  <c r="L18" i="33"/>
  <c r="G12" i="30"/>
  <c r="L16" i="33"/>
  <c r="G10" i="30"/>
  <c r="L27" i="33"/>
  <c r="G21" i="30"/>
  <c r="L21" i="33"/>
  <c r="G15" i="30"/>
  <c r="L19" i="33"/>
  <c r="G13" i="30"/>
  <c r="H18" i="33"/>
  <c r="F12" i="30"/>
  <c r="H28" i="33"/>
  <c r="F22" i="30"/>
  <c r="H23" i="33"/>
  <c r="F17" i="30"/>
  <c r="H21" i="33"/>
  <c r="F15" i="30"/>
  <c r="H24" i="33"/>
  <c r="F18" i="30"/>
  <c r="H25" i="33"/>
  <c r="F19" i="30"/>
  <c r="H17" i="33"/>
  <c r="F11" i="30"/>
  <c r="H26" i="33"/>
  <c r="F20" i="30"/>
  <c r="H19" i="33"/>
  <c r="F13" i="30"/>
  <c r="H27" i="33"/>
  <c r="F21" i="30"/>
  <c r="H22" i="33"/>
  <c r="F16" i="30"/>
  <c r="H16" i="33"/>
  <c r="F10" i="30"/>
  <c r="H20" i="33"/>
  <c r="F14" i="30"/>
  <c r="H15" i="33"/>
  <c r="F9" i="30"/>
  <c r="J26" i="33"/>
  <c r="E20" i="30"/>
  <c r="J29" i="33"/>
  <c r="E23" i="30"/>
  <c r="J28" i="33"/>
  <c r="E22" i="30"/>
  <c r="J25" i="33"/>
  <c r="E19" i="30"/>
  <c r="J23" i="33"/>
  <c r="E17" i="30"/>
  <c r="J32" i="33"/>
  <c r="E26" i="30"/>
  <c r="J24" i="33"/>
  <c r="E18" i="30"/>
  <c r="J20" i="33"/>
  <c r="E14" i="30"/>
  <c r="J17" i="33"/>
  <c r="E11" i="30"/>
  <c r="J31" i="33"/>
  <c r="E25" i="30"/>
  <c r="J30" i="33"/>
  <c r="E24" i="30"/>
  <c r="J27" i="33"/>
  <c r="E21" i="30"/>
  <c r="J18" i="33"/>
  <c r="E12" i="30"/>
  <c r="J19" i="33"/>
  <c r="E13" i="30"/>
  <c r="J22" i="33"/>
  <c r="E16" i="30"/>
  <c r="J33" i="33"/>
  <c r="E27" i="30"/>
  <c r="J34" i="33"/>
  <c r="E28" i="30"/>
  <c r="J21" i="33"/>
  <c r="E15" i="30"/>
  <c r="J16" i="33"/>
  <c r="E10" i="30"/>
  <c r="J15" i="33"/>
  <c r="E9" i="30"/>
  <c r="A50" i="13"/>
  <c r="C9" i="25" l="1"/>
  <c r="C8" i="25"/>
  <c r="C7" i="25"/>
  <c r="C6" i="25"/>
  <c r="E9" i="24" l="1"/>
  <c r="E8" i="24"/>
  <c r="E7" i="24"/>
  <c r="E6" i="24"/>
  <c r="E9" i="11" l="1"/>
  <c r="E8" i="11"/>
  <c r="E7" i="11"/>
  <c r="E6" i="11"/>
  <c r="A4" i="11" l="1"/>
  <c r="P104" i="23" l="1"/>
  <c r="I115" i="23"/>
  <c r="I101" i="23"/>
  <c r="S104" i="23"/>
  <c r="AG104" i="23" s="1"/>
  <c r="S188" i="23" l="1"/>
  <c r="AE188" i="23" s="1"/>
  <c r="L190" i="23" s="1"/>
  <c r="Z190" i="23" s="1"/>
  <c r="P296" i="23"/>
  <c r="H163" i="23"/>
  <c r="AC104" i="23"/>
  <c r="R155" i="23"/>
  <c r="AD155" i="23" s="1"/>
  <c r="L157" i="23" s="1"/>
  <c r="AA157" i="23" s="1"/>
  <c r="H130" i="23"/>
  <c r="R303" i="23" l="1"/>
  <c r="AN302" i="23"/>
  <c r="M302" i="23" l="1"/>
  <c r="S109" i="23"/>
  <c r="AH109" i="23" s="1"/>
  <c r="F302" i="23"/>
  <c r="O109" i="23"/>
  <c r="AD109" i="23" s="1"/>
  <c r="F305" i="23"/>
  <c r="F307" i="23" s="1"/>
  <c r="M327" i="23" s="1"/>
  <c r="Y304" i="23" l="1"/>
  <c r="AE297" i="23"/>
  <c r="M305" i="23"/>
  <c r="K307" i="23" s="1"/>
  <c r="R327" i="23" s="1"/>
  <c r="AS310" i="23" l="1"/>
</calcChain>
</file>

<file path=xl/sharedStrings.xml><?xml version="1.0" encoding="utf-8"?>
<sst xmlns="http://schemas.openxmlformats.org/spreadsheetml/2006/main" count="1088" uniqueCount="726">
  <si>
    <r>
      <t xml:space="preserve">CALIBRATION </t>
    </r>
    <r>
      <rPr>
        <b/>
        <sz val="20"/>
        <rFont val="돋움"/>
        <family val="3"/>
        <charset val="129"/>
      </rPr>
      <t>기본정보</t>
    </r>
    <phoneticPr fontId="4" type="noConversion"/>
  </si>
  <si>
    <r>
      <t xml:space="preserve">[1] </t>
    </r>
    <r>
      <rPr>
        <b/>
        <sz val="8"/>
        <rFont val="맑은 고딕"/>
        <family val="3"/>
        <charset val="129"/>
      </rPr>
      <t>교정정보</t>
    </r>
    <r>
      <rPr>
        <b/>
        <sz val="8"/>
        <rFont val="Tahoma"/>
        <family val="2"/>
      </rPr>
      <t/>
    </r>
    <phoneticPr fontId="4" type="noConversion"/>
  </si>
  <si>
    <t>등록번호</t>
    <phoneticPr fontId="4" type="noConversion"/>
  </si>
  <si>
    <r>
      <rPr>
        <sz val="8"/>
        <rFont val="맑은 고딕"/>
        <family val="3"/>
        <charset val="129"/>
      </rPr>
      <t>접수번호</t>
    </r>
    <phoneticPr fontId="4" type="noConversion"/>
  </si>
  <si>
    <r>
      <rPr>
        <sz val="8"/>
        <rFont val="맑은 고딕"/>
        <family val="3"/>
        <charset val="129"/>
      </rPr>
      <t>의뢰기관</t>
    </r>
    <phoneticPr fontId="4" type="noConversion"/>
  </si>
  <si>
    <r>
      <rPr>
        <sz val="8"/>
        <rFont val="맑은 고딕"/>
        <family val="3"/>
        <charset val="129"/>
      </rPr>
      <t>교정일자</t>
    </r>
    <phoneticPr fontId="4" type="noConversion"/>
  </si>
  <si>
    <r>
      <rPr>
        <sz val="8"/>
        <rFont val="맑은 고딕"/>
        <family val="3"/>
        <charset val="129"/>
      </rPr>
      <t>기기명</t>
    </r>
    <phoneticPr fontId="4" type="noConversion"/>
  </si>
  <si>
    <t>교정절차서1</t>
    <phoneticPr fontId="4" type="noConversion"/>
  </si>
  <si>
    <r>
      <rPr>
        <sz val="8"/>
        <rFont val="맑은 고딕"/>
        <family val="3"/>
        <charset val="129"/>
      </rPr>
      <t>제작회사</t>
    </r>
    <phoneticPr fontId="4" type="noConversion"/>
  </si>
  <si>
    <t>교정절차서2</t>
    <phoneticPr fontId="4" type="noConversion"/>
  </si>
  <si>
    <r>
      <rPr>
        <sz val="8"/>
        <rFont val="맑은 고딕"/>
        <family val="3"/>
        <charset val="129"/>
      </rPr>
      <t>형식</t>
    </r>
    <phoneticPr fontId="4" type="noConversion"/>
  </si>
  <si>
    <t>접수확인자</t>
    <phoneticPr fontId="4" type="noConversion"/>
  </si>
  <si>
    <r>
      <rPr>
        <sz val="8"/>
        <rFont val="맑은 고딕"/>
        <family val="3"/>
        <charset val="129"/>
      </rPr>
      <t>기기번호</t>
    </r>
    <phoneticPr fontId="4" type="noConversion"/>
  </si>
  <si>
    <t>인증교정자</t>
    <phoneticPr fontId="4" type="noConversion"/>
  </si>
  <si>
    <t>기술책임자</t>
    <phoneticPr fontId="4" type="noConversion"/>
  </si>
  <si>
    <r>
      <rPr>
        <sz val="8"/>
        <rFont val="맑은 고딕"/>
        <family val="3"/>
        <charset val="129"/>
      </rPr>
      <t>교정주기</t>
    </r>
    <phoneticPr fontId="4" type="noConversion"/>
  </si>
  <si>
    <r>
      <t>KOLAS</t>
    </r>
    <r>
      <rPr>
        <sz val="8"/>
        <rFont val="맑은 고딕"/>
        <family val="3"/>
        <charset val="129"/>
      </rPr>
      <t>유무</t>
    </r>
    <phoneticPr fontId="4" type="noConversion"/>
  </si>
  <si>
    <t>1: KOLAS 성적서
0: 비공인성적서</t>
    <phoneticPr fontId="4" type="noConversion"/>
  </si>
  <si>
    <r>
      <t xml:space="preserve">[2] </t>
    </r>
    <r>
      <rPr>
        <b/>
        <sz val="8"/>
        <rFont val="맑은 고딕"/>
        <family val="3"/>
        <charset val="129"/>
      </rPr>
      <t>교정환경</t>
    </r>
    <r>
      <rPr>
        <b/>
        <sz val="8"/>
        <rFont val="Tahoma"/>
        <family val="2"/>
      </rPr>
      <t/>
    </r>
    <phoneticPr fontId="4" type="noConversion"/>
  </si>
  <si>
    <r>
      <rPr>
        <sz val="8"/>
        <rFont val="맑은 고딕"/>
        <family val="3"/>
        <charset val="129"/>
      </rPr>
      <t>최저온도</t>
    </r>
    <phoneticPr fontId="4" type="noConversion"/>
  </si>
  <si>
    <t>최저습도</t>
    <phoneticPr fontId="4" type="noConversion"/>
  </si>
  <si>
    <t>최저기압</t>
    <phoneticPr fontId="4" type="noConversion"/>
  </si>
  <si>
    <t>교정장소</t>
    <phoneticPr fontId="4" type="noConversion"/>
  </si>
  <si>
    <t>0: KC00-011 고정표준실
1: 현장교정
4: KC10-244 고정표준실</t>
    <phoneticPr fontId="4" type="noConversion"/>
  </si>
  <si>
    <r>
      <rPr>
        <sz val="8"/>
        <rFont val="맑은 고딕"/>
        <family val="3"/>
        <charset val="129"/>
      </rPr>
      <t>최고온도</t>
    </r>
    <phoneticPr fontId="4" type="noConversion"/>
  </si>
  <si>
    <r>
      <rPr>
        <sz val="8"/>
        <rFont val="맑은 고딕"/>
        <family val="3"/>
        <charset val="129"/>
      </rPr>
      <t>최고습도</t>
    </r>
    <phoneticPr fontId="4" type="noConversion"/>
  </si>
  <si>
    <t>최고기압</t>
    <phoneticPr fontId="4" type="noConversion"/>
  </si>
  <si>
    <r>
      <t xml:space="preserve">[3] </t>
    </r>
    <r>
      <rPr>
        <b/>
        <sz val="8"/>
        <rFont val="맑은 고딕"/>
        <family val="3"/>
        <charset val="129"/>
      </rPr>
      <t>교정방법</t>
    </r>
    <r>
      <rPr>
        <b/>
        <sz val="8"/>
        <rFont val="Tahoma"/>
        <family val="2"/>
      </rPr>
      <t xml:space="preserve"> </t>
    </r>
    <r>
      <rPr>
        <b/>
        <sz val="8"/>
        <rFont val="맑은 고딕"/>
        <family val="3"/>
        <charset val="129"/>
      </rPr>
      <t>및</t>
    </r>
    <r>
      <rPr>
        <b/>
        <sz val="8"/>
        <rFont val="Tahoma"/>
        <family val="2"/>
      </rPr>
      <t xml:space="preserve"> </t>
    </r>
    <r>
      <rPr>
        <b/>
        <sz val="8"/>
        <rFont val="맑은 고딕"/>
        <family val="3"/>
        <charset val="129"/>
      </rPr>
      <t>소급성서술</t>
    </r>
    <r>
      <rPr>
        <b/>
        <sz val="8"/>
        <rFont val="Tahoma"/>
        <family val="2"/>
      </rPr>
      <t/>
    </r>
    <phoneticPr fontId="4" type="noConversion"/>
  </si>
  <si>
    <r>
      <t xml:space="preserve">[4] </t>
    </r>
    <r>
      <rPr>
        <b/>
        <sz val="8"/>
        <rFont val="맑은 고딕"/>
        <family val="3"/>
        <charset val="129"/>
      </rPr>
      <t>교정에</t>
    </r>
    <r>
      <rPr>
        <b/>
        <sz val="8"/>
        <rFont val="Tahoma"/>
        <family val="2"/>
      </rPr>
      <t xml:space="preserve"> </t>
    </r>
    <r>
      <rPr>
        <b/>
        <sz val="8"/>
        <rFont val="맑은 고딕"/>
        <family val="3"/>
        <charset val="129"/>
      </rPr>
      <t>사용한</t>
    </r>
    <r>
      <rPr>
        <b/>
        <sz val="8"/>
        <rFont val="Tahoma"/>
        <family val="2"/>
      </rPr>
      <t xml:space="preserve"> </t>
    </r>
    <r>
      <rPr>
        <b/>
        <sz val="8"/>
        <rFont val="맑은 고딕"/>
        <family val="3"/>
        <charset val="129"/>
      </rPr>
      <t>표준장비</t>
    </r>
    <r>
      <rPr>
        <b/>
        <sz val="8"/>
        <rFont val="Tahoma"/>
        <family val="2"/>
      </rPr>
      <t xml:space="preserve"> </t>
    </r>
    <r>
      <rPr>
        <b/>
        <sz val="8"/>
        <rFont val="맑은 고딕"/>
        <family val="3"/>
        <charset val="129"/>
      </rPr>
      <t>명세</t>
    </r>
    <r>
      <rPr>
        <b/>
        <sz val="8"/>
        <rFont val="Tahoma"/>
        <family val="2"/>
      </rPr>
      <t/>
    </r>
    <phoneticPr fontId="4" type="noConversion"/>
  </si>
  <si>
    <r>
      <rPr>
        <sz val="8"/>
        <rFont val="맑은 고딕"/>
        <family val="3"/>
        <charset val="129"/>
      </rPr>
      <t>등록번호</t>
    </r>
    <phoneticPr fontId="4" type="noConversion"/>
  </si>
  <si>
    <t>기기명</t>
    <phoneticPr fontId="4" type="noConversion"/>
  </si>
  <si>
    <t>제작회사</t>
    <phoneticPr fontId="4" type="noConversion"/>
  </si>
  <si>
    <t>기기번호</t>
    <phoneticPr fontId="4" type="noConversion"/>
  </si>
  <si>
    <t>차기교정예정일자</t>
    <phoneticPr fontId="4" type="noConversion"/>
  </si>
  <si>
    <r>
      <t>교 정 결 과</t>
    </r>
    <r>
      <rPr>
        <sz val="9"/>
        <rFont val="Arial Unicode MS"/>
        <family val="3"/>
        <charset val="129"/>
      </rPr>
      <t xml:space="preserve">
</t>
    </r>
    <r>
      <rPr>
        <b/>
        <sz val="12"/>
        <rFont val="Arial Unicode MS"/>
        <family val="3"/>
        <charset val="129"/>
      </rPr>
      <t>CALIBRATION RESULT</t>
    </r>
    <phoneticPr fontId="4" type="noConversion"/>
  </si>
  <si>
    <t>세부분류코드</t>
    <phoneticPr fontId="4" type="noConversion"/>
  </si>
  <si>
    <r>
      <t xml:space="preserve">[5] </t>
    </r>
    <r>
      <rPr>
        <b/>
        <sz val="8"/>
        <rFont val="돋움"/>
        <family val="3"/>
        <charset val="129"/>
      </rPr>
      <t>교정결과</t>
    </r>
    <r>
      <rPr>
        <b/>
        <sz val="8"/>
        <rFont val="Tahoma"/>
        <family val="2"/>
      </rPr>
      <t xml:space="preserve"> </t>
    </r>
    <r>
      <rPr>
        <b/>
        <sz val="8"/>
        <rFont val="돋움"/>
        <family val="3"/>
        <charset val="129"/>
      </rPr>
      <t>및</t>
    </r>
    <r>
      <rPr>
        <b/>
        <sz val="8"/>
        <rFont val="Tahoma"/>
        <family val="2"/>
      </rPr>
      <t xml:space="preserve"> </t>
    </r>
    <r>
      <rPr>
        <b/>
        <sz val="8"/>
        <rFont val="돋움"/>
        <family val="3"/>
        <charset val="129"/>
      </rPr>
      <t>검토</t>
    </r>
    <phoneticPr fontId="4" type="noConversion"/>
  </si>
  <si>
    <t>전체</t>
    <phoneticPr fontId="4" type="noConversion"/>
  </si>
  <si>
    <t>특이사항</t>
    <phoneticPr fontId="4" type="noConversion"/>
  </si>
  <si>
    <t>PASS</t>
    <phoneticPr fontId="4" type="noConversion"/>
  </si>
  <si>
    <t>FIAL</t>
    <phoneticPr fontId="4" type="noConversion"/>
  </si>
  <si>
    <t>교정자 확인</t>
    <phoneticPr fontId="4" type="noConversion"/>
  </si>
  <si>
    <t>확인전</t>
  </si>
  <si>
    <t>CONDITION</t>
    <phoneticPr fontId="4" type="noConversion"/>
  </si>
  <si>
    <t>SPEC</t>
    <phoneticPr fontId="4" type="noConversion"/>
  </si>
  <si>
    <t>MIN</t>
    <phoneticPr fontId="4" type="noConversion"/>
  </si>
  <si>
    <t>MAX</t>
    <phoneticPr fontId="4" type="noConversion"/>
  </si>
  <si>
    <t>UNIT</t>
    <phoneticPr fontId="4" type="noConversion"/>
  </si>
  <si>
    <t>CMC_UNIT</t>
    <phoneticPr fontId="4" type="noConversion"/>
  </si>
  <si>
    <t>CMC 검토</t>
    <phoneticPr fontId="4" type="noConversion"/>
  </si>
  <si>
    <t>자유도</t>
  </si>
  <si>
    <t>∞</t>
  </si>
  <si>
    <t>CMC_1</t>
    <phoneticPr fontId="4" type="noConversion"/>
  </si>
  <si>
    <t>CMC_2</t>
  </si>
  <si>
    <t>CALIBRATION Result</t>
    <phoneticPr fontId="4" type="noConversion"/>
  </si>
  <si>
    <t>부록</t>
    <phoneticPr fontId="4" type="noConversion"/>
  </si>
  <si>
    <t>단위</t>
    <phoneticPr fontId="4" type="noConversion"/>
  </si>
  <si>
    <t>CMC</t>
    <phoneticPr fontId="4" type="noConversion"/>
  </si>
  <si>
    <t>1st</t>
    <phoneticPr fontId="4" type="noConversion"/>
  </si>
  <si>
    <t>2nd</t>
    <phoneticPr fontId="4" type="noConversion"/>
  </si>
  <si>
    <t>등록번호</t>
    <phoneticPr fontId="68" type="noConversion"/>
  </si>
  <si>
    <t>기기명(종류)</t>
    <phoneticPr fontId="68" type="noConversion"/>
  </si>
  <si>
    <t>포함인자</t>
    <phoneticPr fontId="68" type="noConversion"/>
  </si>
  <si>
    <t>판정결과</t>
    <phoneticPr fontId="4" type="noConversion"/>
  </si>
  <si>
    <t>2회</t>
  </si>
  <si>
    <t>3회</t>
  </si>
  <si>
    <t xml:space="preserve"> 성적서발급번호(Certificate No) :</t>
    <phoneticPr fontId="4" type="noConversion"/>
  </si>
  <si>
    <t>Spec</t>
    <phoneticPr fontId="4" type="noConversion"/>
  </si>
  <si>
    <t>교정값</t>
    <phoneticPr fontId="4" type="noConversion"/>
  </si>
  <si>
    <t>Decision</t>
    <phoneticPr fontId="4" type="noConversion"/>
  </si>
  <si>
    <t>[Length Calibration]</t>
    <phoneticPr fontId="4" type="noConversion"/>
  </si>
  <si>
    <t>3rd</t>
    <phoneticPr fontId="4" type="noConversion"/>
  </si>
  <si>
    <t>4th</t>
    <phoneticPr fontId="4" type="noConversion"/>
  </si>
  <si>
    <t>5th</t>
    <phoneticPr fontId="4" type="noConversion"/>
  </si>
  <si>
    <t>기준기 교정데이터</t>
    <phoneticPr fontId="4" type="noConversion"/>
  </si>
  <si>
    <t>명목값</t>
    <phoneticPr fontId="68" type="noConversion"/>
  </si>
  <si>
    <t>불확도 2</t>
  </si>
  <si>
    <t>비고</t>
    <phoneticPr fontId="4" type="noConversion"/>
  </si>
  <si>
    <r>
      <t>3회</t>
    </r>
    <r>
      <rPr>
        <b/>
        <sz val="9"/>
        <color indexed="9"/>
        <rFont val="굴림"/>
        <family val="3"/>
        <charset val="129"/>
      </rPr>
      <t/>
    </r>
  </si>
  <si>
    <r>
      <t>4회</t>
    </r>
    <r>
      <rPr>
        <b/>
        <sz val="9"/>
        <color indexed="9"/>
        <rFont val="굴림"/>
        <family val="3"/>
        <charset val="129"/>
      </rPr>
      <t/>
    </r>
  </si>
  <si>
    <r>
      <t>5회</t>
    </r>
    <r>
      <rPr>
        <b/>
        <sz val="9"/>
        <color indexed="9"/>
        <rFont val="굴림"/>
        <family val="3"/>
        <charset val="129"/>
      </rPr>
      <t/>
    </r>
  </si>
  <si>
    <r>
      <t>CMC</t>
    </r>
    <r>
      <rPr>
        <b/>
        <sz val="9"/>
        <color indexed="9"/>
        <rFont val="돋움"/>
        <family val="3"/>
        <charset val="129"/>
      </rPr>
      <t>초과</t>
    </r>
    <r>
      <rPr>
        <b/>
        <sz val="9"/>
        <color indexed="9"/>
        <rFont val="Tahoma"/>
        <family val="2"/>
      </rPr>
      <t>?</t>
    </r>
  </si>
  <si>
    <t>FAIL?</t>
  </si>
  <si>
    <t>4회</t>
  </si>
  <si>
    <t>5회</t>
  </si>
  <si>
    <t>사용중지?</t>
  </si>
  <si>
    <t>COID</t>
    <phoneticPr fontId="4" type="noConversion"/>
  </si>
  <si>
    <r>
      <t>U+</t>
    </r>
    <r>
      <rPr>
        <sz val="9"/>
        <rFont val="돋움"/>
        <family val="3"/>
        <charset val="129"/>
      </rPr>
      <t>α</t>
    </r>
    <phoneticPr fontId="4" type="noConversion"/>
  </si>
  <si>
    <t>fees</t>
    <phoneticPr fontId="4" type="noConversion"/>
  </si>
  <si>
    <t>P/F</t>
    <phoneticPr fontId="4" type="noConversion"/>
  </si>
  <si>
    <t>명목값</t>
    <phoneticPr fontId="4" type="noConversion"/>
  </si>
  <si>
    <t>Resolution</t>
    <phoneticPr fontId="4" type="noConversion"/>
  </si>
  <si>
    <t>Display</t>
    <phoneticPr fontId="4" type="noConversion"/>
  </si>
  <si>
    <t>Division</t>
    <phoneticPr fontId="4" type="noConversion"/>
  </si>
  <si>
    <t>Resolution</t>
    <phoneticPr fontId="4" type="noConversion"/>
  </si>
  <si>
    <t>Unit</t>
    <phoneticPr fontId="4" type="noConversion"/>
  </si>
  <si>
    <t>Nominal Value</t>
    <phoneticPr fontId="4" type="noConversion"/>
  </si>
  <si>
    <t>● 교정결과</t>
    <phoneticPr fontId="4" type="noConversion"/>
  </si>
  <si>
    <t>단위</t>
    <phoneticPr fontId="4" type="noConversion"/>
  </si>
  <si>
    <t>사용블록 #2</t>
  </si>
  <si>
    <t>사용블록 #3</t>
  </si>
  <si>
    <t>사용블록 #4</t>
  </si>
  <si>
    <t>블록교정값 #2</t>
  </si>
  <si>
    <t>블록교정값 #3</t>
  </si>
  <si>
    <t>블록교정값 #4</t>
  </si>
  <si>
    <t>열팽창계수</t>
    <phoneticPr fontId="4" type="noConversion"/>
  </si>
  <si>
    <t>정반 교정데이터</t>
    <phoneticPr fontId="4" type="noConversion"/>
  </si>
  <si>
    <t>번호</t>
  </si>
  <si>
    <t>등록번호</t>
  </si>
  <si>
    <t>기기명(종류)</t>
  </si>
  <si>
    <t>가로크기</t>
    <phoneticPr fontId="4" type="noConversion"/>
  </si>
  <si>
    <t>세로크기</t>
    <phoneticPr fontId="4" type="noConversion"/>
  </si>
  <si>
    <t>명목값</t>
  </si>
  <si>
    <t>기준값</t>
  </si>
  <si>
    <t>측정값</t>
  </si>
  <si>
    <t>단위</t>
  </si>
  <si>
    <t>보정값</t>
  </si>
  <si>
    <t>불확도</t>
    <phoneticPr fontId="4" type="noConversion"/>
  </si>
  <si>
    <t>불확도 단위</t>
  </si>
  <si>
    <t>포함인자</t>
  </si>
  <si>
    <t>교정일자</t>
  </si>
  <si>
    <t>α_avr</t>
  </si>
  <si>
    <t>Δt</t>
  </si>
  <si>
    <t>Δα</t>
  </si>
  <si>
    <t>t_avr-20</t>
  </si>
  <si>
    <t>δt</t>
  </si>
  <si>
    <t>(mm)</t>
    <phoneticPr fontId="4" type="noConversion"/>
  </si>
  <si>
    <t>전기 마이크로미터 교정데이터</t>
    <phoneticPr fontId="4" type="noConversion"/>
  </si>
  <si>
    <t>사용블록 #1</t>
    <phoneticPr fontId="4" type="noConversion"/>
  </si>
  <si>
    <t>블록교정값 #1</t>
    <phoneticPr fontId="4" type="noConversion"/>
  </si>
  <si>
    <t>mm</t>
    <phoneticPr fontId="4" type="noConversion"/>
  </si>
  <si>
    <t>분해능</t>
    <phoneticPr fontId="4" type="noConversion"/>
  </si>
  <si>
    <t>교정값</t>
    <phoneticPr fontId="4" type="noConversion"/>
  </si>
  <si>
    <t>1. Block interval calibration result</t>
    <phoneticPr fontId="4" type="noConversion"/>
  </si>
  <si>
    <t>기준기명</t>
    <phoneticPr fontId="4" type="noConversion"/>
  </si>
  <si>
    <t>Δt</t>
    <phoneticPr fontId="4" type="noConversion"/>
  </si>
  <si>
    <t>Δα</t>
    <phoneticPr fontId="4" type="noConversion"/>
  </si>
  <si>
    <t>요인(값)</t>
  </si>
  <si>
    <t>나눔수</t>
  </si>
  <si>
    <t>분모</t>
  </si>
  <si>
    <r>
      <t>교 정 결 과</t>
    </r>
    <r>
      <rPr>
        <sz val="9"/>
        <rFont val="Arial Unicode MS"/>
        <family val="3"/>
        <charset val="129"/>
      </rPr>
      <t xml:space="preserve">
</t>
    </r>
    <r>
      <rPr>
        <b/>
        <sz val="12"/>
        <rFont val="Arial Unicode MS"/>
        <family val="3"/>
        <charset val="129"/>
      </rPr>
      <t>CALIBRATION RESULT</t>
    </r>
    <phoneticPr fontId="4" type="noConversion"/>
  </si>
  <si>
    <t xml:space="preserve"> 성적서발급번호(Certificate No) :</t>
    <phoneticPr fontId="4" type="noConversion"/>
  </si>
  <si>
    <t>● 교정결과</t>
    <phoneticPr fontId="4" type="noConversion"/>
  </si>
  <si>
    <t>Unit</t>
    <phoneticPr fontId="4" type="noConversion"/>
  </si>
  <si>
    <t>Spec</t>
    <phoneticPr fontId="4" type="noConversion"/>
  </si>
  <si>
    <t>조정 전</t>
    <phoneticPr fontId="4" type="noConversion"/>
  </si>
  <si>
    <t>조정 후</t>
    <phoneticPr fontId="4" type="noConversion"/>
  </si>
  <si>
    <t>Measurement Uncertainty</t>
    <phoneticPr fontId="4" type="noConversion"/>
  </si>
  <si>
    <t>-</t>
    <phoneticPr fontId="4" type="noConversion"/>
  </si>
  <si>
    <t>-</t>
    <phoneticPr fontId="4" type="noConversion"/>
  </si>
  <si>
    <t>-</t>
    <phoneticPr fontId="4" type="noConversion"/>
  </si>
  <si>
    <t>-</t>
    <phoneticPr fontId="4" type="noConversion"/>
  </si>
  <si>
    <t>-</t>
    <phoneticPr fontId="4" type="noConversion"/>
  </si>
  <si>
    <t>-</t>
    <phoneticPr fontId="4" type="noConversion"/>
  </si>
  <si>
    <t>-</t>
    <phoneticPr fontId="4" type="noConversion"/>
  </si>
  <si>
    <t>-</t>
    <phoneticPr fontId="4" type="noConversion"/>
  </si>
  <si>
    <t>-</t>
    <phoneticPr fontId="4" type="noConversion"/>
  </si>
  <si>
    <t>Measured
Value</t>
    <phoneticPr fontId="4" type="noConversion"/>
  </si>
  <si>
    <t>Correction
Value</t>
    <phoneticPr fontId="4" type="noConversion"/>
  </si>
  <si>
    <t>Pass
/Fail</t>
    <phoneticPr fontId="4" type="noConversion"/>
  </si>
  <si>
    <t>U &amp; r</t>
  </si>
  <si>
    <t>MEASURED VALUE (평행도)</t>
    <phoneticPr fontId="4" type="noConversion"/>
  </si>
  <si>
    <t>MEASURED VALUE (지시편차)</t>
    <phoneticPr fontId="4" type="noConversion"/>
  </si>
  <si>
    <t>최댓값</t>
    <phoneticPr fontId="4" type="noConversion"/>
  </si>
  <si>
    <t>최솟값</t>
    <phoneticPr fontId="4" type="noConversion"/>
  </si>
  <si>
    <t>사용블록 #5</t>
  </si>
  <si>
    <t>블록교정값 #5</t>
  </si>
  <si>
    <t>측정불확도1</t>
    <phoneticPr fontId="4" type="noConversion"/>
  </si>
  <si>
    <t>측정불확도2</t>
    <phoneticPr fontId="4" type="noConversion"/>
  </si>
  <si>
    <t>불확도단위</t>
    <phoneticPr fontId="4" type="noConversion"/>
  </si>
  <si>
    <t>k</t>
    <phoneticPr fontId="4" type="noConversion"/>
  </si>
  <si>
    <t>번호</t>
    <phoneticPr fontId="68" type="noConversion"/>
  </si>
  <si>
    <t>기준값</t>
    <phoneticPr fontId="68" type="noConversion"/>
  </si>
  <si>
    <t>측정값</t>
    <phoneticPr fontId="68" type="noConversion"/>
  </si>
  <si>
    <t>단위</t>
    <phoneticPr fontId="68" type="noConversion"/>
  </si>
  <si>
    <t>보정값</t>
    <phoneticPr fontId="68" type="noConversion"/>
  </si>
  <si>
    <t>불확도 1</t>
    <phoneticPr fontId="68" type="noConversion"/>
  </si>
  <si>
    <t>불확도 단위</t>
    <phoneticPr fontId="68" type="noConversion"/>
  </si>
  <si>
    <t>비고</t>
    <phoneticPr fontId="4" type="noConversion"/>
  </si>
  <si>
    <t>열팽창계수</t>
    <phoneticPr fontId="68" type="noConversion"/>
  </si>
  <si>
    <t>단위</t>
    <phoneticPr fontId="4" type="noConversion"/>
  </si>
  <si>
    <t>블록수</t>
    <phoneticPr fontId="4" type="noConversion"/>
  </si>
  <si>
    <t>재질</t>
    <phoneticPr fontId="4" type="noConversion"/>
  </si>
  <si>
    <t>이전교정값</t>
    <phoneticPr fontId="4" type="noConversion"/>
  </si>
  <si>
    <t>교정일자</t>
    <phoneticPr fontId="68" type="noConversion"/>
  </si>
  <si>
    <t>최대범위</t>
    <phoneticPr fontId="4" type="noConversion"/>
  </si>
  <si>
    <r>
      <t>l</t>
    </r>
    <r>
      <rPr>
        <b/>
        <vertAlign val="subscript"/>
        <sz val="9"/>
        <color indexed="9"/>
        <rFont val="맑은 고딕"/>
        <family val="3"/>
        <charset val="129"/>
        <scheme val="major"/>
      </rPr>
      <t>s</t>
    </r>
    <phoneticPr fontId="4" type="noConversion"/>
  </si>
  <si>
    <t>α_avr</t>
    <phoneticPr fontId="4" type="noConversion"/>
  </si>
  <si>
    <r>
      <t>l</t>
    </r>
    <r>
      <rPr>
        <b/>
        <vertAlign val="subscript"/>
        <sz val="9"/>
        <color indexed="9"/>
        <rFont val="맑은 고딕"/>
        <family val="3"/>
        <charset val="129"/>
        <scheme val="major"/>
      </rPr>
      <t>x</t>
    </r>
    <phoneticPr fontId="4" type="noConversion"/>
  </si>
  <si>
    <t>Min</t>
    <phoneticPr fontId="4" type="noConversion"/>
  </si>
  <si>
    <t>1. 교정조건</t>
    <phoneticPr fontId="4" type="noConversion"/>
  </si>
  <si>
    <r>
      <t>t</t>
    </r>
    <r>
      <rPr>
        <b/>
        <vertAlign val="subscript"/>
        <sz val="9"/>
        <color indexed="9"/>
        <rFont val="맑은 고딕"/>
        <family val="3"/>
        <charset val="129"/>
        <scheme val="major"/>
      </rPr>
      <t>x</t>
    </r>
    <phoneticPr fontId="4" type="noConversion"/>
  </si>
  <si>
    <r>
      <t>t</t>
    </r>
    <r>
      <rPr>
        <b/>
        <vertAlign val="subscript"/>
        <sz val="9"/>
        <color indexed="9"/>
        <rFont val="맑은 고딕"/>
        <family val="3"/>
        <charset val="129"/>
        <scheme val="major"/>
      </rPr>
      <t>s</t>
    </r>
    <phoneticPr fontId="4" type="noConversion"/>
  </si>
  <si>
    <t>단위</t>
    <phoneticPr fontId="4" type="noConversion"/>
  </si>
  <si>
    <t>2. 블록 교정결과</t>
    <phoneticPr fontId="4" type="noConversion"/>
  </si>
  <si>
    <t>4. 성적서용</t>
    <phoneticPr fontId="4" type="noConversion"/>
  </si>
  <si>
    <t>사용?</t>
    <phoneticPr fontId="4" type="noConversion"/>
  </si>
  <si>
    <t>단위</t>
    <phoneticPr fontId="4" type="noConversion"/>
  </si>
  <si>
    <t>전기 마이크로미터 지시값</t>
    <phoneticPr fontId="4" type="noConversion"/>
  </si>
  <si>
    <t>전기 마이크로미터 지시값 (평행도)</t>
    <phoneticPr fontId="4" type="noConversion"/>
  </si>
  <si>
    <t>표준편차</t>
    <phoneticPr fontId="4" type="noConversion"/>
  </si>
  <si>
    <t>기준기교정값</t>
    <phoneticPr fontId="4" type="noConversion"/>
  </si>
  <si>
    <t>지시값평균</t>
    <phoneticPr fontId="4" type="noConversion"/>
  </si>
  <si>
    <t>열팽창계수</t>
    <phoneticPr fontId="4" type="noConversion"/>
  </si>
  <si>
    <t>온도차</t>
    <phoneticPr fontId="4" type="noConversion"/>
  </si>
  <si>
    <t>열팽창계수차</t>
    <phoneticPr fontId="4" type="noConversion"/>
  </si>
  <si>
    <t>t_avr-20</t>
    <phoneticPr fontId="4" type="noConversion"/>
  </si>
  <si>
    <t>열팽창보정</t>
    <phoneticPr fontId="4" type="noConversion"/>
  </si>
  <si>
    <t>편차</t>
    <phoneticPr fontId="4" type="noConversion"/>
  </si>
  <si>
    <t>편차</t>
    <phoneticPr fontId="4" type="noConversion"/>
  </si>
  <si>
    <t>자리수 맞춤</t>
    <phoneticPr fontId="4" type="noConversion"/>
  </si>
  <si>
    <t>Spec</t>
    <phoneticPr fontId="4" type="noConversion"/>
  </si>
  <si>
    <t>표기용</t>
    <phoneticPr fontId="4" type="noConversion"/>
  </si>
  <si>
    <t>1회</t>
    <phoneticPr fontId="4" type="noConversion"/>
  </si>
  <si>
    <t>2회</t>
    <phoneticPr fontId="4" type="noConversion"/>
  </si>
  <si>
    <t>평균</t>
    <phoneticPr fontId="4" type="noConversion"/>
  </si>
  <si>
    <t>최댓값</t>
    <phoneticPr fontId="4" type="noConversion"/>
  </si>
  <si>
    <t>최솟값</t>
    <phoneticPr fontId="4" type="noConversion"/>
  </si>
  <si>
    <t>평행도</t>
    <phoneticPr fontId="4" type="noConversion"/>
  </si>
  <si>
    <r>
      <t>l</t>
    </r>
    <r>
      <rPr>
        <b/>
        <vertAlign val="subscript"/>
        <sz val="9"/>
        <color indexed="9"/>
        <rFont val="맑은 고딕"/>
        <family val="3"/>
        <charset val="129"/>
        <scheme val="major"/>
      </rPr>
      <t>ix</t>
    </r>
    <phoneticPr fontId="4" type="noConversion"/>
  </si>
  <si>
    <r>
      <t>α</t>
    </r>
    <r>
      <rPr>
        <b/>
        <vertAlign val="subscript"/>
        <sz val="9"/>
        <color indexed="9"/>
        <rFont val="맑은 고딕"/>
        <family val="3"/>
        <charset val="129"/>
        <scheme val="major"/>
      </rPr>
      <t>x</t>
    </r>
    <phoneticPr fontId="4" type="noConversion"/>
  </si>
  <si>
    <r>
      <t>α</t>
    </r>
    <r>
      <rPr>
        <b/>
        <vertAlign val="subscript"/>
        <sz val="9"/>
        <color indexed="9"/>
        <rFont val="맑은 고딕"/>
        <family val="3"/>
        <charset val="129"/>
        <scheme val="major"/>
      </rPr>
      <t>s</t>
    </r>
    <phoneticPr fontId="4" type="noConversion"/>
  </si>
  <si>
    <t>δt</t>
    <phoneticPr fontId="4" type="noConversion"/>
  </si>
  <si>
    <t>Δl</t>
    <phoneticPr fontId="4" type="noConversion"/>
  </si>
  <si>
    <r>
      <t>E</t>
    </r>
    <r>
      <rPr>
        <b/>
        <vertAlign val="subscript"/>
        <sz val="9"/>
        <color indexed="9"/>
        <rFont val="맑은 고딕"/>
        <family val="3"/>
        <charset val="129"/>
        <scheme val="major"/>
      </rPr>
      <t>x</t>
    </r>
    <phoneticPr fontId="4" type="noConversion"/>
  </si>
  <si>
    <t>교정값</t>
    <phoneticPr fontId="4" type="noConversion"/>
  </si>
  <si>
    <t>편차</t>
    <phoneticPr fontId="4" type="noConversion"/>
  </si>
  <si>
    <t>Max</t>
    <phoneticPr fontId="4" type="noConversion"/>
  </si>
  <si>
    <t>Pass/Fail</t>
    <phoneticPr fontId="4" type="noConversion"/>
  </si>
  <si>
    <r>
      <t>l</t>
    </r>
    <r>
      <rPr>
        <b/>
        <vertAlign val="subscript"/>
        <sz val="9"/>
        <color indexed="9"/>
        <rFont val="맑은 고딕"/>
        <family val="3"/>
        <charset val="129"/>
        <scheme val="major"/>
      </rPr>
      <t>0</t>
    </r>
    <phoneticPr fontId="4" type="noConversion"/>
  </si>
  <si>
    <t>μm</t>
    <phoneticPr fontId="4" type="noConversion"/>
  </si>
  <si>
    <t>mm</t>
    <phoneticPr fontId="4" type="noConversion"/>
  </si>
  <si>
    <t>mm</t>
    <phoneticPr fontId="4" type="noConversion"/>
  </si>
  <si>
    <t>/℃</t>
    <phoneticPr fontId="4" type="noConversion"/>
  </si>
  <si>
    <t>/℃</t>
    <phoneticPr fontId="4" type="noConversion"/>
  </si>
  <si>
    <t>/℃</t>
    <phoneticPr fontId="4" type="noConversion"/>
  </si>
  <si>
    <t>℃</t>
    <phoneticPr fontId="4" type="noConversion"/>
  </si>
  <si>
    <t>mm</t>
    <phoneticPr fontId="4" type="noConversion"/>
  </si>
  <si>
    <t>μm</t>
    <phoneticPr fontId="4" type="noConversion"/>
  </si>
  <si>
    <t>3. 블록 불확도 계산</t>
    <phoneticPr fontId="4" type="noConversion"/>
  </si>
  <si>
    <t>요인</t>
    <phoneticPr fontId="4" type="noConversion"/>
  </si>
  <si>
    <t>입력량</t>
    <phoneticPr fontId="4" type="noConversion"/>
  </si>
  <si>
    <t>추정값</t>
    <phoneticPr fontId="4" type="noConversion"/>
  </si>
  <si>
    <t>표준불확도</t>
    <phoneticPr fontId="4" type="noConversion"/>
  </si>
  <si>
    <r>
      <t>u</t>
    </r>
    <r>
      <rPr>
        <b/>
        <vertAlign val="superscript"/>
        <sz val="9"/>
        <color indexed="9"/>
        <rFont val="맑은 고딕"/>
        <family val="3"/>
        <charset val="129"/>
        <scheme val="major"/>
      </rPr>
      <t>4</t>
    </r>
    <r>
      <rPr>
        <b/>
        <sz val="9"/>
        <color indexed="9"/>
        <rFont val="맑은 고딕"/>
        <family val="3"/>
        <charset val="129"/>
        <scheme val="major"/>
      </rPr>
      <t>/ν</t>
    </r>
    <phoneticPr fontId="4" type="noConversion"/>
  </si>
  <si>
    <t>확률분포별 불확도기여량</t>
    <phoneticPr fontId="4" type="noConversion"/>
  </si>
  <si>
    <t>확률분포</t>
    <phoneticPr fontId="4" type="noConversion"/>
  </si>
  <si>
    <t>요인(값)</t>
    <phoneticPr fontId="4" type="noConversion"/>
  </si>
  <si>
    <t>감도계수</t>
    <phoneticPr fontId="4" type="noConversion"/>
  </si>
  <si>
    <t>불확도기여량</t>
    <phoneticPr fontId="4" type="noConversion"/>
  </si>
  <si>
    <t>자유도</t>
    <phoneticPr fontId="4" type="noConversion"/>
  </si>
  <si>
    <t>직사각형</t>
    <phoneticPr fontId="4" type="noConversion"/>
  </si>
  <si>
    <t>기타</t>
    <phoneticPr fontId="4" type="noConversion"/>
  </si>
  <si>
    <t>A</t>
    <phoneticPr fontId="4" type="noConversion"/>
  </si>
  <si>
    <t>기준기</t>
    <phoneticPr fontId="4" type="noConversion"/>
  </si>
  <si>
    <r>
      <t>l</t>
    </r>
    <r>
      <rPr>
        <vertAlign val="subscript"/>
        <sz val="9"/>
        <rFont val="맑은 고딕"/>
        <family val="3"/>
        <charset val="129"/>
        <scheme val="major"/>
      </rPr>
      <t>s</t>
    </r>
    <phoneticPr fontId="4" type="noConversion"/>
  </si>
  <si>
    <t>정규</t>
    <phoneticPr fontId="4" type="noConversion"/>
  </si>
  <si>
    <t>∞</t>
    <phoneticPr fontId="4" type="noConversion"/>
  </si>
  <si>
    <t>B</t>
    <phoneticPr fontId="4" type="noConversion"/>
  </si>
  <si>
    <t>우연</t>
    <phoneticPr fontId="4" type="noConversion"/>
  </si>
  <si>
    <r>
      <t>l</t>
    </r>
    <r>
      <rPr>
        <vertAlign val="subscript"/>
        <sz val="9"/>
        <rFont val="맑은 고딕"/>
        <family val="3"/>
        <charset val="129"/>
        <scheme val="major"/>
      </rPr>
      <t>ix</t>
    </r>
    <phoneticPr fontId="4" type="noConversion"/>
  </si>
  <si>
    <t>C</t>
    <phoneticPr fontId="4" type="noConversion"/>
  </si>
  <si>
    <t>평균열팽창계수</t>
    <phoneticPr fontId="4" type="noConversion"/>
  </si>
  <si>
    <t>/℃</t>
    <phoneticPr fontId="4" type="noConversion"/>
  </si>
  <si>
    <t>삼각형</t>
    <phoneticPr fontId="4" type="noConversion"/>
  </si>
  <si>
    <r>
      <t>l</t>
    </r>
    <r>
      <rPr>
        <vertAlign val="subscript"/>
        <sz val="9"/>
        <rFont val="맑은 고딕"/>
        <family val="3"/>
        <charset val="129"/>
        <scheme val="major"/>
      </rPr>
      <t>0</t>
    </r>
    <phoneticPr fontId="4" type="noConversion"/>
  </si>
  <si>
    <t>℃·μm</t>
    <phoneticPr fontId="4" type="noConversion"/>
  </si>
  <si>
    <t>D</t>
    <phoneticPr fontId="4" type="noConversion"/>
  </si>
  <si>
    <t>온도차</t>
    <phoneticPr fontId="4" type="noConversion"/>
  </si>
  <si>
    <t>℃</t>
    <phoneticPr fontId="4" type="noConversion"/>
  </si>
  <si>
    <t>직사각형</t>
    <phoneticPr fontId="4" type="noConversion"/>
  </si>
  <si>
    <t>/℃·μm</t>
    <phoneticPr fontId="4" type="noConversion"/>
  </si>
  <si>
    <t>E</t>
    <phoneticPr fontId="4" type="noConversion"/>
  </si>
  <si>
    <t>열팽창계수차</t>
    <phoneticPr fontId="4" type="noConversion"/>
  </si>
  <si>
    <r>
      <t>l</t>
    </r>
    <r>
      <rPr>
        <vertAlign val="subscript"/>
        <sz val="9"/>
        <rFont val="맑은 고딕"/>
        <family val="3"/>
        <charset val="129"/>
        <scheme val="major"/>
      </rPr>
      <t>0</t>
    </r>
    <phoneticPr fontId="4" type="noConversion"/>
  </si>
  <si>
    <t>℃·μm</t>
    <phoneticPr fontId="4" type="noConversion"/>
  </si>
  <si>
    <t>F</t>
    <phoneticPr fontId="4" type="noConversion"/>
  </si>
  <si>
    <t>/℃·μm</t>
    <phoneticPr fontId="4" type="noConversion"/>
  </si>
  <si>
    <t>G</t>
    <phoneticPr fontId="4" type="noConversion"/>
  </si>
  <si>
    <t>온도계</t>
    <phoneticPr fontId="4" type="noConversion"/>
  </si>
  <si>
    <r>
      <t>t</t>
    </r>
    <r>
      <rPr>
        <vertAlign val="subscript"/>
        <sz val="9"/>
        <rFont val="맑은 고딕"/>
        <family val="3"/>
        <charset val="129"/>
        <scheme val="major"/>
      </rPr>
      <t>d</t>
    </r>
    <phoneticPr fontId="4" type="noConversion"/>
  </si>
  <si>
    <t>∞</t>
    <phoneticPr fontId="4" type="noConversion"/>
  </si>
  <si>
    <t>H</t>
    <phoneticPr fontId="4" type="noConversion"/>
  </si>
  <si>
    <t>온도변화</t>
    <phoneticPr fontId="4" type="noConversion"/>
  </si>
  <si>
    <r>
      <t>δt</t>
    </r>
    <r>
      <rPr>
        <vertAlign val="subscript"/>
        <sz val="9"/>
        <rFont val="맑은 고딕"/>
        <family val="3"/>
        <charset val="129"/>
        <scheme val="major"/>
      </rPr>
      <t>d</t>
    </r>
    <phoneticPr fontId="4" type="noConversion"/>
  </si>
  <si>
    <t>℃</t>
    <phoneticPr fontId="4" type="noConversion"/>
  </si>
  <si>
    <t>직사각형</t>
    <phoneticPr fontId="4" type="noConversion"/>
  </si>
  <si>
    <t>I</t>
    <phoneticPr fontId="4" type="noConversion"/>
  </si>
  <si>
    <r>
      <t>δt</t>
    </r>
    <r>
      <rPr>
        <vertAlign val="subscript"/>
        <sz val="9"/>
        <rFont val="맑은 고딕"/>
        <family val="3"/>
        <charset val="129"/>
        <scheme val="major"/>
      </rPr>
      <t>Δ</t>
    </r>
    <phoneticPr fontId="4" type="noConversion"/>
  </si>
  <si>
    <t>J</t>
    <phoneticPr fontId="4" type="noConversion"/>
  </si>
  <si>
    <t>전기마이크로미터 분해능</t>
    <phoneticPr fontId="4" type="noConversion"/>
  </si>
  <si>
    <r>
      <t>δl</t>
    </r>
    <r>
      <rPr>
        <vertAlign val="subscript"/>
        <sz val="9"/>
        <rFont val="맑은 고딕"/>
        <family val="3"/>
        <charset val="129"/>
        <scheme val="major"/>
      </rPr>
      <t>r</t>
    </r>
    <phoneticPr fontId="4" type="noConversion"/>
  </si>
  <si>
    <t>mm</t>
    <phoneticPr fontId="4" type="noConversion"/>
  </si>
  <si>
    <t>μm</t>
    <phoneticPr fontId="4" type="noConversion"/>
  </si>
  <si>
    <t>K</t>
    <phoneticPr fontId="4" type="noConversion"/>
  </si>
  <si>
    <t xml:space="preserve">전기마이크로미터 </t>
    <phoneticPr fontId="4" type="noConversion"/>
  </si>
  <si>
    <r>
      <t>δl</t>
    </r>
    <r>
      <rPr>
        <vertAlign val="subscript"/>
        <sz val="9"/>
        <rFont val="맑은 고딕"/>
        <family val="3"/>
        <charset val="129"/>
        <scheme val="major"/>
      </rPr>
      <t>E</t>
    </r>
    <phoneticPr fontId="4" type="noConversion"/>
  </si>
  <si>
    <t>mm</t>
    <phoneticPr fontId="4" type="noConversion"/>
  </si>
  <si>
    <t>L</t>
    <phoneticPr fontId="4" type="noConversion"/>
  </si>
  <si>
    <t>정반평면도</t>
    <phoneticPr fontId="4" type="noConversion"/>
  </si>
  <si>
    <r>
      <t>δl</t>
    </r>
    <r>
      <rPr>
        <vertAlign val="subscript"/>
        <sz val="9"/>
        <rFont val="맑은 고딕"/>
        <family val="3"/>
        <charset val="129"/>
        <scheme val="major"/>
      </rPr>
      <t>F</t>
    </r>
    <phoneticPr fontId="4" type="noConversion"/>
  </si>
  <si>
    <t>M</t>
    <phoneticPr fontId="4" type="noConversion"/>
  </si>
  <si>
    <t>블록 평행도</t>
    <phoneticPr fontId="4" type="noConversion"/>
  </si>
  <si>
    <r>
      <t>δl</t>
    </r>
    <r>
      <rPr>
        <vertAlign val="subscript"/>
        <sz val="9"/>
        <rFont val="맑은 고딕"/>
        <family val="3"/>
        <charset val="129"/>
        <scheme val="major"/>
      </rPr>
      <t>P</t>
    </r>
    <phoneticPr fontId="4" type="noConversion"/>
  </si>
  <si>
    <t>N</t>
    <phoneticPr fontId="4" type="noConversion"/>
  </si>
  <si>
    <t>2차항</t>
    <phoneticPr fontId="4" type="noConversion"/>
  </si>
  <si>
    <t>u(α), u(Δt)</t>
    <phoneticPr fontId="4" type="noConversion"/>
  </si>
  <si>
    <t>μm</t>
    <phoneticPr fontId="4" type="noConversion"/>
  </si>
  <si>
    <t>∞</t>
    <phoneticPr fontId="4" type="noConversion"/>
  </si>
  <si>
    <t>O</t>
    <phoneticPr fontId="4" type="noConversion"/>
  </si>
  <si>
    <t>2차항</t>
    <phoneticPr fontId="4" type="noConversion"/>
  </si>
  <si>
    <t>u(Δα), u(δt)</t>
    <phoneticPr fontId="4" type="noConversion"/>
  </si>
  <si>
    <t>정규</t>
    <phoneticPr fontId="4" type="noConversion"/>
  </si>
  <si>
    <r>
      <t>l</t>
    </r>
    <r>
      <rPr>
        <vertAlign val="subscript"/>
        <sz val="9"/>
        <rFont val="맑은 고딕"/>
        <family val="3"/>
        <charset val="129"/>
        <scheme val="major"/>
      </rPr>
      <t>0</t>
    </r>
    <phoneticPr fontId="4" type="noConversion"/>
  </si>
  <si>
    <t>P</t>
    <phoneticPr fontId="4" type="noConversion"/>
  </si>
  <si>
    <t>합성표준</t>
    <phoneticPr fontId="4" type="noConversion"/>
  </si>
  <si>
    <r>
      <t>l</t>
    </r>
    <r>
      <rPr>
        <vertAlign val="subscript"/>
        <sz val="9"/>
        <rFont val="맑은 고딕"/>
        <family val="3"/>
        <charset val="129"/>
        <scheme val="major"/>
      </rPr>
      <t>x</t>
    </r>
    <phoneticPr fontId="4" type="noConversion"/>
  </si>
  <si>
    <t>측정불확도</t>
    <phoneticPr fontId="4" type="noConversion"/>
  </si>
  <si>
    <t>선택</t>
    <phoneticPr fontId="4" type="noConversion"/>
  </si>
  <si>
    <t>분해능</t>
    <phoneticPr fontId="4" type="noConversion"/>
  </si>
  <si>
    <t>소수점 자리수</t>
    <phoneticPr fontId="4" type="noConversion"/>
  </si>
  <si>
    <t>5% rule</t>
    <phoneticPr fontId="4" type="noConversion"/>
  </si>
  <si>
    <t>Number Format</t>
    <phoneticPr fontId="4" type="noConversion"/>
  </si>
  <si>
    <t>CMC초과?</t>
    <phoneticPr fontId="4" type="noConversion"/>
  </si>
  <si>
    <t>불확도표기</t>
    <phoneticPr fontId="4" type="noConversion"/>
  </si>
  <si>
    <r>
      <t>l</t>
    </r>
    <r>
      <rPr>
        <b/>
        <vertAlign val="subscript"/>
        <sz val="9"/>
        <color indexed="9"/>
        <rFont val="맑은 고딕"/>
        <family val="3"/>
        <charset val="129"/>
        <scheme val="major"/>
      </rPr>
      <t>0</t>
    </r>
    <phoneticPr fontId="4" type="noConversion"/>
  </si>
  <si>
    <t>단위</t>
    <phoneticPr fontId="4" type="noConversion"/>
  </si>
  <si>
    <t>계산(μm)</t>
    <phoneticPr fontId="4" type="noConversion"/>
  </si>
  <si>
    <t>불확도</t>
    <phoneticPr fontId="4" type="noConversion"/>
  </si>
  <si>
    <t>Rawdata</t>
    <phoneticPr fontId="4" type="noConversion"/>
  </si>
  <si>
    <t>측정불확도</t>
    <phoneticPr fontId="4" type="noConversion"/>
  </si>
  <si>
    <t>CMC</t>
    <phoneticPr fontId="4" type="noConversion"/>
  </si>
  <si>
    <t>U+α</t>
    <phoneticPr fontId="4" type="noConversion"/>
  </si>
  <si>
    <t>U&amp;r</t>
    <phoneticPr fontId="4" type="noConversion"/>
  </si>
  <si>
    <t>HCT</t>
    <phoneticPr fontId="4" type="noConversion"/>
  </si>
  <si>
    <t>※ 직사각형 확률분포가 합성표준불확도에 미치는 영향</t>
    <phoneticPr fontId="4" type="noConversion"/>
  </si>
  <si>
    <t>신뢰수준(%)</t>
    <phoneticPr fontId="4" type="noConversion"/>
  </si>
  <si>
    <t>소수점</t>
    <phoneticPr fontId="4" type="noConversion"/>
  </si>
  <si>
    <t>Number</t>
    <phoneticPr fontId="4" type="noConversion"/>
  </si>
  <si>
    <t>직사각형분포</t>
    <phoneticPr fontId="4" type="noConversion"/>
  </si>
  <si>
    <t>영향</t>
    <phoneticPr fontId="4" type="noConversion"/>
  </si>
  <si>
    <t>비율</t>
    <phoneticPr fontId="4" type="noConversion"/>
  </si>
  <si>
    <t>자리수</t>
    <phoneticPr fontId="4" type="noConversion"/>
  </si>
  <si>
    <t>Format</t>
    <phoneticPr fontId="4" type="noConversion"/>
  </si>
  <si>
    <t>번호</t>
    <phoneticPr fontId="4" type="noConversion"/>
  </si>
  <si>
    <t>크기순</t>
    <phoneticPr fontId="4" type="noConversion"/>
  </si>
  <si>
    <t>0</t>
    <phoneticPr fontId="4" type="noConversion"/>
  </si>
  <si>
    <t>잔여 기여량</t>
    <phoneticPr fontId="4" type="noConversion"/>
  </si>
  <si>
    <t>0.0</t>
    <phoneticPr fontId="4" type="noConversion"/>
  </si>
  <si>
    <t>주 기여량</t>
    <phoneticPr fontId="4" type="noConversion"/>
  </si>
  <si>
    <t>0.00</t>
    <phoneticPr fontId="4" type="noConversion"/>
  </si>
  <si>
    <t>직사각형
분포 성분</t>
    <phoneticPr fontId="4" type="noConversion"/>
  </si>
  <si>
    <r>
      <t>a</t>
    </r>
    <r>
      <rPr>
        <b/>
        <vertAlign val="subscript"/>
        <sz val="9"/>
        <color indexed="9"/>
        <rFont val="Times New Roman"/>
        <family val="1"/>
      </rPr>
      <t>1</t>
    </r>
    <phoneticPr fontId="4" type="noConversion"/>
  </si>
  <si>
    <r>
      <t>a</t>
    </r>
    <r>
      <rPr>
        <b/>
        <vertAlign val="subscript"/>
        <sz val="9"/>
        <color indexed="9"/>
        <rFont val="Times New Roman"/>
        <family val="1"/>
      </rPr>
      <t>2</t>
    </r>
    <phoneticPr fontId="4" type="noConversion"/>
  </si>
  <si>
    <t>β</t>
    <phoneticPr fontId="4" type="noConversion"/>
  </si>
  <si>
    <t>0.000</t>
    <phoneticPr fontId="4" type="noConversion"/>
  </si>
  <si>
    <t>0.000 0</t>
    <phoneticPr fontId="4" type="noConversion"/>
  </si>
  <si>
    <t>0.000 00</t>
    <phoneticPr fontId="4" type="noConversion"/>
  </si>
  <si>
    <t>k</t>
    <phoneticPr fontId="4" type="noConversion"/>
  </si>
  <si>
    <t>0.000 000</t>
    <phoneticPr fontId="4" type="noConversion"/>
  </si>
  <si>
    <t>0.000 000 0</t>
    <phoneticPr fontId="4" type="noConversion"/>
  </si>
  <si>
    <t>0.000 000 00</t>
    <phoneticPr fontId="4" type="noConversion"/>
  </si>
  <si>
    <t>0.000 000 000</t>
    <phoneticPr fontId="4" type="noConversion"/>
  </si>
  <si>
    <t>● 교정료 계산</t>
    <phoneticPr fontId="4" type="noConversion"/>
  </si>
  <si>
    <t>1. 교정결과</t>
    <phoneticPr fontId="4" type="noConversion"/>
  </si>
  <si>
    <t>편차</t>
    <phoneticPr fontId="4" type="noConversion"/>
  </si>
  <si>
    <t>(μm)</t>
    <phoneticPr fontId="4" type="noConversion"/>
  </si>
  <si>
    <t>평행도</t>
    <phoneticPr fontId="4" type="noConversion"/>
  </si>
  <si>
    <t>평행도</t>
    <phoneticPr fontId="4" type="noConversion"/>
  </si>
  <si>
    <t>● 측정불확도 :</t>
    <phoneticPr fontId="4" type="noConversion"/>
  </si>
  <si>
    <r>
      <rPr>
        <b/>
        <sz val="20"/>
        <rFont val="돋움"/>
        <family val="3"/>
        <charset val="129"/>
      </rPr>
      <t>◆</t>
    </r>
    <r>
      <rPr>
        <b/>
        <sz val="20"/>
        <rFont val="Tahoma"/>
        <family val="2"/>
      </rPr>
      <t xml:space="preserve"> RAWDATA </t>
    </r>
    <r>
      <rPr>
        <b/>
        <sz val="20"/>
        <rFont val="돋움"/>
        <family val="3"/>
        <charset val="129"/>
      </rPr>
      <t>◆</t>
    </r>
    <phoneticPr fontId="4" type="noConversion"/>
  </si>
  <si>
    <t>등록번호</t>
    <phoneticPr fontId="4" type="noConversion"/>
  </si>
  <si>
    <t>교정번호</t>
    <phoneticPr fontId="4" type="noConversion"/>
  </si>
  <si>
    <t>교정자</t>
    <phoneticPr fontId="4" type="noConversion"/>
  </si>
  <si>
    <t>기기번호</t>
    <phoneticPr fontId="4" type="noConversion"/>
  </si>
  <si>
    <t>교정일자</t>
    <phoneticPr fontId="4" type="noConversion"/>
  </si>
  <si>
    <t>기술책임자</t>
    <phoneticPr fontId="4" type="noConversion"/>
  </si>
  <si>
    <t>○ 측정데이터</t>
    <phoneticPr fontId="4" type="noConversion"/>
  </si>
  <si>
    <r>
      <t xml:space="preserve">1. </t>
    </r>
    <r>
      <rPr>
        <b/>
        <sz val="9"/>
        <rFont val="돋움"/>
        <family val="3"/>
        <charset val="129"/>
      </rPr>
      <t>블록</t>
    </r>
    <r>
      <rPr>
        <b/>
        <sz val="9"/>
        <rFont val="Tahoma"/>
        <family val="2"/>
      </rPr>
      <t xml:space="preserve"> </t>
    </r>
    <r>
      <rPr>
        <b/>
        <sz val="9"/>
        <rFont val="돋움"/>
        <family val="3"/>
        <charset val="129"/>
      </rPr>
      <t>간격</t>
    </r>
    <r>
      <rPr>
        <b/>
        <sz val="9"/>
        <rFont val="Tahoma"/>
        <family val="2"/>
      </rPr>
      <t xml:space="preserve"> </t>
    </r>
    <r>
      <rPr>
        <b/>
        <sz val="9"/>
        <rFont val="돋움"/>
        <family val="3"/>
        <charset val="129"/>
      </rPr>
      <t>측정</t>
    </r>
    <r>
      <rPr>
        <b/>
        <sz val="9"/>
        <rFont val="Tahoma"/>
        <family val="2"/>
      </rPr>
      <t xml:space="preserve"> </t>
    </r>
    <r>
      <rPr>
        <b/>
        <sz val="9"/>
        <rFont val="돋움"/>
        <family val="3"/>
        <charset val="129"/>
      </rPr>
      <t>결과</t>
    </r>
    <phoneticPr fontId="4" type="noConversion"/>
  </si>
  <si>
    <r>
      <t xml:space="preserve">2. </t>
    </r>
    <r>
      <rPr>
        <b/>
        <sz val="9"/>
        <rFont val="돋움"/>
        <family val="3"/>
        <charset val="129"/>
      </rPr>
      <t>평행도</t>
    </r>
    <r>
      <rPr>
        <b/>
        <sz val="9"/>
        <rFont val="Tahoma"/>
        <family val="2"/>
      </rPr>
      <t xml:space="preserve"> </t>
    </r>
    <r>
      <rPr>
        <b/>
        <sz val="9"/>
        <rFont val="돋움"/>
        <family val="3"/>
        <charset val="129"/>
      </rPr>
      <t>측정</t>
    </r>
    <r>
      <rPr>
        <b/>
        <sz val="9"/>
        <rFont val="Tahoma"/>
        <family val="2"/>
      </rPr>
      <t xml:space="preserve"> </t>
    </r>
    <r>
      <rPr>
        <b/>
        <sz val="9"/>
        <rFont val="돋움"/>
        <family val="3"/>
        <charset val="129"/>
      </rPr>
      <t>결과</t>
    </r>
    <phoneticPr fontId="4" type="noConversion"/>
  </si>
  <si>
    <t>명목값</t>
    <phoneticPr fontId="4" type="noConversion"/>
  </si>
  <si>
    <t>단위</t>
    <phoneticPr fontId="4" type="noConversion"/>
  </si>
  <si>
    <t>전기 마이크로미터 지시값 (μm)</t>
    <phoneticPr fontId="4" type="noConversion"/>
  </si>
  <si>
    <t>1회</t>
    <phoneticPr fontId="4" type="noConversion"/>
  </si>
  <si>
    <t>사다리꼴</t>
    <phoneticPr fontId="4" type="noConversion"/>
  </si>
  <si>
    <t>◆ 측정불확도 추정보고서 ◆</t>
    <phoneticPr fontId="4" type="noConversion"/>
  </si>
  <si>
    <t>■ 측정기본정보</t>
    <phoneticPr fontId="4" type="noConversion"/>
  </si>
  <si>
    <t>기기명</t>
    <phoneticPr fontId="4" type="noConversion"/>
  </si>
  <si>
    <t>기준기명</t>
    <phoneticPr fontId="4" type="noConversion"/>
  </si>
  <si>
    <t>비교기명</t>
    <phoneticPr fontId="4" type="noConversion"/>
  </si>
  <si>
    <t>스텝 게이지</t>
    <phoneticPr fontId="4" type="noConversion"/>
  </si>
  <si>
    <t>게이지 블록</t>
    <phoneticPr fontId="4" type="noConversion"/>
  </si>
  <si>
    <t>전기 마이크로미터</t>
    <phoneticPr fontId="4" type="noConversion"/>
  </si>
  <si>
    <t>■ 블록 측정 결과</t>
    <phoneticPr fontId="4" type="noConversion"/>
  </si>
  <si>
    <t>명목값
(mm)</t>
    <phoneticPr fontId="4" type="noConversion"/>
  </si>
  <si>
    <t>전기 마이크로미터 지시값 (μm)</t>
    <phoneticPr fontId="4" type="noConversion"/>
  </si>
  <si>
    <t>평균값
(μm)</t>
    <phoneticPr fontId="4" type="noConversion"/>
  </si>
  <si>
    <t>표준편차
(μm)</t>
    <phoneticPr fontId="4" type="noConversion"/>
  </si>
  <si>
    <t>게이지 블록 교정값 (mm)</t>
    <phoneticPr fontId="4" type="noConversion"/>
  </si>
  <si>
    <t>열팽창보정
(mm)</t>
    <phoneticPr fontId="4" type="noConversion"/>
  </si>
  <si>
    <t>교정값
(mm)</t>
    <phoneticPr fontId="4" type="noConversion"/>
  </si>
  <si>
    <t>1회</t>
    <phoneticPr fontId="4" type="noConversion"/>
  </si>
  <si>
    <t>2회</t>
    <phoneticPr fontId="4" type="noConversion"/>
  </si>
  <si>
    <t>3회</t>
    <phoneticPr fontId="4" type="noConversion"/>
  </si>
  <si>
    <t>4회</t>
    <phoneticPr fontId="4" type="noConversion"/>
  </si>
  <si>
    <t>5회</t>
    <phoneticPr fontId="4" type="noConversion"/>
  </si>
  <si>
    <t>■ 평행도 측정 결과</t>
    <phoneticPr fontId="4" type="noConversion"/>
  </si>
  <si>
    <t>평행도
(μm)</t>
    <phoneticPr fontId="4" type="noConversion"/>
  </si>
  <si>
    <t>■ 수학적 모델</t>
    <phoneticPr fontId="4" type="noConversion"/>
  </si>
  <si>
    <r>
      <t>l</t>
    </r>
    <r>
      <rPr>
        <i/>
        <vertAlign val="subscript"/>
        <sz val="10"/>
        <rFont val="Times New Roman"/>
        <family val="1"/>
      </rPr>
      <t>x</t>
    </r>
    <phoneticPr fontId="4" type="noConversion"/>
  </si>
  <si>
    <t>:</t>
    <phoneticPr fontId="4" type="noConversion"/>
  </si>
  <si>
    <r>
      <t>l</t>
    </r>
    <r>
      <rPr>
        <i/>
        <vertAlign val="subscript"/>
        <sz val="10"/>
        <rFont val="Times New Roman"/>
        <family val="1"/>
      </rPr>
      <t>s</t>
    </r>
    <phoneticPr fontId="4" type="noConversion"/>
  </si>
  <si>
    <t>:</t>
    <phoneticPr fontId="4" type="noConversion"/>
  </si>
  <si>
    <r>
      <t>l</t>
    </r>
    <r>
      <rPr>
        <i/>
        <vertAlign val="subscript"/>
        <sz val="10"/>
        <rFont val="Times New Roman"/>
        <family val="1"/>
      </rPr>
      <t>ix</t>
    </r>
    <phoneticPr fontId="4" type="noConversion"/>
  </si>
  <si>
    <r>
      <t>l</t>
    </r>
    <r>
      <rPr>
        <vertAlign val="subscript"/>
        <sz val="10"/>
        <rFont val="Times New Roman"/>
        <family val="1"/>
      </rPr>
      <t>0</t>
    </r>
    <phoneticPr fontId="4" type="noConversion"/>
  </si>
  <si>
    <t>Δt</t>
    <phoneticPr fontId="4" type="noConversion"/>
  </si>
  <si>
    <t>Δα</t>
    <phoneticPr fontId="4" type="noConversion"/>
  </si>
  <si>
    <t>δt</t>
    <phoneticPr fontId="4" type="noConversion"/>
  </si>
  <si>
    <r>
      <t>δl</t>
    </r>
    <r>
      <rPr>
        <i/>
        <vertAlign val="subscript"/>
        <sz val="10"/>
        <rFont val="Times New Roman"/>
        <family val="1"/>
      </rPr>
      <t>r</t>
    </r>
    <phoneticPr fontId="4" type="noConversion"/>
  </si>
  <si>
    <r>
      <t>δl</t>
    </r>
    <r>
      <rPr>
        <i/>
        <vertAlign val="subscript"/>
        <sz val="10"/>
        <rFont val="Times New Roman"/>
        <family val="1"/>
      </rPr>
      <t>E</t>
    </r>
    <phoneticPr fontId="4" type="noConversion"/>
  </si>
  <si>
    <t>전기 마이크로미터의 보정값</t>
    <phoneticPr fontId="4" type="noConversion"/>
  </si>
  <si>
    <r>
      <t>δl</t>
    </r>
    <r>
      <rPr>
        <i/>
        <vertAlign val="subscript"/>
        <sz val="10"/>
        <rFont val="Times New Roman"/>
        <family val="1"/>
      </rPr>
      <t>F</t>
    </r>
    <phoneticPr fontId="4" type="noConversion"/>
  </si>
  <si>
    <t>:</t>
    <phoneticPr fontId="4" type="noConversion"/>
  </si>
  <si>
    <t>정반의 평면도에 의한 영향</t>
    <phoneticPr fontId="4" type="noConversion"/>
  </si>
  <si>
    <r>
      <t>δl</t>
    </r>
    <r>
      <rPr>
        <i/>
        <vertAlign val="subscript"/>
        <sz val="10"/>
        <rFont val="Times New Roman"/>
        <family val="1"/>
      </rPr>
      <t>P</t>
    </r>
    <phoneticPr fontId="4" type="noConversion"/>
  </si>
  <si>
    <t>블록의 평행도에 의한 영향</t>
    <phoneticPr fontId="4" type="noConversion"/>
  </si>
  <si>
    <t>■ 합성표준불확도 관계식</t>
    <phoneticPr fontId="4" type="noConversion"/>
  </si>
  <si>
    <t>※ 감도계수</t>
    <phoneticPr fontId="4" type="noConversion"/>
  </si>
  <si>
    <t>■ 불확도 총괄표</t>
    <phoneticPr fontId="4" type="noConversion"/>
  </si>
  <si>
    <t>표준불확도</t>
    <phoneticPr fontId="4" type="noConversion"/>
  </si>
  <si>
    <t>확률분포</t>
    <phoneticPr fontId="4" type="noConversion"/>
  </si>
  <si>
    <t>감도계수</t>
    <phoneticPr fontId="4" type="noConversion"/>
  </si>
  <si>
    <t>불확도 기여량</t>
    <phoneticPr fontId="4" type="noConversion"/>
  </si>
  <si>
    <t>자유도</t>
    <phoneticPr fontId="4" type="noConversion"/>
  </si>
  <si>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X</t>
    </r>
    <r>
      <rPr>
        <i/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)</t>
    </r>
    <phoneticPr fontId="4" type="noConversion"/>
  </si>
  <si>
    <r>
      <t>(</t>
    </r>
    <r>
      <rPr>
        <i/>
        <sz val="10"/>
        <rFont val="Times New Roman"/>
        <family val="1"/>
      </rPr>
      <t>x</t>
    </r>
    <r>
      <rPr>
        <i/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)</t>
    </r>
    <phoneticPr fontId="4" type="noConversion"/>
  </si>
  <si>
    <r>
      <rPr>
        <i/>
        <sz val="10"/>
        <rFont val="Times New Roman"/>
        <family val="1"/>
      </rP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x</t>
    </r>
    <r>
      <rPr>
        <i/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)</t>
    </r>
    <phoneticPr fontId="4" type="noConversion"/>
  </si>
  <si>
    <r>
      <t>(</t>
    </r>
    <r>
      <rPr>
        <i/>
        <sz val="10"/>
        <rFont val="Times New Roman"/>
        <family val="1"/>
      </rPr>
      <t>c</t>
    </r>
    <r>
      <rPr>
        <i/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)</t>
    </r>
    <phoneticPr fontId="4" type="noConversion"/>
  </si>
  <si>
    <r>
      <rPr>
        <i/>
        <sz val="10"/>
        <rFont val="Times New Roman"/>
        <family val="1"/>
      </rPr>
      <t>|u</t>
    </r>
    <r>
      <rPr>
        <i/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y</t>
    </r>
    <r>
      <rPr>
        <sz val="10"/>
        <rFont val="Times New Roman"/>
        <family val="1"/>
      </rPr>
      <t>)|</t>
    </r>
    <phoneticPr fontId="4" type="noConversion"/>
  </si>
  <si>
    <t>A</t>
    <phoneticPr fontId="4" type="noConversion"/>
  </si>
  <si>
    <r>
      <t>l</t>
    </r>
    <r>
      <rPr>
        <i/>
        <vertAlign val="subscript"/>
        <sz val="10"/>
        <rFont val="Times New Roman"/>
        <family val="1"/>
      </rPr>
      <t>s</t>
    </r>
    <phoneticPr fontId="4" type="noConversion"/>
  </si>
  <si>
    <t>C</t>
    <phoneticPr fontId="4" type="noConversion"/>
  </si>
  <si>
    <r>
      <t>×</t>
    </r>
    <r>
      <rPr>
        <i/>
        <sz val="10"/>
        <rFont val="Times New Roman"/>
        <family val="1"/>
      </rPr>
      <t>l</t>
    </r>
    <r>
      <rPr>
        <vertAlign val="subscript"/>
        <sz val="10"/>
        <rFont val="Times New Roman"/>
        <family val="1"/>
      </rPr>
      <t>0</t>
    </r>
    <r>
      <rPr>
        <sz val="10"/>
        <rFont val="맑은 고딕"/>
        <family val="3"/>
        <charset val="129"/>
        <scheme val="major"/>
      </rPr>
      <t xml:space="preserve"> μm℃</t>
    </r>
    <phoneticPr fontId="4" type="noConversion"/>
  </si>
  <si>
    <r>
      <t>×</t>
    </r>
    <r>
      <rPr>
        <i/>
        <sz val="10"/>
        <rFont val="Times New Roman"/>
        <family val="1"/>
      </rPr>
      <t>l</t>
    </r>
    <r>
      <rPr>
        <vertAlign val="subscript"/>
        <sz val="10"/>
        <rFont val="Times New Roman"/>
        <family val="1"/>
      </rPr>
      <t>0</t>
    </r>
    <r>
      <rPr>
        <sz val="10"/>
        <rFont val="맑은 고딕"/>
        <family val="3"/>
        <charset val="129"/>
        <scheme val="major"/>
      </rPr>
      <t xml:space="preserve"> μm</t>
    </r>
    <phoneticPr fontId="4" type="noConversion"/>
  </si>
  <si>
    <r>
      <t>×</t>
    </r>
    <r>
      <rPr>
        <i/>
        <sz val="10"/>
        <rFont val="Times New Roman"/>
        <family val="1"/>
      </rPr>
      <t>l</t>
    </r>
    <r>
      <rPr>
        <vertAlign val="subscript"/>
        <sz val="10"/>
        <rFont val="Times New Roman"/>
        <family val="1"/>
      </rPr>
      <t>0</t>
    </r>
    <r>
      <rPr>
        <sz val="10"/>
        <rFont val="맑은 고딕"/>
        <family val="3"/>
        <charset val="129"/>
        <scheme val="major"/>
      </rPr>
      <t xml:space="preserve"> μm/℃</t>
    </r>
    <phoneticPr fontId="4" type="noConversion"/>
  </si>
  <si>
    <t>E</t>
    <phoneticPr fontId="4" type="noConversion"/>
  </si>
  <si>
    <t>Δα</t>
    <phoneticPr fontId="4" type="noConversion"/>
  </si>
  <si>
    <r>
      <t>t</t>
    </r>
    <r>
      <rPr>
        <i/>
        <vertAlign val="subscript"/>
        <sz val="10"/>
        <rFont val="Times New Roman"/>
        <family val="1"/>
      </rPr>
      <t>d</t>
    </r>
    <phoneticPr fontId="4" type="noConversion"/>
  </si>
  <si>
    <t>-</t>
    <phoneticPr fontId="4" type="noConversion"/>
  </si>
  <si>
    <t>H</t>
    <phoneticPr fontId="4" type="noConversion"/>
  </si>
  <si>
    <r>
      <t>δt</t>
    </r>
    <r>
      <rPr>
        <i/>
        <vertAlign val="subscript"/>
        <sz val="10"/>
        <rFont val="Times New Roman"/>
        <family val="1"/>
      </rPr>
      <t>d</t>
    </r>
    <phoneticPr fontId="4" type="noConversion"/>
  </si>
  <si>
    <t>-</t>
    <phoneticPr fontId="4" type="noConversion"/>
  </si>
  <si>
    <t>I</t>
    <phoneticPr fontId="4" type="noConversion"/>
  </si>
  <si>
    <r>
      <t>δt</t>
    </r>
    <r>
      <rPr>
        <vertAlign val="subscript"/>
        <sz val="10"/>
        <rFont val="Times New Roman"/>
        <family val="1"/>
      </rPr>
      <t>Δ</t>
    </r>
    <phoneticPr fontId="4" type="noConversion"/>
  </si>
  <si>
    <t>J</t>
    <phoneticPr fontId="4" type="noConversion"/>
  </si>
  <si>
    <t>K</t>
    <phoneticPr fontId="4" type="noConversion"/>
  </si>
  <si>
    <r>
      <t>δl</t>
    </r>
    <r>
      <rPr>
        <i/>
        <vertAlign val="subscript"/>
        <sz val="10"/>
        <rFont val="Times New Roman"/>
        <family val="1"/>
      </rPr>
      <t>E</t>
    </r>
    <phoneticPr fontId="4" type="noConversion"/>
  </si>
  <si>
    <t>M</t>
    <phoneticPr fontId="4" type="noConversion"/>
  </si>
  <si>
    <t>N</t>
    <phoneticPr fontId="4" type="noConversion"/>
  </si>
  <si>
    <t>2차항</t>
    <phoneticPr fontId="4" type="noConversion"/>
  </si>
  <si>
    <r>
      <t>×</t>
    </r>
    <r>
      <rPr>
        <i/>
        <sz val="10"/>
        <rFont val="Times New Roman"/>
        <family val="1"/>
      </rPr>
      <t>l</t>
    </r>
    <r>
      <rPr>
        <vertAlign val="subscript"/>
        <sz val="10"/>
        <rFont val="Times New Roman"/>
        <family val="1"/>
      </rPr>
      <t>0</t>
    </r>
    <r>
      <rPr>
        <sz val="10"/>
        <rFont val="맑은 고딕"/>
        <family val="3"/>
        <charset val="129"/>
        <scheme val="major"/>
      </rPr>
      <t xml:space="preserve"> μm℃</t>
    </r>
    <phoneticPr fontId="4" type="noConversion"/>
  </si>
  <si>
    <t>O</t>
    <phoneticPr fontId="4" type="noConversion"/>
  </si>
  <si>
    <r>
      <t>×</t>
    </r>
    <r>
      <rPr>
        <i/>
        <sz val="10"/>
        <rFont val="Times New Roman"/>
        <family val="1"/>
      </rPr>
      <t>l</t>
    </r>
    <r>
      <rPr>
        <vertAlign val="subscript"/>
        <sz val="10"/>
        <rFont val="Times New Roman"/>
        <family val="1"/>
      </rPr>
      <t>0</t>
    </r>
    <r>
      <rPr>
        <sz val="10"/>
        <rFont val="맑은 고딕"/>
        <family val="3"/>
        <charset val="129"/>
        <scheme val="major"/>
      </rPr>
      <t xml:space="preserve"> μm℃</t>
    </r>
    <phoneticPr fontId="4" type="noConversion"/>
  </si>
  <si>
    <r>
      <t>×</t>
    </r>
    <r>
      <rPr>
        <i/>
        <sz val="10"/>
        <rFont val="Times New Roman"/>
        <family val="1"/>
      </rPr>
      <t>l</t>
    </r>
    <r>
      <rPr>
        <vertAlign val="subscript"/>
        <sz val="10"/>
        <rFont val="Times New Roman"/>
        <family val="1"/>
      </rPr>
      <t>0</t>
    </r>
    <r>
      <rPr>
        <sz val="10"/>
        <rFont val="맑은 고딕"/>
        <family val="3"/>
        <charset val="129"/>
        <scheme val="major"/>
      </rPr>
      <t xml:space="preserve"> μm</t>
    </r>
    <phoneticPr fontId="4" type="noConversion"/>
  </si>
  <si>
    <t>P</t>
    <phoneticPr fontId="4" type="noConversion"/>
  </si>
  <si>
    <r>
      <t>l</t>
    </r>
    <r>
      <rPr>
        <i/>
        <vertAlign val="subscript"/>
        <sz val="10"/>
        <rFont val="Times New Roman"/>
        <family val="1"/>
      </rPr>
      <t>x</t>
    </r>
    <phoneticPr fontId="4" type="noConversion"/>
  </si>
  <si>
    <r>
      <t xml:space="preserve">※ </t>
    </r>
    <r>
      <rPr>
        <i/>
        <sz val="10"/>
        <rFont val="Times New Roman"/>
        <family val="1"/>
      </rPr>
      <t>l</t>
    </r>
    <r>
      <rPr>
        <vertAlign val="subscript"/>
        <sz val="10"/>
        <rFont val="맑은 고딕"/>
        <family val="3"/>
        <charset val="129"/>
        <scheme val="minor"/>
      </rPr>
      <t>0</t>
    </r>
    <r>
      <rPr>
        <sz val="10"/>
        <rFont val="맑은 고딕"/>
        <family val="3"/>
        <charset val="129"/>
        <scheme val="minor"/>
      </rPr>
      <t>는</t>
    </r>
    <phoneticPr fontId="4" type="noConversion"/>
  </si>
  <si>
    <t>■ 표준불확도 성분의 계산</t>
    <phoneticPr fontId="4" type="noConversion"/>
  </si>
  <si>
    <t>1.</t>
    <phoneticPr fontId="4" type="noConversion"/>
  </si>
  <si>
    <r>
      <rPr>
        <b/>
        <i/>
        <sz val="10"/>
        <rFont val="Times New Roman"/>
        <family val="1"/>
      </rPr>
      <t>u</t>
    </r>
    <r>
      <rPr>
        <b/>
        <sz val="10"/>
        <rFont val="Times New Roman"/>
        <family val="1"/>
      </rPr>
      <t>(</t>
    </r>
    <r>
      <rPr>
        <b/>
        <i/>
        <sz val="10"/>
        <rFont val="Times New Roman"/>
        <family val="1"/>
      </rPr>
      <t>l</t>
    </r>
    <r>
      <rPr>
        <b/>
        <i/>
        <vertAlign val="subscript"/>
        <sz val="10"/>
        <rFont val="Times New Roman"/>
        <family val="1"/>
      </rPr>
      <t>s</t>
    </r>
    <r>
      <rPr>
        <b/>
        <sz val="10"/>
        <rFont val="Times New Roman"/>
        <family val="1"/>
      </rPr>
      <t>)</t>
    </r>
    <phoneticPr fontId="4" type="noConversion"/>
  </si>
  <si>
    <t>A1. 추정값 :</t>
    <phoneticPr fontId="4" type="noConversion"/>
  </si>
  <si>
    <t>A2. 표준불확도 :</t>
    <phoneticPr fontId="4" type="noConversion"/>
  </si>
  <si>
    <r>
      <t xml:space="preserve">μm (신뢰수준 약 95 %, </t>
    </r>
    <r>
      <rPr>
        <i/>
        <sz val="10"/>
        <rFont val="Times New Roman"/>
        <family val="1"/>
      </rPr>
      <t>k</t>
    </r>
    <r>
      <rPr>
        <sz val="10"/>
        <rFont val="맑은 고딕"/>
        <family val="3"/>
        <charset val="129"/>
        <scheme val="minor"/>
      </rPr>
      <t>=2) 이므로</t>
    </r>
    <phoneticPr fontId="4" type="noConversion"/>
  </si>
  <si>
    <r>
      <rPr>
        <sz val="10"/>
        <rFont val="맑은 고딕"/>
        <family val="1"/>
        <scheme val="minor"/>
      </rPr>
      <t xml:space="preserve">( </t>
    </r>
    <r>
      <rPr>
        <i/>
        <sz val="10"/>
        <rFont val="Times New Roman"/>
        <family val="1"/>
      </rPr>
      <t>l</t>
    </r>
    <r>
      <rPr>
        <vertAlign val="subscript"/>
        <sz val="10"/>
        <rFont val="맑은 고딕"/>
        <family val="3"/>
        <charset val="129"/>
        <scheme val="minor"/>
      </rPr>
      <t>0</t>
    </r>
    <r>
      <rPr>
        <sz val="10"/>
        <rFont val="맑은 고딕"/>
        <family val="3"/>
        <charset val="129"/>
        <scheme val="minor"/>
      </rPr>
      <t>는</t>
    </r>
    <phoneticPr fontId="4" type="noConversion"/>
  </si>
  <si>
    <r>
      <rPr>
        <i/>
        <sz val="10"/>
        <rFont val="Times New Roman"/>
        <family val="1"/>
      </rP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l</t>
    </r>
    <r>
      <rPr>
        <i/>
        <vertAlign val="subscript"/>
        <sz val="10"/>
        <rFont val="Times New Roman"/>
        <family val="1"/>
      </rPr>
      <t>s</t>
    </r>
    <r>
      <rPr>
        <sz val="10"/>
        <rFont val="Times New Roman"/>
        <family val="1"/>
      </rPr>
      <t>)</t>
    </r>
    <phoneticPr fontId="4" type="noConversion"/>
  </si>
  <si>
    <t>=</t>
    <phoneticPr fontId="4" type="noConversion"/>
  </si>
  <si>
    <t>=</t>
    <phoneticPr fontId="4" type="noConversion"/>
  </si>
  <si>
    <t>nm</t>
    <phoneticPr fontId="4" type="noConversion"/>
  </si>
  <si>
    <t>=</t>
    <phoneticPr fontId="4" type="noConversion"/>
  </si>
  <si>
    <t>A3. 확률분포 :</t>
    <phoneticPr fontId="4" type="noConversion"/>
  </si>
  <si>
    <t>A4. 감도계수 :</t>
    <phoneticPr fontId="4" type="noConversion"/>
  </si>
  <si>
    <t>A5. 불확도 기여도 :</t>
    <phoneticPr fontId="4" type="noConversion"/>
  </si>
  <si>
    <t>|</t>
    <phoneticPr fontId="4" type="noConversion"/>
  </si>
  <si>
    <t>×</t>
    <phoneticPr fontId="4" type="noConversion"/>
  </si>
  <si>
    <t>|</t>
    <phoneticPr fontId="4" type="noConversion"/>
  </si>
  <si>
    <t>A6. 자유도 :</t>
    <phoneticPr fontId="4" type="noConversion"/>
  </si>
  <si>
    <r>
      <rPr>
        <i/>
        <sz val="10"/>
        <rFont val="Times New Roman"/>
        <family val="1"/>
      </rPr>
      <t>ν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l</t>
    </r>
    <r>
      <rPr>
        <i/>
        <vertAlign val="subscript"/>
        <sz val="10"/>
        <rFont val="Times New Roman"/>
        <family val="1"/>
      </rPr>
      <t>s</t>
    </r>
    <r>
      <rPr>
        <sz val="10"/>
        <rFont val="Times New Roman"/>
        <family val="1"/>
      </rPr>
      <t xml:space="preserve">) = </t>
    </r>
    <r>
      <rPr>
        <sz val="10"/>
        <rFont val="바탕"/>
        <family val="1"/>
        <charset val="129"/>
      </rPr>
      <t>∞</t>
    </r>
    <phoneticPr fontId="4" type="noConversion"/>
  </si>
  <si>
    <t>2.</t>
    <phoneticPr fontId="4" type="noConversion"/>
  </si>
  <si>
    <r>
      <rPr>
        <b/>
        <i/>
        <sz val="10"/>
        <rFont val="Times New Roman"/>
        <family val="1"/>
      </rPr>
      <t>u</t>
    </r>
    <r>
      <rPr>
        <b/>
        <sz val="10"/>
        <rFont val="Times New Roman"/>
        <family val="1"/>
      </rPr>
      <t>(</t>
    </r>
    <r>
      <rPr>
        <b/>
        <i/>
        <sz val="10"/>
        <rFont val="Times New Roman"/>
        <family val="1"/>
      </rPr>
      <t>l</t>
    </r>
    <r>
      <rPr>
        <b/>
        <i/>
        <vertAlign val="subscript"/>
        <sz val="10"/>
        <rFont val="Times New Roman"/>
        <family val="1"/>
      </rPr>
      <t>ix</t>
    </r>
    <r>
      <rPr>
        <b/>
        <sz val="10"/>
        <rFont val="Times New Roman"/>
        <family val="1"/>
      </rPr>
      <t>)</t>
    </r>
    <phoneticPr fontId="4" type="noConversion"/>
  </si>
  <si>
    <t>※ 표준불확도 성분은 우연효과로 인한 불확도로써 A형 평가를 통하여 구한다.</t>
    <phoneticPr fontId="4" type="noConversion"/>
  </si>
  <si>
    <r>
      <t>반복측정한</t>
    </r>
    <r>
      <rPr>
        <sz val="10"/>
        <rFont val="맑은 고딕"/>
        <family val="1"/>
        <scheme val="major"/>
      </rPr>
      <t xml:space="preserve"> 결과의 </t>
    </r>
    <r>
      <rPr>
        <sz val="10"/>
        <rFont val="맑은 고딕"/>
        <family val="3"/>
        <charset val="129"/>
        <scheme val="major"/>
      </rPr>
      <t>표준편차(</t>
    </r>
    <r>
      <rPr>
        <i/>
        <sz val="10"/>
        <rFont val="Times New Roman"/>
        <family val="1"/>
      </rPr>
      <t>s</t>
    </r>
    <r>
      <rPr>
        <sz val="10"/>
        <rFont val="맑은 고딕"/>
        <family val="3"/>
        <charset val="129"/>
        <scheme val="major"/>
      </rPr>
      <t>)를 구하고 이 값을 측정횟수의 제곱근으로 나누어 구한다.</t>
    </r>
    <phoneticPr fontId="4" type="noConversion"/>
  </si>
  <si>
    <t>B1. 추정값 :</t>
    <phoneticPr fontId="4" type="noConversion"/>
  </si>
  <si>
    <t>B2. 표준불확도 :</t>
    <phoneticPr fontId="4" type="noConversion"/>
  </si>
  <si>
    <r>
      <rPr>
        <sz val="10"/>
        <rFont val="맑은 고딕"/>
        <family val="3"/>
        <charset val="129"/>
      </rPr>
      <t>※</t>
    </r>
    <r>
      <rPr>
        <sz val="10"/>
        <rFont val="Times New Roman"/>
        <family val="1"/>
      </rPr>
      <t xml:space="preserve"> </t>
    </r>
    <r>
      <rPr>
        <sz val="10"/>
        <rFont val="맑은 고딕"/>
        <family val="3"/>
        <charset val="129"/>
      </rPr>
      <t>표준편차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s</t>
    </r>
    <r>
      <rPr>
        <sz val="10"/>
        <rFont val="Times New Roman"/>
        <family val="1"/>
      </rPr>
      <t>) :</t>
    </r>
    <phoneticPr fontId="4" type="noConversion"/>
  </si>
  <si>
    <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l</t>
    </r>
    <r>
      <rPr>
        <i/>
        <vertAlign val="subscript"/>
        <sz val="10"/>
        <rFont val="Times New Roman"/>
        <family val="1"/>
      </rPr>
      <t>ix</t>
    </r>
    <r>
      <rPr>
        <sz val="10"/>
        <rFont val="Times New Roman"/>
        <family val="1"/>
      </rPr>
      <t>)</t>
    </r>
    <phoneticPr fontId="4" type="noConversion"/>
  </si>
  <si>
    <t>s</t>
    <phoneticPr fontId="4" type="noConversion"/>
  </si>
  <si>
    <t>※ 5회 측정한 표준편차가 0 일 때, 최소한 분해능 1눈금의 차이는 있을 수 있다고 추정하여 다음과 같이 계산한다. (이 내용은 KOLAS 평가시 제외)</t>
    <phoneticPr fontId="4" type="noConversion"/>
  </si>
  <si>
    <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l</t>
    </r>
    <r>
      <rPr>
        <i/>
        <vertAlign val="subscript"/>
        <sz val="10"/>
        <rFont val="Times New Roman"/>
        <family val="1"/>
      </rPr>
      <t>ix</t>
    </r>
    <r>
      <rPr>
        <sz val="10"/>
        <rFont val="Times New Roman"/>
        <family val="1"/>
      </rPr>
      <t>)</t>
    </r>
    <phoneticPr fontId="4" type="noConversion"/>
  </si>
  <si>
    <t>d</t>
    <phoneticPr fontId="4" type="noConversion"/>
  </si>
  <si>
    <t>B3. 확률분포 :</t>
    <phoneticPr fontId="4" type="noConversion"/>
  </si>
  <si>
    <t>B4. 감도계수 :</t>
    <phoneticPr fontId="4" type="noConversion"/>
  </si>
  <si>
    <t>B5. 불확도 기여도 :</t>
    <phoneticPr fontId="4" type="noConversion"/>
  </si>
  <si>
    <t>×</t>
    <phoneticPr fontId="4" type="noConversion"/>
  </si>
  <si>
    <t>B6. 자유도 :</t>
    <phoneticPr fontId="4" type="noConversion"/>
  </si>
  <si>
    <r>
      <rPr>
        <i/>
        <sz val="10"/>
        <rFont val="Times New Roman"/>
        <family val="1"/>
      </rPr>
      <t>ν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l</t>
    </r>
    <r>
      <rPr>
        <i/>
        <vertAlign val="subscript"/>
        <sz val="10"/>
        <rFont val="Times New Roman"/>
        <family val="1"/>
      </rPr>
      <t>ix</t>
    </r>
    <r>
      <rPr>
        <sz val="10"/>
        <rFont val="Times New Roman"/>
        <family val="1"/>
      </rPr>
      <t xml:space="preserve">) = </t>
    </r>
    <r>
      <rPr>
        <i/>
        <sz val="10"/>
        <rFont val="Times New Roman"/>
        <family val="1"/>
      </rPr>
      <t>n</t>
    </r>
    <r>
      <rPr>
        <sz val="10"/>
        <rFont val="Times New Roman"/>
        <family val="1"/>
      </rPr>
      <t xml:space="preserve"> </t>
    </r>
    <r>
      <rPr>
        <sz val="10"/>
        <rFont val="맑은 고딕"/>
        <family val="3"/>
        <charset val="129"/>
        <scheme val="minor"/>
      </rPr>
      <t>- 1 = 5 - 1 = 4</t>
    </r>
    <phoneticPr fontId="4" type="noConversion"/>
  </si>
  <si>
    <t>3.</t>
    <phoneticPr fontId="4" type="noConversion"/>
  </si>
  <si>
    <t>C1. 추정값 :</t>
    <phoneticPr fontId="4" type="noConversion"/>
  </si>
  <si>
    <r>
      <t>×10</t>
    </r>
    <r>
      <rPr>
        <vertAlign val="superscript"/>
        <sz val="10"/>
        <rFont val="맑은 고딕"/>
        <family val="3"/>
        <charset val="129"/>
        <scheme val="major"/>
      </rPr>
      <t>-6</t>
    </r>
    <r>
      <rPr>
        <sz val="10"/>
        <rFont val="맑은 고딕"/>
        <family val="3"/>
        <charset val="129"/>
        <scheme val="major"/>
      </rPr>
      <t>/℃</t>
    </r>
    <phoneticPr fontId="4" type="noConversion"/>
  </si>
  <si>
    <t>C2. 표준불확도 :</t>
    <phoneticPr fontId="4" type="noConversion"/>
  </si>
  <si>
    <t>※ 불확도 전파법칙에 의한 수식 :</t>
    <phoneticPr fontId="4" type="noConversion"/>
  </si>
  <si>
    <r>
      <t xml:space="preserve">※ 열팽창계수의 불확도 값 : </t>
    </r>
    <r>
      <rPr>
        <i/>
        <sz val="10"/>
        <rFont val="Times New Roman"/>
        <family val="1"/>
      </rP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α</t>
    </r>
    <r>
      <rPr>
        <i/>
        <vertAlign val="subscript"/>
        <sz val="10"/>
        <rFont val="Times New Roman"/>
        <family val="1"/>
      </rPr>
      <t>s</t>
    </r>
    <r>
      <rPr>
        <sz val="10"/>
        <rFont val="Times New Roman"/>
        <family val="1"/>
      </rPr>
      <t>)</t>
    </r>
    <r>
      <rPr>
        <i/>
        <sz val="10"/>
        <rFont val="Times New Roman"/>
        <family val="1"/>
      </rPr>
      <t>=u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α</t>
    </r>
    <r>
      <rPr>
        <i/>
        <vertAlign val="subscript"/>
        <sz val="10"/>
        <rFont val="Times New Roman"/>
        <family val="1"/>
      </rPr>
      <t>x</t>
    </r>
    <r>
      <rPr>
        <sz val="10"/>
        <rFont val="Times New Roman"/>
        <family val="1"/>
      </rPr>
      <t>)</t>
    </r>
    <r>
      <rPr>
        <i/>
        <sz val="10"/>
        <rFont val="Times New Roman"/>
        <family val="1"/>
      </rPr>
      <t>=</t>
    </r>
    <phoneticPr fontId="4" type="noConversion"/>
  </si>
  <si>
    <r>
      <t>1.0×10</t>
    </r>
    <r>
      <rPr>
        <vertAlign val="superscript"/>
        <sz val="10"/>
        <rFont val="맑은 고딕"/>
        <family val="3"/>
        <charset val="129"/>
        <scheme val="major"/>
      </rPr>
      <t>-6</t>
    </r>
    <r>
      <rPr>
        <sz val="10"/>
        <rFont val="맑은 고딕"/>
        <family val="3"/>
        <charset val="129"/>
        <scheme val="major"/>
      </rPr>
      <t>/℃</t>
    </r>
    <phoneticPr fontId="4" type="noConversion"/>
  </si>
  <si>
    <r>
      <t>0.58×10</t>
    </r>
    <r>
      <rPr>
        <vertAlign val="superscript"/>
        <sz val="10"/>
        <rFont val="맑은 고딕"/>
        <family val="3"/>
        <charset val="129"/>
        <scheme val="major"/>
      </rPr>
      <t>-6</t>
    </r>
    <r>
      <rPr>
        <sz val="10"/>
        <rFont val="맑은 고딕"/>
        <family val="3"/>
        <charset val="129"/>
        <scheme val="major"/>
      </rPr>
      <t>/℃</t>
    </r>
    <phoneticPr fontId="4" type="noConversion"/>
  </si>
  <si>
    <t>불확도 전파법칙에 의한 수식에 열팽창계수의 불확도 값을 대입하여 계산하면</t>
    <phoneticPr fontId="4" type="noConversion"/>
  </si>
  <si>
    <r>
      <t>0.41×10</t>
    </r>
    <r>
      <rPr>
        <vertAlign val="superscript"/>
        <sz val="10"/>
        <rFont val="맑은 고딕"/>
        <family val="3"/>
        <charset val="129"/>
        <scheme val="major"/>
      </rPr>
      <t>-6</t>
    </r>
    <r>
      <rPr>
        <sz val="10"/>
        <rFont val="맑은 고딕"/>
        <family val="3"/>
        <charset val="129"/>
        <scheme val="major"/>
      </rPr>
      <t>/℃</t>
    </r>
    <phoneticPr fontId="4" type="noConversion"/>
  </si>
  <si>
    <t>C3. 확률분포 :</t>
    <phoneticPr fontId="4" type="noConversion"/>
  </si>
  <si>
    <t>C4. 감도계수 :</t>
    <phoneticPr fontId="4" type="noConversion"/>
  </si>
  <si>
    <r>
      <t>℃×</t>
    </r>
    <r>
      <rPr>
        <i/>
        <sz val="10"/>
        <rFont val="Times New Roman"/>
        <family val="1"/>
      </rPr>
      <t>l</t>
    </r>
    <r>
      <rPr>
        <vertAlign val="subscript"/>
        <sz val="10"/>
        <rFont val="Times New Roman"/>
        <family val="1"/>
      </rPr>
      <t>0</t>
    </r>
    <r>
      <rPr>
        <sz val="10"/>
        <rFont val="맑은 고딕"/>
        <family val="3"/>
        <charset val="129"/>
        <scheme val="major"/>
      </rPr>
      <t>×10</t>
    </r>
    <r>
      <rPr>
        <vertAlign val="superscript"/>
        <sz val="10"/>
        <rFont val="맑은 고딕"/>
        <family val="3"/>
        <charset val="129"/>
        <scheme val="major"/>
      </rPr>
      <t>3</t>
    </r>
    <r>
      <rPr>
        <sz val="10"/>
        <rFont val="맑은 고딕"/>
        <family val="3"/>
        <charset val="129"/>
        <scheme val="major"/>
      </rPr>
      <t xml:space="preserve"> μm</t>
    </r>
    <phoneticPr fontId="4" type="noConversion"/>
  </si>
  <si>
    <t>C5. 불확도 기여량 :</t>
    <phoneticPr fontId="4" type="noConversion"/>
  </si>
  <si>
    <t>｜</t>
    <phoneticPr fontId="4" type="noConversion"/>
  </si>
  <si>
    <r>
      <t>×</t>
    </r>
    <r>
      <rPr>
        <i/>
        <sz val="10"/>
        <rFont val="Times New Roman"/>
        <family val="1"/>
      </rPr>
      <t>l</t>
    </r>
    <r>
      <rPr>
        <vertAlign val="subscript"/>
        <sz val="10"/>
        <rFont val="Times New Roman"/>
        <family val="1"/>
      </rPr>
      <t>0</t>
    </r>
    <r>
      <rPr>
        <sz val="10"/>
        <rFont val="맑은 고딕"/>
        <family val="3"/>
        <charset val="129"/>
        <scheme val="major"/>
      </rPr>
      <t xml:space="preserve"> μm℃ × 0.41 ×10</t>
    </r>
    <r>
      <rPr>
        <vertAlign val="superscript"/>
        <sz val="10"/>
        <rFont val="맑은 고딕"/>
        <family val="3"/>
        <charset val="129"/>
        <scheme val="major"/>
      </rPr>
      <t>-6</t>
    </r>
    <r>
      <rPr>
        <sz val="10"/>
        <rFont val="맑은 고딕"/>
        <family val="3"/>
        <charset val="129"/>
        <scheme val="major"/>
      </rPr>
      <t>/℃</t>
    </r>
    <phoneticPr fontId="4" type="noConversion"/>
  </si>
  <si>
    <t>C6. 자유도 :</t>
    <phoneticPr fontId="4" type="noConversion"/>
  </si>
  <si>
    <r>
      <t xml:space="preserve">※ 상대불확도 </t>
    </r>
    <r>
      <rPr>
        <i/>
        <sz val="10"/>
        <rFont val="Times New Roman"/>
        <family val="1"/>
      </rPr>
      <t>R</t>
    </r>
    <r>
      <rPr>
        <sz val="10"/>
        <rFont val="맑은 고딕"/>
        <family val="3"/>
        <charset val="129"/>
        <scheme val="major"/>
      </rPr>
      <t xml:space="preserve"> : 10%로 추정</t>
    </r>
    <phoneticPr fontId="4" type="noConversion"/>
  </si>
  <si>
    <r>
      <t xml:space="preserve">※ 상대불확도 </t>
    </r>
    <r>
      <rPr>
        <i/>
        <sz val="10"/>
        <rFont val="Times New Roman"/>
        <family val="1"/>
      </rPr>
      <t>R</t>
    </r>
    <r>
      <rPr>
        <sz val="10"/>
        <rFont val="맑은 고딕"/>
        <family val="3"/>
        <charset val="129"/>
        <scheme val="major"/>
      </rPr>
      <t xml:space="preserve"> : 10%로 추정</t>
    </r>
    <phoneticPr fontId="4" type="noConversion"/>
  </si>
  <si>
    <t>4.</t>
    <phoneticPr fontId="4" type="noConversion"/>
  </si>
  <si>
    <r>
      <rPr>
        <b/>
        <i/>
        <sz val="10"/>
        <rFont val="Times New Roman"/>
        <family val="1"/>
      </rPr>
      <t>u</t>
    </r>
    <r>
      <rPr>
        <b/>
        <sz val="10"/>
        <rFont val="맑은 고딕"/>
        <family val="3"/>
        <charset val="129"/>
        <scheme val="major"/>
      </rPr>
      <t>(</t>
    </r>
    <r>
      <rPr>
        <b/>
        <i/>
        <sz val="10"/>
        <rFont val="Times New Roman"/>
        <family val="1"/>
      </rPr>
      <t>Δt</t>
    </r>
    <r>
      <rPr>
        <b/>
        <sz val="10"/>
        <rFont val="맑은 고딕"/>
        <family val="3"/>
        <charset val="129"/>
        <scheme val="major"/>
      </rPr>
      <t>)</t>
    </r>
    <phoneticPr fontId="4" type="noConversion"/>
  </si>
  <si>
    <t>일치한다고 추정하여 직사각형 확률분포를 적용하여 계산하면</t>
    <phoneticPr fontId="4" type="noConversion"/>
  </si>
  <si>
    <t>D1. 추정값 :</t>
    <phoneticPr fontId="4" type="noConversion"/>
  </si>
  <si>
    <t>D2. 표준불확도 :</t>
    <phoneticPr fontId="4" type="noConversion"/>
  </si>
  <si>
    <r>
      <rPr>
        <i/>
        <sz val="10"/>
        <rFont val="Times New Roman"/>
        <family val="1"/>
      </rP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Δt</t>
    </r>
    <r>
      <rPr>
        <sz val="10"/>
        <rFont val="Times New Roman"/>
        <family val="1"/>
      </rPr>
      <t xml:space="preserve">) </t>
    </r>
    <phoneticPr fontId="4" type="noConversion"/>
  </si>
  <si>
    <t>℃</t>
    <phoneticPr fontId="4" type="noConversion"/>
  </si>
  <si>
    <t>D3. 확률분포 :</t>
    <phoneticPr fontId="4" type="noConversion"/>
  </si>
  <si>
    <t>D4. 감도계수 :</t>
    <phoneticPr fontId="4" type="noConversion"/>
  </si>
  <si>
    <r>
      <t>×10</t>
    </r>
    <r>
      <rPr>
        <vertAlign val="superscript"/>
        <sz val="10"/>
        <rFont val="맑은 고딕"/>
        <family val="3"/>
        <charset val="129"/>
        <scheme val="major"/>
      </rPr>
      <t>-6</t>
    </r>
    <r>
      <rPr>
        <sz val="10"/>
        <rFont val="맑은 고딕"/>
        <family val="3"/>
        <charset val="129"/>
        <scheme val="major"/>
      </rPr>
      <t>/℃×</t>
    </r>
    <r>
      <rPr>
        <i/>
        <sz val="10"/>
        <rFont val="Times New Roman"/>
        <family val="1"/>
      </rPr>
      <t>l</t>
    </r>
    <r>
      <rPr>
        <vertAlign val="subscript"/>
        <sz val="10"/>
        <rFont val="Times New Roman"/>
        <family val="1"/>
      </rPr>
      <t>0</t>
    </r>
    <r>
      <rPr>
        <sz val="10"/>
        <rFont val="맑은 고딕"/>
        <family val="3"/>
        <charset val="129"/>
        <scheme val="major"/>
      </rPr>
      <t>×10</t>
    </r>
    <r>
      <rPr>
        <vertAlign val="superscript"/>
        <sz val="10"/>
        <rFont val="맑은 고딕"/>
        <family val="3"/>
        <charset val="129"/>
        <scheme val="major"/>
      </rPr>
      <t>3</t>
    </r>
    <r>
      <rPr>
        <sz val="10"/>
        <rFont val="맑은 고딕"/>
        <family val="3"/>
        <charset val="129"/>
        <scheme val="major"/>
      </rPr>
      <t xml:space="preserve"> μm</t>
    </r>
    <phoneticPr fontId="4" type="noConversion"/>
  </si>
  <si>
    <t>=</t>
    <phoneticPr fontId="4" type="noConversion"/>
  </si>
  <si>
    <r>
      <t>×</t>
    </r>
    <r>
      <rPr>
        <i/>
        <sz val="10"/>
        <rFont val="Times New Roman"/>
        <family val="1"/>
      </rPr>
      <t>l</t>
    </r>
    <r>
      <rPr>
        <vertAlign val="subscript"/>
        <sz val="10"/>
        <rFont val="Times New Roman"/>
        <family val="1"/>
      </rPr>
      <t>0</t>
    </r>
    <r>
      <rPr>
        <sz val="10"/>
        <rFont val="맑은 고딕"/>
        <family val="3"/>
        <charset val="129"/>
        <scheme val="major"/>
      </rPr>
      <t xml:space="preserve"> μm/℃</t>
    </r>
    <phoneticPr fontId="4" type="noConversion"/>
  </si>
  <si>
    <t>D5. 불확도 기여량 :</t>
    <phoneticPr fontId="4" type="noConversion"/>
  </si>
  <si>
    <t>｜</t>
    <phoneticPr fontId="4" type="noConversion"/>
  </si>
  <si>
    <t>｜</t>
    <phoneticPr fontId="4" type="noConversion"/>
  </si>
  <si>
    <r>
      <t>×</t>
    </r>
    <r>
      <rPr>
        <i/>
        <sz val="10"/>
        <rFont val="Times New Roman"/>
        <family val="1"/>
      </rPr>
      <t>l</t>
    </r>
    <r>
      <rPr>
        <vertAlign val="subscript"/>
        <sz val="10"/>
        <rFont val="Times New Roman"/>
        <family val="1"/>
      </rPr>
      <t>0</t>
    </r>
    <r>
      <rPr>
        <sz val="10"/>
        <rFont val="맑은 고딕"/>
        <family val="3"/>
        <charset val="129"/>
        <scheme val="major"/>
      </rPr>
      <t xml:space="preserve"> μm/℃×</t>
    </r>
    <phoneticPr fontId="4" type="noConversion"/>
  </si>
  <si>
    <t>=</t>
    <phoneticPr fontId="4" type="noConversion"/>
  </si>
  <si>
    <t>D6. 자유도 :</t>
    <phoneticPr fontId="4" type="noConversion"/>
  </si>
  <si>
    <r>
      <t xml:space="preserve">※ 상대불확도 </t>
    </r>
    <r>
      <rPr>
        <i/>
        <sz val="10"/>
        <rFont val="Times New Roman"/>
        <family val="1"/>
      </rPr>
      <t>R</t>
    </r>
    <r>
      <rPr>
        <sz val="10"/>
        <rFont val="맑은 고딕"/>
        <family val="3"/>
        <charset val="129"/>
        <scheme val="major"/>
      </rPr>
      <t xml:space="preserve"> : 20%로 추정</t>
    </r>
    <phoneticPr fontId="4" type="noConversion"/>
  </si>
  <si>
    <t>5.</t>
    <phoneticPr fontId="4" type="noConversion"/>
  </si>
  <si>
    <r>
      <rPr>
        <b/>
        <i/>
        <sz val="10"/>
        <rFont val="Times New Roman"/>
        <family val="1"/>
      </rPr>
      <t>u</t>
    </r>
    <r>
      <rPr>
        <b/>
        <sz val="10"/>
        <rFont val="Times New Roman"/>
        <family val="1"/>
      </rPr>
      <t>(</t>
    </r>
    <r>
      <rPr>
        <b/>
        <sz val="10"/>
        <rFont val="맑은 고딕"/>
        <family val="3"/>
        <charset val="129"/>
      </rPr>
      <t>Δ</t>
    </r>
    <r>
      <rPr>
        <b/>
        <i/>
        <sz val="10"/>
        <rFont val="맑은 고딕"/>
        <family val="3"/>
        <charset val="129"/>
      </rPr>
      <t>α</t>
    </r>
    <r>
      <rPr>
        <b/>
        <sz val="10"/>
        <rFont val="Times New Roman"/>
        <family val="1"/>
      </rPr>
      <t>)</t>
    </r>
    <phoneticPr fontId="4" type="noConversion"/>
  </si>
  <si>
    <r>
      <rPr>
        <sz val="10"/>
        <rFont val="Times New Roman"/>
        <family val="1"/>
      </rPr>
      <t>Δ</t>
    </r>
    <r>
      <rPr>
        <i/>
        <sz val="10"/>
        <rFont val="Times New Roman"/>
        <family val="1"/>
      </rPr>
      <t>α</t>
    </r>
    <r>
      <rPr>
        <sz val="10"/>
        <rFont val="맑은 고딕"/>
        <family val="3"/>
        <charset val="129"/>
        <scheme val="major"/>
      </rPr>
      <t xml:space="preserve"> = (</t>
    </r>
    <r>
      <rPr>
        <i/>
        <sz val="10"/>
        <rFont val="Times New Roman"/>
        <family val="1"/>
      </rPr>
      <t>α</t>
    </r>
    <r>
      <rPr>
        <i/>
        <vertAlign val="subscript"/>
        <sz val="10"/>
        <rFont val="Times New Roman"/>
        <family val="1"/>
      </rPr>
      <t>x</t>
    </r>
    <r>
      <rPr>
        <sz val="10"/>
        <rFont val="맑은 고딕"/>
        <family val="3"/>
        <charset val="129"/>
        <scheme val="major"/>
      </rPr>
      <t xml:space="preserve"> - </t>
    </r>
    <r>
      <rPr>
        <i/>
        <sz val="10"/>
        <rFont val="Times New Roman"/>
        <family val="1"/>
      </rPr>
      <t>α</t>
    </r>
    <r>
      <rPr>
        <i/>
        <vertAlign val="subscript"/>
        <sz val="10"/>
        <rFont val="Times New Roman"/>
        <family val="1"/>
      </rPr>
      <t>s</t>
    </r>
    <r>
      <rPr>
        <sz val="10"/>
        <rFont val="맑은 고딕"/>
        <family val="3"/>
        <charset val="129"/>
        <scheme val="major"/>
      </rPr>
      <t>)</t>
    </r>
    <phoneticPr fontId="4" type="noConversion"/>
  </si>
  <si>
    <t>E1. 추정값 :</t>
    <phoneticPr fontId="4" type="noConversion"/>
  </si>
  <si>
    <t>E2. 표준불확도 :</t>
    <phoneticPr fontId="4" type="noConversion"/>
  </si>
  <si>
    <r>
      <t xml:space="preserve">※ 불확도 전파법칙에 의한 수식 : </t>
    </r>
    <r>
      <rPr>
        <i/>
        <sz val="10"/>
        <rFont val="Times New Roman"/>
        <family val="1"/>
      </rPr>
      <t>u</t>
    </r>
    <r>
      <rPr>
        <i/>
        <vertAlign val="superscript"/>
        <sz val="10"/>
        <rFont val="Times New Roman"/>
        <family val="1"/>
      </rPr>
      <t>2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Δα</t>
    </r>
    <r>
      <rPr>
        <sz val="10"/>
        <rFont val="Times New Roman"/>
        <family val="1"/>
      </rPr>
      <t>)</t>
    </r>
    <r>
      <rPr>
        <i/>
        <sz val="10"/>
        <rFont val="Times New Roman"/>
        <family val="1"/>
      </rPr>
      <t xml:space="preserve"> = u</t>
    </r>
    <r>
      <rPr>
        <i/>
        <vertAlign val="superscript"/>
        <sz val="10"/>
        <rFont val="Times New Roman"/>
        <family val="1"/>
      </rPr>
      <t>2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α</t>
    </r>
    <r>
      <rPr>
        <i/>
        <vertAlign val="subscript"/>
        <sz val="10"/>
        <rFont val="Times New Roman"/>
        <family val="1"/>
      </rPr>
      <t>x</t>
    </r>
    <r>
      <rPr>
        <sz val="10"/>
        <rFont val="Times New Roman"/>
        <family val="1"/>
      </rPr>
      <t>)</t>
    </r>
    <r>
      <rPr>
        <i/>
        <sz val="10"/>
        <rFont val="Times New Roman"/>
        <family val="1"/>
      </rPr>
      <t xml:space="preserve"> + u</t>
    </r>
    <r>
      <rPr>
        <i/>
        <vertAlign val="superscript"/>
        <sz val="10"/>
        <rFont val="Times New Roman"/>
        <family val="1"/>
      </rPr>
      <t>2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α</t>
    </r>
    <r>
      <rPr>
        <i/>
        <vertAlign val="subscript"/>
        <sz val="10"/>
        <rFont val="Times New Roman"/>
        <family val="1"/>
      </rPr>
      <t>s</t>
    </r>
    <r>
      <rPr>
        <sz val="10"/>
        <rFont val="Times New Roman"/>
        <family val="1"/>
      </rPr>
      <t>)</t>
    </r>
    <phoneticPr fontId="4" type="noConversion"/>
  </si>
  <si>
    <r>
      <t xml:space="preserve">※ 열팽창계수의 불확도 값 : </t>
    </r>
    <r>
      <rPr>
        <i/>
        <sz val="10"/>
        <rFont val="Times New Roman"/>
        <family val="1"/>
      </rP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α</t>
    </r>
    <r>
      <rPr>
        <i/>
        <vertAlign val="subscript"/>
        <sz val="10"/>
        <rFont val="Times New Roman"/>
        <family val="1"/>
      </rPr>
      <t>x</t>
    </r>
    <r>
      <rPr>
        <sz val="10"/>
        <rFont val="Times New Roman"/>
        <family val="1"/>
      </rPr>
      <t xml:space="preserve">) = </t>
    </r>
    <r>
      <rPr>
        <i/>
        <sz val="10"/>
        <rFont val="Times New Roman"/>
        <family val="1"/>
      </rP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α</t>
    </r>
    <r>
      <rPr>
        <i/>
        <vertAlign val="subscript"/>
        <sz val="10"/>
        <rFont val="Times New Roman"/>
        <family val="1"/>
      </rPr>
      <t>s</t>
    </r>
    <r>
      <rPr>
        <sz val="10"/>
        <rFont val="Times New Roman"/>
        <family val="1"/>
      </rPr>
      <t>)</t>
    </r>
    <r>
      <rPr>
        <sz val="10"/>
        <rFont val="맑은 고딕"/>
        <family val="3"/>
        <charset val="129"/>
        <scheme val="major"/>
      </rPr>
      <t xml:space="preserve"> = 0.58×10</t>
    </r>
    <r>
      <rPr>
        <vertAlign val="superscript"/>
        <sz val="10"/>
        <rFont val="맑은 고딕"/>
        <family val="3"/>
        <charset val="129"/>
        <scheme val="major"/>
      </rPr>
      <t>-6</t>
    </r>
    <r>
      <rPr>
        <sz val="10"/>
        <rFont val="맑은 고딕"/>
        <family val="3"/>
        <charset val="129"/>
        <scheme val="major"/>
      </rPr>
      <t>/℃</t>
    </r>
    <phoneticPr fontId="4" type="noConversion"/>
  </si>
  <si>
    <t>불확도 전파법칙에 의한 수식에 열팽창계수의 불확도 값을 대입하여 계산하면</t>
    <phoneticPr fontId="4" type="noConversion"/>
  </si>
  <si>
    <t>E3. 확률분포 :</t>
    <phoneticPr fontId="4" type="noConversion"/>
  </si>
  <si>
    <t>E4. 감도계수 :</t>
    <phoneticPr fontId="4" type="noConversion"/>
  </si>
  <si>
    <r>
      <t>℃×</t>
    </r>
    <r>
      <rPr>
        <i/>
        <sz val="10"/>
        <rFont val="Times New Roman"/>
        <family val="1"/>
      </rPr>
      <t>l</t>
    </r>
    <r>
      <rPr>
        <vertAlign val="subscript"/>
        <sz val="10"/>
        <rFont val="Times New Roman"/>
        <family val="1"/>
      </rPr>
      <t>0</t>
    </r>
    <r>
      <rPr>
        <sz val="10"/>
        <rFont val="맑은 고딕"/>
        <family val="3"/>
        <charset val="129"/>
        <scheme val="major"/>
      </rPr>
      <t>×10</t>
    </r>
    <r>
      <rPr>
        <vertAlign val="superscript"/>
        <sz val="10"/>
        <rFont val="맑은 고딕"/>
        <family val="3"/>
        <charset val="129"/>
        <scheme val="major"/>
      </rPr>
      <t>3</t>
    </r>
    <r>
      <rPr>
        <sz val="10"/>
        <rFont val="맑은 고딕"/>
        <family val="3"/>
        <charset val="129"/>
        <scheme val="major"/>
      </rPr>
      <t xml:space="preserve"> μm</t>
    </r>
    <phoneticPr fontId="4" type="noConversion"/>
  </si>
  <si>
    <t>=</t>
    <phoneticPr fontId="4" type="noConversion"/>
  </si>
  <si>
    <t>E5. 불확도 기여량 :</t>
    <phoneticPr fontId="4" type="noConversion"/>
  </si>
  <si>
    <t>｜</t>
    <phoneticPr fontId="4" type="noConversion"/>
  </si>
  <si>
    <r>
      <t>×</t>
    </r>
    <r>
      <rPr>
        <i/>
        <sz val="10"/>
        <rFont val="Times New Roman"/>
        <family val="1"/>
      </rPr>
      <t>l</t>
    </r>
    <r>
      <rPr>
        <vertAlign val="subscript"/>
        <sz val="10"/>
        <rFont val="Times New Roman"/>
        <family val="1"/>
      </rPr>
      <t>0</t>
    </r>
    <r>
      <rPr>
        <sz val="10"/>
        <rFont val="맑은 고딕"/>
        <family val="3"/>
        <charset val="129"/>
        <scheme val="major"/>
      </rPr>
      <t xml:space="preserve"> μm℃ × 0.82 ×10</t>
    </r>
    <r>
      <rPr>
        <vertAlign val="superscript"/>
        <sz val="10"/>
        <rFont val="맑은 고딕"/>
        <family val="3"/>
        <charset val="129"/>
        <scheme val="major"/>
      </rPr>
      <t>-6</t>
    </r>
    <r>
      <rPr>
        <sz val="10"/>
        <rFont val="맑은 고딕"/>
        <family val="3"/>
        <charset val="129"/>
        <scheme val="major"/>
      </rPr>
      <t>/℃</t>
    </r>
    <phoneticPr fontId="4" type="noConversion"/>
  </si>
  <si>
    <r>
      <t>×</t>
    </r>
    <r>
      <rPr>
        <i/>
        <sz val="10"/>
        <rFont val="Times New Roman"/>
        <family val="1"/>
      </rPr>
      <t>l</t>
    </r>
    <r>
      <rPr>
        <vertAlign val="subscript"/>
        <sz val="10"/>
        <rFont val="Times New Roman"/>
        <family val="1"/>
      </rPr>
      <t>0</t>
    </r>
    <r>
      <rPr>
        <sz val="10"/>
        <rFont val="맑은 고딕"/>
        <family val="3"/>
        <charset val="129"/>
        <scheme val="major"/>
      </rPr>
      <t xml:space="preserve"> μm</t>
    </r>
    <phoneticPr fontId="4" type="noConversion"/>
  </si>
  <si>
    <t>E6. 자유도 :</t>
    <phoneticPr fontId="4" type="noConversion"/>
  </si>
  <si>
    <t>6.</t>
    <phoneticPr fontId="4" type="noConversion"/>
  </si>
  <si>
    <r>
      <rPr>
        <b/>
        <i/>
        <sz val="10"/>
        <rFont val="Times New Roman"/>
        <family val="1"/>
      </rPr>
      <t>u</t>
    </r>
    <r>
      <rPr>
        <b/>
        <sz val="10"/>
        <rFont val="Times New Roman"/>
        <family val="1"/>
      </rPr>
      <t>(</t>
    </r>
    <r>
      <rPr>
        <b/>
        <i/>
        <sz val="10"/>
        <rFont val="맑은 고딕"/>
        <family val="3"/>
        <charset val="129"/>
      </rPr>
      <t>δ</t>
    </r>
    <r>
      <rPr>
        <b/>
        <i/>
        <sz val="10"/>
        <rFont val="Times New Roman"/>
        <family val="1"/>
      </rPr>
      <t>t</t>
    </r>
    <r>
      <rPr>
        <b/>
        <sz val="10"/>
        <rFont val="Times New Roman"/>
        <family val="1"/>
      </rPr>
      <t>)</t>
    </r>
    <phoneticPr fontId="4" type="noConversion"/>
  </si>
  <si>
    <t>※ 직접 기준기나 교정대상기기의 온도를 측정하지 않고, 정밀 정반의 온도를 측정하므로</t>
    <phoneticPr fontId="4" type="noConversion"/>
  </si>
  <si>
    <r>
      <t>δt</t>
    </r>
    <r>
      <rPr>
        <sz val="10"/>
        <rFont val="Times New Roman"/>
        <family val="1"/>
      </rPr>
      <t xml:space="preserve"> = (</t>
    </r>
    <r>
      <rPr>
        <i/>
        <sz val="10"/>
        <rFont val="Times New Roman"/>
        <family val="1"/>
      </rPr>
      <t>t</t>
    </r>
    <r>
      <rPr>
        <vertAlign val="subscript"/>
        <sz val="11"/>
        <rFont val="돋움"/>
        <family val="3"/>
        <charset val="129"/>
      </rPr>
      <t xml:space="preserve">x </t>
    </r>
    <r>
      <rPr>
        <i/>
        <sz val="10"/>
        <rFont val="Times New Roman"/>
        <family val="1"/>
      </rPr>
      <t>+ t</t>
    </r>
    <r>
      <rPr>
        <i/>
        <vertAlign val="subscript"/>
        <sz val="10"/>
        <rFont val="Times New Roman"/>
        <family val="1"/>
      </rPr>
      <t>x</t>
    </r>
    <r>
      <rPr>
        <sz val="10"/>
        <rFont val="Times New Roman"/>
        <family val="1"/>
      </rPr>
      <t xml:space="preserve">)/2-20 </t>
    </r>
    <r>
      <rPr>
        <sz val="10"/>
        <rFont val="맑은 고딕"/>
        <family val="3"/>
        <charset val="129"/>
      </rPr>
      <t>℃</t>
    </r>
    <r>
      <rPr>
        <sz val="10"/>
        <rFont val="Times New Roman"/>
        <family val="1"/>
      </rPr>
      <t xml:space="preserve"> = </t>
    </r>
    <r>
      <rPr>
        <i/>
        <sz val="10"/>
        <rFont val="Times New Roman"/>
        <family val="1"/>
      </rPr>
      <t>t</t>
    </r>
    <r>
      <rPr>
        <i/>
        <vertAlign val="subscript"/>
        <sz val="10"/>
        <rFont val="Times New Roman"/>
        <family val="1"/>
      </rPr>
      <t xml:space="preserve">d </t>
    </r>
    <r>
      <rPr>
        <sz val="10"/>
        <rFont val="Times New Roman"/>
        <family val="1"/>
      </rPr>
      <t xml:space="preserve">- 20 </t>
    </r>
    <r>
      <rPr>
        <sz val="10"/>
        <rFont val="맑은 고딕"/>
        <family val="3"/>
        <charset val="129"/>
      </rPr>
      <t>℃</t>
    </r>
    <phoneticPr fontId="4" type="noConversion"/>
  </si>
  <si>
    <t>가 된다.</t>
    <phoneticPr fontId="4" type="noConversion"/>
  </si>
  <si>
    <t>그러나 측정 과정중에 온도의 변화가 있을 수 있으며, 기준기와 교정대상기기의 온도와</t>
    <phoneticPr fontId="4" type="noConversion"/>
  </si>
  <si>
    <t>정밀 정반의 온도 차이가 있을 수 있으므로 이들까지 고려하면,</t>
    <phoneticPr fontId="4" type="noConversion"/>
  </si>
  <si>
    <r>
      <t>δt</t>
    </r>
    <r>
      <rPr>
        <sz val="10"/>
        <rFont val="Times New Roman"/>
        <family val="1"/>
      </rPr>
      <t xml:space="preserve"> = </t>
    </r>
    <r>
      <rPr>
        <i/>
        <sz val="10"/>
        <rFont val="Times New Roman"/>
        <family val="1"/>
      </rPr>
      <t>t</t>
    </r>
    <r>
      <rPr>
        <i/>
        <vertAlign val="subscript"/>
        <sz val="10"/>
        <rFont val="Times New Roman"/>
        <family val="1"/>
      </rPr>
      <t xml:space="preserve">d </t>
    </r>
    <r>
      <rPr>
        <sz val="10"/>
        <rFont val="Times New Roman"/>
        <family val="1"/>
      </rPr>
      <t xml:space="preserve">- 20 </t>
    </r>
    <r>
      <rPr>
        <sz val="10"/>
        <rFont val="맑은 고딕"/>
        <family val="3"/>
        <charset val="129"/>
      </rPr>
      <t>℃</t>
    </r>
    <r>
      <rPr>
        <sz val="10"/>
        <rFont val="Times New Roman"/>
        <family val="1"/>
      </rPr>
      <t xml:space="preserve"> + </t>
    </r>
    <r>
      <rPr>
        <i/>
        <sz val="10"/>
        <rFont val="Times New Roman"/>
        <family val="1"/>
      </rPr>
      <t>δt</t>
    </r>
    <r>
      <rPr>
        <i/>
        <vertAlign val="subscript"/>
        <sz val="10"/>
        <rFont val="Times New Roman"/>
        <family val="1"/>
      </rPr>
      <t>d</t>
    </r>
    <r>
      <rPr>
        <sz val="10"/>
        <rFont val="Times New Roman"/>
        <family val="1"/>
      </rPr>
      <t xml:space="preserve"> + </t>
    </r>
    <r>
      <rPr>
        <i/>
        <sz val="10"/>
        <rFont val="Times New Roman"/>
        <family val="1"/>
      </rPr>
      <t>δt</t>
    </r>
    <r>
      <rPr>
        <vertAlign val="subscript"/>
        <sz val="10"/>
        <rFont val="Times New Roman"/>
        <family val="1"/>
      </rPr>
      <t>Δ</t>
    </r>
    <phoneticPr fontId="4" type="noConversion"/>
  </si>
  <si>
    <t>F1. 추정값 :</t>
    <phoneticPr fontId="4" type="noConversion"/>
  </si>
  <si>
    <t>F2. 표준불확도 :</t>
    <phoneticPr fontId="4" type="noConversion"/>
  </si>
  <si>
    <r>
      <rPr>
        <i/>
        <sz val="10"/>
        <rFont val="Times New Roman"/>
        <family val="1"/>
      </rP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δt</t>
    </r>
    <r>
      <rPr>
        <sz val="10"/>
        <rFont val="Times New Roman"/>
        <family val="1"/>
      </rPr>
      <t>) =</t>
    </r>
    <phoneticPr fontId="4" type="noConversion"/>
  </si>
  <si>
    <t>=</t>
    <phoneticPr fontId="4" type="noConversion"/>
  </si>
  <si>
    <t>=</t>
    <phoneticPr fontId="4" type="noConversion"/>
  </si>
  <si>
    <t>F3. 확률분포 :</t>
    <phoneticPr fontId="4" type="noConversion"/>
  </si>
  <si>
    <t>F4. 감도계수 :</t>
    <phoneticPr fontId="4" type="noConversion"/>
  </si>
  <si>
    <r>
      <t>×10</t>
    </r>
    <r>
      <rPr>
        <vertAlign val="superscript"/>
        <sz val="10"/>
        <rFont val="맑은 고딕"/>
        <family val="3"/>
        <charset val="129"/>
        <scheme val="major"/>
      </rPr>
      <t>-6</t>
    </r>
    <r>
      <rPr>
        <sz val="10"/>
        <rFont val="맑은 고딕"/>
        <family val="3"/>
        <charset val="129"/>
        <scheme val="major"/>
      </rPr>
      <t>/℃×</t>
    </r>
    <r>
      <rPr>
        <i/>
        <sz val="10"/>
        <rFont val="Times New Roman"/>
        <family val="1"/>
      </rPr>
      <t>l</t>
    </r>
    <r>
      <rPr>
        <vertAlign val="subscript"/>
        <sz val="10"/>
        <rFont val="Times New Roman"/>
        <family val="1"/>
      </rPr>
      <t>0</t>
    </r>
    <r>
      <rPr>
        <sz val="10"/>
        <rFont val="맑은 고딕"/>
        <family val="3"/>
        <charset val="129"/>
        <scheme val="major"/>
      </rPr>
      <t>×10</t>
    </r>
    <r>
      <rPr>
        <vertAlign val="superscript"/>
        <sz val="10"/>
        <rFont val="맑은 고딕"/>
        <family val="3"/>
        <charset val="129"/>
        <scheme val="major"/>
      </rPr>
      <t>3</t>
    </r>
    <r>
      <rPr>
        <sz val="10"/>
        <rFont val="맑은 고딕"/>
        <family val="3"/>
        <charset val="129"/>
        <scheme val="major"/>
      </rPr>
      <t xml:space="preserve"> μm</t>
    </r>
    <phoneticPr fontId="4" type="noConversion"/>
  </si>
  <si>
    <t>=</t>
    <phoneticPr fontId="4" type="noConversion"/>
  </si>
  <si>
    <t>F5. 불확도 기여량 :</t>
    <phoneticPr fontId="4" type="noConversion"/>
  </si>
  <si>
    <r>
      <t>×</t>
    </r>
    <r>
      <rPr>
        <i/>
        <sz val="10"/>
        <rFont val="Times New Roman"/>
        <family val="1"/>
      </rPr>
      <t>l</t>
    </r>
    <r>
      <rPr>
        <vertAlign val="subscript"/>
        <sz val="10"/>
        <rFont val="Times New Roman"/>
        <family val="1"/>
      </rPr>
      <t>0</t>
    </r>
    <r>
      <rPr>
        <sz val="10"/>
        <rFont val="맑은 고딕"/>
        <family val="3"/>
        <charset val="129"/>
        <scheme val="major"/>
      </rPr>
      <t xml:space="preserve"> μm/℃×</t>
    </r>
    <phoneticPr fontId="4" type="noConversion"/>
  </si>
  <si>
    <t>F6. 자유도 :</t>
    <phoneticPr fontId="4" type="noConversion"/>
  </si>
  <si>
    <t>+</t>
    <phoneticPr fontId="4" type="noConversion"/>
  </si>
  <si>
    <t>+</t>
    <phoneticPr fontId="4" type="noConversion"/>
  </si>
  <si>
    <t>1)</t>
    <phoneticPr fontId="4" type="noConversion"/>
  </si>
  <si>
    <t>측정 온도계의 표준불확도,</t>
    <phoneticPr fontId="4" type="noConversion"/>
  </si>
  <si>
    <r>
      <rPr>
        <b/>
        <i/>
        <sz val="10"/>
        <rFont val="Times New Roman"/>
        <family val="1"/>
      </rPr>
      <t>u</t>
    </r>
    <r>
      <rPr>
        <b/>
        <sz val="10"/>
        <rFont val="Times New Roman"/>
        <family val="1"/>
      </rPr>
      <t>(</t>
    </r>
    <r>
      <rPr>
        <b/>
        <i/>
        <sz val="10"/>
        <rFont val="Times New Roman"/>
        <family val="1"/>
      </rPr>
      <t>t</t>
    </r>
    <r>
      <rPr>
        <b/>
        <i/>
        <vertAlign val="subscript"/>
        <sz val="10"/>
        <rFont val="Times New Roman"/>
        <family val="1"/>
      </rPr>
      <t>d</t>
    </r>
    <r>
      <rPr>
        <b/>
        <sz val="10"/>
        <rFont val="Times New Roman"/>
        <family val="1"/>
      </rPr>
      <t>)</t>
    </r>
    <phoneticPr fontId="4" type="noConversion"/>
  </si>
  <si>
    <t>여기에 직사각형 확률분포를 적용하여 계산하면</t>
    <phoneticPr fontId="4" type="noConversion"/>
  </si>
  <si>
    <t>G2. 표준불확도 :</t>
    <phoneticPr fontId="4" type="noConversion"/>
  </si>
  <si>
    <r>
      <rPr>
        <i/>
        <sz val="10"/>
        <rFont val="Times New Roman"/>
        <family val="1"/>
      </rP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t</t>
    </r>
    <r>
      <rPr>
        <i/>
        <vertAlign val="subscript"/>
        <sz val="10"/>
        <rFont val="Times New Roman"/>
        <family val="1"/>
      </rPr>
      <t>d</t>
    </r>
    <r>
      <rPr>
        <sz val="10"/>
        <rFont val="Times New Roman"/>
        <family val="1"/>
      </rPr>
      <t>)</t>
    </r>
    <phoneticPr fontId="4" type="noConversion"/>
  </si>
  <si>
    <t>G3. 확률분포 :</t>
    <phoneticPr fontId="4" type="noConversion"/>
  </si>
  <si>
    <t>G4. 감도계수 :</t>
    <phoneticPr fontId="4" type="noConversion"/>
  </si>
  <si>
    <t>G5. 불확도 기여량 :</t>
    <phoneticPr fontId="4" type="noConversion"/>
  </si>
  <si>
    <t>G6. 자유도 :</t>
    <phoneticPr fontId="4" type="noConversion"/>
  </si>
  <si>
    <r>
      <t xml:space="preserve">※ 상대불확도 </t>
    </r>
    <r>
      <rPr>
        <i/>
        <sz val="10"/>
        <rFont val="Times New Roman"/>
        <family val="1"/>
      </rPr>
      <t>R</t>
    </r>
    <r>
      <rPr>
        <sz val="10"/>
        <rFont val="맑은 고딕"/>
        <family val="3"/>
        <charset val="129"/>
        <scheme val="major"/>
      </rPr>
      <t xml:space="preserve"> : 0%로 추정</t>
    </r>
    <phoneticPr fontId="4" type="noConversion"/>
  </si>
  <si>
    <t>2)</t>
    <phoneticPr fontId="4" type="noConversion"/>
  </si>
  <si>
    <t>온도 변화에 의한 표준불확도,</t>
    <phoneticPr fontId="4" type="noConversion"/>
  </si>
  <si>
    <r>
      <rPr>
        <b/>
        <i/>
        <sz val="10"/>
        <rFont val="Times New Roman"/>
        <family val="1"/>
      </rPr>
      <t>u</t>
    </r>
    <r>
      <rPr>
        <b/>
        <sz val="10"/>
        <rFont val="Times New Roman"/>
        <family val="1"/>
      </rPr>
      <t>(</t>
    </r>
    <r>
      <rPr>
        <b/>
        <i/>
        <sz val="10"/>
        <rFont val="Times New Roman"/>
        <family val="1"/>
      </rPr>
      <t>δt</t>
    </r>
    <r>
      <rPr>
        <b/>
        <i/>
        <vertAlign val="subscript"/>
        <sz val="10"/>
        <rFont val="Times New Roman"/>
        <family val="1"/>
      </rPr>
      <t>d</t>
    </r>
    <r>
      <rPr>
        <b/>
        <sz val="10"/>
        <rFont val="Times New Roman"/>
        <family val="1"/>
      </rPr>
      <t>)</t>
    </r>
    <phoneticPr fontId="4" type="noConversion"/>
  </si>
  <si>
    <t>여기에 직사각형 확률분포를 적용하여 계산하면</t>
    <phoneticPr fontId="4" type="noConversion"/>
  </si>
  <si>
    <t>H2. 표준불확도 :</t>
    <phoneticPr fontId="4" type="noConversion"/>
  </si>
  <si>
    <r>
      <rPr>
        <i/>
        <sz val="10"/>
        <rFont val="Times New Roman"/>
        <family val="1"/>
      </rP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δt</t>
    </r>
    <r>
      <rPr>
        <i/>
        <vertAlign val="subscript"/>
        <sz val="10"/>
        <rFont val="Times New Roman"/>
        <family val="1"/>
      </rPr>
      <t>d</t>
    </r>
    <r>
      <rPr>
        <sz val="10"/>
        <rFont val="Times New Roman"/>
        <family val="1"/>
      </rPr>
      <t>)</t>
    </r>
    <phoneticPr fontId="4" type="noConversion"/>
  </si>
  <si>
    <t>H3. 확률분포 :</t>
    <phoneticPr fontId="4" type="noConversion"/>
  </si>
  <si>
    <t>H4. 감도계수 :</t>
    <phoneticPr fontId="4" type="noConversion"/>
  </si>
  <si>
    <t>H5. 불확도 기여량 :</t>
    <phoneticPr fontId="4" type="noConversion"/>
  </si>
  <si>
    <t>H6. 자유도 :</t>
    <phoneticPr fontId="4" type="noConversion"/>
  </si>
  <si>
    <r>
      <t xml:space="preserve">※ 상대불확도 </t>
    </r>
    <r>
      <rPr>
        <i/>
        <sz val="10"/>
        <rFont val="Times New Roman"/>
        <family val="1"/>
      </rPr>
      <t>R</t>
    </r>
    <r>
      <rPr>
        <sz val="10"/>
        <rFont val="맑은 고딕"/>
        <family val="3"/>
        <charset val="129"/>
        <scheme val="major"/>
      </rPr>
      <t xml:space="preserve"> : 20%로 추정</t>
    </r>
    <phoneticPr fontId="4" type="noConversion"/>
  </si>
  <si>
    <t>3)</t>
    <phoneticPr fontId="4" type="noConversion"/>
  </si>
  <si>
    <t>정밀 정반의 온도와 측정기의 온도 차에 대한 표준불확도,</t>
    <phoneticPr fontId="4" type="noConversion"/>
  </si>
  <si>
    <r>
      <rPr>
        <b/>
        <i/>
        <sz val="10"/>
        <rFont val="Times New Roman"/>
        <family val="1"/>
      </rPr>
      <t>u</t>
    </r>
    <r>
      <rPr>
        <b/>
        <sz val="10"/>
        <rFont val="Times New Roman"/>
        <family val="1"/>
      </rPr>
      <t>(</t>
    </r>
    <r>
      <rPr>
        <b/>
        <i/>
        <sz val="10"/>
        <rFont val="Times New Roman"/>
        <family val="1"/>
      </rPr>
      <t>δt</t>
    </r>
    <r>
      <rPr>
        <b/>
        <vertAlign val="subscript"/>
        <sz val="10"/>
        <rFont val="Times New Roman"/>
        <family val="1"/>
      </rPr>
      <t>Δ</t>
    </r>
    <r>
      <rPr>
        <b/>
        <sz val="10"/>
        <rFont val="Times New Roman"/>
        <family val="1"/>
      </rPr>
      <t>)</t>
    </r>
    <phoneticPr fontId="4" type="noConversion"/>
  </si>
  <si>
    <t>여기에 직사각형 확률분포를 적용하여 계산하면</t>
    <phoneticPr fontId="4" type="noConversion"/>
  </si>
  <si>
    <t>I2. 표준불확도 :</t>
    <phoneticPr fontId="4" type="noConversion"/>
  </si>
  <si>
    <r>
      <rPr>
        <i/>
        <sz val="10"/>
        <rFont val="Times New Roman"/>
        <family val="1"/>
      </rP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δt</t>
    </r>
    <r>
      <rPr>
        <vertAlign val="subscript"/>
        <sz val="10"/>
        <rFont val="Times New Roman"/>
        <family val="1"/>
      </rPr>
      <t>Δ</t>
    </r>
    <r>
      <rPr>
        <sz val="10"/>
        <rFont val="Times New Roman"/>
        <family val="1"/>
      </rPr>
      <t>)</t>
    </r>
    <phoneticPr fontId="4" type="noConversion"/>
  </si>
  <si>
    <t>I3. 확률분포 :</t>
    <phoneticPr fontId="4" type="noConversion"/>
  </si>
  <si>
    <t>I4. 감도계수 :</t>
    <phoneticPr fontId="4" type="noConversion"/>
  </si>
  <si>
    <t>I5. 불확도 기여량 :</t>
    <phoneticPr fontId="4" type="noConversion"/>
  </si>
  <si>
    <t>I6. 자유도 :</t>
    <phoneticPr fontId="4" type="noConversion"/>
  </si>
  <si>
    <t>7.</t>
    <phoneticPr fontId="4" type="noConversion"/>
  </si>
  <si>
    <r>
      <rPr>
        <b/>
        <i/>
        <sz val="10"/>
        <rFont val="Times New Roman"/>
        <family val="1"/>
      </rPr>
      <t>u</t>
    </r>
    <r>
      <rPr>
        <b/>
        <sz val="10"/>
        <rFont val="Times New Roman"/>
        <family val="1"/>
      </rPr>
      <t>(</t>
    </r>
    <r>
      <rPr>
        <b/>
        <i/>
        <sz val="10"/>
        <rFont val="맑은 고딕"/>
        <family val="3"/>
        <charset val="129"/>
      </rPr>
      <t>δ</t>
    </r>
    <r>
      <rPr>
        <b/>
        <i/>
        <sz val="10"/>
        <rFont val="Times New Roman"/>
        <family val="1"/>
      </rPr>
      <t>l</t>
    </r>
    <r>
      <rPr>
        <b/>
        <i/>
        <vertAlign val="subscript"/>
        <sz val="10"/>
        <rFont val="Times New Roman"/>
        <family val="1"/>
      </rPr>
      <t>r</t>
    </r>
    <r>
      <rPr>
        <b/>
        <sz val="10"/>
        <rFont val="Times New Roman"/>
        <family val="1"/>
      </rPr>
      <t>)</t>
    </r>
    <phoneticPr fontId="4" type="noConversion"/>
  </si>
  <si>
    <t>J2. 표준불확도 :</t>
    <phoneticPr fontId="4" type="noConversion"/>
  </si>
  <si>
    <r>
      <rPr>
        <sz val="10"/>
        <rFont val="맑은 고딕"/>
        <family val="3"/>
        <charset val="129"/>
      </rPr>
      <t>※</t>
    </r>
    <r>
      <rPr>
        <sz val="10"/>
        <rFont val="Times New Roman"/>
        <family val="1"/>
      </rPr>
      <t xml:space="preserve"> </t>
    </r>
    <r>
      <rPr>
        <sz val="10"/>
        <rFont val="맑은 고딕"/>
        <family val="3"/>
        <charset val="129"/>
      </rPr>
      <t>분해능</t>
    </r>
    <r>
      <rPr>
        <sz val="10"/>
        <rFont val="Times New Roman"/>
        <family val="1"/>
      </rPr>
      <t xml:space="preserve"> (</t>
    </r>
    <r>
      <rPr>
        <i/>
        <sz val="10"/>
        <rFont val="Times New Roman"/>
        <family val="1"/>
      </rPr>
      <t>d</t>
    </r>
    <r>
      <rPr>
        <sz val="10"/>
        <rFont val="Times New Roman"/>
        <family val="1"/>
      </rPr>
      <t>) =</t>
    </r>
    <phoneticPr fontId="4" type="noConversion"/>
  </si>
  <si>
    <r>
      <rPr>
        <i/>
        <sz val="10"/>
        <rFont val="Times New Roman"/>
        <family val="1"/>
      </rP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δl</t>
    </r>
    <r>
      <rPr>
        <i/>
        <vertAlign val="subscript"/>
        <sz val="10"/>
        <rFont val="Times New Roman"/>
        <family val="1"/>
      </rPr>
      <t>x</t>
    </r>
    <r>
      <rPr>
        <sz val="10"/>
        <rFont val="Times New Roman"/>
        <family val="1"/>
      </rPr>
      <t>)</t>
    </r>
    <phoneticPr fontId="4" type="noConversion"/>
  </si>
  <si>
    <t>d</t>
    <phoneticPr fontId="4" type="noConversion"/>
  </si>
  <si>
    <t>J3. 확률분포 :</t>
    <phoneticPr fontId="4" type="noConversion"/>
  </si>
  <si>
    <t>J4. 감도계수 :</t>
    <phoneticPr fontId="4" type="noConversion"/>
  </si>
  <si>
    <t>J5. 불확도 기여량 :</t>
    <phoneticPr fontId="4" type="noConversion"/>
  </si>
  <si>
    <t>J6. 자유도 :</t>
    <phoneticPr fontId="4" type="noConversion"/>
  </si>
  <si>
    <t>8.</t>
    <phoneticPr fontId="4" type="noConversion"/>
  </si>
  <si>
    <r>
      <rPr>
        <b/>
        <i/>
        <sz val="10"/>
        <rFont val="Times New Roman"/>
        <family val="1"/>
      </rPr>
      <t>u</t>
    </r>
    <r>
      <rPr>
        <b/>
        <sz val="10"/>
        <rFont val="Times New Roman"/>
        <family val="1"/>
      </rPr>
      <t>(</t>
    </r>
    <r>
      <rPr>
        <b/>
        <i/>
        <sz val="10"/>
        <rFont val="맑은 고딕"/>
        <family val="3"/>
        <charset val="129"/>
      </rPr>
      <t>δ</t>
    </r>
    <r>
      <rPr>
        <b/>
        <i/>
        <sz val="10"/>
        <rFont val="Times New Roman"/>
        <family val="1"/>
      </rPr>
      <t>l</t>
    </r>
    <r>
      <rPr>
        <b/>
        <i/>
        <vertAlign val="subscript"/>
        <sz val="10"/>
        <rFont val="Times New Roman"/>
        <family val="1"/>
      </rPr>
      <t>E</t>
    </r>
    <r>
      <rPr>
        <b/>
        <sz val="10"/>
        <rFont val="Times New Roman"/>
        <family val="1"/>
      </rPr>
      <t>)</t>
    </r>
    <phoneticPr fontId="4" type="noConversion"/>
  </si>
  <si>
    <r>
      <rPr>
        <i/>
        <sz val="10"/>
        <rFont val="맑은 고딕"/>
        <family val="3"/>
        <charset val="129"/>
        <scheme val="major"/>
      </rPr>
      <t>k</t>
    </r>
    <r>
      <rPr>
        <sz val="10"/>
        <rFont val="맑은 고딕"/>
        <family val="3"/>
        <charset val="129"/>
        <scheme val="major"/>
      </rPr>
      <t>=2) 이다,</t>
    </r>
    <phoneticPr fontId="4" type="noConversion"/>
  </si>
  <si>
    <t>이 때, 전기 마이크로미터의 오차를 보정하지 않고 사용 하였으므로 최대 오차를 불확도에 반영하여 계산한다.</t>
    <phoneticPr fontId="4" type="noConversion"/>
  </si>
  <si>
    <t>K2. 표준불확도 :</t>
    <phoneticPr fontId="4" type="noConversion"/>
  </si>
  <si>
    <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δl</t>
    </r>
    <r>
      <rPr>
        <i/>
        <vertAlign val="subscript"/>
        <sz val="10"/>
        <rFont val="Times New Roman"/>
        <family val="1"/>
      </rPr>
      <t>E</t>
    </r>
    <r>
      <rPr>
        <sz val="10"/>
        <rFont val="Times New Roman"/>
        <family val="1"/>
      </rPr>
      <t>)</t>
    </r>
    <phoneticPr fontId="4" type="noConversion"/>
  </si>
  <si>
    <t>U</t>
    <phoneticPr fontId="4" type="noConversion"/>
  </si>
  <si>
    <t>+</t>
    <phoneticPr fontId="4" type="noConversion"/>
  </si>
  <si>
    <t>최대오차</t>
    <phoneticPr fontId="4" type="noConversion"/>
  </si>
  <si>
    <t>μm</t>
  </si>
  <si>
    <t>k</t>
    <phoneticPr fontId="4" type="noConversion"/>
  </si>
  <si>
    <t>K3. 확률분포 :</t>
    <phoneticPr fontId="4" type="noConversion"/>
  </si>
  <si>
    <t>K4. 감도계수 :</t>
    <phoneticPr fontId="4" type="noConversion"/>
  </si>
  <si>
    <t>K5. 불확도 기여도 :</t>
    <phoneticPr fontId="4" type="noConversion"/>
  </si>
  <si>
    <t>K6. 자유도 :</t>
    <phoneticPr fontId="4" type="noConversion"/>
  </si>
  <si>
    <r>
      <rPr>
        <i/>
        <sz val="10"/>
        <rFont val="Times New Roman"/>
        <family val="1"/>
      </rPr>
      <t>ν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δl</t>
    </r>
    <r>
      <rPr>
        <i/>
        <vertAlign val="subscript"/>
        <sz val="10"/>
        <rFont val="Times New Roman"/>
        <family val="1"/>
      </rPr>
      <t>E</t>
    </r>
    <r>
      <rPr>
        <sz val="10"/>
        <rFont val="Times New Roman"/>
        <family val="1"/>
      </rPr>
      <t xml:space="preserve">) = </t>
    </r>
    <r>
      <rPr>
        <sz val="10"/>
        <rFont val="맑은 고딕"/>
        <family val="3"/>
        <charset val="129"/>
      </rPr>
      <t>∞</t>
    </r>
    <phoneticPr fontId="4" type="noConversion"/>
  </si>
  <si>
    <t>9.</t>
    <phoneticPr fontId="4" type="noConversion"/>
  </si>
  <si>
    <t>정반의 평면도가 미치는 영향에 의한 표준불확도,</t>
    <phoneticPr fontId="4" type="noConversion"/>
  </si>
  <si>
    <r>
      <rPr>
        <b/>
        <i/>
        <sz val="10"/>
        <rFont val="Times New Roman"/>
        <family val="1"/>
      </rPr>
      <t>u</t>
    </r>
    <r>
      <rPr>
        <b/>
        <sz val="10"/>
        <rFont val="Times New Roman"/>
        <family val="1"/>
      </rPr>
      <t>(</t>
    </r>
    <r>
      <rPr>
        <b/>
        <i/>
        <sz val="10"/>
        <rFont val="Times New Roman"/>
        <family val="1"/>
      </rPr>
      <t>δl</t>
    </r>
    <r>
      <rPr>
        <b/>
        <i/>
        <vertAlign val="subscript"/>
        <sz val="10"/>
        <rFont val="Times New Roman"/>
        <family val="1"/>
      </rPr>
      <t>F</t>
    </r>
    <r>
      <rPr>
        <b/>
        <sz val="10"/>
        <rFont val="Times New Roman"/>
        <family val="1"/>
      </rPr>
      <t>)</t>
    </r>
    <phoneticPr fontId="4" type="noConversion"/>
  </si>
  <si>
    <t>이 때 직사각형 확률분포를 적용하여 사용면적에 대한 상대불확도를 10 %로 추정하여 계산하면</t>
    <phoneticPr fontId="4" type="noConversion"/>
  </si>
  <si>
    <t>L2. 표준불확도 :</t>
    <phoneticPr fontId="4" type="noConversion"/>
  </si>
  <si>
    <t>※ 평면도 :</t>
    <phoneticPr fontId="4" type="noConversion"/>
  </si>
  <si>
    <t>μm</t>
    <phoneticPr fontId="4" type="noConversion"/>
  </si>
  <si>
    <r>
      <rPr>
        <i/>
        <sz val="10"/>
        <rFont val="Times New Roman"/>
        <family val="1"/>
      </rP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δl</t>
    </r>
    <r>
      <rPr>
        <i/>
        <vertAlign val="subscript"/>
        <sz val="10"/>
        <rFont val="Times New Roman"/>
        <family val="1"/>
      </rPr>
      <t>F</t>
    </r>
    <r>
      <rPr>
        <sz val="10"/>
        <rFont val="Times New Roman"/>
        <family val="1"/>
      </rPr>
      <t>)</t>
    </r>
    <phoneticPr fontId="4" type="noConversion"/>
  </si>
  <si>
    <t>L3. 확률분포 :</t>
    <phoneticPr fontId="4" type="noConversion"/>
  </si>
  <si>
    <t>L4. 감도계수 :</t>
    <phoneticPr fontId="4" type="noConversion"/>
  </si>
  <si>
    <t>L5. 불확도 기여량 :</t>
    <phoneticPr fontId="4" type="noConversion"/>
  </si>
  <si>
    <t>L6. 자유도 :</t>
    <phoneticPr fontId="4" type="noConversion"/>
  </si>
  <si>
    <t>10.</t>
    <phoneticPr fontId="4" type="noConversion"/>
  </si>
  <si>
    <t>블록의 평행도에 대한 표준불확도,</t>
    <phoneticPr fontId="4" type="noConversion"/>
  </si>
  <si>
    <r>
      <rPr>
        <b/>
        <i/>
        <sz val="10"/>
        <rFont val="Times New Roman"/>
        <family val="1"/>
      </rPr>
      <t>u</t>
    </r>
    <r>
      <rPr>
        <b/>
        <sz val="10"/>
        <rFont val="Times New Roman"/>
        <family val="1"/>
      </rPr>
      <t>(</t>
    </r>
    <r>
      <rPr>
        <b/>
        <i/>
        <sz val="10"/>
        <rFont val="Times New Roman"/>
        <family val="1"/>
      </rPr>
      <t>δl</t>
    </r>
    <r>
      <rPr>
        <b/>
        <i/>
        <vertAlign val="subscript"/>
        <sz val="10"/>
        <rFont val="Times New Roman"/>
        <family val="1"/>
      </rPr>
      <t>P</t>
    </r>
    <r>
      <rPr>
        <b/>
        <sz val="10"/>
        <rFont val="Times New Roman"/>
        <family val="1"/>
      </rPr>
      <t>)</t>
    </r>
    <phoneticPr fontId="4" type="noConversion"/>
  </si>
  <si>
    <t>이상적이지 못하면 측정값에 영향을 미치므로 불확도에 포함한다.</t>
    <phoneticPr fontId="4" type="noConversion"/>
  </si>
  <si>
    <t>이내의 영역에서 벗어나지 않는다고 추정하여 직사각형 확률분포를 적용하여 계산하면,</t>
    <phoneticPr fontId="4" type="noConversion"/>
  </si>
  <si>
    <t>M2. 표준불확도 :</t>
    <phoneticPr fontId="4" type="noConversion"/>
  </si>
  <si>
    <r>
      <rPr>
        <i/>
        <sz val="10"/>
        <rFont val="Times New Roman"/>
        <family val="1"/>
      </rP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δl</t>
    </r>
    <r>
      <rPr>
        <i/>
        <vertAlign val="subscript"/>
        <sz val="10"/>
        <rFont val="Times New Roman"/>
        <family val="1"/>
      </rPr>
      <t>P</t>
    </r>
    <r>
      <rPr>
        <sz val="10"/>
        <rFont val="Times New Roman"/>
        <family val="1"/>
      </rPr>
      <t>)</t>
    </r>
    <phoneticPr fontId="4" type="noConversion"/>
  </si>
  <si>
    <t>M3. 확률분포 :</t>
    <phoneticPr fontId="4" type="noConversion"/>
  </si>
  <si>
    <t>M4. 감도계수 :</t>
    <phoneticPr fontId="4" type="noConversion"/>
  </si>
  <si>
    <t>M5. 불확도 기여량 :</t>
    <phoneticPr fontId="4" type="noConversion"/>
  </si>
  <si>
    <t>|</t>
    <phoneticPr fontId="4" type="noConversion"/>
  </si>
  <si>
    <t>M6. 자유도 :</t>
    <phoneticPr fontId="4" type="noConversion"/>
  </si>
  <si>
    <r>
      <t xml:space="preserve">※ 상대불확도 </t>
    </r>
    <r>
      <rPr>
        <i/>
        <sz val="10"/>
        <rFont val="Times New Roman"/>
        <family val="1"/>
      </rPr>
      <t>R</t>
    </r>
    <r>
      <rPr>
        <sz val="10"/>
        <rFont val="맑은 고딕"/>
        <family val="3"/>
        <charset val="129"/>
        <scheme val="major"/>
      </rPr>
      <t xml:space="preserve"> : 10%로 추정</t>
    </r>
    <phoneticPr fontId="4" type="noConversion"/>
  </si>
  <si>
    <t>11.</t>
    <phoneticPr fontId="4" type="noConversion"/>
  </si>
  <si>
    <t>2차항 고려</t>
    <phoneticPr fontId="4" type="noConversion"/>
  </si>
  <si>
    <r>
      <t xml:space="preserve">※ </t>
    </r>
    <r>
      <rPr>
        <sz val="10"/>
        <rFont val="Times New Roman"/>
        <family val="1"/>
      </rPr>
      <t>Δ</t>
    </r>
    <r>
      <rPr>
        <i/>
        <sz val="10"/>
        <rFont val="Times New Roman"/>
        <family val="1"/>
      </rPr>
      <t>t</t>
    </r>
    <r>
      <rPr>
        <sz val="10"/>
        <rFont val="맑은 고딕"/>
        <family val="3"/>
        <charset val="129"/>
        <scheme val="major"/>
      </rPr>
      <t xml:space="preserve"> 나 </t>
    </r>
    <r>
      <rPr>
        <sz val="10"/>
        <rFont val="Times New Roman"/>
        <family val="1"/>
      </rPr>
      <t>Δ</t>
    </r>
    <r>
      <rPr>
        <i/>
        <sz val="10"/>
        <rFont val="Times New Roman"/>
        <family val="1"/>
      </rPr>
      <t>α</t>
    </r>
    <r>
      <rPr>
        <sz val="10"/>
        <rFont val="맑은 고딕"/>
        <family val="3"/>
        <charset val="129"/>
        <scheme val="major"/>
      </rPr>
      <t xml:space="preserve"> 가 0일 때,        , </t>
    </r>
    <r>
      <rPr>
        <i/>
        <sz val="10"/>
        <rFont val="Times New Roman"/>
        <family val="1"/>
      </rP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δt</t>
    </r>
    <r>
      <rPr>
        <sz val="10"/>
        <rFont val="Times New Roman"/>
        <family val="1"/>
      </rPr>
      <t>)</t>
    </r>
    <r>
      <rPr>
        <sz val="10"/>
        <rFont val="맑은 고딕"/>
        <family val="3"/>
        <charset val="129"/>
        <scheme val="major"/>
      </rPr>
      <t>의 감도계수가 0이 되므로 2차항을 고려하여야 한다.</t>
    </r>
    <phoneticPr fontId="4" type="noConversion"/>
  </si>
  <si>
    <t>에 의한 불확도</t>
    <phoneticPr fontId="4" type="noConversion"/>
  </si>
  <si>
    <t>N2. 표준불확도 :</t>
    <phoneticPr fontId="4" type="noConversion"/>
  </si>
  <si>
    <t>N3. 확률분포 :</t>
    <phoneticPr fontId="4" type="noConversion"/>
  </si>
  <si>
    <t>N4. 감도계수 :</t>
    <phoneticPr fontId="4" type="noConversion"/>
  </si>
  <si>
    <t>N5. 불확도 기여량 :</t>
    <phoneticPr fontId="4" type="noConversion"/>
  </si>
  <si>
    <r>
      <t xml:space="preserve">※ </t>
    </r>
    <r>
      <rPr>
        <i/>
        <sz val="10"/>
        <rFont val="Times New Roman"/>
        <family val="1"/>
      </rPr>
      <t>Δt</t>
    </r>
    <r>
      <rPr>
        <sz val="10"/>
        <rFont val="맑은 고딕"/>
        <family val="3"/>
        <charset val="129"/>
        <scheme val="major"/>
      </rPr>
      <t>가</t>
    </r>
    <phoneticPr fontId="4" type="noConversion"/>
  </si>
  <si>
    <t>×</t>
    <phoneticPr fontId="4" type="noConversion"/>
  </si>
  <si>
    <t>N6. 자유도 :</t>
    <phoneticPr fontId="4" type="noConversion"/>
  </si>
  <si>
    <t>∞</t>
    <phoneticPr fontId="4" type="noConversion"/>
  </si>
  <si>
    <t>에 의한 불확도</t>
    <phoneticPr fontId="4" type="noConversion"/>
  </si>
  <si>
    <t>O2. 표준불확도 :</t>
    <phoneticPr fontId="4" type="noConversion"/>
  </si>
  <si>
    <t>O3. 확률분포 :</t>
    <phoneticPr fontId="4" type="noConversion"/>
  </si>
  <si>
    <t>O4. 감도계수 :</t>
    <phoneticPr fontId="4" type="noConversion"/>
  </si>
  <si>
    <t>O5. 불확도 기여량 :</t>
    <phoneticPr fontId="4" type="noConversion"/>
  </si>
  <si>
    <r>
      <t xml:space="preserve">※ </t>
    </r>
    <r>
      <rPr>
        <i/>
        <sz val="10"/>
        <rFont val="Times New Roman"/>
        <family val="1"/>
      </rPr>
      <t>Δα</t>
    </r>
    <r>
      <rPr>
        <sz val="10"/>
        <rFont val="맑은 고딕"/>
        <family val="3"/>
        <charset val="129"/>
        <scheme val="major"/>
      </rPr>
      <t>가</t>
    </r>
    <phoneticPr fontId="4" type="noConversion"/>
  </si>
  <si>
    <t>O6. 자유도 :</t>
    <phoneticPr fontId="4" type="noConversion"/>
  </si>
  <si>
    <t>■ 합성표준불확도 계산</t>
    <phoneticPr fontId="4" type="noConversion"/>
  </si>
  <si>
    <r>
      <rPr>
        <i/>
        <sz val="10"/>
        <rFont val="Times New Roman"/>
        <family val="1"/>
      </rPr>
      <t>u</t>
    </r>
    <r>
      <rPr>
        <i/>
        <vertAlign val="subscript"/>
        <sz val="10"/>
        <rFont val="Times New Roman"/>
        <family val="1"/>
      </rPr>
      <t>c</t>
    </r>
    <r>
      <rPr>
        <sz val="10"/>
        <rFont val="맑은 고딕"/>
        <family val="3"/>
        <charset val="129"/>
        <scheme val="major"/>
      </rPr>
      <t>(</t>
    </r>
    <r>
      <rPr>
        <i/>
        <sz val="10"/>
        <rFont val="Times New Roman"/>
        <family val="1"/>
      </rPr>
      <t>l</t>
    </r>
    <r>
      <rPr>
        <i/>
        <vertAlign val="subscript"/>
        <sz val="10"/>
        <rFont val="Times New Roman"/>
        <family val="1"/>
      </rPr>
      <t>x</t>
    </r>
    <r>
      <rPr>
        <sz val="10"/>
        <rFont val="맑은 고딕"/>
        <family val="3"/>
        <charset val="129"/>
        <scheme val="major"/>
      </rPr>
      <t>)</t>
    </r>
    <phoneticPr fontId="4" type="noConversion"/>
  </si>
  <si>
    <t>■ 유효자유도</t>
    <phoneticPr fontId="4" type="noConversion"/>
  </si>
  <si>
    <t>■ 측정불확도</t>
    <phoneticPr fontId="4" type="noConversion"/>
  </si>
  <si>
    <t>※ 합성표준불확도를 구성하는 입력변수 중에서 직사각형 확률분포를 가지는 한 개 또는 두 개의 표준불확도 성분이</t>
    <phoneticPr fontId="4" type="noConversion"/>
  </si>
  <si>
    <t>전체의 대부분을 차지하는 경우가 아닌 경우, 유효자유도 계산 결과 값을 이용하여 t 분포표에서 신뢰수준 약 95%에</t>
    <phoneticPr fontId="4" type="noConversion"/>
  </si>
  <si>
    <r>
      <t xml:space="preserve">해당하는 </t>
    </r>
    <r>
      <rPr>
        <i/>
        <sz val="10"/>
        <rFont val="맑은 고딕"/>
        <family val="3"/>
        <charset val="129"/>
        <scheme val="major"/>
      </rPr>
      <t>k</t>
    </r>
    <r>
      <rPr>
        <sz val="10"/>
        <rFont val="맑은 고딕"/>
        <family val="3"/>
        <charset val="129"/>
        <scheme val="major"/>
      </rPr>
      <t>값을 찾아서 계산한다.</t>
    </r>
    <phoneticPr fontId="4" type="noConversion"/>
  </si>
  <si>
    <r>
      <t xml:space="preserve">이 때 유효자유도가 10 이상으로 충분히 큰 경우 포함인자 </t>
    </r>
    <r>
      <rPr>
        <i/>
        <sz val="10"/>
        <rFont val="맑은 고딕"/>
        <family val="3"/>
        <charset val="129"/>
        <scheme val="major"/>
      </rPr>
      <t>k</t>
    </r>
    <r>
      <rPr>
        <sz val="10"/>
        <rFont val="맑은 고딕"/>
        <family val="3"/>
        <charset val="129"/>
        <scheme val="major"/>
      </rPr>
      <t>=2를 적용한다.</t>
    </r>
    <phoneticPr fontId="4" type="noConversion"/>
  </si>
  <si>
    <t>※ 합성표준불확도를 구성하는 입력변수 중에서 직사각형 확률분포를 가지는 한 개 또는 두 개의 표준불확도 성분이</t>
    <phoneticPr fontId="4" type="noConversion"/>
  </si>
  <si>
    <t>전체의 대부분을 차지하는 경우, 주된 성분에 대한 잔여 성분의 크기가 0.3보다 작은지 점검한다.</t>
    <phoneticPr fontId="4" type="noConversion"/>
  </si>
  <si>
    <t>비율이 0.3보다 작으면 직사각형 확률분포를 적용하여 반너비의 비율을 구하고 사다리꼴 분포에 해당하는</t>
    <phoneticPr fontId="4" type="noConversion"/>
  </si>
  <si>
    <r>
      <t xml:space="preserve">포함인자 </t>
    </r>
    <r>
      <rPr>
        <i/>
        <sz val="10"/>
        <rFont val="맑은 고딕"/>
        <family val="3"/>
        <charset val="129"/>
        <scheme val="major"/>
      </rPr>
      <t>k</t>
    </r>
    <r>
      <rPr>
        <sz val="10"/>
        <rFont val="맑은 고딕"/>
        <family val="3"/>
        <charset val="129"/>
        <scheme val="major"/>
      </rPr>
      <t>를 구하여 계산한다.</t>
    </r>
    <phoneticPr fontId="4" type="noConversion"/>
  </si>
  <si>
    <r>
      <t>U</t>
    </r>
    <r>
      <rPr>
        <sz val="10"/>
        <rFont val="Times New Roman"/>
        <family val="1"/>
      </rPr>
      <t xml:space="preserve"> = </t>
    </r>
    <r>
      <rPr>
        <i/>
        <sz val="10"/>
        <rFont val="Times New Roman"/>
        <family val="1"/>
      </rPr>
      <t>k</t>
    </r>
    <r>
      <rPr>
        <sz val="10"/>
        <rFont val="Times New Roman"/>
        <family val="1"/>
      </rPr>
      <t xml:space="preserve"> × </t>
    </r>
    <r>
      <rPr>
        <i/>
        <sz val="10"/>
        <rFont val="Times New Roman"/>
        <family val="1"/>
      </rPr>
      <t>u</t>
    </r>
    <r>
      <rPr>
        <i/>
        <vertAlign val="subscript"/>
        <sz val="10"/>
        <rFont val="Times New Roman"/>
        <family val="1"/>
      </rPr>
      <t>c</t>
    </r>
    <r>
      <rPr>
        <sz val="10"/>
        <rFont val="Times New Roman"/>
        <family val="1"/>
      </rPr>
      <t xml:space="preserve"> = </t>
    </r>
    <phoneticPr fontId="4" type="noConversion"/>
  </si>
  <si>
    <t>≒</t>
    <phoneticPr fontId="4" type="noConversion"/>
  </si>
  <si>
    <t>Parallelism</t>
    <phoneticPr fontId="4" type="noConversion"/>
  </si>
  <si>
    <t>(μm)</t>
    <phoneticPr fontId="4" type="noConversion"/>
  </si>
  <si>
    <t>● Measurement uncertainty :</t>
    <phoneticPr fontId="4" type="noConversion"/>
  </si>
  <si>
    <t>Nominal
Value</t>
    <phoneticPr fontId="4" type="noConversion"/>
  </si>
  <si>
    <t>최댓값</t>
    <phoneticPr fontId="4" type="noConversion"/>
  </si>
  <si>
    <t>최솟값</t>
    <phoneticPr fontId="4" type="noConversion"/>
  </si>
  <si>
    <t>Deviation</t>
    <phoneticPr fontId="4" type="noConversion"/>
  </si>
  <si>
    <t>값</t>
    <phoneticPr fontId="4" type="noConversion"/>
  </si>
  <si>
    <t>수식</t>
    <phoneticPr fontId="4" type="noConversion"/>
  </si>
  <si>
    <t>성적서</t>
    <phoneticPr fontId="4" type="noConversion"/>
  </si>
  <si>
    <t>성적서</t>
    <phoneticPr fontId="4" type="noConversion"/>
  </si>
  <si>
    <t>조건</t>
    <phoneticPr fontId="4" type="noConversion"/>
  </si>
  <si>
    <t>기본수수료</t>
    <phoneticPr fontId="4" type="noConversion"/>
  </si>
  <si>
    <t>추가수수료</t>
    <phoneticPr fontId="4" type="noConversion"/>
  </si>
  <si>
    <t>최대범위</t>
    <phoneticPr fontId="4" type="noConversion"/>
  </si>
  <si>
    <t>추가범위</t>
    <phoneticPr fontId="4" type="noConversion"/>
  </si>
  <si>
    <t>추가</t>
    <phoneticPr fontId="4" type="noConversion"/>
  </si>
  <si>
    <t>인치?</t>
    <phoneticPr fontId="4" type="noConversion"/>
  </si>
  <si>
    <t>소계</t>
    <phoneticPr fontId="4" type="noConversion"/>
  </si>
  <si>
    <t>합계</t>
    <phoneticPr fontId="4" type="noConversion"/>
  </si>
  <si>
    <t>추가</t>
    <phoneticPr fontId="4" type="noConversion"/>
  </si>
  <si>
    <t>mm마다</t>
    <phoneticPr fontId="4" type="noConversion"/>
  </si>
  <si>
    <t>추가</t>
    <phoneticPr fontId="4" type="noConversion"/>
  </si>
  <si>
    <t>※ 인치의 경우 기본수수료에서 80% 추가함.</t>
    <phoneticPr fontId="4" type="noConversion"/>
  </si>
  <si>
    <t>mm 이하</t>
    <phoneticPr fontId="4" type="noConversion"/>
  </si>
  <si>
    <t>mm 초과</t>
    <phoneticPr fontId="4" type="noConversion"/>
  </si>
  <si>
    <t>※     는 스텝 게이지의 명목값이며, 단위는 mm 임.</t>
    <phoneticPr fontId="4" type="noConversion"/>
  </si>
  <si>
    <t>※     is the nominal value of the step gauge, and the unit is mm.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</si>
</sst>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7">
    <numFmt numFmtId="41" formatCode="_-* #,##0_-;\-* #,##0_-;_-* &quot;-&quot;_-;_-@_-"/>
    <numFmt numFmtId="43" formatCode="_-* #,##0.00_-;\-* #,##0.00_-;_-* &quot;-&quot;??_-;_-@_-"/>
    <numFmt numFmtId="176" formatCode="_ &quot;₩&quot;* #,##0.00_ ;_ &quot;₩&quot;* &quot;₩&quot;&quot;₩&quot;&quot;₩&quot;&quot;₩&quot;&quot;₩&quot;&quot;₩&quot;&quot;₩&quot;\-#,##0.00_ ;_ &quot;₩&quot;* &quot;-&quot;??_ ;_ @_ "/>
    <numFmt numFmtId="177" formatCode="&quot;₩&quot;#,##0;&quot;₩&quot;&quot;₩&quot;&quot;₩&quot;&quot;₩&quot;&quot;₩&quot;&quot;₩&quot;&quot;₩&quot;&quot;₩&quot;&quot;₩&quot;\-#,##0"/>
    <numFmt numFmtId="178" formatCode="_ * #,##0.00_ ;_ * &quot;₩&quot;&quot;₩&quot;&quot;₩&quot;&quot;₩&quot;&quot;₩&quot;&quot;₩&quot;&quot;₩&quot;\-#,##0.00_ ;_ * &quot;-&quot;??_ ;_ @_ "/>
    <numFmt numFmtId="179" formatCode="&quot;₩&quot;#,##0;[Red]&quot;₩&quot;&quot;₩&quot;&quot;₩&quot;&quot;₩&quot;&quot;₩&quot;&quot;₩&quot;&quot;₩&quot;&quot;₩&quot;&quot;₩&quot;\-#,##0"/>
    <numFmt numFmtId="180" formatCode="_ * #,##0_ ;_ * \-#,##0_ ;_ * &quot;-&quot;_ ;_ @_ "/>
    <numFmt numFmtId="181" formatCode="_ * #,##0.00_ ;_ * \-#,##0.00_ ;_ * &quot;-&quot;??_ ;_ @_ "/>
    <numFmt numFmtId="182" formatCode="&quot;₩&quot;#,##0;&quot;₩&quot;&quot;₩&quot;&quot;₩&quot;&quot;₩&quot;&quot;₩&quot;&quot;₩&quot;&quot;₩&quot;&quot;₩&quot;\-#,##0"/>
    <numFmt numFmtId="183" formatCode="&quot;₩&quot;#,##0.00;&quot;₩&quot;&quot;₩&quot;&quot;₩&quot;&quot;₩&quot;&quot;₩&quot;&quot;₩&quot;&quot;₩&quot;&quot;₩&quot;\-#,##0.00"/>
    <numFmt numFmtId="184" formatCode="################################"/>
    <numFmt numFmtId="185" formatCode="0.0\ &quot;℃&quot;"/>
    <numFmt numFmtId="186" formatCode="0\ &quot;％ R.H.&quot;"/>
    <numFmt numFmtId="187" formatCode="0.0\ &quot;hPa&quot;"/>
    <numFmt numFmtId="188" formatCode="0.000_ "/>
    <numFmt numFmtId="189" formatCode="0.000000_ "/>
    <numFmt numFmtId="190" formatCode="0.0_ "/>
    <numFmt numFmtId="191" formatCode="0.000"/>
    <numFmt numFmtId="192" formatCode="####\-##\-##"/>
    <numFmt numFmtId="193" formatCode="0.0000_);[Red]\(0.0000\)"/>
    <numFmt numFmtId="194" formatCode="0.0000_ "/>
    <numFmt numFmtId="195" formatCode="\√\(0\)"/>
    <numFmt numFmtId="196" formatCode="0.0"/>
    <numFmt numFmtId="197" formatCode="#0.0\ E+00"/>
    <numFmt numFmtId="198" formatCode="&quot;0&quot;.0#\ E+00"/>
    <numFmt numFmtId="199" formatCode="_-* #,##0_-;\-* #,##0_-;_-* &quot;-&quot;??_-;_-@_-"/>
    <numFmt numFmtId="200" formatCode="0.000000"/>
    <numFmt numFmtId="201" formatCode="0_ "/>
    <numFmt numFmtId="202" formatCode="0.0E+00"/>
    <numFmt numFmtId="203" formatCode="0.00000"/>
    <numFmt numFmtId="204" formatCode="_-* #,##0.0_-;\-* #,##0.0_-;_-* &quot;-&quot;?_-;_-@_-"/>
    <numFmt numFmtId="205" formatCode="0\ &quot;mm&quot;"/>
    <numFmt numFmtId="206" formatCode="0.000\ 00"/>
    <numFmt numFmtId="207" formatCode="0.0\ &quot;kg&quot;"/>
    <numFmt numFmtId="208" formatCode="0.000\ &quot;kg&quot;"/>
    <numFmt numFmtId="209" formatCode="0.00\ &quot;mg&quot;"/>
    <numFmt numFmtId="210" formatCode="\(0.00\ &quot;μm&quot;\)"/>
    <numFmt numFmtId="211" formatCode="0.00\ &quot;μm&quot;"/>
    <numFmt numFmtId="212" formatCode="0.000\ \℃"/>
    <numFmt numFmtId="213" formatCode="0.00\ \℃"/>
    <numFmt numFmtId="214" formatCode="0\ &quot;nm&quot;"/>
    <numFmt numFmtId="215" formatCode="#\ ##0.0\ &quot;mg&quot;"/>
    <numFmt numFmtId="216" formatCode="General\ &quot;μm&quot;"/>
    <numFmt numFmtId="217" formatCode="0.0000"/>
    <numFmt numFmtId="218" formatCode="#\ ###\ ###"/>
    <numFmt numFmtId="219" formatCode="0.000\ &quot;μm&quot;"/>
    <numFmt numFmtId="220" formatCode="0.0\ &quot;μm&quot;"/>
  </numFmts>
  <fonts count="109">
    <font>
      <sz val="11"/>
      <name val="돋움"/>
      <family val="3"/>
      <charset val="129"/>
    </font>
    <font>
      <sz val="9"/>
      <name val="Tahoma"/>
      <family val="2"/>
    </font>
    <font>
      <b/>
      <sz val="9"/>
      <name val="Tahoma"/>
      <family val="2"/>
    </font>
    <font>
      <sz val="11"/>
      <name val="돋움"/>
      <family val="3"/>
      <charset val="129"/>
    </font>
    <font>
      <sz val="8"/>
      <name val="돋움"/>
      <family val="3"/>
      <charset val="129"/>
    </font>
    <font>
      <b/>
      <sz val="9"/>
      <color indexed="9"/>
      <name val="Tahoma"/>
      <family val="2"/>
    </font>
    <font>
      <sz val="10"/>
      <name val="Arial"/>
      <family val="2"/>
    </font>
    <font>
      <b/>
      <sz val="9"/>
      <color indexed="9"/>
      <name val="돋움"/>
      <family val="3"/>
      <charset val="129"/>
    </font>
    <font>
      <sz val="8"/>
      <name val="Tahoma"/>
      <family val="2"/>
    </font>
    <font>
      <sz val="11"/>
      <name val="Tahoma"/>
      <family val="2"/>
    </font>
    <font>
      <sz val="10"/>
      <name val="Tahoma"/>
      <family val="2"/>
    </font>
    <font>
      <b/>
      <sz val="8"/>
      <name val="Tahoma"/>
      <family val="2"/>
    </font>
    <font>
      <sz val="8"/>
      <color indexed="8"/>
      <name val="Tahoma"/>
      <family val="2"/>
    </font>
    <font>
      <sz val="12"/>
      <name val="바탕체"/>
      <family val="1"/>
      <charset val="129"/>
    </font>
    <font>
      <sz val="11"/>
      <color indexed="8"/>
      <name val="맑은 고딕"/>
      <family val="3"/>
      <charset val="129"/>
    </font>
    <font>
      <sz val="11"/>
      <color indexed="9"/>
      <name val="맑은 고딕"/>
      <family val="3"/>
      <charset val="129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u/>
      <sz val="10"/>
      <color indexed="36"/>
      <name val="Arial"/>
      <family val="2"/>
    </font>
    <font>
      <sz val="11"/>
      <color indexed="60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sz val="12"/>
      <name val="¹ÙÅÁÃ¼"/>
      <family val="1"/>
      <charset val="129"/>
    </font>
    <font>
      <sz val="14"/>
      <name val="¾©"/>
      <family val="3"/>
      <charset val="129"/>
    </font>
    <font>
      <sz val="10"/>
      <name val="±¼¸²Ã¼"/>
      <family val="3"/>
      <charset val="129"/>
    </font>
    <font>
      <sz val="8"/>
      <name val="Arial"/>
      <family val="2"/>
    </font>
    <font>
      <sz val="10"/>
      <name val="Helv"/>
      <family val="2"/>
    </font>
    <font>
      <sz val="12"/>
      <name val="¾©"/>
      <family val="3"/>
      <charset val="129"/>
    </font>
    <font>
      <b/>
      <sz val="20"/>
      <name val="Tahoma"/>
      <family val="2"/>
    </font>
    <font>
      <b/>
      <sz val="20"/>
      <name val="돋움"/>
      <family val="3"/>
      <charset val="129"/>
    </font>
    <font>
      <b/>
      <sz val="8"/>
      <name val="맑은 고딕"/>
      <family val="3"/>
      <charset val="129"/>
    </font>
    <font>
      <sz val="8"/>
      <name val="맑은 고딕"/>
      <family val="3"/>
      <charset val="129"/>
    </font>
    <font>
      <sz val="12"/>
      <name val="뼻뮝"/>
      <family val="1"/>
      <charset val="129"/>
    </font>
    <font>
      <sz val="10"/>
      <name val="굴림체"/>
      <family val="3"/>
      <charset val="129"/>
    </font>
    <font>
      <sz val="8"/>
      <color indexed="10"/>
      <name val="Tahoma"/>
      <family val="2"/>
    </font>
    <font>
      <sz val="8"/>
      <name val="맑은 고딕"/>
      <family val="3"/>
      <charset val="129"/>
    </font>
    <font>
      <sz val="8"/>
      <color indexed="8"/>
      <name val="Tahoma"/>
      <family val="2"/>
    </font>
    <font>
      <b/>
      <sz val="23"/>
      <name val="Arial Unicode MS"/>
      <family val="3"/>
      <charset val="129"/>
    </font>
    <font>
      <sz val="9"/>
      <name val="Arial Unicode MS"/>
      <family val="3"/>
      <charset val="129"/>
    </font>
    <font>
      <b/>
      <sz val="12"/>
      <name val="Arial Unicode MS"/>
      <family val="3"/>
      <charset val="129"/>
    </font>
    <font>
      <sz val="9"/>
      <color indexed="8"/>
      <name val="Arial Unicode MS"/>
      <family val="3"/>
      <charset val="129"/>
    </font>
    <font>
      <sz val="11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0"/>
      <color theme="0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10"/>
      <name val="맑은 고딕"/>
      <family val="3"/>
      <charset val="129"/>
    </font>
    <font>
      <b/>
      <sz val="22"/>
      <name val="맑은 고딕"/>
      <family val="3"/>
      <charset val="129"/>
      <scheme val="minor"/>
    </font>
    <font>
      <sz val="9"/>
      <color indexed="8"/>
      <name val="맑은 고딕"/>
      <family val="3"/>
      <charset val="129"/>
    </font>
    <font>
      <sz val="12"/>
      <color indexed="8"/>
      <name val="굴림"/>
      <family val="3"/>
      <charset val="129"/>
    </font>
    <font>
      <b/>
      <sz val="9"/>
      <color theme="0"/>
      <name val="맑은 고딕"/>
      <family val="3"/>
      <charset val="129"/>
    </font>
    <font>
      <b/>
      <sz val="9"/>
      <name val="Arial Unicode MS"/>
      <family val="3"/>
      <charset val="129"/>
    </font>
    <font>
      <b/>
      <sz val="9"/>
      <name val="돋움"/>
      <family val="3"/>
      <charset val="129"/>
    </font>
    <font>
      <b/>
      <sz val="8"/>
      <name val="돋움"/>
      <family val="3"/>
      <charset val="129"/>
    </font>
    <font>
      <sz val="8"/>
      <name val="맑은 고딕"/>
      <family val="3"/>
      <charset val="129"/>
      <scheme val="major"/>
    </font>
    <font>
      <sz val="9"/>
      <color rgb="FFFF0000"/>
      <name val="Arial Unicode MS"/>
      <family val="3"/>
      <charset val="129"/>
    </font>
    <font>
      <sz val="10"/>
      <name val="맑은 고딕"/>
      <family val="3"/>
      <charset val="129"/>
      <scheme val="major"/>
    </font>
    <font>
      <b/>
      <sz val="20"/>
      <name val="Felix Titling"/>
      <family val="5"/>
    </font>
    <font>
      <b/>
      <sz val="9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9"/>
      <name val="맑은 고딕"/>
      <family val="3"/>
      <charset val="129"/>
      <scheme val="minor"/>
    </font>
    <font>
      <b/>
      <sz val="9"/>
      <name val="맑은 고딕"/>
      <family val="3"/>
      <charset val="129"/>
      <scheme val="major"/>
    </font>
    <font>
      <sz val="9"/>
      <name val="맑은 고딕"/>
      <family val="3"/>
      <charset val="129"/>
      <scheme val="major"/>
    </font>
    <font>
      <b/>
      <sz val="9"/>
      <color indexed="9"/>
      <name val="맑은 고딕"/>
      <family val="3"/>
      <charset val="129"/>
      <scheme val="major"/>
    </font>
    <font>
      <b/>
      <sz val="9"/>
      <color indexed="9"/>
      <name val="굴림"/>
      <family val="3"/>
      <charset val="129"/>
    </font>
    <font>
      <b/>
      <sz val="9"/>
      <color rgb="FFFF0000"/>
      <name val="Tahoma"/>
      <family val="2"/>
    </font>
    <font>
      <b/>
      <sz val="10"/>
      <color rgb="FFFF0000"/>
      <name val="맑은 고딕"/>
      <family val="3"/>
      <charset val="129"/>
      <scheme val="minor"/>
    </font>
    <font>
      <b/>
      <i/>
      <sz val="9"/>
      <color indexed="9"/>
      <name val="Times New Roman"/>
      <family val="1"/>
    </font>
    <font>
      <b/>
      <vertAlign val="subscript"/>
      <sz val="9"/>
      <color indexed="9"/>
      <name val="Times New Roman"/>
      <family val="1"/>
    </font>
    <font>
      <sz val="9"/>
      <name val="돋움"/>
      <family val="3"/>
      <charset val="129"/>
    </font>
    <font>
      <b/>
      <vertAlign val="subscript"/>
      <sz val="9"/>
      <color indexed="9"/>
      <name val="맑은 고딕"/>
      <family val="3"/>
      <charset val="129"/>
      <scheme val="major"/>
    </font>
    <font>
      <sz val="9"/>
      <color theme="0" tint="-0.249977111117893"/>
      <name val="맑은 고딕"/>
      <family val="3"/>
      <charset val="129"/>
      <scheme val="major"/>
    </font>
    <font>
      <b/>
      <sz val="9"/>
      <color indexed="8"/>
      <name val="Arial Unicode MS"/>
      <family val="3"/>
      <charset val="129"/>
    </font>
    <font>
      <b/>
      <vertAlign val="superscript"/>
      <sz val="9"/>
      <color indexed="9"/>
      <name val="맑은 고딕"/>
      <family val="3"/>
      <charset val="129"/>
      <scheme val="major"/>
    </font>
    <font>
      <sz val="9"/>
      <color indexed="9"/>
      <name val="맑은 고딕"/>
      <family val="3"/>
      <charset val="129"/>
      <scheme val="major"/>
    </font>
    <font>
      <vertAlign val="subscript"/>
      <sz val="9"/>
      <name val="맑은 고딕"/>
      <family val="3"/>
      <charset val="129"/>
      <scheme val="major"/>
    </font>
    <font>
      <b/>
      <sz val="20"/>
      <name val="맑은 고딕"/>
      <family val="3"/>
      <charset val="129"/>
      <scheme val="minor"/>
    </font>
    <font>
      <b/>
      <sz val="10"/>
      <name val="맑은 고딕"/>
      <family val="3"/>
      <charset val="129"/>
      <scheme val="major"/>
    </font>
    <font>
      <i/>
      <sz val="10"/>
      <name val="Times New Roman"/>
      <family val="1"/>
    </font>
    <font>
      <i/>
      <vertAlign val="subscript"/>
      <sz val="10"/>
      <name val="Times New Roman"/>
      <family val="1"/>
    </font>
    <font>
      <vertAlign val="subscript"/>
      <sz val="10"/>
      <name val="Times New Roman"/>
      <family val="1"/>
    </font>
    <font>
      <sz val="10"/>
      <name val="Times New Roman"/>
      <family val="1"/>
    </font>
    <font>
      <vertAlign val="subscript"/>
      <sz val="10"/>
      <name val="맑은 고딕"/>
      <family val="3"/>
      <charset val="129"/>
      <scheme val="minor"/>
    </font>
    <font>
      <b/>
      <sz val="10"/>
      <name val="맑은 고딕"/>
      <family val="1"/>
      <scheme val="major"/>
    </font>
    <font>
      <b/>
      <sz val="10"/>
      <name val="Times New Roman"/>
      <family val="1"/>
    </font>
    <font>
      <b/>
      <i/>
      <sz val="10"/>
      <name val="Times New Roman"/>
      <family val="1"/>
    </font>
    <font>
      <b/>
      <i/>
      <vertAlign val="subscript"/>
      <sz val="10"/>
      <name val="Times New Roman"/>
      <family val="1"/>
    </font>
    <font>
      <sz val="10"/>
      <name val="맑은 고딕"/>
      <family val="1"/>
      <scheme val="minor"/>
    </font>
    <font>
      <sz val="10"/>
      <name val="바탕"/>
      <family val="1"/>
      <charset val="129"/>
    </font>
    <font>
      <sz val="10"/>
      <name val="맑은 고딕"/>
      <family val="1"/>
      <scheme val="major"/>
    </font>
    <font>
      <sz val="10"/>
      <color rgb="FFFF0000"/>
      <name val="맑은 고딕"/>
      <family val="3"/>
      <charset val="129"/>
      <scheme val="major"/>
    </font>
    <font>
      <sz val="10"/>
      <color rgb="FFFF0000"/>
      <name val="맑은 고딕"/>
      <family val="3"/>
      <charset val="129"/>
      <scheme val="minor"/>
    </font>
    <font>
      <vertAlign val="superscript"/>
      <sz val="10"/>
      <name val="맑은 고딕"/>
      <family val="3"/>
      <charset val="129"/>
      <scheme val="major"/>
    </font>
    <font>
      <b/>
      <sz val="10"/>
      <name val="맑은 고딕"/>
      <family val="3"/>
      <charset val="129"/>
    </font>
    <font>
      <b/>
      <i/>
      <sz val="10"/>
      <name val="맑은 고딕"/>
      <family val="3"/>
      <charset val="129"/>
    </font>
    <font>
      <i/>
      <vertAlign val="superscript"/>
      <sz val="10"/>
      <name val="Times New Roman"/>
      <family val="1"/>
    </font>
    <font>
      <vertAlign val="subscript"/>
      <sz val="11"/>
      <name val="돋움"/>
      <family val="3"/>
      <charset val="129"/>
    </font>
    <font>
      <b/>
      <vertAlign val="subscript"/>
      <sz val="10"/>
      <name val="Times New Roman"/>
      <family val="1"/>
    </font>
    <font>
      <i/>
      <sz val="10"/>
      <name val="맑은 고딕"/>
      <family val="3"/>
      <charset val="129"/>
      <scheme val="major"/>
    </font>
    <font>
      <sz val="9"/>
      <color rgb="FFFF0000"/>
      <name val="Tahoma"/>
      <family val="2"/>
    </font>
  </fonts>
  <fills count="4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249977111117893"/>
        <bgColor indexed="0"/>
      </patternFill>
    </fill>
    <fill>
      <patternFill patternType="solid">
        <fgColor rgb="FF00206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8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/>
      <top style="thin">
        <color indexed="22"/>
      </top>
      <bottom/>
      <diagonal/>
    </border>
    <border>
      <left/>
      <right/>
      <top style="thin">
        <color indexed="22"/>
      </top>
      <bottom/>
      <diagonal/>
    </border>
    <border>
      <left/>
      <right style="thin">
        <color indexed="22"/>
      </right>
      <top style="thin">
        <color indexed="22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/>
      <bottom style="thin">
        <color theme="0" tint="-0.499984740745262"/>
      </bottom>
      <diagonal/>
    </border>
  </borders>
  <cellStyleXfs count="173">
    <xf numFmtId="0" fontId="0" fillId="0" borderId="0">
      <alignment vertical="center"/>
    </xf>
    <xf numFmtId="0" fontId="13" fillId="0" borderId="0"/>
    <xf numFmtId="0" fontId="13" fillId="0" borderId="0"/>
    <xf numFmtId="40" fontId="33" fillId="0" borderId="0" applyFont="0" applyFill="0" applyBorder="0" applyAlignment="0" applyProtection="0"/>
    <xf numFmtId="38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37" fillId="0" borderId="0"/>
    <xf numFmtId="0" fontId="37" fillId="0" borderId="0"/>
    <xf numFmtId="0" fontId="14" fillId="2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176" fontId="32" fillId="0" borderId="0" applyFont="0" applyFill="0" applyBorder="0" applyAlignment="0" applyProtection="0"/>
    <xf numFmtId="177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179" fontId="32" fillId="0" borderId="0" applyFont="0" applyFill="0" applyBorder="0" applyAlignment="0" applyProtection="0"/>
    <xf numFmtId="0" fontId="34" fillId="0" borderId="0"/>
    <xf numFmtId="180" fontId="6" fillId="0" borderId="0" applyFont="0" applyFill="0" applyBorder="0" applyAlignment="0" applyProtection="0"/>
    <xf numFmtId="181" fontId="6" fillId="0" borderId="0" applyFont="0" applyFill="0" applyBorder="0" applyAlignment="0" applyProtection="0"/>
    <xf numFmtId="182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38" fontId="35" fillId="16" borderId="0" applyNumberFormat="0" applyBorder="0" applyAlignment="0" applyProtection="0"/>
    <xf numFmtId="10" fontId="35" fillId="17" borderId="1" applyNumberFormat="0" applyBorder="0" applyAlignment="0" applyProtection="0"/>
    <xf numFmtId="0" fontId="36" fillId="0" borderId="0"/>
    <xf numFmtId="0" fontId="6" fillId="0" borderId="0"/>
    <xf numFmtId="10" fontId="6" fillId="0" borderId="0" applyFont="0" applyFill="0" applyBorder="0" applyAlignment="0" applyProtection="0"/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22" borderId="2" applyNumberFormat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top"/>
      <protection locked="0"/>
    </xf>
    <xf numFmtId="0" fontId="3" fillId="23" borderId="3" applyNumberFormat="0" applyFont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42" fillId="0" borderId="0"/>
    <xf numFmtId="0" fontId="21" fillId="0" borderId="0" applyNumberFormat="0" applyFill="0" applyBorder="0" applyAlignment="0" applyProtection="0">
      <alignment vertical="center"/>
    </xf>
    <xf numFmtId="0" fontId="22" fillId="25" borderId="4" applyNumberFormat="0" applyAlignment="0" applyProtection="0">
      <alignment vertical="center"/>
    </xf>
    <xf numFmtId="0" fontId="6" fillId="0" borderId="0"/>
    <xf numFmtId="0" fontId="23" fillId="0" borderId="5" applyNumberFormat="0" applyFill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25" fillId="7" borderId="2" applyNumberForma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7" applyNumberFormat="0" applyFill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22" borderId="10" applyNumberFormat="0" applyAlignment="0" applyProtection="0">
      <alignment vertical="center"/>
    </xf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43" fillId="0" borderId="0">
      <alignment vertical="center"/>
    </xf>
    <xf numFmtId="0" fontId="3" fillId="0" borderId="0">
      <alignment vertical="center"/>
    </xf>
    <xf numFmtId="0" fontId="3" fillId="0" borderId="0"/>
    <xf numFmtId="0" fontId="51" fillId="0" borderId="0">
      <alignment vertical="center"/>
    </xf>
    <xf numFmtId="0" fontId="14" fillId="0" borderId="0">
      <alignment vertical="center"/>
    </xf>
    <xf numFmtId="0" fontId="3" fillId="0" borderId="0"/>
    <xf numFmtId="0" fontId="4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58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10" fontId="35" fillId="17" borderId="54" applyNumberFormat="0" applyBorder="0" applyAlignment="0" applyProtection="0"/>
    <xf numFmtId="0" fontId="17" fillId="22" borderId="55" applyNumberFormat="0" applyAlignment="0" applyProtection="0">
      <alignment vertical="center"/>
    </xf>
    <xf numFmtId="0" fontId="3" fillId="23" borderId="52" applyNumberFormat="0" applyFont="0" applyAlignment="0" applyProtection="0">
      <alignment vertical="center"/>
    </xf>
    <xf numFmtId="0" fontId="24" fillId="0" borderId="56" applyNumberFormat="0" applyFill="0" applyAlignment="0" applyProtection="0">
      <alignment vertical="center"/>
    </xf>
    <xf numFmtId="0" fontId="25" fillId="7" borderId="55" applyNumberFormat="0" applyAlignment="0" applyProtection="0">
      <alignment vertical="center"/>
    </xf>
    <xf numFmtId="0" fontId="31" fillId="22" borderId="57" applyNumberFormat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10" fontId="35" fillId="17" borderId="54" applyNumberFormat="0" applyBorder="0" applyAlignment="0" applyProtection="0"/>
    <xf numFmtId="0" fontId="17" fillId="22" borderId="55" applyNumberFormat="0" applyAlignment="0" applyProtection="0">
      <alignment vertical="center"/>
    </xf>
    <xf numFmtId="0" fontId="3" fillId="23" borderId="52" applyNumberFormat="0" applyFont="0" applyAlignment="0" applyProtection="0">
      <alignment vertical="center"/>
    </xf>
    <xf numFmtId="0" fontId="24" fillId="0" borderId="56" applyNumberFormat="0" applyFill="0" applyAlignment="0" applyProtection="0">
      <alignment vertical="center"/>
    </xf>
    <xf numFmtId="0" fontId="25" fillId="7" borderId="55" applyNumberFormat="0" applyAlignment="0" applyProtection="0">
      <alignment vertical="center"/>
    </xf>
    <xf numFmtId="0" fontId="31" fillId="22" borderId="57" applyNumberFormat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17" fillId="22" borderId="77" applyNumberFormat="0" applyAlignment="0" applyProtection="0">
      <alignment vertical="center"/>
    </xf>
    <xf numFmtId="0" fontId="3" fillId="23" borderId="76" applyNumberFormat="0" applyFont="0" applyAlignment="0" applyProtection="0">
      <alignment vertical="center"/>
    </xf>
    <xf numFmtId="0" fontId="24" fillId="0" borderId="78" applyNumberFormat="0" applyFill="0" applyAlignment="0" applyProtection="0">
      <alignment vertical="center"/>
    </xf>
    <xf numFmtId="0" fontId="25" fillId="7" borderId="77" applyNumberFormat="0" applyAlignment="0" applyProtection="0">
      <alignment vertical="center"/>
    </xf>
    <xf numFmtId="0" fontId="31" fillId="22" borderId="79" applyNumberFormat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17" fillId="22" borderId="77" applyNumberFormat="0" applyAlignment="0" applyProtection="0">
      <alignment vertical="center"/>
    </xf>
    <xf numFmtId="0" fontId="3" fillId="23" borderId="76" applyNumberFormat="0" applyFont="0" applyAlignment="0" applyProtection="0">
      <alignment vertical="center"/>
    </xf>
    <xf numFmtId="0" fontId="24" fillId="0" borderId="78" applyNumberFormat="0" applyFill="0" applyAlignment="0" applyProtection="0">
      <alignment vertical="center"/>
    </xf>
    <xf numFmtId="0" fontId="25" fillId="7" borderId="77" applyNumberFormat="0" applyAlignment="0" applyProtection="0">
      <alignment vertical="center"/>
    </xf>
    <xf numFmtId="0" fontId="31" fillId="22" borderId="79" applyNumberFormat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10" fontId="35" fillId="17" borderId="54" applyNumberFormat="0" applyBorder="0" applyAlignment="0" applyProtection="0"/>
    <xf numFmtId="0" fontId="17" fillId="22" borderId="77" applyNumberFormat="0" applyAlignment="0" applyProtection="0">
      <alignment vertical="center"/>
    </xf>
    <xf numFmtId="0" fontId="3" fillId="23" borderId="76" applyNumberFormat="0" applyFont="0" applyAlignment="0" applyProtection="0">
      <alignment vertical="center"/>
    </xf>
    <xf numFmtId="0" fontId="24" fillId="0" borderId="78" applyNumberFormat="0" applyFill="0" applyAlignment="0" applyProtection="0">
      <alignment vertical="center"/>
    </xf>
    <xf numFmtId="0" fontId="25" fillId="7" borderId="77" applyNumberFormat="0" applyAlignment="0" applyProtection="0">
      <alignment vertical="center"/>
    </xf>
    <xf numFmtId="0" fontId="31" fillId="22" borderId="79" applyNumberFormat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6" fillId="0" borderId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10" fontId="35" fillId="17" borderId="54" applyNumberFormat="0" applyBorder="0" applyAlignment="0" applyProtection="0"/>
    <xf numFmtId="0" fontId="3" fillId="23" borderId="76" applyNumberFormat="0" applyFont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10" fontId="35" fillId="17" borderId="54" applyNumberFormat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10" fontId="35" fillId="17" borderId="54" applyNumberFormat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23" borderId="76" applyNumberFormat="0" applyFont="0" applyAlignment="0" applyProtection="0">
      <alignment vertical="center"/>
    </xf>
    <xf numFmtId="0" fontId="3" fillId="23" borderId="76" applyNumberFormat="0" applyFont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10" fontId="35" fillId="17" borderId="54" applyNumberFormat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23" borderId="76" applyNumberFormat="0" applyFont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23" borderId="76" applyNumberFormat="0" applyFont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</cellStyleXfs>
  <cellXfs count="553">
    <xf numFmtId="0" fontId="0" fillId="0" borderId="0" xfId="0">
      <alignment vertical="center"/>
    </xf>
    <xf numFmtId="0" fontId="1" fillId="0" borderId="0" xfId="0" applyFont="1" applyFill="1" applyBorder="1">
      <alignment vertical="center"/>
    </xf>
    <xf numFmtId="0" fontId="41" fillId="0" borderId="1" xfId="0" applyFont="1" applyFill="1" applyBorder="1" applyAlignment="1" applyProtection="1">
      <alignment horizontal="center" vertical="center" shrinkToFit="1"/>
    </xf>
    <xf numFmtId="0" fontId="8" fillId="0" borderId="1" xfId="0" applyFont="1" applyFill="1" applyBorder="1" applyAlignment="1" applyProtection="1">
      <alignment horizontal="center" vertical="center" shrinkToFit="1"/>
    </xf>
    <xf numFmtId="0" fontId="44" fillId="0" borderId="0" xfId="0" applyFont="1" applyFill="1" applyBorder="1">
      <alignment vertical="center"/>
    </xf>
    <xf numFmtId="0" fontId="8" fillId="0" borderId="0" xfId="0" applyFont="1" applyFill="1" applyBorder="1">
      <alignment vertical="center"/>
    </xf>
    <xf numFmtId="0" fontId="41" fillId="0" borderId="1" xfId="0" applyFont="1" applyFill="1" applyBorder="1" applyAlignment="1" applyProtection="1">
      <alignment horizontal="center" vertical="center"/>
    </xf>
    <xf numFmtId="0" fontId="1" fillId="0" borderId="0" xfId="0" applyFont="1" applyFill="1" applyBorder="1" applyAlignment="1">
      <alignment vertical="center"/>
    </xf>
    <xf numFmtId="0" fontId="8" fillId="0" borderId="1" xfId="0" applyFont="1" applyFill="1" applyBorder="1" applyAlignment="1" applyProtection="1">
      <alignment horizontal="center" vertical="center"/>
    </xf>
    <xf numFmtId="0" fontId="12" fillId="17" borderId="1" xfId="0" applyFont="1" applyFill="1" applyBorder="1" applyAlignment="1" applyProtection="1">
      <alignment horizontal="center" vertical="center" shrinkToFit="1"/>
      <protection locked="0"/>
    </xf>
    <xf numFmtId="14" fontId="1" fillId="0" borderId="0" xfId="0" applyNumberFormat="1" applyFont="1" applyFill="1" applyBorder="1">
      <alignment vertical="center"/>
    </xf>
    <xf numFmtId="0" fontId="12" fillId="17" borderId="1" xfId="0" applyFont="1" applyFill="1" applyBorder="1" applyAlignment="1" applyProtection="1">
      <alignment horizontal="center" vertical="center" shrinkToFit="1"/>
      <protection locked="0"/>
    </xf>
    <xf numFmtId="0" fontId="52" fillId="0" borderId="0" xfId="0" applyFont="1" applyAlignment="1">
      <alignment horizontal="center" vertical="center"/>
    </xf>
    <xf numFmtId="0" fontId="53" fillId="26" borderId="0" xfId="0" applyFont="1" applyFill="1" applyAlignment="1">
      <alignment horizontal="center" vertical="center" wrapText="1"/>
    </xf>
    <xf numFmtId="0" fontId="56" fillId="0" borderId="0" xfId="0" applyFont="1" applyAlignment="1">
      <alignment horizontal="left" vertical="center"/>
    </xf>
    <xf numFmtId="0" fontId="12" fillId="17" borderId="1" xfId="0" applyFont="1" applyFill="1" applyBorder="1" applyAlignment="1" applyProtection="1">
      <alignment horizontal="center" vertical="center" shrinkToFit="1"/>
      <protection locked="0"/>
    </xf>
    <xf numFmtId="0" fontId="54" fillId="0" borderId="0" xfId="0" applyFont="1" applyAlignment="1">
      <alignment vertical="center"/>
    </xf>
    <xf numFmtId="0" fontId="12" fillId="17" borderId="1" xfId="0" applyFont="1" applyFill="1" applyBorder="1" applyAlignment="1" applyProtection="1">
      <alignment horizontal="center" vertical="center" shrinkToFit="1"/>
      <protection locked="0"/>
    </xf>
    <xf numFmtId="0" fontId="57" fillId="0" borderId="0" xfId="0" applyFont="1" applyBorder="1" applyAlignment="1">
      <alignment horizontal="center" vertical="center"/>
    </xf>
    <xf numFmtId="0" fontId="12" fillId="17" borderId="1" xfId="0" applyFont="1" applyFill="1" applyBorder="1" applyAlignment="1" applyProtection="1">
      <alignment horizontal="center" vertical="center" shrinkToFit="1"/>
      <protection locked="0"/>
    </xf>
    <xf numFmtId="0" fontId="12" fillId="17" borderId="1" xfId="0" applyFont="1" applyFill="1" applyBorder="1" applyAlignment="1" applyProtection="1">
      <alignment horizontal="center" vertical="center" shrinkToFit="1"/>
      <protection locked="0"/>
    </xf>
    <xf numFmtId="0" fontId="48" fillId="0" borderId="0" xfId="79" applyNumberFormat="1" applyFont="1"/>
    <xf numFmtId="0" fontId="55" fillId="0" borderId="25" xfId="0" applyFont="1" applyBorder="1" applyAlignment="1">
      <alignment horizontal="center" vertical="center"/>
    </xf>
    <xf numFmtId="0" fontId="52" fillId="0" borderId="25" xfId="0" applyFont="1" applyBorder="1" applyAlignment="1">
      <alignment horizontal="center" vertical="center"/>
    </xf>
    <xf numFmtId="0" fontId="5" fillId="0" borderId="0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left" vertical="center"/>
    </xf>
    <xf numFmtId="0" fontId="1" fillId="0" borderId="0" xfId="0" applyNumberFormat="1" applyFont="1" applyFill="1" applyBorder="1" applyAlignment="1">
      <alignment vertical="center"/>
    </xf>
    <xf numFmtId="0" fontId="10" fillId="0" borderId="0" xfId="0" applyNumberFormat="1" applyFont="1" applyFill="1" applyAlignment="1">
      <alignment vertical="center"/>
    </xf>
    <xf numFmtId="0" fontId="10" fillId="0" borderId="0" xfId="0" applyNumberFormat="1" applyFont="1" applyFill="1" applyAlignment="1">
      <alignment horizontal="center" vertical="center"/>
    </xf>
    <xf numFmtId="0" fontId="12" fillId="17" borderId="1" xfId="0" applyFont="1" applyFill="1" applyBorder="1" applyAlignment="1" applyProtection="1">
      <alignment horizontal="center" vertical="center" shrinkToFit="1"/>
      <protection locked="0"/>
    </xf>
    <xf numFmtId="0" fontId="52" fillId="0" borderId="0" xfId="0" applyNumberFormat="1" applyFont="1" applyBorder="1" applyAlignment="1">
      <alignment horizontal="center" vertical="center"/>
    </xf>
    <xf numFmtId="49" fontId="55" fillId="0" borderId="25" xfId="0" applyNumberFormat="1" applyFont="1" applyBorder="1" applyAlignment="1">
      <alignment horizontal="center" vertical="center"/>
    </xf>
    <xf numFmtId="0" fontId="8" fillId="29" borderId="11" xfId="0" applyFont="1" applyFill="1" applyBorder="1" applyAlignment="1" applyProtection="1">
      <alignment horizontal="center" vertical="center"/>
      <protection locked="0"/>
    </xf>
    <xf numFmtId="0" fontId="8" fillId="29" borderId="1" xfId="0" applyFont="1" applyFill="1" applyBorder="1" applyAlignment="1" applyProtection="1">
      <alignment horizontal="center" vertical="center" shrinkToFit="1"/>
      <protection locked="0"/>
    </xf>
    <xf numFmtId="0" fontId="48" fillId="0" borderId="0" xfId="79" applyNumberFormat="1" applyFont="1" applyFill="1" applyBorder="1" applyAlignment="1">
      <alignment vertical="center"/>
    </xf>
    <xf numFmtId="0" fontId="48" fillId="0" borderId="0" xfId="79" applyNumberFormat="1" applyFont="1" applyFill="1" applyAlignment="1">
      <alignment horizontal="center" vertical="center"/>
    </xf>
    <xf numFmtId="0" fontId="48" fillId="0" borderId="0" xfId="79" applyNumberFormat="1" applyFont="1" applyFill="1" applyAlignment="1">
      <alignment vertical="center"/>
    </xf>
    <xf numFmtId="0" fontId="11" fillId="0" borderId="0" xfId="0" applyFont="1" applyFill="1" applyBorder="1">
      <alignment vertical="center"/>
    </xf>
    <xf numFmtId="0" fontId="12" fillId="17" borderId="1" xfId="0" applyFont="1" applyFill="1" applyBorder="1" applyAlignment="1" applyProtection="1">
      <alignment horizontal="center" vertical="center" shrinkToFit="1"/>
      <protection locked="0"/>
    </xf>
    <xf numFmtId="0" fontId="53" fillId="26" borderId="33" xfId="0" applyFont="1" applyFill="1" applyBorder="1" applyAlignment="1">
      <alignment horizontal="center" vertical="center" wrapText="1"/>
    </xf>
    <xf numFmtId="0" fontId="55" fillId="0" borderId="33" xfId="0" applyFont="1" applyBorder="1" applyAlignment="1">
      <alignment horizontal="center" vertical="center"/>
    </xf>
    <xf numFmtId="0" fontId="64" fillId="0" borderId="0" xfId="79" applyNumberFormat="1" applyFont="1" applyFill="1" applyAlignment="1">
      <alignment horizontal="left" vertical="center"/>
    </xf>
    <xf numFmtId="0" fontId="64" fillId="0" borderId="0" xfId="79" applyNumberFormat="1" applyFont="1" applyFill="1" applyAlignment="1">
      <alignment vertical="center"/>
    </xf>
    <xf numFmtId="0" fontId="9" fillId="0" borderId="0" xfId="0" applyNumberFormat="1" applyFont="1" applyFill="1">
      <alignment vertical="center"/>
    </xf>
    <xf numFmtId="0" fontId="61" fillId="0" borderId="0" xfId="0" applyNumberFormat="1" applyFont="1" applyFill="1" applyBorder="1" applyAlignment="1">
      <alignment vertical="center"/>
    </xf>
    <xf numFmtId="0" fontId="1" fillId="0" borderId="0" xfId="79" applyNumberFormat="1" applyFont="1" applyFill="1" applyAlignment="1">
      <alignment horizontal="left" vertical="center"/>
    </xf>
    <xf numFmtId="0" fontId="48" fillId="0" borderId="0" xfId="0" applyNumberFormat="1" applyFont="1">
      <alignment vertical="center"/>
    </xf>
    <xf numFmtId="0" fontId="1" fillId="0" borderId="0" xfId="79" applyNumberFormat="1" applyFont="1" applyFill="1" applyBorder="1" applyAlignment="1">
      <alignment horizontal="left" vertical="center"/>
    </xf>
    <xf numFmtId="0" fontId="48" fillId="0" borderId="0" xfId="79" applyNumberFormat="1" applyFont="1" applyFill="1" applyAlignment="1">
      <alignment horizontal="left" vertical="center"/>
    </xf>
    <xf numFmtId="0" fontId="48" fillId="0" borderId="0" xfId="79" applyNumberFormat="1" applyFont="1" applyFill="1" applyBorder="1" applyAlignment="1">
      <alignment horizontal="center" vertical="center"/>
    </xf>
    <xf numFmtId="3" fontId="48" fillId="0" borderId="0" xfId="79" applyNumberFormat="1" applyFont="1" applyFill="1" applyBorder="1" applyAlignment="1">
      <alignment horizontal="center" vertical="center"/>
    </xf>
    <xf numFmtId="0" fontId="48" fillId="0" borderId="0" xfId="0" applyNumberFormat="1" applyFont="1" applyBorder="1" applyAlignment="1">
      <alignment vertical="center"/>
    </xf>
    <xf numFmtId="0" fontId="55" fillId="0" borderId="35" xfId="0" applyFont="1" applyBorder="1" applyAlignment="1">
      <alignment horizontal="center" vertical="center"/>
    </xf>
    <xf numFmtId="0" fontId="65" fillId="0" borderId="0" xfId="0" applyFont="1">
      <alignment vertical="center"/>
    </xf>
    <xf numFmtId="0" fontId="38" fillId="0" borderId="0" xfId="0" applyNumberFormat="1" applyFont="1" applyFill="1" applyAlignment="1">
      <alignment vertical="center"/>
    </xf>
    <xf numFmtId="49" fontId="1" fillId="0" borderId="0" xfId="0" applyNumberFormat="1" applyFont="1" applyFill="1" applyAlignment="1">
      <alignment horizontal="center" vertical="center"/>
    </xf>
    <xf numFmtId="189" fontId="1" fillId="0" borderId="0" xfId="0" applyNumberFormat="1" applyFont="1" applyFill="1" applyBorder="1" applyAlignment="1">
      <alignment horizontal="center" vertical="center"/>
    </xf>
    <xf numFmtId="0" fontId="0" fillId="0" borderId="0" xfId="0" applyFill="1">
      <alignment vertical="center"/>
    </xf>
    <xf numFmtId="49" fontId="1" fillId="0" borderId="0" xfId="0" applyNumberFormat="1" applyFont="1" applyFill="1" applyBorder="1" applyAlignment="1">
      <alignment vertical="center"/>
    </xf>
    <xf numFmtId="0" fontId="52" fillId="0" borderId="0" xfId="0" applyNumberFormat="1" applyFont="1" applyFill="1" applyBorder="1" applyAlignment="1">
      <alignment vertical="center"/>
    </xf>
    <xf numFmtId="0" fontId="48" fillId="31" borderId="0" xfId="79" applyNumberFormat="1" applyFont="1" applyFill="1" applyAlignment="1">
      <alignment horizontal="center" vertical="center"/>
    </xf>
    <xf numFmtId="0" fontId="60" fillId="31" borderId="0" xfId="0" applyNumberFormat="1" applyFont="1" applyFill="1" applyBorder="1" applyAlignment="1">
      <alignment horizontal="left" vertical="center"/>
    </xf>
    <xf numFmtId="49" fontId="1" fillId="0" borderId="0" xfId="79" applyNumberFormat="1" applyFont="1" applyFill="1" applyAlignment="1">
      <alignment horizontal="left" vertical="center"/>
    </xf>
    <xf numFmtId="0" fontId="48" fillId="0" borderId="0" xfId="0" applyFont="1">
      <alignment vertical="center"/>
    </xf>
    <xf numFmtId="49" fontId="1" fillId="0" borderId="0" xfId="79" applyNumberFormat="1" applyFont="1" applyFill="1" applyBorder="1" applyAlignment="1">
      <alignment horizontal="left" vertical="center"/>
    </xf>
    <xf numFmtId="49" fontId="48" fillId="0" borderId="0" xfId="79" applyNumberFormat="1" applyFont="1" applyFill="1" applyBorder="1" applyAlignment="1">
      <alignment vertical="center"/>
    </xf>
    <xf numFmtId="49" fontId="1" fillId="0" borderId="0" xfId="79" applyNumberFormat="1" applyFont="1" applyFill="1" applyBorder="1" applyAlignment="1">
      <alignment vertical="center"/>
    </xf>
    <xf numFmtId="49" fontId="1" fillId="0" borderId="0" xfId="79" applyNumberFormat="1" applyFont="1" applyFill="1" applyAlignment="1">
      <alignment horizontal="center" vertical="center"/>
    </xf>
    <xf numFmtId="0" fontId="46" fillId="17" borderId="1" xfId="0" applyNumberFormat="1" applyFont="1" applyFill="1" applyBorder="1" applyAlignment="1" applyProtection="1">
      <alignment horizontal="center" vertical="center" shrinkToFit="1"/>
      <protection locked="0"/>
    </xf>
    <xf numFmtId="185" fontId="8" fillId="17" borderId="1" xfId="0" applyNumberFormat="1" applyFont="1" applyFill="1" applyBorder="1" applyAlignment="1" applyProtection="1">
      <alignment horizontal="center" vertical="center" shrinkToFit="1"/>
    </xf>
    <xf numFmtId="186" fontId="8" fillId="17" borderId="1" xfId="0" applyNumberFormat="1" applyFont="1" applyFill="1" applyBorder="1" applyAlignment="1" applyProtection="1">
      <alignment horizontal="center" vertical="center" shrinkToFit="1"/>
    </xf>
    <xf numFmtId="187" fontId="8" fillId="0" borderId="1" xfId="0" applyNumberFormat="1" applyFont="1" applyFill="1" applyBorder="1" applyAlignment="1" applyProtection="1">
      <alignment horizontal="center" vertical="center" shrinkToFit="1"/>
    </xf>
    <xf numFmtId="0" fontId="48" fillId="0" borderId="37" xfId="79" applyNumberFormat="1" applyFont="1" applyFill="1" applyBorder="1" applyAlignment="1">
      <alignment vertical="center"/>
    </xf>
    <xf numFmtId="0" fontId="48" fillId="0" borderId="37" xfId="79" applyNumberFormat="1" applyFont="1" applyFill="1" applyBorder="1" applyAlignment="1">
      <alignment horizontal="left" vertical="center"/>
    </xf>
    <xf numFmtId="0" fontId="48" fillId="0" borderId="37" xfId="79" applyNumberFormat="1" applyFont="1" applyFill="1" applyBorder="1" applyAlignment="1">
      <alignment horizontal="right" vertical="center"/>
    </xf>
    <xf numFmtId="49" fontId="48" fillId="0" borderId="0" xfId="79" applyNumberFormat="1" applyFont="1" applyFill="1" applyAlignment="1">
      <alignment horizontal="center" vertical="center"/>
    </xf>
    <xf numFmtId="0" fontId="64" fillId="0" borderId="0" xfId="79" applyNumberFormat="1" applyFont="1" applyFill="1" applyAlignment="1">
      <alignment horizontal="center" vertical="center"/>
    </xf>
    <xf numFmtId="0" fontId="69" fillId="0" borderId="0" xfId="0" applyFont="1">
      <alignment vertical="center"/>
    </xf>
    <xf numFmtId="0" fontId="54" fillId="0" borderId="0" xfId="0" applyFont="1" applyAlignment="1">
      <alignment horizontal="center" vertical="center"/>
    </xf>
    <xf numFmtId="0" fontId="52" fillId="0" borderId="36" xfId="0" applyNumberFormat="1" applyFont="1" applyBorder="1" applyAlignment="1">
      <alignment horizontal="center" vertical="center"/>
    </xf>
    <xf numFmtId="0" fontId="48" fillId="0" borderId="37" xfId="79" applyNumberFormat="1" applyFont="1" applyFill="1" applyBorder="1" applyAlignment="1">
      <alignment horizontal="center" vertical="center"/>
    </xf>
    <xf numFmtId="0" fontId="50" fillId="0" borderId="37" xfId="80" applyNumberFormat="1" applyFont="1" applyFill="1" applyBorder="1" applyAlignment="1">
      <alignment horizontal="right" vertical="center"/>
    </xf>
    <xf numFmtId="0" fontId="48" fillId="0" borderId="38" xfId="79" applyNumberFormat="1" applyFont="1" applyFill="1" applyBorder="1" applyAlignment="1">
      <alignment horizontal="center" vertical="center"/>
    </xf>
    <xf numFmtId="0" fontId="61" fillId="0" borderId="0" xfId="0" applyNumberFormat="1" applyFont="1" applyFill="1" applyAlignment="1">
      <alignment vertical="center"/>
    </xf>
    <xf numFmtId="0" fontId="2" fillId="0" borderId="0" xfId="0" applyNumberFormat="1" applyFont="1" applyFill="1" applyAlignment="1">
      <alignment vertical="center"/>
    </xf>
    <xf numFmtId="0" fontId="48" fillId="0" borderId="0" xfId="0" applyFont="1" applyBorder="1">
      <alignment vertical="center"/>
    </xf>
    <xf numFmtId="49" fontId="48" fillId="0" borderId="0" xfId="79" applyNumberFormat="1" applyFont="1" applyFill="1" applyBorder="1" applyAlignment="1">
      <alignment horizontal="center" vertical="center"/>
    </xf>
    <xf numFmtId="0" fontId="48" fillId="31" borderId="39" xfId="79" applyNumberFormat="1" applyFont="1" applyFill="1" applyBorder="1" applyAlignment="1">
      <alignment horizontal="center" vertical="center"/>
    </xf>
    <xf numFmtId="0" fontId="60" fillId="31" borderId="39" xfId="0" applyNumberFormat="1" applyFont="1" applyFill="1" applyBorder="1" applyAlignment="1">
      <alignment horizontal="left" vertical="center"/>
    </xf>
    <xf numFmtId="0" fontId="1" fillId="35" borderId="0" xfId="0" applyFont="1" applyFill="1" applyBorder="1" applyProtection="1">
      <alignment vertical="center"/>
      <protection locked="0"/>
    </xf>
    <xf numFmtId="49" fontId="55" fillId="0" borderId="40" xfId="0" applyNumberFormat="1" applyFont="1" applyBorder="1" applyAlignment="1">
      <alignment horizontal="center" vertical="center"/>
    </xf>
    <xf numFmtId="0" fontId="53" fillId="26" borderId="40" xfId="0" applyFont="1" applyFill="1" applyBorder="1" applyAlignment="1">
      <alignment horizontal="center" vertical="center" wrapText="1"/>
    </xf>
    <xf numFmtId="0" fontId="55" fillId="0" borderId="40" xfId="0" applyFont="1" applyBorder="1" applyAlignment="1">
      <alignment horizontal="center" vertical="center"/>
    </xf>
    <xf numFmtId="0" fontId="52" fillId="0" borderId="40" xfId="0" applyFont="1" applyBorder="1" applyAlignment="1">
      <alignment horizontal="center" vertical="center"/>
    </xf>
    <xf numFmtId="0" fontId="59" fillId="27" borderId="42" xfId="81" applyFont="1" applyFill="1" applyBorder="1" applyAlignment="1">
      <alignment horizontal="center" vertical="center"/>
    </xf>
    <xf numFmtId="0" fontId="52" fillId="0" borderId="40" xfId="0" applyNumberFormat="1" applyFont="1" applyBorder="1" applyAlignment="1">
      <alignment horizontal="center" vertical="center"/>
    </xf>
    <xf numFmtId="0" fontId="67" fillId="33" borderId="40" xfId="0" applyFont="1" applyFill="1" applyBorder="1">
      <alignment vertical="center"/>
    </xf>
    <xf numFmtId="0" fontId="70" fillId="0" borderId="0" xfId="0" applyNumberFormat="1" applyFont="1" applyFill="1" applyAlignment="1">
      <alignment horizontal="left" vertical="center" indent="1"/>
    </xf>
    <xf numFmtId="0" fontId="71" fillId="0" borderId="0" xfId="0" applyNumberFormat="1" applyFont="1" applyFill="1" applyBorder="1" applyAlignment="1">
      <alignment horizontal="center" vertical="center"/>
    </xf>
    <xf numFmtId="0" fontId="71" fillId="0" borderId="0" xfId="0" applyNumberFormat="1" applyFont="1" applyFill="1" applyBorder="1" applyAlignment="1">
      <alignment horizontal="left" vertical="center"/>
    </xf>
    <xf numFmtId="0" fontId="71" fillId="0" borderId="0" xfId="0" applyNumberFormat="1" applyFont="1">
      <alignment vertical="center"/>
    </xf>
    <xf numFmtId="0" fontId="71" fillId="0" borderId="0" xfId="0" applyNumberFormat="1" applyFont="1" applyFill="1" applyBorder="1" applyAlignment="1">
      <alignment vertical="center"/>
    </xf>
    <xf numFmtId="0" fontId="71" fillId="0" borderId="0" xfId="0" applyNumberFormat="1" applyFont="1" applyFill="1" applyAlignment="1">
      <alignment vertical="center"/>
    </xf>
    <xf numFmtId="0" fontId="70" fillId="0" borderId="0" xfId="0" applyNumberFormat="1" applyFont="1" applyFill="1" applyBorder="1" applyAlignment="1">
      <alignment vertical="center"/>
    </xf>
    <xf numFmtId="193" fontId="71" fillId="0" borderId="44" xfId="0" applyNumberFormat="1" applyFont="1" applyFill="1" applyBorder="1" applyAlignment="1">
      <alignment horizontal="center" vertical="center"/>
    </xf>
    <xf numFmtId="0" fontId="71" fillId="35" borderId="44" xfId="0" applyNumberFormat="1" applyFont="1" applyFill="1" applyBorder="1" applyAlignment="1">
      <alignment horizontal="center" vertical="center"/>
    </xf>
    <xf numFmtId="0" fontId="70" fillId="0" borderId="0" xfId="0" applyNumberFormat="1" applyFont="1" applyFill="1" applyAlignment="1">
      <alignment vertical="center"/>
    </xf>
    <xf numFmtId="0" fontId="70" fillId="0" borderId="0" xfId="0" applyNumberFormat="1" applyFont="1" applyFill="1" applyAlignment="1">
      <alignment horizontal="left" vertical="center"/>
    </xf>
    <xf numFmtId="194" fontId="71" fillId="0" borderId="46" xfId="0" applyNumberFormat="1" applyFont="1" applyFill="1" applyBorder="1" applyAlignment="1">
      <alignment horizontal="center" vertical="center"/>
    </xf>
    <xf numFmtId="0" fontId="71" fillId="35" borderId="46" xfId="0" applyNumberFormat="1" applyFont="1" applyFill="1" applyBorder="1" applyAlignment="1">
      <alignment horizontal="center" vertical="center"/>
    </xf>
    <xf numFmtId="0" fontId="48" fillId="0" borderId="40" xfId="79" applyNumberFormat="1" applyFont="1" applyFill="1" applyBorder="1" applyAlignment="1">
      <alignment horizontal="center" vertical="center"/>
    </xf>
    <xf numFmtId="0" fontId="54" fillId="0" borderId="0" xfId="0" applyNumberFormat="1" applyFont="1">
      <alignment vertical="center"/>
    </xf>
    <xf numFmtId="0" fontId="52" fillId="0" borderId="0" xfId="0" applyNumberFormat="1" applyFont="1">
      <alignment vertical="center"/>
    </xf>
    <xf numFmtId="0" fontId="52" fillId="0" borderId="0" xfId="78" applyNumberFormat="1" applyFont="1" applyFill="1" applyBorder="1" applyAlignment="1">
      <alignment horizontal="center" vertical="center"/>
    </xf>
    <xf numFmtId="0" fontId="75" fillId="0" borderId="0" xfId="0" applyNumberFormat="1" applyFont="1" applyAlignment="1">
      <alignment vertical="center"/>
    </xf>
    <xf numFmtId="0" fontId="75" fillId="0" borderId="0" xfId="0" applyNumberFormat="1" applyFont="1" applyAlignment="1">
      <alignment horizontal="left" vertical="center" indent="1"/>
    </xf>
    <xf numFmtId="0" fontId="71" fillId="32" borderId="53" xfId="0" applyNumberFormat="1" applyFont="1" applyFill="1" applyBorder="1" applyAlignment="1">
      <alignment horizontal="center" vertical="center" wrapText="1"/>
    </xf>
    <xf numFmtId="0" fontId="71" fillId="0" borderId="46" xfId="0" applyNumberFormat="1" applyFont="1" applyFill="1" applyBorder="1" applyAlignment="1">
      <alignment horizontal="center" vertical="center"/>
    </xf>
    <xf numFmtId="0" fontId="5" fillId="28" borderId="53" xfId="0" applyNumberFormat="1" applyFont="1" applyFill="1" applyBorder="1" applyAlignment="1">
      <alignment horizontal="center" vertical="center"/>
    </xf>
    <xf numFmtId="188" fontId="71" fillId="0" borderId="46" xfId="0" applyNumberFormat="1" applyFont="1" applyFill="1" applyBorder="1" applyAlignment="1">
      <alignment horizontal="center" vertical="center"/>
    </xf>
    <xf numFmtId="0" fontId="48" fillId="0" borderId="50" xfId="79" applyNumberFormat="1" applyFont="1" applyFill="1" applyBorder="1" applyAlignment="1">
      <alignment horizontal="center" vertical="center"/>
    </xf>
    <xf numFmtId="0" fontId="48" fillId="0" borderId="41" xfId="79" applyNumberFormat="1" applyFont="1" applyFill="1" applyBorder="1" applyAlignment="1">
      <alignment horizontal="center" vertical="center"/>
    </xf>
    <xf numFmtId="0" fontId="48" fillId="0" borderId="62" xfId="79" applyNumberFormat="1" applyFont="1" applyFill="1" applyBorder="1" applyAlignment="1">
      <alignment horizontal="center" vertical="center"/>
    </xf>
    <xf numFmtId="0" fontId="48" fillId="31" borderId="0" xfId="79" applyNumberFormat="1" applyFont="1" applyFill="1" applyBorder="1" applyAlignment="1">
      <alignment horizontal="center" vertical="center"/>
    </xf>
    <xf numFmtId="0" fontId="7" fillId="28" borderId="53" xfId="0" applyNumberFormat="1" applyFont="1" applyFill="1" applyBorder="1" applyAlignment="1">
      <alignment horizontal="center" vertical="center"/>
    </xf>
    <xf numFmtId="0" fontId="55" fillId="0" borderId="54" xfId="0" applyFont="1" applyBorder="1" applyAlignment="1">
      <alignment horizontal="center" vertical="center"/>
    </xf>
    <xf numFmtId="0" fontId="48" fillId="0" borderId="64" xfId="79" applyNumberFormat="1" applyFont="1" applyFill="1" applyBorder="1" applyAlignment="1">
      <alignment horizontal="right" vertical="center"/>
    </xf>
    <xf numFmtId="0" fontId="48" fillId="0" borderId="54" xfId="79" applyNumberFormat="1" applyFont="1" applyFill="1" applyBorder="1" applyAlignment="1">
      <alignment horizontal="center" vertical="center"/>
    </xf>
    <xf numFmtId="0" fontId="48" fillId="0" borderId="64" xfId="79" applyNumberFormat="1" applyFont="1" applyFill="1" applyBorder="1" applyAlignment="1">
      <alignment horizontal="left" vertical="center"/>
    </xf>
    <xf numFmtId="0" fontId="48" fillId="0" borderId="63" xfId="79" applyNumberFormat="1" applyFont="1" applyFill="1" applyBorder="1" applyAlignment="1">
      <alignment horizontal="center" vertical="center"/>
    </xf>
    <xf numFmtId="0" fontId="48" fillId="0" borderId="0" xfId="79" applyNumberFormat="1" applyFont="1" applyFill="1" applyAlignment="1">
      <alignment horizontal="right" vertical="center" indent="2"/>
    </xf>
    <xf numFmtId="0" fontId="74" fillId="35" borderId="67" xfId="78" applyNumberFormat="1" applyFont="1" applyFill="1" applyBorder="1" applyAlignment="1">
      <alignment horizontal="center" vertical="center"/>
    </xf>
    <xf numFmtId="0" fontId="52" fillId="29" borderId="61" xfId="87" applyNumberFormat="1" applyFont="1" applyFill="1" applyBorder="1" applyAlignment="1">
      <alignment horizontal="center" vertical="center" wrapText="1"/>
    </xf>
    <xf numFmtId="0" fontId="71" fillId="0" borderId="47" xfId="0" applyNumberFormat="1" applyFont="1" applyFill="1" applyBorder="1" applyAlignment="1">
      <alignment horizontal="center" vertical="center"/>
    </xf>
    <xf numFmtId="0" fontId="48" fillId="0" borderId="66" xfId="79" applyNumberFormat="1" applyFont="1" applyFill="1" applyBorder="1" applyAlignment="1">
      <alignment horizontal="center" vertical="center"/>
    </xf>
    <xf numFmtId="0" fontId="48" fillId="0" borderId="66" xfId="79" applyNumberFormat="1" applyFont="1" applyFill="1" applyBorder="1" applyAlignment="1">
      <alignment horizontal="center" vertical="center"/>
    </xf>
    <xf numFmtId="0" fontId="48" fillId="0" borderId="72" xfId="79" applyNumberFormat="1" applyFont="1" applyFill="1" applyBorder="1" applyAlignment="1">
      <alignment horizontal="center" vertical="center"/>
    </xf>
    <xf numFmtId="0" fontId="48" fillId="0" borderId="63" xfId="79" applyNumberFormat="1" applyFont="1" applyFill="1" applyBorder="1" applyAlignment="1">
      <alignment horizontal="center" vertical="center"/>
    </xf>
    <xf numFmtId="0" fontId="48" fillId="0" borderId="0" xfId="79" applyNumberFormat="1" applyFont="1" applyFill="1" applyAlignment="1">
      <alignment horizontal="left" vertical="center" indent="2"/>
    </xf>
    <xf numFmtId="0" fontId="48" fillId="0" borderId="0" xfId="79" applyNumberFormat="1" applyFont="1" applyFill="1" applyAlignment="1">
      <alignment horizontal="right" vertical="center"/>
    </xf>
    <xf numFmtId="191" fontId="71" fillId="0" borderId="76" xfId="0" applyNumberFormat="1" applyFont="1" applyFill="1" applyBorder="1" applyAlignment="1">
      <alignment horizontal="center" vertical="center"/>
    </xf>
    <xf numFmtId="2" fontId="71" fillId="32" borderId="76" xfId="86" applyNumberFormat="1" applyFont="1" applyFill="1" applyBorder="1" applyAlignment="1">
      <alignment horizontal="center" vertical="center" wrapText="1"/>
    </xf>
    <xf numFmtId="0" fontId="76" fillId="28" borderId="76" xfId="0" applyNumberFormat="1" applyFont="1" applyFill="1" applyBorder="1" applyAlignment="1">
      <alignment horizontal="center" vertical="center"/>
    </xf>
    <xf numFmtId="0" fontId="71" fillId="0" borderId="76" xfId="0" applyNumberFormat="1" applyFont="1" applyFill="1" applyBorder="1" applyAlignment="1">
      <alignment horizontal="center" vertical="center"/>
    </xf>
    <xf numFmtId="197" fontId="71" fillId="0" borderId="76" xfId="0" applyNumberFormat="1" applyFont="1" applyFill="1" applyBorder="1" applyAlignment="1">
      <alignment horizontal="center" vertical="center"/>
    </xf>
    <xf numFmtId="0" fontId="80" fillId="0" borderId="76" xfId="0" applyNumberFormat="1" applyFont="1" applyFill="1" applyBorder="1" applyAlignment="1">
      <alignment horizontal="center" vertical="center"/>
    </xf>
    <xf numFmtId="195" fontId="71" fillId="0" borderId="76" xfId="0" applyNumberFormat="1" applyFont="1" applyFill="1" applyBorder="1" applyAlignment="1">
      <alignment horizontal="center" vertical="center"/>
    </xf>
    <xf numFmtId="191" fontId="71" fillId="31" borderId="76" xfId="0" applyNumberFormat="1" applyFont="1" applyFill="1" applyBorder="1" applyAlignment="1">
      <alignment horizontal="center" vertical="center"/>
    </xf>
    <xf numFmtId="189" fontId="72" fillId="28" borderId="76" xfId="0" applyNumberFormat="1" applyFont="1" applyFill="1" applyBorder="1" applyAlignment="1">
      <alignment horizontal="center" vertical="center" wrapText="1"/>
    </xf>
    <xf numFmtId="0" fontId="48" fillId="0" borderId="64" xfId="79" applyNumberFormat="1" applyFont="1" applyFill="1" applyBorder="1" applyAlignment="1">
      <alignment vertical="center"/>
    </xf>
    <xf numFmtId="0" fontId="50" fillId="0" borderId="64" xfId="80" applyNumberFormat="1" applyFont="1" applyFill="1" applyBorder="1" applyAlignment="1">
      <alignment horizontal="right" vertical="center"/>
    </xf>
    <xf numFmtId="0" fontId="48" fillId="0" borderId="64" xfId="79" applyNumberFormat="1" applyFont="1" applyFill="1" applyBorder="1" applyAlignment="1">
      <alignment horizontal="center" vertical="center"/>
    </xf>
    <xf numFmtId="49" fontId="60" fillId="0" borderId="0" xfId="79" applyNumberFormat="1" applyFont="1" applyFill="1" applyBorder="1" applyAlignment="1">
      <alignment vertical="center"/>
    </xf>
    <xf numFmtId="49" fontId="60" fillId="0" borderId="0" xfId="79" applyNumberFormat="1" applyFont="1" applyFill="1" applyBorder="1" applyAlignment="1">
      <alignment horizontal="center" vertical="center"/>
    </xf>
    <xf numFmtId="0" fontId="72" fillId="28" borderId="76" xfId="0" applyNumberFormat="1" applyFont="1" applyFill="1" applyBorder="1" applyAlignment="1">
      <alignment horizontal="center" vertical="center"/>
    </xf>
    <xf numFmtId="201" fontId="81" fillId="38" borderId="64" xfId="139" applyNumberFormat="1" applyFont="1" applyFill="1" applyBorder="1" applyAlignment="1">
      <alignment horizontal="center" vertical="center" wrapText="1"/>
    </xf>
    <xf numFmtId="49" fontId="60" fillId="38" borderId="64" xfId="79" applyNumberFormat="1" applyFont="1" applyFill="1" applyBorder="1" applyAlignment="1">
      <alignment horizontal="center" vertical="center" wrapText="1"/>
    </xf>
    <xf numFmtId="0" fontId="1" fillId="0" borderId="0" xfId="0" applyFont="1" applyFill="1" applyBorder="1">
      <alignment vertical="center"/>
    </xf>
    <xf numFmtId="0" fontId="72" fillId="28" borderId="76" xfId="0" applyNumberFormat="1" applyFont="1" applyFill="1" applyBorder="1" applyAlignment="1">
      <alignment horizontal="center" vertical="center" shrinkToFit="1"/>
    </xf>
    <xf numFmtId="49" fontId="72" fillId="28" borderId="76" xfId="0" applyNumberFormat="1" applyFont="1" applyFill="1" applyBorder="1" applyAlignment="1">
      <alignment horizontal="center" vertical="center"/>
    </xf>
    <xf numFmtId="189" fontId="72" fillId="28" borderId="76" xfId="0" applyNumberFormat="1" applyFont="1" applyFill="1" applyBorder="1" applyAlignment="1">
      <alignment horizontal="center" vertical="center"/>
    </xf>
    <xf numFmtId="0" fontId="72" fillId="28" borderId="76" xfId="0" quotePrefix="1" applyNumberFormat="1" applyFont="1" applyFill="1" applyBorder="1" applyAlignment="1">
      <alignment horizontal="center" vertical="center" wrapText="1"/>
    </xf>
    <xf numFmtId="0" fontId="71" fillId="0" borderId="76" xfId="78" applyNumberFormat="1" applyFont="1" applyFill="1" applyBorder="1" applyAlignment="1">
      <alignment horizontal="center" vertical="center"/>
    </xf>
    <xf numFmtId="0" fontId="71" fillId="37" borderId="76" xfId="0" applyNumberFormat="1" applyFont="1" applyFill="1" applyBorder="1" applyAlignment="1">
      <alignment horizontal="center" vertical="center"/>
    </xf>
    <xf numFmtId="0" fontId="71" fillId="32" borderId="76" xfId="0" applyNumberFormat="1" applyFont="1" applyFill="1" applyBorder="1" applyAlignment="1">
      <alignment horizontal="center" vertical="center"/>
    </xf>
    <xf numFmtId="0" fontId="71" fillId="29" borderId="76" xfId="0" applyNumberFormat="1" applyFont="1" applyFill="1" applyBorder="1" applyAlignment="1">
      <alignment horizontal="center" vertical="center"/>
    </xf>
    <xf numFmtId="200" fontId="71" fillId="31" borderId="76" xfId="0" applyNumberFormat="1" applyFont="1" applyFill="1" applyBorder="1" applyAlignment="1">
      <alignment horizontal="center" vertical="center"/>
    </xf>
    <xf numFmtId="0" fontId="71" fillId="34" borderId="76" xfId="0" applyNumberFormat="1" applyFont="1" applyFill="1" applyBorder="1" applyAlignment="1">
      <alignment horizontal="center" vertical="center"/>
    </xf>
    <xf numFmtId="0" fontId="83" fillId="28" borderId="76" xfId="0" applyNumberFormat="1" applyFont="1" applyFill="1" applyBorder="1" applyAlignment="1">
      <alignment horizontal="center" vertical="center"/>
    </xf>
    <xf numFmtId="0" fontId="71" fillId="32" borderId="76" xfId="0" applyNumberFormat="1" applyFont="1" applyFill="1" applyBorder="1" applyAlignment="1">
      <alignment horizontal="center" vertical="center" wrapText="1"/>
    </xf>
    <xf numFmtId="0" fontId="71" fillId="0" borderId="76" xfId="0" applyNumberFormat="1" applyFont="1" applyFill="1" applyBorder="1" applyAlignment="1">
      <alignment horizontal="center" vertical="center" wrapText="1"/>
    </xf>
    <xf numFmtId="190" fontId="71" fillId="0" borderId="76" xfId="0" applyNumberFormat="1" applyFont="1" applyFill="1" applyBorder="1" applyAlignment="1">
      <alignment horizontal="center" vertical="center"/>
    </xf>
    <xf numFmtId="191" fontId="71" fillId="32" borderId="76" xfId="0" applyNumberFormat="1" applyFont="1" applyFill="1" applyBorder="1" applyAlignment="1">
      <alignment horizontal="center" vertical="center"/>
    </xf>
    <xf numFmtId="196" fontId="71" fillId="0" borderId="76" xfId="0" applyNumberFormat="1" applyFont="1" applyFill="1" applyBorder="1" applyAlignment="1">
      <alignment horizontal="center" vertical="center"/>
    </xf>
    <xf numFmtId="0" fontId="71" fillId="36" borderId="76" xfId="0" applyNumberFormat="1" applyFont="1" applyFill="1" applyBorder="1" applyAlignment="1">
      <alignment horizontal="center" vertical="center"/>
    </xf>
    <xf numFmtId="191" fontId="71" fillId="29" borderId="76" xfId="0" applyNumberFormat="1" applyFont="1" applyFill="1" applyBorder="1" applyAlignment="1">
      <alignment horizontal="center" vertical="center"/>
    </xf>
    <xf numFmtId="0" fontId="71" fillId="0" borderId="76" xfId="0" applyNumberFormat="1" applyFont="1" applyBorder="1" applyAlignment="1">
      <alignment horizontal="center" vertical="center"/>
    </xf>
    <xf numFmtId="202" fontId="71" fillId="31" borderId="76" xfId="0" applyNumberFormat="1" applyFont="1" applyFill="1" applyBorder="1" applyAlignment="1">
      <alignment horizontal="center" vertical="center"/>
    </xf>
    <xf numFmtId="198" fontId="71" fillId="0" borderId="76" xfId="0" applyNumberFormat="1" applyFont="1" applyFill="1" applyBorder="1" applyAlignment="1">
      <alignment horizontal="center" vertical="center"/>
    </xf>
    <xf numFmtId="0" fontId="71" fillId="0" borderId="76" xfId="0" applyNumberFormat="1" applyFont="1" applyFill="1" applyBorder="1" applyAlignment="1">
      <alignment horizontal="left" vertical="center"/>
    </xf>
    <xf numFmtId="49" fontId="71" fillId="0" borderId="76" xfId="0" applyNumberFormat="1" applyFont="1" applyFill="1" applyBorder="1" applyAlignment="1">
      <alignment horizontal="left" vertical="center"/>
    </xf>
    <xf numFmtId="190" fontId="71" fillId="0" borderId="58" xfId="0" applyNumberFormat="1" applyFont="1" applyFill="1" applyBorder="1" applyAlignment="1">
      <alignment vertical="center"/>
    </xf>
    <xf numFmtId="190" fontId="71" fillId="0" borderId="59" xfId="0" applyNumberFormat="1" applyFont="1" applyFill="1" applyBorder="1" applyAlignment="1">
      <alignment vertical="center"/>
    </xf>
    <xf numFmtId="190" fontId="71" fillId="0" borderId="60" xfId="0" applyNumberFormat="1" applyFont="1" applyFill="1" applyBorder="1" applyAlignment="1">
      <alignment vertical="center"/>
    </xf>
    <xf numFmtId="49" fontId="71" fillId="0" borderId="0" xfId="0" applyNumberFormat="1" applyFont="1" applyFill="1" applyBorder="1" applyAlignment="1">
      <alignment horizontal="left" vertical="center"/>
    </xf>
    <xf numFmtId="0" fontId="48" fillId="0" borderId="72" xfId="79" applyNumberFormat="1" applyFont="1" applyFill="1" applyBorder="1" applyAlignment="1">
      <alignment horizontal="center" vertical="center"/>
    </xf>
    <xf numFmtId="0" fontId="48" fillId="0" borderId="51" xfId="79" applyNumberFormat="1" applyFont="1" applyFill="1" applyBorder="1" applyAlignment="1">
      <alignment horizontal="center" vertical="center"/>
    </xf>
    <xf numFmtId="0" fontId="72" fillId="28" borderId="53" xfId="0" applyNumberFormat="1" applyFont="1" applyFill="1" applyBorder="1" applyAlignment="1">
      <alignment horizontal="center" vertical="center" wrapText="1"/>
    </xf>
    <xf numFmtId="188" fontId="71" fillId="0" borderId="76" xfId="0" applyNumberFormat="1" applyFont="1" applyFill="1" applyBorder="1" applyAlignment="1">
      <alignment horizontal="center" vertical="center"/>
    </xf>
    <xf numFmtId="0" fontId="72" fillId="28" borderId="76" xfId="0" applyNumberFormat="1" applyFont="1" applyFill="1" applyBorder="1" applyAlignment="1">
      <alignment horizontal="center" vertical="center" wrapText="1"/>
    </xf>
    <xf numFmtId="0" fontId="72" fillId="28" borderId="67" xfId="0" applyNumberFormat="1" applyFont="1" applyFill="1" applyBorder="1" applyAlignment="1">
      <alignment horizontal="center" vertical="center"/>
    </xf>
    <xf numFmtId="202" fontId="71" fillId="0" borderId="76" xfId="0" applyNumberFormat="1" applyFont="1" applyFill="1" applyBorder="1" applyAlignment="1">
      <alignment horizontal="center" vertical="center"/>
    </xf>
    <xf numFmtId="0" fontId="71" fillId="39" borderId="76" xfId="0" applyNumberFormat="1" applyFont="1" applyFill="1" applyBorder="1" applyAlignment="1">
      <alignment horizontal="center" vertical="center"/>
    </xf>
    <xf numFmtId="196" fontId="71" fillId="29" borderId="45" xfId="0" applyNumberFormat="1" applyFont="1" applyFill="1" applyBorder="1" applyAlignment="1">
      <alignment horizontal="center" vertical="center"/>
    </xf>
    <xf numFmtId="191" fontId="71" fillId="29" borderId="45" xfId="0" applyNumberFormat="1" applyFont="1" applyFill="1" applyBorder="1" applyAlignment="1">
      <alignment horizontal="center" vertical="center"/>
    </xf>
    <xf numFmtId="0" fontId="71" fillId="29" borderId="45" xfId="0" applyNumberFormat="1" applyFont="1" applyFill="1" applyBorder="1" applyAlignment="1">
      <alignment horizontal="center" vertical="center"/>
    </xf>
    <xf numFmtId="0" fontId="71" fillId="0" borderId="44" xfId="0" applyNumberFormat="1" applyFont="1" applyFill="1" applyBorder="1" applyAlignment="1">
      <alignment horizontal="center" vertical="center"/>
    </xf>
    <xf numFmtId="2" fontId="71" fillId="0" borderId="46" xfId="0" applyNumberFormat="1" applyFont="1" applyFill="1" applyBorder="1" applyAlignment="1">
      <alignment horizontal="center" vertical="center"/>
    </xf>
    <xf numFmtId="204" fontId="52" fillId="0" borderId="0" xfId="0" applyNumberFormat="1" applyFont="1">
      <alignment vertical="center"/>
    </xf>
    <xf numFmtId="0" fontId="48" fillId="0" borderId="72" xfId="79" applyNumberFormat="1" applyFont="1" applyFill="1" applyBorder="1" applyAlignment="1">
      <alignment horizontal="center" vertical="center"/>
    </xf>
    <xf numFmtId="0" fontId="48" fillId="0" borderId="65" xfId="79" applyNumberFormat="1" applyFont="1" applyFill="1" applyBorder="1" applyAlignment="1">
      <alignment horizontal="center" vertical="center"/>
    </xf>
    <xf numFmtId="0" fontId="48" fillId="0" borderId="50" xfId="79" applyNumberFormat="1" applyFont="1" applyFill="1" applyBorder="1" applyAlignment="1">
      <alignment horizontal="center" vertical="center"/>
    </xf>
    <xf numFmtId="0" fontId="72" fillId="28" borderId="76" xfId="0" applyNumberFormat="1" applyFont="1" applyFill="1" applyBorder="1" applyAlignment="1">
      <alignment horizontal="center" vertical="center" wrapText="1"/>
    </xf>
    <xf numFmtId="0" fontId="1" fillId="0" borderId="76" xfId="78" applyNumberFormat="1" applyFont="1" applyFill="1" applyBorder="1" applyAlignment="1">
      <alignment horizontal="center" vertical="center"/>
    </xf>
    <xf numFmtId="192" fontId="1" fillId="0" borderId="76" xfId="78" applyNumberFormat="1" applyFont="1" applyFill="1" applyBorder="1" applyAlignment="1">
      <alignment horizontal="center" vertical="center"/>
    </xf>
    <xf numFmtId="49" fontId="1" fillId="0" borderId="76" xfId="78" applyNumberFormat="1" applyFont="1" applyFill="1" applyBorder="1" applyAlignment="1">
      <alignment horizontal="center" vertical="center"/>
    </xf>
    <xf numFmtId="0" fontId="85" fillId="0" borderId="0" xfId="0" applyNumberFormat="1" applyFont="1" applyAlignment="1">
      <alignment vertical="center"/>
    </xf>
    <xf numFmtId="0" fontId="52" fillId="0" borderId="0" xfId="0" applyNumberFormat="1" applyFont="1" applyAlignment="1">
      <alignment vertical="center"/>
    </xf>
    <xf numFmtId="0" fontId="54" fillId="0" borderId="0" xfId="0" applyNumberFormat="1" applyFont="1" applyBorder="1" applyAlignment="1">
      <alignment vertical="center"/>
    </xf>
    <xf numFmtId="0" fontId="86" fillId="0" borderId="0" xfId="0" applyFont="1" applyBorder="1" applyAlignment="1">
      <alignment vertical="center"/>
    </xf>
    <xf numFmtId="0" fontId="65" fillId="0" borderId="0" xfId="0" applyFont="1" applyBorder="1" applyAlignment="1">
      <alignment horizontal="center" vertical="center"/>
    </xf>
    <xf numFmtId="0" fontId="65" fillId="0" borderId="0" xfId="0" applyFont="1" applyBorder="1">
      <alignment vertical="center"/>
    </xf>
    <xf numFmtId="0" fontId="86" fillId="0" borderId="0" xfId="0" applyFont="1" applyBorder="1" applyAlignment="1">
      <alignment horizontal="left" vertical="center" indent="1"/>
    </xf>
    <xf numFmtId="0" fontId="87" fillId="0" borderId="0" xfId="0" applyFont="1" applyBorder="1" applyAlignment="1">
      <alignment vertical="center"/>
    </xf>
    <xf numFmtId="0" fontId="65" fillId="0" borderId="0" xfId="0" applyFont="1" applyAlignment="1">
      <alignment vertical="center"/>
    </xf>
    <xf numFmtId="0" fontId="86" fillId="0" borderId="0" xfId="0" applyFont="1" applyBorder="1">
      <alignment vertical="center"/>
    </xf>
    <xf numFmtId="2" fontId="65" fillId="0" borderId="75" xfId="0" applyNumberFormat="1" applyFont="1" applyBorder="1" applyAlignment="1">
      <alignment vertical="center"/>
    </xf>
    <xf numFmtId="0" fontId="65" fillId="0" borderId="75" xfId="0" applyFont="1" applyBorder="1">
      <alignment vertical="center"/>
    </xf>
    <xf numFmtId="0" fontId="65" fillId="0" borderId="75" xfId="0" applyNumberFormat="1" applyFont="1" applyBorder="1" applyAlignment="1">
      <alignment vertical="center"/>
    </xf>
    <xf numFmtId="0" fontId="52" fillId="0" borderId="39" xfId="0" applyNumberFormat="1" applyFont="1" applyBorder="1" applyAlignment="1">
      <alignment vertical="center"/>
    </xf>
    <xf numFmtId="49" fontId="92" fillId="0" borderId="0" xfId="0" quotePrefix="1" applyNumberFormat="1" applyFont="1" applyBorder="1" applyAlignment="1">
      <alignment horizontal="right" vertical="center"/>
    </xf>
    <xf numFmtId="0" fontId="92" fillId="0" borderId="0" xfId="0" applyFont="1" applyBorder="1">
      <alignment vertical="center"/>
    </xf>
    <xf numFmtId="0" fontId="93" fillId="0" borderId="0" xfId="0" applyFont="1" applyBorder="1">
      <alignment vertical="center"/>
    </xf>
    <xf numFmtId="0" fontId="65" fillId="0" borderId="0" xfId="0" applyNumberFormat="1" applyFont="1" applyBorder="1" applyAlignment="1">
      <alignment vertical="center"/>
    </xf>
    <xf numFmtId="0" fontId="52" fillId="0" borderId="0" xfId="0" applyNumberFormat="1" applyFont="1" applyBorder="1" applyAlignment="1">
      <alignment vertical="center"/>
    </xf>
    <xf numFmtId="0" fontId="52" fillId="0" borderId="64" xfId="0" applyNumberFormat="1" applyFont="1" applyBorder="1" applyAlignment="1">
      <alignment vertical="center"/>
    </xf>
    <xf numFmtId="205" fontId="52" fillId="0" borderId="64" xfId="0" applyNumberFormat="1" applyFont="1" applyBorder="1" applyAlignment="1">
      <alignment vertical="center"/>
    </xf>
    <xf numFmtId="1" fontId="52" fillId="0" borderId="0" xfId="0" applyNumberFormat="1" applyFont="1" applyBorder="1" applyAlignment="1">
      <alignment vertical="center"/>
    </xf>
    <xf numFmtId="191" fontId="52" fillId="0" borderId="0" xfId="0" applyNumberFormat="1" applyFont="1" applyBorder="1" applyAlignment="1">
      <alignment vertical="center"/>
    </xf>
    <xf numFmtId="206" fontId="52" fillId="0" borderId="0" xfId="0" applyNumberFormat="1" applyFont="1" applyBorder="1" applyAlignment="1">
      <alignment vertical="center"/>
    </xf>
    <xf numFmtId="0" fontId="65" fillId="0" borderId="0" xfId="0" applyFont="1" applyBorder="1" applyAlignment="1">
      <alignment vertical="center"/>
    </xf>
    <xf numFmtId="0" fontId="65" fillId="0" borderId="0" xfId="0" applyFont="1" applyBorder="1" applyAlignment="1">
      <alignment horizontal="left" vertical="center"/>
    </xf>
    <xf numFmtId="0" fontId="65" fillId="0" borderId="0" xfId="0" applyNumberFormat="1" applyFont="1" applyBorder="1" applyAlignment="1">
      <alignment horizontal="center" vertical="center"/>
    </xf>
    <xf numFmtId="2" fontId="65" fillId="0" borderId="0" xfId="0" applyNumberFormat="1" applyFont="1" applyBorder="1" applyAlignment="1">
      <alignment vertical="center"/>
    </xf>
    <xf numFmtId="0" fontId="90" fillId="0" borderId="0" xfId="0" applyFont="1" applyBorder="1" applyAlignment="1">
      <alignment vertical="center"/>
    </xf>
    <xf numFmtId="0" fontId="52" fillId="0" borderId="0" xfId="0" applyFont="1" applyBorder="1" applyAlignment="1">
      <alignment vertical="center"/>
    </xf>
    <xf numFmtId="49" fontId="86" fillId="0" borderId="0" xfId="0" quotePrefix="1" applyNumberFormat="1" applyFont="1" applyBorder="1" applyAlignment="1">
      <alignment horizontal="right" vertical="center"/>
    </xf>
    <xf numFmtId="0" fontId="90" fillId="0" borderId="0" xfId="0" applyFont="1" applyBorder="1">
      <alignment vertical="center"/>
    </xf>
    <xf numFmtId="208" fontId="65" fillId="0" borderId="0" xfId="0" applyNumberFormat="1" applyFont="1" applyBorder="1" applyAlignment="1">
      <alignment vertical="center"/>
    </xf>
    <xf numFmtId="0" fontId="99" fillId="0" borderId="0" xfId="0" applyFont="1" applyBorder="1">
      <alignment vertical="center"/>
    </xf>
    <xf numFmtId="0" fontId="87" fillId="0" borderId="0" xfId="0" applyFont="1" applyBorder="1" applyAlignment="1">
      <alignment horizontal="right" vertical="center"/>
    </xf>
    <xf numFmtId="0" fontId="87" fillId="0" borderId="0" xfId="0" applyFont="1" applyBorder="1" applyAlignment="1">
      <alignment horizontal="center" vertical="center"/>
    </xf>
    <xf numFmtId="209" fontId="65" fillId="0" borderId="0" xfId="0" applyNumberFormat="1" applyFont="1" applyBorder="1" applyAlignment="1">
      <alignment horizontal="center" vertical="center"/>
    </xf>
    <xf numFmtId="0" fontId="65" fillId="0" borderId="0" xfId="0" quotePrefix="1" applyFont="1" applyBorder="1" applyAlignment="1">
      <alignment vertical="center"/>
    </xf>
    <xf numFmtId="0" fontId="100" fillId="0" borderId="0" xfId="0" applyFont="1" applyBorder="1">
      <alignment vertical="center"/>
    </xf>
    <xf numFmtId="0" fontId="65" fillId="0" borderId="0" xfId="0" applyFont="1" applyAlignment="1">
      <alignment horizontal="center" vertical="center"/>
    </xf>
    <xf numFmtId="0" fontId="87" fillId="0" borderId="0" xfId="0" quotePrefix="1" applyFont="1" applyBorder="1" applyAlignment="1">
      <alignment vertical="center"/>
    </xf>
    <xf numFmtId="0" fontId="65" fillId="0" borderId="0" xfId="0" applyFont="1" applyBorder="1" applyAlignment="1">
      <alignment vertical="center" shrinkToFit="1"/>
    </xf>
    <xf numFmtId="210" fontId="65" fillId="0" borderId="0" xfId="0" applyNumberFormat="1" applyFont="1" applyBorder="1" applyAlignment="1">
      <alignment vertical="center"/>
    </xf>
    <xf numFmtId="211" fontId="65" fillId="0" borderId="0" xfId="0" applyNumberFormat="1" applyFont="1" applyBorder="1" applyAlignment="1">
      <alignment vertical="center"/>
    </xf>
    <xf numFmtId="0" fontId="65" fillId="0" borderId="0" xfId="0" applyNumberFormat="1" applyFont="1" applyBorder="1" applyAlignment="1">
      <alignment vertical="center" shrinkToFit="1"/>
    </xf>
    <xf numFmtId="211" fontId="65" fillId="0" borderId="0" xfId="0" applyNumberFormat="1" applyFont="1" applyBorder="1" applyAlignment="1">
      <alignment horizontal="center" vertical="center"/>
    </xf>
    <xf numFmtId="191" fontId="65" fillId="0" borderId="0" xfId="0" applyNumberFormat="1" applyFont="1" applyBorder="1" applyAlignment="1">
      <alignment vertical="center"/>
    </xf>
    <xf numFmtId="0" fontId="65" fillId="0" borderId="64" xfId="0" applyNumberFormat="1" applyFont="1" applyBorder="1" applyAlignment="1">
      <alignment vertical="center"/>
    </xf>
    <xf numFmtId="0" fontId="65" fillId="0" borderId="64" xfId="0" applyNumberFormat="1" applyFont="1" applyBorder="1" applyAlignment="1">
      <alignment horizontal="center" vertical="center"/>
    </xf>
    <xf numFmtId="0" fontId="65" fillId="0" borderId="0" xfId="0" applyNumberFormat="1" applyFont="1" applyBorder="1" applyAlignment="1"/>
    <xf numFmtId="0" fontId="102" fillId="0" borderId="0" xfId="0" applyFont="1" applyBorder="1" applyAlignment="1">
      <alignment vertical="center"/>
    </xf>
    <xf numFmtId="0" fontId="65" fillId="0" borderId="0" xfId="0" applyFont="1" applyBorder="1" applyAlignment="1">
      <alignment horizontal="right" vertical="center"/>
    </xf>
    <xf numFmtId="49" fontId="86" fillId="0" borderId="0" xfId="0" applyNumberFormat="1" applyFont="1" applyBorder="1" applyAlignment="1">
      <alignment horizontal="right" vertical="center"/>
    </xf>
    <xf numFmtId="49" fontId="86" fillId="0" borderId="0" xfId="0" applyNumberFormat="1" applyFont="1" applyBorder="1" applyAlignment="1">
      <alignment vertical="center"/>
    </xf>
    <xf numFmtId="0" fontId="90" fillId="0" borderId="0" xfId="0" applyFont="1" applyBorder="1" applyAlignment="1">
      <alignment horizontal="right" vertical="center"/>
    </xf>
    <xf numFmtId="0" fontId="93" fillId="0" borderId="0" xfId="0" applyFont="1" applyBorder="1" applyAlignment="1">
      <alignment vertical="center"/>
    </xf>
    <xf numFmtId="185" fontId="65" fillId="0" borderId="0" xfId="0" applyNumberFormat="1" applyFont="1" applyBorder="1" applyAlignment="1">
      <alignment vertical="center"/>
    </xf>
    <xf numFmtId="213" fontId="65" fillId="0" borderId="0" xfId="0" applyNumberFormat="1" applyFont="1" applyBorder="1" applyAlignment="1">
      <alignment vertical="center"/>
    </xf>
    <xf numFmtId="196" fontId="99" fillId="0" borderId="0" xfId="0" applyNumberFormat="1" applyFont="1" applyBorder="1" applyAlignment="1">
      <alignment vertical="center" shrinkToFit="1"/>
    </xf>
    <xf numFmtId="196" fontId="90" fillId="0" borderId="0" xfId="0" applyNumberFormat="1" applyFont="1" applyBorder="1" applyAlignment="1">
      <alignment vertical="center"/>
    </xf>
    <xf numFmtId="0" fontId="99" fillId="0" borderId="0" xfId="0" applyFont="1" applyBorder="1" applyAlignment="1">
      <alignment vertical="center"/>
    </xf>
    <xf numFmtId="196" fontId="99" fillId="0" borderId="0" xfId="0" applyNumberFormat="1" applyFont="1" applyBorder="1" applyAlignment="1">
      <alignment vertical="center"/>
    </xf>
    <xf numFmtId="214" fontId="65" fillId="0" borderId="0" xfId="0" applyNumberFormat="1" applyFont="1" applyBorder="1" applyAlignment="1">
      <alignment vertical="center"/>
    </xf>
    <xf numFmtId="215" fontId="65" fillId="0" borderId="64" xfId="0" applyNumberFormat="1" applyFont="1" applyBorder="1" applyAlignment="1">
      <alignment vertical="center"/>
    </xf>
    <xf numFmtId="49" fontId="86" fillId="0" borderId="0" xfId="0" applyNumberFormat="1" applyFont="1" applyAlignment="1">
      <alignment horizontal="right" vertical="center"/>
    </xf>
    <xf numFmtId="0" fontId="92" fillId="0" borderId="0" xfId="0" applyFont="1" applyBorder="1" applyAlignment="1">
      <alignment vertical="center"/>
    </xf>
    <xf numFmtId="0" fontId="65" fillId="0" borderId="0" xfId="0" applyFont="1" applyBorder="1" applyAlignment="1">
      <alignment horizontal="left" vertical="center" shrinkToFit="1"/>
    </xf>
    <xf numFmtId="0" fontId="86" fillId="0" borderId="0" xfId="0" applyFont="1" applyBorder="1" applyAlignment="1">
      <alignment horizontal="right" vertical="center"/>
    </xf>
    <xf numFmtId="196" fontId="65" fillId="0" borderId="0" xfId="0" applyNumberFormat="1" applyFont="1" applyBorder="1" applyAlignment="1">
      <alignment vertical="center" shrinkToFit="1"/>
    </xf>
    <xf numFmtId="0" fontId="65" fillId="0" borderId="0" xfId="0" applyFont="1" applyBorder="1" applyAlignment="1">
      <alignment horizontal="center" vertical="center" shrinkToFit="1"/>
    </xf>
    <xf numFmtId="203" fontId="65" fillId="0" borderId="0" xfId="0" applyNumberFormat="1" applyFont="1" applyBorder="1" applyAlignment="1">
      <alignment vertical="center"/>
    </xf>
    <xf numFmtId="217" fontId="65" fillId="0" borderId="0" xfId="0" applyNumberFormat="1" applyFont="1" applyBorder="1" applyAlignment="1">
      <alignment vertical="center"/>
    </xf>
    <xf numFmtId="191" fontId="65" fillId="0" borderId="0" xfId="0" applyNumberFormat="1" applyFont="1" applyBorder="1" applyAlignment="1">
      <alignment horizontal="right" vertical="center"/>
    </xf>
    <xf numFmtId="191" fontId="65" fillId="0" borderId="0" xfId="0" applyNumberFormat="1" applyFont="1" applyBorder="1" applyAlignment="1">
      <alignment horizontal="center" vertical="center"/>
    </xf>
    <xf numFmtId="206" fontId="65" fillId="0" borderId="0" xfId="0" applyNumberFormat="1" applyFont="1" applyBorder="1" applyAlignment="1">
      <alignment horizontal="center" vertical="center"/>
    </xf>
    <xf numFmtId="218" fontId="65" fillId="0" borderId="0" xfId="0" applyNumberFormat="1" applyFont="1" applyBorder="1" applyAlignment="1">
      <alignment vertical="center"/>
    </xf>
    <xf numFmtId="219" fontId="65" fillId="0" borderId="0" xfId="0" applyNumberFormat="1" applyFont="1" applyBorder="1" applyAlignment="1">
      <alignment vertical="center"/>
    </xf>
    <xf numFmtId="220" fontId="65" fillId="0" borderId="0" xfId="0" applyNumberFormat="1" applyFont="1" applyBorder="1" applyAlignment="1">
      <alignment horizontal="center" vertical="center"/>
    </xf>
    <xf numFmtId="0" fontId="48" fillId="0" borderId="42" xfId="79" applyNumberFormat="1" applyFont="1" applyFill="1" applyBorder="1" applyAlignment="1">
      <alignment horizontal="center" vertical="center"/>
    </xf>
    <xf numFmtId="0" fontId="72" fillId="28" borderId="53" xfId="0" applyNumberFormat="1" applyFont="1" applyFill="1" applyBorder="1" applyAlignment="1">
      <alignment horizontal="center" vertical="center" wrapText="1"/>
    </xf>
    <xf numFmtId="0" fontId="108" fillId="35" borderId="67" xfId="78" applyNumberFormat="1" applyFont="1" applyFill="1" applyBorder="1" applyAlignment="1">
      <alignment horizontal="center" vertical="center"/>
    </xf>
    <xf numFmtId="0" fontId="52" fillId="0" borderId="54" xfId="0" applyNumberFormat="1" applyFont="1" applyBorder="1" applyAlignment="1">
      <alignment horizontal="center" vertical="center"/>
    </xf>
    <xf numFmtId="0" fontId="52" fillId="0" borderId="54" xfId="0" applyNumberFormat="1" applyFont="1" applyBorder="1" applyAlignment="1">
      <alignment horizontal="center" vertical="center" shrinkToFit="1"/>
    </xf>
    <xf numFmtId="0" fontId="52" fillId="29" borderId="72" xfId="0" applyNumberFormat="1" applyFont="1" applyFill="1" applyBorder="1" applyAlignment="1">
      <alignment vertical="center"/>
    </xf>
    <xf numFmtId="0" fontId="52" fillId="0" borderId="74" xfId="0" applyNumberFormat="1" applyFont="1" applyBorder="1" applyAlignment="1">
      <alignment vertical="center"/>
    </xf>
    <xf numFmtId="41" fontId="52" fillId="0" borderId="54" xfId="87" applyFont="1" applyBorder="1" applyAlignment="1">
      <alignment horizontal="center" vertical="center"/>
    </xf>
    <xf numFmtId="0" fontId="52" fillId="0" borderId="66" xfId="87" applyNumberFormat="1" applyFont="1" applyBorder="1" applyAlignment="1">
      <alignment horizontal="center" vertical="center" wrapText="1"/>
    </xf>
    <xf numFmtId="41" fontId="52" fillId="0" borderId="54" xfId="0" applyNumberFormat="1" applyFont="1" applyBorder="1" applyAlignment="1">
      <alignment horizontal="center" vertical="center"/>
    </xf>
    <xf numFmtId="199" fontId="52" fillId="0" borderId="54" xfId="87" applyNumberFormat="1" applyFont="1" applyBorder="1" applyAlignment="1">
      <alignment horizontal="center" vertical="center"/>
    </xf>
    <xf numFmtId="0" fontId="52" fillId="0" borderId="72" xfId="0" applyNumberFormat="1" applyFont="1" applyBorder="1" applyAlignment="1">
      <alignment vertical="center"/>
    </xf>
    <xf numFmtId="0" fontId="52" fillId="0" borderId="61" xfId="87" applyNumberFormat="1" applyFont="1" applyBorder="1" applyAlignment="1">
      <alignment horizontal="center" vertical="center" wrapText="1"/>
    </xf>
    <xf numFmtId="41" fontId="52" fillId="0" borderId="54" xfId="87" applyNumberFormat="1" applyFont="1" applyBorder="1" applyAlignment="1">
      <alignment horizontal="center" vertical="center"/>
    </xf>
    <xf numFmtId="9" fontId="52" fillId="29" borderId="61" xfId="86" applyFont="1" applyFill="1" applyBorder="1" applyAlignment="1">
      <alignment horizontal="center" vertical="center" wrapText="1"/>
    </xf>
    <xf numFmtId="0" fontId="52" fillId="0" borderId="74" xfId="0" applyNumberFormat="1" applyFont="1" applyBorder="1" applyAlignment="1">
      <alignment horizontal="left" vertical="center"/>
    </xf>
    <xf numFmtId="0" fontId="52" fillId="0" borderId="51" xfId="87" applyNumberFormat="1" applyFont="1" applyBorder="1" applyAlignment="1">
      <alignment horizontal="center" vertical="center" wrapText="1"/>
    </xf>
    <xf numFmtId="41" fontId="52" fillId="32" borderId="54" xfId="87" applyFont="1" applyFill="1" applyBorder="1" applyAlignment="1">
      <alignment horizontal="center" vertical="center"/>
    </xf>
    <xf numFmtId="0" fontId="63" fillId="0" borderId="35" xfId="0" applyFont="1" applyFill="1" applyBorder="1" applyAlignment="1">
      <alignment horizontal="center" vertical="center"/>
    </xf>
    <xf numFmtId="0" fontId="63" fillId="0" borderId="26" xfId="0" applyFont="1" applyFill="1" applyBorder="1" applyAlignment="1">
      <alignment horizontal="center" vertical="center"/>
    </xf>
    <xf numFmtId="0" fontId="63" fillId="0" borderId="27" xfId="0" applyFont="1" applyFill="1" applyBorder="1" applyAlignment="1">
      <alignment horizontal="center" vertical="center" wrapText="1"/>
    </xf>
    <xf numFmtId="0" fontId="63" fillId="0" borderId="17" xfId="0" applyFont="1" applyFill="1" applyBorder="1" applyAlignment="1">
      <alignment horizontal="center" vertical="center" wrapText="1"/>
    </xf>
    <xf numFmtId="0" fontId="63" fillId="0" borderId="13" xfId="0" applyFont="1" applyFill="1" applyBorder="1" applyAlignment="1">
      <alignment horizontal="center" vertical="center" wrapText="1"/>
    </xf>
    <xf numFmtId="0" fontId="63" fillId="0" borderId="28" xfId="0" applyFont="1" applyFill="1" applyBorder="1" applyAlignment="1" applyProtection="1">
      <alignment horizontal="left" vertical="center" wrapText="1"/>
      <protection locked="0"/>
    </xf>
    <xf numFmtId="0" fontId="63" fillId="0" borderId="29" xfId="0" applyFont="1" applyFill="1" applyBorder="1" applyAlignment="1" applyProtection="1">
      <alignment horizontal="left" vertical="center" wrapText="1"/>
      <protection locked="0"/>
    </xf>
    <xf numFmtId="0" fontId="63" fillId="0" borderId="30" xfId="0" applyFont="1" applyFill="1" applyBorder="1" applyAlignment="1" applyProtection="1">
      <alignment horizontal="left" vertical="center" wrapText="1"/>
      <protection locked="0"/>
    </xf>
    <xf numFmtId="0" fontId="63" fillId="0" borderId="31" xfId="0" applyFont="1" applyFill="1" applyBorder="1" applyAlignment="1" applyProtection="1">
      <alignment horizontal="left" vertical="center" wrapText="1"/>
      <protection locked="0"/>
    </xf>
    <xf numFmtId="0" fontId="63" fillId="0" borderId="0" xfId="0" applyFont="1" applyFill="1" applyBorder="1" applyAlignment="1" applyProtection="1">
      <alignment horizontal="left" vertical="center" wrapText="1"/>
      <protection locked="0"/>
    </xf>
    <xf numFmtId="0" fontId="63" fillId="0" borderId="32" xfId="0" applyFont="1" applyFill="1" applyBorder="1" applyAlignment="1" applyProtection="1">
      <alignment horizontal="left" vertical="center" wrapText="1"/>
      <protection locked="0"/>
    </xf>
    <xf numFmtId="0" fontId="63" fillId="0" borderId="18" xfId="0" applyFont="1" applyFill="1" applyBorder="1" applyAlignment="1" applyProtection="1">
      <alignment horizontal="left" vertical="center" wrapText="1"/>
      <protection locked="0"/>
    </xf>
    <xf numFmtId="0" fontId="63" fillId="0" borderId="19" xfId="0" applyFont="1" applyFill="1" applyBorder="1" applyAlignment="1" applyProtection="1">
      <alignment horizontal="left" vertical="center" wrapText="1"/>
      <protection locked="0"/>
    </xf>
    <xf numFmtId="0" fontId="63" fillId="0" borderId="20" xfId="0" applyFont="1" applyFill="1" applyBorder="1" applyAlignment="1" applyProtection="1">
      <alignment horizontal="left" vertical="center" wrapText="1"/>
      <protection locked="0"/>
    </xf>
    <xf numFmtId="0" fontId="63" fillId="30" borderId="34" xfId="0" applyFont="1" applyFill="1" applyBorder="1" applyAlignment="1" applyProtection="1">
      <alignment horizontal="center" vertical="center"/>
      <protection locked="0"/>
    </xf>
    <xf numFmtId="0" fontId="12" fillId="17" borderId="1" xfId="0" applyFont="1" applyFill="1" applyBorder="1" applyAlignment="1" applyProtection="1">
      <alignment horizontal="center" vertical="center" shrinkToFit="1"/>
      <protection locked="0"/>
    </xf>
    <xf numFmtId="0" fontId="8" fillId="17" borderId="1" xfId="0" applyFont="1" applyFill="1" applyBorder="1" applyAlignment="1" applyProtection="1">
      <alignment horizontal="center" vertical="center" shrinkToFit="1"/>
      <protection locked="0"/>
    </xf>
    <xf numFmtId="0" fontId="8" fillId="29" borderId="11" xfId="0" applyFont="1" applyFill="1" applyBorder="1" applyAlignment="1" applyProtection="1">
      <alignment horizontal="left" vertical="center" wrapText="1"/>
    </xf>
    <xf numFmtId="0" fontId="8" fillId="29" borderId="14" xfId="0" applyFont="1" applyFill="1" applyBorder="1" applyAlignment="1" applyProtection="1">
      <alignment horizontal="left" vertical="center" wrapText="1"/>
    </xf>
    <xf numFmtId="0" fontId="8" fillId="29" borderId="16" xfId="0" applyFont="1" applyFill="1" applyBorder="1" applyAlignment="1" applyProtection="1">
      <alignment horizontal="left" vertical="center" wrapText="1"/>
    </xf>
    <xf numFmtId="0" fontId="11" fillId="0" borderId="0" xfId="0" applyFont="1" applyFill="1" applyBorder="1" applyAlignment="1" applyProtection="1">
      <alignment horizontal="left" vertical="center" shrinkToFit="1"/>
    </xf>
    <xf numFmtId="0" fontId="41" fillId="0" borderId="1" xfId="0" applyFont="1" applyFill="1" applyBorder="1" applyAlignment="1" applyProtection="1">
      <alignment horizontal="center" vertical="center" shrinkToFit="1"/>
    </xf>
    <xf numFmtId="0" fontId="8" fillId="0" borderId="1" xfId="0" applyFont="1" applyFill="1" applyBorder="1" applyAlignment="1" applyProtection="1">
      <alignment horizontal="center" vertical="center" shrinkToFit="1"/>
    </xf>
    <xf numFmtId="0" fontId="8" fillId="29" borderId="1" xfId="0" applyFont="1" applyFill="1" applyBorder="1" applyAlignment="1" applyProtection="1">
      <alignment horizontal="center" vertical="center" shrinkToFit="1"/>
      <protection locked="0"/>
    </xf>
    <xf numFmtId="0" fontId="8" fillId="29" borderId="1" xfId="0" applyFont="1" applyFill="1" applyBorder="1" applyAlignment="1" applyProtection="1">
      <alignment vertical="center" shrinkToFit="1"/>
      <protection locked="0"/>
    </xf>
    <xf numFmtId="0" fontId="8" fillId="0" borderId="21" xfId="0" applyNumberFormat="1" applyFont="1" applyFill="1" applyBorder="1" applyAlignment="1" applyProtection="1">
      <alignment horizontal="center" vertical="center" shrinkToFit="1"/>
    </xf>
    <xf numFmtId="0" fontId="8" fillId="0" borderId="18" xfId="0" applyNumberFormat="1" applyFont="1" applyFill="1" applyBorder="1" applyAlignment="1" applyProtection="1">
      <alignment horizontal="center" vertical="center" shrinkToFit="1"/>
    </xf>
    <xf numFmtId="0" fontId="41" fillId="29" borderId="22" xfId="0" applyFont="1" applyFill="1" applyBorder="1" applyAlignment="1" applyProtection="1">
      <alignment horizontal="left" vertical="center" wrapText="1"/>
    </xf>
    <xf numFmtId="0" fontId="41" fillId="29" borderId="16" xfId="0" applyFont="1" applyFill="1" applyBorder="1" applyAlignment="1" applyProtection="1">
      <alignment horizontal="left" vertical="center"/>
    </xf>
    <xf numFmtId="0" fontId="41" fillId="0" borderId="12" xfId="0" applyFont="1" applyFill="1" applyBorder="1" applyAlignment="1" applyProtection="1">
      <alignment horizontal="center" vertical="center"/>
    </xf>
    <xf numFmtId="0" fontId="41" fillId="0" borderId="13" xfId="0" applyFont="1" applyFill="1" applyBorder="1" applyAlignment="1" applyProtection="1">
      <alignment horizontal="center" vertical="center"/>
    </xf>
    <xf numFmtId="0" fontId="41" fillId="0" borderId="23" xfId="0" applyFont="1" applyFill="1" applyBorder="1" applyAlignment="1" applyProtection="1">
      <alignment horizontal="left" vertical="center" wrapText="1"/>
    </xf>
    <xf numFmtId="0" fontId="41" fillId="0" borderId="15" xfId="0" applyFont="1" applyFill="1" applyBorder="1" applyAlignment="1" applyProtection="1">
      <alignment horizontal="left" vertical="center"/>
    </xf>
    <xf numFmtId="0" fontId="41" fillId="0" borderId="24" xfId="0" applyFont="1" applyFill="1" applyBorder="1" applyAlignment="1" applyProtection="1">
      <alignment horizontal="left" vertical="center"/>
    </xf>
    <xf numFmtId="0" fontId="41" fillId="0" borderId="20" xfId="0" applyFont="1" applyFill="1" applyBorder="1" applyAlignment="1" applyProtection="1">
      <alignment horizontal="left" vertical="center"/>
    </xf>
    <xf numFmtId="0" fontId="8" fillId="0" borderId="1" xfId="0" applyFont="1" applyFill="1" applyBorder="1" applyAlignment="1" applyProtection="1">
      <alignment vertical="center" shrinkToFit="1"/>
    </xf>
    <xf numFmtId="49" fontId="8" fillId="0" borderId="1" xfId="0" applyNumberFormat="1" applyFont="1" applyFill="1" applyBorder="1" applyAlignment="1" applyProtection="1">
      <alignment horizontal="center" vertical="center" shrinkToFit="1"/>
    </xf>
    <xf numFmtId="49" fontId="8" fillId="0" borderId="1" xfId="0" applyNumberFormat="1" applyFont="1" applyFill="1" applyBorder="1" applyAlignment="1" applyProtection="1">
      <alignment vertical="center" shrinkToFit="1"/>
    </xf>
    <xf numFmtId="184" fontId="8" fillId="0" borderId="1" xfId="0" applyNumberFormat="1" applyFont="1" applyFill="1" applyBorder="1" applyAlignment="1" applyProtection="1">
      <alignment horizontal="center" vertical="center" shrinkToFit="1"/>
    </xf>
    <xf numFmtId="0" fontId="45" fillId="0" borderId="1" xfId="0" applyFont="1" applyFill="1" applyBorder="1" applyAlignment="1" applyProtection="1">
      <alignment horizontal="center" vertical="center" shrinkToFit="1"/>
    </xf>
    <xf numFmtId="0" fontId="38" fillId="0" borderId="11" xfId="0" applyFont="1" applyFill="1" applyBorder="1" applyAlignment="1" applyProtection="1">
      <alignment horizontal="center" vertical="center"/>
    </xf>
    <xf numFmtId="0" fontId="38" fillId="0" borderId="14" xfId="0" applyFont="1" applyFill="1" applyBorder="1" applyAlignment="1" applyProtection="1">
      <alignment horizontal="center" vertical="center"/>
    </xf>
    <xf numFmtId="0" fontId="9" fillId="0" borderId="14" xfId="0" applyFont="1" applyFill="1" applyBorder="1" applyAlignment="1" applyProtection="1">
      <alignment vertical="center"/>
    </xf>
    <xf numFmtId="0" fontId="0" fillId="0" borderId="14" xfId="0" applyFill="1" applyBorder="1" applyAlignment="1" applyProtection="1">
      <alignment vertical="center"/>
    </xf>
    <xf numFmtId="0" fontId="0" fillId="0" borderId="16" xfId="0" applyFill="1" applyBorder="1" applyAlignment="1" applyProtection="1">
      <alignment vertical="center"/>
    </xf>
    <xf numFmtId="0" fontId="11" fillId="0" borderId="1" xfId="0" applyFont="1" applyFill="1" applyBorder="1" applyAlignment="1" applyProtection="1">
      <alignment horizontal="center" vertical="center" shrinkToFit="1"/>
    </xf>
    <xf numFmtId="0" fontId="4" fillId="0" borderId="1" xfId="0" applyFont="1" applyFill="1" applyBorder="1" applyAlignment="1" applyProtection="1">
      <alignment horizontal="center" vertical="center" shrinkToFit="1"/>
    </xf>
    <xf numFmtId="0" fontId="48" fillId="0" borderId="72" xfId="79" applyNumberFormat="1" applyFont="1" applyFill="1" applyBorder="1" applyAlignment="1">
      <alignment horizontal="center" vertical="center"/>
    </xf>
    <xf numFmtId="0" fontId="48" fillId="0" borderId="74" xfId="79" applyNumberFormat="1" applyFont="1" applyFill="1" applyBorder="1" applyAlignment="1">
      <alignment horizontal="center" vertical="center"/>
    </xf>
    <xf numFmtId="0" fontId="47" fillId="0" borderId="0" xfId="79" applyNumberFormat="1" applyFont="1" applyAlignment="1">
      <alignment horizontal="center" wrapText="1"/>
    </xf>
    <xf numFmtId="0" fontId="48" fillId="0" borderId="71" xfId="79" applyNumberFormat="1" applyFont="1" applyFill="1" applyBorder="1" applyAlignment="1">
      <alignment horizontal="center" vertical="center"/>
    </xf>
    <xf numFmtId="0" fontId="48" fillId="0" borderId="73" xfId="79" applyNumberFormat="1" applyFont="1" applyFill="1" applyBorder="1" applyAlignment="1">
      <alignment horizontal="center" vertical="center"/>
    </xf>
    <xf numFmtId="0" fontId="48" fillId="0" borderId="63" xfId="79" applyNumberFormat="1" applyFont="1" applyFill="1" applyBorder="1" applyAlignment="1">
      <alignment horizontal="center" vertical="center"/>
    </xf>
    <xf numFmtId="0" fontId="48" fillId="0" borderId="65" xfId="79" applyNumberFormat="1" applyFont="1" applyFill="1" applyBorder="1" applyAlignment="1">
      <alignment horizontal="center" vertical="center"/>
    </xf>
    <xf numFmtId="49" fontId="66" fillId="0" borderId="0" xfId="82" applyNumberFormat="1" applyFont="1" applyFill="1" applyBorder="1" applyAlignment="1">
      <alignment horizontal="center" vertical="center" wrapText="1"/>
    </xf>
    <xf numFmtId="0" fontId="48" fillId="0" borderId="42" xfId="79" applyNumberFormat="1" applyFont="1" applyFill="1" applyBorder="1" applyAlignment="1">
      <alignment horizontal="center" vertical="center"/>
    </xf>
    <xf numFmtId="0" fontId="60" fillId="38" borderId="0" xfId="0" applyNumberFormat="1" applyFont="1" applyFill="1" applyAlignment="1">
      <alignment horizontal="center" vertical="center"/>
    </xf>
    <xf numFmtId="49" fontId="60" fillId="38" borderId="0" xfId="79" applyNumberFormat="1" applyFont="1" applyFill="1" applyBorder="1" applyAlignment="1">
      <alignment horizontal="center" vertical="center"/>
    </xf>
    <xf numFmtId="49" fontId="60" fillId="38" borderId="64" xfId="79" applyNumberFormat="1" applyFont="1" applyFill="1" applyBorder="1" applyAlignment="1">
      <alignment horizontal="center" vertical="center"/>
    </xf>
    <xf numFmtId="201" fontId="60" fillId="38" borderId="0" xfId="0" applyNumberFormat="1" applyFont="1" applyFill="1" applyBorder="1" applyAlignment="1">
      <alignment horizontal="center" vertical="center" wrapText="1"/>
    </xf>
    <xf numFmtId="201" fontId="60" fillId="38" borderId="64" xfId="0" applyNumberFormat="1" applyFont="1" applyFill="1" applyBorder="1" applyAlignment="1">
      <alignment horizontal="center" vertical="center" wrapText="1"/>
    </xf>
    <xf numFmtId="49" fontId="60" fillId="38" borderId="0" xfId="0" applyNumberFormat="1" applyFont="1" applyFill="1" applyBorder="1" applyAlignment="1">
      <alignment horizontal="center" vertical="center"/>
    </xf>
    <xf numFmtId="49" fontId="60" fillId="38" borderId="64" xfId="0" applyNumberFormat="1" applyFont="1" applyFill="1" applyBorder="1" applyAlignment="1">
      <alignment horizontal="center" vertical="center"/>
    </xf>
    <xf numFmtId="201" fontId="48" fillId="38" borderId="0" xfId="0" applyNumberFormat="1" applyFont="1" applyFill="1" applyAlignment="1">
      <alignment horizontal="center" vertical="center"/>
    </xf>
    <xf numFmtId="201" fontId="48" fillId="38" borderId="64" xfId="0" applyNumberFormat="1" applyFont="1" applyFill="1" applyBorder="1" applyAlignment="1">
      <alignment horizontal="center" vertical="center"/>
    </xf>
    <xf numFmtId="201" fontId="81" fillId="38" borderId="0" xfId="139" applyNumberFormat="1" applyFont="1" applyFill="1" applyBorder="1" applyAlignment="1">
      <alignment horizontal="center" vertical="center" wrapText="1"/>
    </xf>
    <xf numFmtId="201" fontId="81" fillId="38" borderId="64" xfId="139" applyNumberFormat="1" applyFont="1" applyFill="1" applyBorder="1" applyAlignment="1">
      <alignment horizontal="center" vertical="center" wrapText="1"/>
    </xf>
    <xf numFmtId="201" fontId="81" fillId="38" borderId="0" xfId="139" applyNumberFormat="1" applyFont="1" applyFill="1" applyBorder="1" applyAlignment="1">
      <alignment horizontal="center" vertical="center"/>
    </xf>
    <xf numFmtId="201" fontId="81" fillId="38" borderId="64" xfId="139" applyNumberFormat="1" applyFont="1" applyFill="1" applyBorder="1" applyAlignment="1">
      <alignment horizontal="center" vertical="center"/>
    </xf>
    <xf numFmtId="0" fontId="60" fillId="38" borderId="0" xfId="0" applyNumberFormat="1" applyFont="1" applyFill="1" applyBorder="1" applyAlignment="1">
      <alignment horizontal="center" vertical="center"/>
    </xf>
    <xf numFmtId="0" fontId="60" fillId="38" borderId="64" xfId="0" applyNumberFormat="1" applyFont="1" applyFill="1" applyBorder="1" applyAlignment="1">
      <alignment horizontal="center" vertical="center"/>
    </xf>
    <xf numFmtId="201" fontId="48" fillId="38" borderId="0" xfId="0" applyNumberFormat="1" applyFont="1" applyFill="1" applyBorder="1" applyAlignment="1">
      <alignment horizontal="center" vertical="center"/>
    </xf>
    <xf numFmtId="201" fontId="60" fillId="38" borderId="0" xfId="0" applyNumberFormat="1" applyFont="1" applyFill="1" applyBorder="1" applyAlignment="1">
      <alignment horizontal="center" vertical="center"/>
    </xf>
    <xf numFmtId="0" fontId="48" fillId="0" borderId="50" xfId="79" applyNumberFormat="1" applyFont="1" applyFill="1" applyBorder="1" applyAlignment="1">
      <alignment horizontal="center" vertical="center"/>
    </xf>
    <xf numFmtId="0" fontId="48" fillId="0" borderId="51" xfId="79" applyNumberFormat="1" applyFont="1" applyFill="1" applyBorder="1" applyAlignment="1">
      <alignment horizontal="center" vertical="center"/>
    </xf>
    <xf numFmtId="0" fontId="47" fillId="0" borderId="0" xfId="79" applyFont="1" applyAlignment="1">
      <alignment horizontal="center" wrapText="1"/>
    </xf>
    <xf numFmtId="0" fontId="7" fillId="28" borderId="53" xfId="0" applyNumberFormat="1" applyFont="1" applyFill="1" applyBorder="1" applyAlignment="1">
      <alignment horizontal="center" vertical="center" wrapText="1"/>
    </xf>
    <xf numFmtId="0" fontId="7" fillId="28" borderId="67" xfId="0" applyNumberFormat="1" applyFont="1" applyFill="1" applyBorder="1" applyAlignment="1">
      <alignment horizontal="center" vertical="center" wrapText="1"/>
    </xf>
    <xf numFmtId="192" fontId="1" fillId="0" borderId="58" xfId="78" applyNumberFormat="1" applyFont="1" applyFill="1" applyBorder="1" applyAlignment="1">
      <alignment horizontal="center" vertical="center"/>
    </xf>
    <xf numFmtId="192" fontId="1" fillId="0" borderId="60" xfId="78" applyNumberFormat="1" applyFont="1" applyFill="1" applyBorder="1" applyAlignment="1">
      <alignment horizontal="center" vertical="center"/>
    </xf>
    <xf numFmtId="0" fontId="7" fillId="28" borderId="58" xfId="0" applyNumberFormat="1" applyFont="1" applyFill="1" applyBorder="1" applyAlignment="1">
      <alignment horizontal="center" vertical="center"/>
    </xf>
    <xf numFmtId="0" fontId="7" fillId="28" borderId="59" xfId="0" applyNumberFormat="1" applyFont="1" applyFill="1" applyBorder="1" applyAlignment="1">
      <alignment horizontal="center" vertical="center"/>
    </xf>
    <xf numFmtId="49" fontId="1" fillId="0" borderId="58" xfId="78" applyNumberFormat="1" applyFont="1" applyFill="1" applyBorder="1" applyAlignment="1">
      <alignment horizontal="center" vertical="center"/>
    </xf>
    <xf numFmtId="49" fontId="1" fillId="0" borderId="60" xfId="78" applyNumberFormat="1" applyFont="1" applyFill="1" applyBorder="1" applyAlignment="1">
      <alignment horizontal="center" vertical="center"/>
    </xf>
    <xf numFmtId="0" fontId="7" fillId="28" borderId="60" xfId="0" applyNumberFormat="1" applyFont="1" applyFill="1" applyBorder="1" applyAlignment="1">
      <alignment horizontal="center" vertical="center"/>
    </xf>
    <xf numFmtId="0" fontId="65" fillId="0" borderId="0" xfId="0" applyFont="1" applyBorder="1" applyAlignment="1">
      <alignment vertical="center"/>
    </xf>
    <xf numFmtId="196" fontId="65" fillId="0" borderId="0" xfId="0" applyNumberFormat="1" applyFont="1" applyBorder="1" applyAlignment="1">
      <alignment horizontal="center" vertical="center"/>
    </xf>
    <xf numFmtId="191" fontId="65" fillId="0" borderId="0" xfId="0" applyNumberFormat="1" applyFont="1" applyBorder="1" applyAlignment="1">
      <alignment horizontal="center" vertical="center"/>
    </xf>
    <xf numFmtId="0" fontId="65" fillId="0" borderId="0" xfId="0" applyFont="1" applyBorder="1" applyAlignment="1">
      <alignment horizontal="center" vertical="center"/>
    </xf>
    <xf numFmtId="2" fontId="65" fillId="0" borderId="0" xfId="0" applyNumberFormat="1" applyFont="1" applyBorder="1" applyAlignment="1">
      <alignment horizontal="right" vertical="center"/>
    </xf>
    <xf numFmtId="217" fontId="65" fillId="0" borderId="0" xfId="0" applyNumberFormat="1" applyFont="1" applyBorder="1" applyAlignment="1">
      <alignment horizontal="center" vertical="center"/>
    </xf>
    <xf numFmtId="0" fontId="65" fillId="0" borderId="0" xfId="0" applyNumberFormat="1" applyFont="1" applyBorder="1" applyAlignment="1">
      <alignment horizontal="center" vertical="center"/>
    </xf>
    <xf numFmtId="188" fontId="65" fillId="0" borderId="64" xfId="0" applyNumberFormat="1" applyFont="1" applyBorder="1" applyAlignment="1">
      <alignment horizontal="center" vertical="center"/>
    </xf>
    <xf numFmtId="0" fontId="65" fillId="0" borderId="39" xfId="0" applyFont="1" applyBorder="1" applyAlignment="1">
      <alignment horizontal="center" vertical="center"/>
    </xf>
    <xf numFmtId="218" fontId="65" fillId="0" borderId="0" xfId="0" applyNumberFormat="1" applyFont="1" applyBorder="1" applyAlignment="1">
      <alignment horizontal="left" vertical="center" shrinkToFit="1"/>
    </xf>
    <xf numFmtId="188" fontId="65" fillId="0" borderId="64" xfId="0" applyNumberFormat="1" applyFont="1" applyBorder="1" applyAlignment="1">
      <alignment horizontal="center" vertical="center" shrinkToFit="1"/>
    </xf>
    <xf numFmtId="217" fontId="65" fillId="0" borderId="0" xfId="0" applyNumberFormat="1" applyFont="1" applyBorder="1" applyAlignment="1">
      <alignment horizontal="right" vertical="center"/>
    </xf>
    <xf numFmtId="191" fontId="65" fillId="0" borderId="0" xfId="0" applyNumberFormat="1" applyFont="1" applyBorder="1" applyAlignment="1">
      <alignment horizontal="right" vertical="center"/>
    </xf>
    <xf numFmtId="203" fontId="65" fillId="0" borderId="0" xfId="0" applyNumberFormat="1" applyFont="1" applyBorder="1" applyAlignment="1">
      <alignment horizontal="right" vertical="center"/>
    </xf>
    <xf numFmtId="203" fontId="65" fillId="0" borderId="0" xfId="0" applyNumberFormat="1" applyFont="1" applyBorder="1" applyAlignment="1">
      <alignment vertical="center"/>
    </xf>
    <xf numFmtId="191" fontId="65" fillId="0" borderId="0" xfId="0" applyNumberFormat="1" applyFont="1" applyBorder="1" applyAlignment="1">
      <alignment vertical="center" shrinkToFit="1"/>
    </xf>
    <xf numFmtId="0" fontId="65" fillId="0" borderId="0" xfId="0" applyFont="1" applyBorder="1" applyAlignment="1">
      <alignment vertical="center" shrinkToFit="1"/>
    </xf>
    <xf numFmtId="0" fontId="65" fillId="0" borderId="0" xfId="0" applyFont="1" applyBorder="1" applyAlignment="1">
      <alignment horizontal="left" vertical="center"/>
    </xf>
    <xf numFmtId="191" fontId="65" fillId="0" borderId="0" xfId="0" applyNumberFormat="1" applyFont="1" applyBorder="1" applyAlignment="1">
      <alignment vertical="center"/>
    </xf>
    <xf numFmtId="0" fontId="65" fillId="0" borderId="0" xfId="0" applyFont="1" applyBorder="1" applyAlignment="1">
      <alignment horizontal="right" vertical="center"/>
    </xf>
    <xf numFmtId="0" fontId="65" fillId="0" borderId="0" xfId="0" applyNumberFormat="1" applyFont="1" applyBorder="1" applyAlignment="1">
      <alignment vertical="center"/>
    </xf>
    <xf numFmtId="208" fontId="65" fillId="0" borderId="0" xfId="0" applyNumberFormat="1" applyFont="1" applyBorder="1" applyAlignment="1">
      <alignment vertical="center"/>
    </xf>
    <xf numFmtId="196" fontId="65" fillId="0" borderId="64" xfId="0" applyNumberFormat="1" applyFont="1" applyBorder="1" applyAlignment="1">
      <alignment vertical="center"/>
    </xf>
    <xf numFmtId="0" fontId="65" fillId="0" borderId="39" xfId="0" applyNumberFormat="1" applyFont="1" applyBorder="1" applyAlignment="1">
      <alignment horizontal="center" vertical="center"/>
    </xf>
    <xf numFmtId="196" fontId="65" fillId="0" borderId="0" xfId="0" applyNumberFormat="1" applyFont="1" applyBorder="1" applyAlignment="1">
      <alignment vertical="center" shrinkToFit="1"/>
    </xf>
    <xf numFmtId="196" fontId="90" fillId="0" borderId="0" xfId="0" applyNumberFormat="1" applyFont="1" applyBorder="1" applyAlignment="1">
      <alignment horizontal="center" vertical="center"/>
    </xf>
    <xf numFmtId="0" fontId="65" fillId="0" borderId="64" xfId="0" applyNumberFormat="1" applyFont="1" applyBorder="1" applyAlignment="1">
      <alignment horizontal="center" vertical="center"/>
    </xf>
    <xf numFmtId="216" fontId="107" fillId="0" borderId="64" xfId="0" applyNumberFormat="1" applyFont="1" applyBorder="1" applyAlignment="1">
      <alignment horizontal="center" vertical="center"/>
    </xf>
    <xf numFmtId="0" fontId="65" fillId="0" borderId="0" xfId="0" applyFont="1" applyAlignment="1">
      <alignment horizontal="right" vertical="center"/>
    </xf>
    <xf numFmtId="0" fontId="87" fillId="0" borderId="0" xfId="0" applyFont="1" applyBorder="1" applyAlignment="1">
      <alignment horizontal="center" vertical="center"/>
    </xf>
    <xf numFmtId="214" fontId="65" fillId="0" borderId="0" xfId="0" applyNumberFormat="1" applyFont="1" applyBorder="1" applyAlignment="1">
      <alignment vertical="center"/>
    </xf>
    <xf numFmtId="0" fontId="87" fillId="0" borderId="64" xfId="0" applyFont="1" applyBorder="1" applyAlignment="1">
      <alignment horizontal="center" vertical="center"/>
    </xf>
    <xf numFmtId="0" fontId="65" fillId="0" borderId="0" xfId="0" applyFont="1" applyAlignment="1">
      <alignment horizontal="center" vertical="center" shrinkToFit="1"/>
    </xf>
    <xf numFmtId="0" fontId="65" fillId="0" borderId="64" xfId="0" applyNumberFormat="1" applyFont="1" applyBorder="1" applyAlignment="1">
      <alignment vertical="center"/>
    </xf>
    <xf numFmtId="0" fontId="87" fillId="0" borderId="39" xfId="0" applyFont="1" applyBorder="1" applyAlignment="1">
      <alignment horizontal="center" vertical="center"/>
    </xf>
    <xf numFmtId="211" fontId="87" fillId="0" borderId="64" xfId="0" applyNumberFormat="1" applyFont="1" applyBorder="1" applyAlignment="1">
      <alignment horizontal="center" vertical="center"/>
    </xf>
    <xf numFmtId="211" fontId="65" fillId="0" borderId="64" xfId="0" applyNumberFormat="1" applyFont="1" applyBorder="1" applyAlignment="1">
      <alignment horizontal="center" vertical="center"/>
    </xf>
    <xf numFmtId="0" fontId="90" fillId="0" borderId="0" xfId="0" applyFont="1" applyBorder="1" applyAlignment="1">
      <alignment horizontal="center" vertical="center"/>
    </xf>
    <xf numFmtId="191" fontId="65" fillId="0" borderId="64" xfId="0" applyNumberFormat="1" applyFont="1" applyBorder="1" applyAlignment="1">
      <alignment horizontal="center" vertical="center"/>
    </xf>
    <xf numFmtId="0" fontId="65" fillId="0" borderId="0" xfId="0" applyFont="1" applyAlignment="1">
      <alignment vertical="center"/>
    </xf>
    <xf numFmtId="0" fontId="65" fillId="0" borderId="0" xfId="0" applyNumberFormat="1" applyFont="1" applyBorder="1" applyAlignment="1">
      <alignment horizontal="right" vertical="center"/>
    </xf>
    <xf numFmtId="0" fontId="65" fillId="0" borderId="0" xfId="0" applyNumberFormat="1" applyFont="1" applyBorder="1" applyAlignment="1">
      <alignment vertical="center" shrinkToFit="1"/>
    </xf>
    <xf numFmtId="212" fontId="65" fillId="0" borderId="0" xfId="0" applyNumberFormat="1" applyFont="1" applyBorder="1" applyAlignment="1">
      <alignment horizontal="center" vertical="center"/>
    </xf>
    <xf numFmtId="206" fontId="65" fillId="0" borderId="0" xfId="0" applyNumberFormat="1" applyFont="1" applyBorder="1" applyAlignment="1">
      <alignment vertical="center"/>
    </xf>
    <xf numFmtId="206" fontId="0" fillId="0" borderId="0" xfId="0" applyNumberFormat="1" applyAlignment="1">
      <alignment vertical="center"/>
    </xf>
    <xf numFmtId="185" fontId="65" fillId="0" borderId="0" xfId="0" applyNumberFormat="1" applyFont="1" applyBorder="1" applyAlignment="1">
      <alignment horizontal="left" vertical="center"/>
    </xf>
    <xf numFmtId="191" fontId="65" fillId="0" borderId="0" xfId="0" applyNumberFormat="1" applyFont="1" applyAlignment="1">
      <alignment vertical="center"/>
    </xf>
    <xf numFmtId="206" fontId="0" fillId="0" borderId="0" xfId="0" applyNumberFormat="1" applyBorder="1" applyAlignment="1">
      <alignment vertical="center"/>
    </xf>
    <xf numFmtId="0" fontId="65" fillId="0" borderId="64" xfId="0" applyFont="1" applyBorder="1" applyAlignment="1">
      <alignment horizontal="center"/>
    </xf>
    <xf numFmtId="191" fontId="65" fillId="0" borderId="64" xfId="0" applyNumberFormat="1" applyFont="1" applyBorder="1" applyAlignment="1">
      <alignment vertical="center"/>
    </xf>
    <xf numFmtId="207" fontId="65" fillId="0" borderId="64" xfId="0" applyNumberFormat="1" applyFont="1" applyBorder="1" applyAlignment="1">
      <alignment vertical="center"/>
    </xf>
    <xf numFmtId="188" fontId="65" fillId="0" borderId="0" xfId="0" applyNumberFormat="1" applyFont="1" applyBorder="1" applyAlignment="1">
      <alignment vertical="center"/>
    </xf>
    <xf numFmtId="203" fontId="65" fillId="0" borderId="0" xfId="0" applyNumberFormat="1" applyFont="1" applyBorder="1" applyAlignment="1">
      <alignment horizontal="center" vertical="center"/>
    </xf>
    <xf numFmtId="0" fontId="52" fillId="0" borderId="0" xfId="0" applyNumberFormat="1" applyFont="1" applyBorder="1" applyAlignment="1">
      <alignment horizontal="center" vertical="center"/>
    </xf>
    <xf numFmtId="0" fontId="52" fillId="0" borderId="0" xfId="0" applyNumberFormat="1" applyFont="1" applyBorder="1" applyAlignment="1">
      <alignment vertical="center"/>
    </xf>
    <xf numFmtId="0" fontId="52" fillId="0" borderId="39" xfId="0" applyNumberFormat="1" applyFont="1" applyBorder="1" applyAlignment="1">
      <alignment horizontal="center" vertical="center"/>
    </xf>
    <xf numFmtId="0" fontId="52" fillId="0" borderId="0" xfId="0" applyNumberFormat="1" applyFont="1" applyBorder="1" applyAlignment="1">
      <alignment horizontal="right" vertical="center"/>
    </xf>
    <xf numFmtId="0" fontId="52" fillId="0" borderId="64" xfId="0" applyNumberFormat="1" applyFont="1" applyBorder="1" applyAlignment="1">
      <alignment horizontal="right" vertical="center"/>
    </xf>
    <xf numFmtId="205" fontId="52" fillId="0" borderId="64" xfId="0" applyNumberFormat="1" applyFont="1" applyBorder="1" applyAlignment="1">
      <alignment horizontal="right" vertical="center"/>
    </xf>
    <xf numFmtId="201" fontId="52" fillId="0" borderId="0" xfId="0" applyNumberFormat="1" applyFont="1" applyBorder="1" applyAlignment="1">
      <alignment horizontal="center" vertical="center"/>
    </xf>
    <xf numFmtId="0" fontId="65" fillId="0" borderId="72" xfId="0" applyFont="1" applyBorder="1" applyAlignment="1">
      <alignment horizontal="center" vertical="center"/>
    </xf>
    <xf numFmtId="0" fontId="65" fillId="0" borderId="75" xfId="0" applyFont="1" applyBorder="1" applyAlignment="1">
      <alignment horizontal="center" vertical="center"/>
    </xf>
    <xf numFmtId="0" fontId="65" fillId="0" borderId="74" xfId="0" applyFont="1" applyBorder="1" applyAlignment="1">
      <alignment horizontal="center" vertical="center"/>
    </xf>
    <xf numFmtId="2" fontId="65" fillId="0" borderId="72" xfId="0" applyNumberFormat="1" applyFont="1" applyBorder="1" applyAlignment="1">
      <alignment horizontal="right" vertical="center"/>
    </xf>
    <xf numFmtId="2" fontId="65" fillId="0" borderId="75" xfId="0" applyNumberFormat="1" applyFont="1" applyBorder="1" applyAlignment="1">
      <alignment horizontal="right" vertical="center"/>
    </xf>
    <xf numFmtId="0" fontId="65" fillId="0" borderId="75" xfId="0" applyNumberFormat="1" applyFont="1" applyBorder="1" applyAlignment="1">
      <alignment horizontal="center" vertical="center"/>
    </xf>
    <xf numFmtId="0" fontId="65" fillId="0" borderId="75" xfId="0" applyFont="1" applyBorder="1" applyAlignment="1">
      <alignment vertical="center"/>
    </xf>
    <xf numFmtId="0" fontId="65" fillId="0" borderId="74" xfId="0" applyFont="1" applyBorder="1" applyAlignment="1">
      <alignment vertical="center"/>
    </xf>
    <xf numFmtId="0" fontId="65" fillId="0" borderId="54" xfId="0" applyFont="1" applyBorder="1" applyAlignment="1">
      <alignment horizontal="center" vertical="center"/>
    </xf>
    <xf numFmtId="0" fontId="87" fillId="0" borderId="72" xfId="0" applyFont="1" applyBorder="1" applyAlignment="1">
      <alignment horizontal="center" vertical="center"/>
    </xf>
    <xf numFmtId="0" fontId="87" fillId="0" borderId="75" xfId="0" applyFont="1" applyBorder="1" applyAlignment="1">
      <alignment horizontal="center" vertical="center"/>
    </xf>
    <xf numFmtId="0" fontId="87" fillId="0" borderId="74" xfId="0" applyFont="1" applyBorder="1" applyAlignment="1">
      <alignment horizontal="center" vertical="center"/>
    </xf>
    <xf numFmtId="0" fontId="65" fillId="0" borderId="72" xfId="0" applyNumberFormat="1" applyFont="1" applyBorder="1" applyAlignment="1">
      <alignment horizontal="right" vertical="center"/>
    </xf>
    <xf numFmtId="0" fontId="65" fillId="0" borderId="75" xfId="0" applyNumberFormat="1" applyFont="1" applyBorder="1" applyAlignment="1">
      <alignment horizontal="right" vertical="center"/>
    </xf>
    <xf numFmtId="0" fontId="65" fillId="0" borderId="75" xfId="0" applyNumberFormat="1" applyFont="1" applyBorder="1" applyAlignment="1">
      <alignment vertical="center"/>
    </xf>
    <xf numFmtId="0" fontId="65" fillId="0" borderId="74" xfId="0" applyNumberFormat="1" applyFont="1" applyBorder="1" applyAlignment="1">
      <alignment vertical="center"/>
    </xf>
    <xf numFmtId="0" fontId="65" fillId="0" borderId="72" xfId="0" applyFont="1" applyBorder="1" applyAlignment="1">
      <alignment vertical="center"/>
    </xf>
    <xf numFmtId="203" fontId="65" fillId="0" borderId="72" xfId="0" applyNumberFormat="1" applyFont="1" applyBorder="1" applyAlignment="1">
      <alignment vertical="center"/>
    </xf>
    <xf numFmtId="203" fontId="65" fillId="0" borderId="75" xfId="0" applyNumberFormat="1" applyFont="1" applyBorder="1" applyAlignment="1">
      <alignment vertical="center"/>
    </xf>
    <xf numFmtId="191" fontId="65" fillId="0" borderId="72" xfId="0" applyNumberFormat="1" applyFont="1" applyBorder="1" applyAlignment="1">
      <alignment vertical="center"/>
    </xf>
    <xf numFmtId="191" fontId="65" fillId="0" borderId="75" xfId="0" applyNumberFormat="1" applyFont="1" applyBorder="1" applyAlignment="1">
      <alignment vertical="center"/>
    </xf>
    <xf numFmtId="0" fontId="65" fillId="0" borderId="75" xfId="0" applyFont="1" applyBorder="1">
      <alignment vertical="center"/>
    </xf>
    <xf numFmtId="0" fontId="65" fillId="0" borderId="74" xfId="0" applyFont="1" applyBorder="1">
      <alignment vertical="center"/>
    </xf>
    <xf numFmtId="0" fontId="52" fillId="0" borderId="72" xfId="0" applyFont="1" applyBorder="1" applyAlignment="1">
      <alignment horizontal="center" vertical="center"/>
    </xf>
    <xf numFmtId="0" fontId="52" fillId="0" borderId="75" xfId="0" applyFont="1" applyBorder="1" applyAlignment="1">
      <alignment horizontal="center" vertical="center"/>
    </xf>
    <xf numFmtId="0" fontId="52" fillId="0" borderId="74" xfId="0" applyFont="1" applyBorder="1" applyAlignment="1">
      <alignment horizontal="center" vertical="center"/>
    </xf>
    <xf numFmtId="0" fontId="65" fillId="0" borderId="72" xfId="0" applyNumberFormat="1" applyFont="1" applyBorder="1" applyAlignment="1">
      <alignment horizontal="center" vertical="center"/>
    </xf>
    <xf numFmtId="0" fontId="65" fillId="0" borderId="74" xfId="0" applyNumberFormat="1" applyFont="1" applyBorder="1" applyAlignment="1">
      <alignment horizontal="center" vertical="center"/>
    </xf>
    <xf numFmtId="202" fontId="65" fillId="0" borderId="72" xfId="0" applyNumberFormat="1" applyFont="1" applyBorder="1" applyAlignment="1">
      <alignment vertical="center"/>
    </xf>
    <xf numFmtId="202" fontId="65" fillId="0" borderId="75" xfId="0" applyNumberFormat="1" applyFont="1" applyBorder="1" applyAlignment="1">
      <alignment vertical="center"/>
    </xf>
    <xf numFmtId="0" fontId="65" fillId="0" borderId="54" xfId="0" applyFont="1" applyBorder="1" applyAlignment="1">
      <alignment horizontal="right" vertical="center"/>
    </xf>
    <xf numFmtId="0" fontId="87" fillId="0" borderId="72" xfId="0" applyFont="1" applyBorder="1" applyAlignment="1">
      <alignment horizontal="right" vertical="center"/>
    </xf>
    <xf numFmtId="0" fontId="87" fillId="0" borderId="75" xfId="0" applyFont="1" applyBorder="1" applyAlignment="1">
      <alignment horizontal="right" vertical="center"/>
    </xf>
    <xf numFmtId="0" fontId="87" fillId="0" borderId="74" xfId="0" applyFont="1" applyBorder="1" applyAlignment="1">
      <alignment horizontal="right" vertical="center"/>
    </xf>
    <xf numFmtId="0" fontId="65" fillId="0" borderId="72" xfId="0" applyFont="1" applyBorder="1" applyAlignment="1">
      <alignment horizontal="right" vertical="center" indent="1"/>
    </xf>
    <xf numFmtId="0" fontId="65" fillId="0" borderId="75" xfId="0" applyFont="1" applyBorder="1" applyAlignment="1">
      <alignment horizontal="right" vertical="center" indent="1"/>
    </xf>
    <xf numFmtId="0" fontId="65" fillId="0" borderId="74" xfId="0" applyFont="1" applyBorder="1" applyAlignment="1">
      <alignment horizontal="right" vertical="center" indent="1"/>
    </xf>
    <xf numFmtId="203" fontId="65" fillId="0" borderId="75" xfId="0" applyNumberFormat="1" applyFont="1" applyBorder="1" applyAlignment="1">
      <alignment horizontal="right" vertical="center"/>
    </xf>
    <xf numFmtId="0" fontId="65" fillId="0" borderId="71" xfId="0" applyFont="1" applyBorder="1" applyAlignment="1">
      <alignment horizontal="center" vertical="center"/>
    </xf>
    <xf numFmtId="0" fontId="65" fillId="0" borderId="42" xfId="0" applyFont="1" applyBorder="1" applyAlignment="1">
      <alignment horizontal="center" vertical="center"/>
    </xf>
    <xf numFmtId="0" fontId="65" fillId="0" borderId="66" xfId="0" applyFont="1" applyBorder="1" applyAlignment="1">
      <alignment horizontal="center" vertical="center"/>
    </xf>
    <xf numFmtId="191" fontId="65" fillId="0" borderId="72" xfId="0" applyNumberFormat="1" applyFont="1" applyBorder="1" applyAlignment="1">
      <alignment horizontal="right" vertical="center"/>
    </xf>
    <xf numFmtId="191" fontId="65" fillId="0" borderId="75" xfId="0" applyNumberFormat="1" applyFont="1" applyBorder="1" applyAlignment="1">
      <alignment horizontal="right" vertical="center"/>
    </xf>
    <xf numFmtId="0" fontId="65" fillId="0" borderId="62" xfId="0" applyFont="1" applyBorder="1" applyAlignment="1">
      <alignment horizontal="center" vertical="center"/>
    </xf>
    <xf numFmtId="0" fontId="65" fillId="0" borderId="32" xfId="0" applyFont="1" applyBorder="1" applyAlignment="1">
      <alignment horizontal="center" vertical="center"/>
    </xf>
    <xf numFmtId="0" fontId="65" fillId="0" borderId="63" xfId="0" applyFont="1" applyBorder="1" applyAlignment="1">
      <alignment horizontal="center" vertical="center"/>
    </xf>
    <xf numFmtId="0" fontId="65" fillId="0" borderId="65" xfId="0" applyFont="1" applyBorder="1" applyAlignment="1">
      <alignment horizontal="center" vertical="center"/>
    </xf>
    <xf numFmtId="0" fontId="87" fillId="0" borderId="63" xfId="0" applyFont="1" applyBorder="1" applyAlignment="1">
      <alignment horizontal="center" vertical="center"/>
    </xf>
    <xf numFmtId="0" fontId="87" fillId="0" borderId="65" xfId="0" applyFont="1" applyBorder="1" applyAlignment="1">
      <alignment horizontal="center" vertical="center"/>
    </xf>
    <xf numFmtId="0" fontId="90" fillId="0" borderId="51" xfId="0" applyFont="1" applyBorder="1" applyAlignment="1">
      <alignment horizontal="center" vertical="center"/>
    </xf>
    <xf numFmtId="0" fontId="90" fillId="0" borderId="63" xfId="0" applyFont="1" applyBorder="1" applyAlignment="1">
      <alignment horizontal="center" vertical="center"/>
    </xf>
    <xf numFmtId="0" fontId="90" fillId="0" borderId="64" xfId="0" applyFont="1" applyBorder="1" applyAlignment="1">
      <alignment horizontal="center" vertical="center"/>
    </xf>
    <xf numFmtId="0" fontId="90" fillId="0" borderId="65" xfId="0" applyFont="1" applyBorder="1" applyAlignment="1">
      <alignment horizontal="center" vertical="center"/>
    </xf>
    <xf numFmtId="0" fontId="65" fillId="0" borderId="72" xfId="0" applyNumberFormat="1" applyFont="1" applyBorder="1" applyAlignment="1">
      <alignment horizontal="center" vertical="center" shrinkToFit="1"/>
    </xf>
    <xf numFmtId="0" fontId="65" fillId="0" borderId="75" xfId="0" applyNumberFormat="1" applyFont="1" applyBorder="1" applyAlignment="1">
      <alignment horizontal="center" vertical="center" shrinkToFit="1"/>
    </xf>
    <xf numFmtId="0" fontId="65" fillId="0" borderId="74" xfId="0" applyNumberFormat="1" applyFont="1" applyBorder="1" applyAlignment="1">
      <alignment horizontal="center" vertical="center" shrinkToFit="1"/>
    </xf>
    <xf numFmtId="0" fontId="65" fillId="0" borderId="54" xfId="0" applyNumberFormat="1" applyFont="1" applyBorder="1" applyAlignment="1">
      <alignment horizontal="center" vertical="center"/>
    </xf>
    <xf numFmtId="0" fontId="65" fillId="32" borderId="71" xfId="0" applyFont="1" applyFill="1" applyBorder="1" applyAlignment="1">
      <alignment horizontal="center" vertical="center" wrapText="1"/>
    </xf>
    <xf numFmtId="0" fontId="65" fillId="32" borderId="39" xfId="0" applyFont="1" applyFill="1" applyBorder="1" applyAlignment="1">
      <alignment horizontal="center" vertical="center" wrapText="1"/>
    </xf>
    <xf numFmtId="0" fontId="65" fillId="32" borderId="42" xfId="0" applyFont="1" applyFill="1" applyBorder="1" applyAlignment="1">
      <alignment horizontal="center" vertical="center" wrapText="1"/>
    </xf>
    <xf numFmtId="0" fontId="65" fillId="32" borderId="63" xfId="0" applyFont="1" applyFill="1" applyBorder="1" applyAlignment="1">
      <alignment horizontal="center" vertical="center" wrapText="1"/>
    </xf>
    <xf numFmtId="0" fontId="65" fillId="32" borderId="64" xfId="0" applyFont="1" applyFill="1" applyBorder="1" applyAlignment="1">
      <alignment horizontal="center" vertical="center" wrapText="1"/>
    </xf>
    <xf numFmtId="0" fontId="65" fillId="32" borderId="65" xfId="0" applyFont="1" applyFill="1" applyBorder="1" applyAlignment="1">
      <alignment horizontal="center" vertical="center" wrapText="1"/>
    </xf>
    <xf numFmtId="0" fontId="65" fillId="32" borderId="72" xfId="0" applyFont="1" applyFill="1" applyBorder="1" applyAlignment="1">
      <alignment horizontal="center" vertical="center" wrapText="1"/>
    </xf>
    <xf numFmtId="0" fontId="65" fillId="32" borderId="75" xfId="0" applyFont="1" applyFill="1" applyBorder="1" applyAlignment="1">
      <alignment horizontal="center" vertical="center" wrapText="1"/>
    </xf>
    <xf numFmtId="0" fontId="65" fillId="32" borderId="74" xfId="0" applyFont="1" applyFill="1" applyBorder="1" applyAlignment="1">
      <alignment horizontal="center" vertical="center" wrapText="1"/>
    </xf>
    <xf numFmtId="0" fontId="65" fillId="32" borderId="54" xfId="0" applyFont="1" applyFill="1" applyBorder="1" applyAlignment="1">
      <alignment horizontal="center" vertical="center" wrapText="1"/>
    </xf>
    <xf numFmtId="191" fontId="65" fillId="0" borderId="72" xfId="0" applyNumberFormat="1" applyFont="1" applyBorder="1" applyAlignment="1">
      <alignment horizontal="center" vertical="center"/>
    </xf>
    <xf numFmtId="191" fontId="65" fillId="0" borderId="75" xfId="0" applyNumberFormat="1" applyFont="1" applyBorder="1" applyAlignment="1">
      <alignment horizontal="center" vertical="center"/>
    </xf>
    <xf numFmtId="191" fontId="65" fillId="0" borderId="74" xfId="0" applyNumberFormat="1" applyFont="1" applyBorder="1" applyAlignment="1">
      <alignment horizontal="center" vertical="center"/>
    </xf>
    <xf numFmtId="0" fontId="52" fillId="32" borderId="54" xfId="0" applyNumberFormat="1" applyFont="1" applyFill="1" applyBorder="1" applyAlignment="1">
      <alignment horizontal="center" vertical="center" shrinkToFit="1"/>
    </xf>
    <xf numFmtId="0" fontId="65" fillId="0" borderId="54" xfId="0" applyNumberFormat="1" applyFont="1" applyBorder="1" applyAlignment="1">
      <alignment horizontal="center" vertical="center" shrinkToFit="1"/>
    </xf>
    <xf numFmtId="199" fontId="52" fillId="0" borderId="66" xfId="87" applyNumberFormat="1" applyFont="1" applyBorder="1" applyAlignment="1">
      <alignment horizontal="center" vertical="center"/>
    </xf>
    <xf numFmtId="199" fontId="52" fillId="0" borderId="61" xfId="87" applyNumberFormat="1" applyFont="1" applyBorder="1" applyAlignment="1">
      <alignment horizontal="center" vertical="center"/>
    </xf>
    <xf numFmtId="199" fontId="52" fillId="0" borderId="51" xfId="87" applyNumberFormat="1" applyFont="1" applyBorder="1" applyAlignment="1">
      <alignment horizontal="center" vertical="center"/>
    </xf>
    <xf numFmtId="0" fontId="72" fillId="28" borderId="58" xfId="0" applyNumberFormat="1" applyFont="1" applyFill="1" applyBorder="1" applyAlignment="1">
      <alignment horizontal="center" vertical="center"/>
    </xf>
    <xf numFmtId="0" fontId="72" fillId="28" borderId="60" xfId="0" applyNumberFormat="1" applyFont="1" applyFill="1" applyBorder="1" applyAlignment="1">
      <alignment horizontal="center" vertical="center"/>
    </xf>
    <xf numFmtId="0" fontId="72" fillId="28" borderId="53" xfId="0" applyNumberFormat="1" applyFont="1" applyFill="1" applyBorder="1" applyAlignment="1">
      <alignment horizontal="center" vertical="center" wrapText="1"/>
    </xf>
    <xf numFmtId="0" fontId="72" fillId="28" borderId="67" xfId="0" applyNumberFormat="1" applyFont="1" applyFill="1" applyBorder="1" applyAlignment="1">
      <alignment horizontal="center" vertical="center" wrapText="1"/>
    </xf>
    <xf numFmtId="188" fontId="71" fillId="0" borderId="76" xfId="0" applyNumberFormat="1" applyFont="1" applyFill="1" applyBorder="1" applyAlignment="1">
      <alignment horizontal="center" vertical="center"/>
    </xf>
    <xf numFmtId="190" fontId="71" fillId="32" borderId="53" xfId="86" applyNumberFormat="1" applyFont="1" applyFill="1" applyBorder="1" applyAlignment="1">
      <alignment horizontal="center" vertical="center" wrapText="1"/>
    </xf>
    <xf numFmtId="190" fontId="71" fillId="32" borderId="67" xfId="86" applyNumberFormat="1" applyFont="1" applyFill="1" applyBorder="1" applyAlignment="1">
      <alignment horizontal="center" vertical="center" wrapText="1"/>
    </xf>
    <xf numFmtId="0" fontId="52" fillId="0" borderId="72" xfId="0" applyNumberFormat="1" applyFont="1" applyBorder="1" applyAlignment="1">
      <alignment horizontal="center" vertical="center"/>
    </xf>
    <xf numFmtId="0" fontId="52" fillId="0" borderId="74" xfId="0" applyNumberFormat="1" applyFont="1" applyBorder="1" applyAlignment="1">
      <alignment horizontal="center" vertical="center"/>
    </xf>
    <xf numFmtId="0" fontId="72" fillId="28" borderId="58" xfId="0" applyNumberFormat="1" applyFont="1" applyFill="1" applyBorder="1" applyAlignment="1">
      <alignment horizontal="center" vertical="center" wrapText="1"/>
    </xf>
    <xf numFmtId="0" fontId="72" fillId="28" borderId="59" xfId="0" applyNumberFormat="1" applyFont="1" applyFill="1" applyBorder="1" applyAlignment="1">
      <alignment horizontal="center" vertical="center" wrapText="1"/>
    </xf>
    <xf numFmtId="0" fontId="72" fillId="28" borderId="60" xfId="0" applyNumberFormat="1" applyFont="1" applyFill="1" applyBorder="1" applyAlignment="1">
      <alignment horizontal="center" vertical="center" wrapText="1"/>
    </xf>
    <xf numFmtId="0" fontId="72" fillId="28" borderId="68" xfId="0" applyNumberFormat="1" applyFont="1" applyFill="1" applyBorder="1" applyAlignment="1">
      <alignment horizontal="center" vertical="center" wrapText="1"/>
    </xf>
    <xf numFmtId="0" fontId="72" fillId="28" borderId="69" xfId="0" applyNumberFormat="1" applyFont="1" applyFill="1" applyBorder="1" applyAlignment="1">
      <alignment horizontal="center" vertical="center" wrapText="1"/>
    </xf>
    <xf numFmtId="0" fontId="72" fillId="28" borderId="70" xfId="0" applyNumberFormat="1" applyFont="1" applyFill="1" applyBorder="1" applyAlignment="1">
      <alignment horizontal="center" vertical="center" wrapText="1"/>
    </xf>
    <xf numFmtId="0" fontId="72" fillId="28" borderId="59" xfId="0" applyNumberFormat="1" applyFont="1" applyFill="1" applyBorder="1" applyAlignment="1">
      <alignment horizontal="center" vertical="center"/>
    </xf>
    <xf numFmtId="189" fontId="72" fillId="28" borderId="53" xfId="0" applyNumberFormat="1" applyFont="1" applyFill="1" applyBorder="1" applyAlignment="1">
      <alignment horizontal="center" vertical="center" wrapText="1"/>
    </xf>
    <xf numFmtId="189" fontId="72" fillId="28" borderId="43" xfId="0" applyNumberFormat="1" applyFont="1" applyFill="1" applyBorder="1" applyAlignment="1">
      <alignment horizontal="center" vertical="center" wrapText="1"/>
    </xf>
    <xf numFmtId="0" fontId="72" fillId="28" borderId="80" xfId="0" applyNumberFormat="1" applyFont="1" applyFill="1" applyBorder="1" applyAlignment="1">
      <alignment horizontal="center" vertical="center" wrapText="1"/>
    </xf>
    <xf numFmtId="0" fontId="72" fillId="28" borderId="43" xfId="0" applyNumberFormat="1" applyFont="1" applyFill="1" applyBorder="1" applyAlignment="1">
      <alignment horizontal="center" vertical="center" wrapText="1"/>
    </xf>
    <xf numFmtId="0" fontId="72" fillId="28" borderId="53" xfId="0" applyNumberFormat="1" applyFont="1" applyFill="1" applyBorder="1" applyAlignment="1">
      <alignment horizontal="center" vertical="center"/>
    </xf>
    <xf numFmtId="0" fontId="72" fillId="28" borderId="43" xfId="0" applyNumberFormat="1" applyFont="1" applyFill="1" applyBorder="1" applyAlignment="1">
      <alignment horizontal="center" vertical="center"/>
    </xf>
    <xf numFmtId="0" fontId="72" fillId="28" borderId="67" xfId="0" applyNumberFormat="1" applyFont="1" applyFill="1" applyBorder="1" applyAlignment="1">
      <alignment horizontal="center" vertical="center"/>
    </xf>
    <xf numFmtId="189" fontId="72" fillId="28" borderId="58" xfId="0" applyNumberFormat="1" applyFont="1" applyFill="1" applyBorder="1" applyAlignment="1">
      <alignment horizontal="center" vertical="center" wrapText="1"/>
    </xf>
    <xf numFmtId="189" fontId="72" fillId="28" borderId="60" xfId="0" applyNumberFormat="1" applyFont="1" applyFill="1" applyBorder="1" applyAlignment="1">
      <alignment horizontal="center" vertical="center" wrapText="1"/>
    </xf>
    <xf numFmtId="0" fontId="72" fillId="28" borderId="76" xfId="0" applyNumberFormat="1" applyFont="1" applyFill="1" applyBorder="1" applyAlignment="1">
      <alignment horizontal="center" vertical="center" wrapText="1"/>
    </xf>
    <xf numFmtId="0" fontId="67" fillId="33" borderId="48" xfId="0" applyFont="1" applyFill="1" applyBorder="1" applyAlignment="1">
      <alignment horizontal="center" vertical="center"/>
    </xf>
    <xf numFmtId="0" fontId="67" fillId="33" borderId="14" xfId="0" applyFont="1" applyFill="1" applyBorder="1" applyAlignment="1">
      <alignment horizontal="center" vertical="center"/>
    </xf>
    <xf numFmtId="0" fontId="67" fillId="33" borderId="49" xfId="0" applyFont="1" applyFill="1" applyBorder="1" applyAlignment="1">
      <alignment horizontal="center" vertical="center"/>
    </xf>
  </cellXfs>
  <cellStyles count="173">
    <cellStyle name="??&amp;O?&amp;H?_x0008__x000f__x0007_?_x0007__x0001__x0001_" xfId="1"/>
    <cellStyle name="??&amp;O?&amp;H?_x0008_??_x0007__x0001__x0001_" xfId="2"/>
    <cellStyle name="æØè [0.00]_PRODUCT DETAIL Q1" xfId="3"/>
    <cellStyle name="æØè_PRODUCT DETAIL Q1" xfId="4"/>
    <cellStyle name="ÊÝ [0.00]_PRODUCT DETAIL Q1" xfId="5"/>
    <cellStyle name="ÊÝ_PRODUCT DETAIL Q1" xfId="6"/>
    <cellStyle name="W?_BOOKSHIP" xfId="7"/>
    <cellStyle name="W_BOOKSHIP" xfId="8"/>
    <cellStyle name="20% - 강조색1" xfId="9" builtinId="30" customBuiltin="1"/>
    <cellStyle name="20% - 강조색2" xfId="10" builtinId="34" customBuiltin="1"/>
    <cellStyle name="20% - 강조색3" xfId="11" builtinId="38" customBuiltin="1"/>
    <cellStyle name="20% - 강조색4" xfId="12" builtinId="42" customBuiltin="1"/>
    <cellStyle name="20% - 강조색5" xfId="13" builtinId="46" customBuiltin="1"/>
    <cellStyle name="20% - 강조색6" xfId="14" builtinId="50" customBuiltin="1"/>
    <cellStyle name="40% - 강조색1" xfId="15" builtinId="31" customBuiltin="1"/>
    <cellStyle name="40% - 강조색2" xfId="16" builtinId="35" customBuiltin="1"/>
    <cellStyle name="40% - 강조색3" xfId="17" builtinId="39" customBuiltin="1"/>
    <cellStyle name="40% - 강조색4" xfId="18" builtinId="43" customBuiltin="1"/>
    <cellStyle name="40% - 강조색5" xfId="19" builtinId="47" customBuiltin="1"/>
    <cellStyle name="40% - 강조색6" xfId="20" builtinId="51" customBuiltin="1"/>
    <cellStyle name="60% - 강조색1" xfId="21" builtinId="32" customBuiltin="1"/>
    <cellStyle name="60% - 강조색2" xfId="22" builtinId="36" customBuiltin="1"/>
    <cellStyle name="60% - 강조색3" xfId="23" builtinId="40" customBuiltin="1"/>
    <cellStyle name="60% - 강조색4" xfId="24" builtinId="44" customBuiltin="1"/>
    <cellStyle name="60% - 강조색5" xfId="25" builtinId="48" customBuiltin="1"/>
    <cellStyle name="60% - 강조색6" xfId="26" builtinId="52" customBuiltin="1"/>
    <cellStyle name="ÅëÈ­ [0]_¸ÅÃâ" xfId="27"/>
    <cellStyle name="ÅëÈ­_¸ÅÃâ" xfId="28"/>
    <cellStyle name="ÄÞ¸¶ [0]_¸ÅÃâ" xfId="29"/>
    <cellStyle name="ÄÞ¸¶_¸ÅÃâ" xfId="30"/>
    <cellStyle name="Ç¥ÁØ_(Á¤º¸ºÎ¹®)¿ùº°ÀÎ¿ø°èÈ¹" xfId="31"/>
    <cellStyle name="Comma [0]_ SG&amp;A Bridge " xfId="32"/>
    <cellStyle name="Comma_ SG&amp;A Bridge " xfId="33"/>
    <cellStyle name="Currency [0]_ SG&amp;A Bridge " xfId="34"/>
    <cellStyle name="Currency_ SG&amp;A Bridge " xfId="35"/>
    <cellStyle name="Grey" xfId="36"/>
    <cellStyle name="Input [yellow]" xfId="37"/>
    <cellStyle name="Input [yellow] 2" xfId="88"/>
    <cellStyle name="Input [yellow] 2 2" xfId="122"/>
    <cellStyle name="Input [yellow] 2 3" xfId="147"/>
    <cellStyle name="Input [yellow] 2 3 2" xfId="163"/>
    <cellStyle name="Input [yellow] 3" xfId="97"/>
    <cellStyle name="Input [yellow] 3 2" xfId="151"/>
    <cellStyle name="Input [yellow] 4" xfId="144"/>
    <cellStyle name="Normal - Style1" xfId="38"/>
    <cellStyle name="Normal_ SG&amp;A Bridge " xfId="39"/>
    <cellStyle name="Percent [2]" xfId="40"/>
    <cellStyle name="강조색1" xfId="41" builtinId="29" customBuiltin="1"/>
    <cellStyle name="강조색2" xfId="42" builtinId="33" customBuiltin="1"/>
    <cellStyle name="강조색3" xfId="43" builtinId="37" customBuiltin="1"/>
    <cellStyle name="강조색4" xfId="44" builtinId="41" customBuiltin="1"/>
    <cellStyle name="강조색5" xfId="45" builtinId="45" customBuiltin="1"/>
    <cellStyle name="강조색6" xfId="46" builtinId="49" customBuiltin="1"/>
    <cellStyle name="경고문" xfId="47" builtinId="11" customBuiltin="1"/>
    <cellStyle name="계산" xfId="48" builtinId="22" customBuiltin="1"/>
    <cellStyle name="계산 2" xfId="89"/>
    <cellStyle name="계산 2 2" xfId="123"/>
    <cellStyle name="계산 2 3" xfId="108"/>
    <cellStyle name="계산 3" xfId="98"/>
    <cellStyle name="계산 3 2" xfId="116"/>
    <cellStyle name="나쁨" xfId="49" builtinId="27" customBuiltin="1"/>
    <cellStyle name="뒤에 오는 하이퍼링크_불확도(OPM)" xfId="50"/>
    <cellStyle name="메모" xfId="51" builtinId="10" customBuiltin="1"/>
    <cellStyle name="메모 2" xfId="90"/>
    <cellStyle name="메모 2 2" xfId="124"/>
    <cellStyle name="메모 2 2 2" xfId="169"/>
    <cellStyle name="메모 2 3" xfId="109"/>
    <cellStyle name="메모 3" xfId="99"/>
    <cellStyle name="메모 3 2" xfId="117"/>
    <cellStyle name="메모 3 2 2" xfId="167"/>
    <cellStyle name="메모 3 3" xfId="160"/>
    <cellStyle name="메모 4" xfId="145"/>
    <cellStyle name="메모 4 2" xfId="161"/>
    <cellStyle name="백분율" xfId="86" builtinId="5"/>
    <cellStyle name="백분율 2" xfId="83"/>
    <cellStyle name="보통" xfId="52" builtinId="28" customBuiltin="1"/>
    <cellStyle name="뷭?_BOOKSHIP" xfId="53"/>
    <cellStyle name="설명 텍스트" xfId="54" builtinId="53" customBuiltin="1"/>
    <cellStyle name="셀 확인" xfId="55" builtinId="23" customBuiltin="1"/>
    <cellStyle name="쉼표 [0]" xfId="87" builtinId="6"/>
    <cellStyle name="쉼표 [0] 2" xfId="94"/>
    <cellStyle name="쉼표 [0] 2 2" xfId="96"/>
    <cellStyle name="쉼표 [0] 2 2 2" xfId="106"/>
    <cellStyle name="쉼표 [0] 2 2 2 2" xfId="138"/>
    <cellStyle name="쉼표 [0] 2 2 2 2 2" xfId="172"/>
    <cellStyle name="쉼표 [0] 2 2 2 3" xfId="130"/>
    <cellStyle name="쉼표 [0] 2 2 2 4" xfId="155"/>
    <cellStyle name="쉼표 [0] 2 2 3" xfId="134"/>
    <cellStyle name="쉼표 [0] 2 2 3 2" xfId="166"/>
    <cellStyle name="쉼표 [0] 2 2 3 3" xfId="150"/>
    <cellStyle name="쉼표 [0] 2 2 4" xfId="115"/>
    <cellStyle name="쉼표 [0] 2 2 4 2" xfId="159"/>
    <cellStyle name="쉼표 [0] 2 2 5" xfId="143"/>
    <cellStyle name="쉼표 [0] 2 3" xfId="104"/>
    <cellStyle name="쉼표 [0] 2 3 2" xfId="136"/>
    <cellStyle name="쉼표 [0] 2 3 2 2" xfId="170"/>
    <cellStyle name="쉼표 [0] 2 3 3" xfId="128"/>
    <cellStyle name="쉼표 [0] 2 3 4" xfId="153"/>
    <cellStyle name="쉼표 [0] 2 4" xfId="132"/>
    <cellStyle name="쉼표 [0] 2 4 2" xfId="164"/>
    <cellStyle name="쉼표 [0] 2 4 3" xfId="148"/>
    <cellStyle name="쉼표 [0] 2 5" xfId="113"/>
    <cellStyle name="쉼표 [0] 2 5 2" xfId="157"/>
    <cellStyle name="쉼표 [0] 2 6" xfId="141"/>
    <cellStyle name="쉼표 [0] 3" xfId="95"/>
    <cellStyle name="쉼표 [0] 3 2" xfId="105"/>
    <cellStyle name="쉼표 [0] 3 2 2" xfId="137"/>
    <cellStyle name="쉼표 [0] 3 2 2 2" xfId="171"/>
    <cellStyle name="쉼표 [0] 3 2 3" xfId="129"/>
    <cellStyle name="쉼표 [0] 3 2 4" xfId="154"/>
    <cellStyle name="쉼표 [0] 3 3" xfId="133"/>
    <cellStyle name="쉼표 [0] 3 3 2" xfId="165"/>
    <cellStyle name="쉼표 [0] 3 3 3" xfId="149"/>
    <cellStyle name="쉼표 [0] 3 4" xfId="114"/>
    <cellStyle name="쉼표 [0] 3 4 2" xfId="158"/>
    <cellStyle name="쉼표 [0] 3 5" xfId="142"/>
    <cellStyle name="쉼표 [0] 4" xfId="103"/>
    <cellStyle name="쉼표 [0] 4 2" xfId="135"/>
    <cellStyle name="쉼표 [0] 4 2 2" xfId="168"/>
    <cellStyle name="쉼표 [0] 4 3" xfId="121"/>
    <cellStyle name="쉼표 [0] 4 4" xfId="152"/>
    <cellStyle name="쉼표 [0] 5" xfId="131"/>
    <cellStyle name="쉼표 [0] 5 2" xfId="162"/>
    <cellStyle name="쉼표 [0] 5 3" xfId="146"/>
    <cellStyle name="쉼표 [0] 6" xfId="107"/>
    <cellStyle name="쉼표 [0] 6 2" xfId="156"/>
    <cellStyle name="쉼표 [0] 7" xfId="140"/>
    <cellStyle name="스타일 1" xfId="56"/>
    <cellStyle name="연결된 셀" xfId="57" builtinId="24" customBuiltin="1"/>
    <cellStyle name="요약" xfId="58" builtinId="25" customBuiltin="1"/>
    <cellStyle name="요약 2" xfId="91"/>
    <cellStyle name="요약 2 2" xfId="125"/>
    <cellStyle name="요약 2 3" xfId="110"/>
    <cellStyle name="요약 3" xfId="100"/>
    <cellStyle name="요약 3 2" xfId="118"/>
    <cellStyle name="입력" xfId="59" builtinId="20" customBuiltin="1"/>
    <cellStyle name="입력 2" xfId="92"/>
    <cellStyle name="입력 2 2" xfId="126"/>
    <cellStyle name="입력 2 3" xfId="111"/>
    <cellStyle name="입력 3" xfId="101"/>
    <cellStyle name="입력 3 2" xfId="119"/>
    <cellStyle name="제목" xfId="60" builtinId="15" customBuiltin="1"/>
    <cellStyle name="제목 1" xfId="61" builtinId="16" customBuiltin="1"/>
    <cellStyle name="제목 2" xfId="62" builtinId="17" customBuiltin="1"/>
    <cellStyle name="제목 3" xfId="63" builtinId="18" customBuiltin="1"/>
    <cellStyle name="제목 4" xfId="64" builtinId="19" customBuiltin="1"/>
    <cellStyle name="좋음" xfId="65" builtinId="26" customBuiltin="1"/>
    <cellStyle name="출력" xfId="66" builtinId="21" customBuiltin="1"/>
    <cellStyle name="출력 2" xfId="93"/>
    <cellStyle name="출력 2 2" xfId="127"/>
    <cellStyle name="출력 2 3" xfId="112"/>
    <cellStyle name="출력 3" xfId="102"/>
    <cellStyle name="출력 3 2" xfId="120"/>
    <cellStyle name="콤마 [0]_  갑 지  " xfId="67"/>
    <cellStyle name="콤마_  갑 지  " xfId="68"/>
    <cellStyle name="표준" xfId="0" builtinId="0" customBuiltin="1"/>
    <cellStyle name="표준 2" xfId="69"/>
    <cellStyle name="표준 2 2" xfId="70"/>
    <cellStyle name="표준 2 3" xfId="84"/>
    <cellStyle name="표준 2 3 2" xfId="85"/>
    <cellStyle name="표준 3" xfId="71"/>
    <cellStyle name="표준 3 2" xfId="72"/>
    <cellStyle name="표준 3 3" xfId="73"/>
    <cellStyle name="표준 4" xfId="74"/>
    <cellStyle name="표준 5" xfId="75"/>
    <cellStyle name="표준 6" xfId="76"/>
    <cellStyle name="표준 7" xfId="77"/>
    <cellStyle name="표준_AGLIENT 34401A(12.22)" xfId="78"/>
    <cellStyle name="표준_ESS-2000" xfId="79"/>
    <cellStyle name="표준_Sheet1" xfId="81"/>
    <cellStyle name="표준_교정결과" xfId="139"/>
    <cellStyle name="표준_영문Reg004-X" xfId="82"/>
    <cellStyle name="표준_최신샘플" xfId="8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9525</xdr:colOff>
      <xdr:row>35</xdr:row>
      <xdr:rowOff>4762</xdr:rowOff>
    </xdr:from>
    <xdr:ext cx="25840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4086225" y="6891337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4086225" y="6891337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𝑘=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4</xdr:col>
      <xdr:colOff>1076325</xdr:colOff>
      <xdr:row>33</xdr:row>
      <xdr:rowOff>171450</xdr:rowOff>
    </xdr:from>
    <xdr:ext cx="1760482" cy="20499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/>
            <xdr:cNvSpPr txBox="1"/>
          </xdr:nvSpPr>
          <xdr:spPr>
            <a:xfrm>
              <a:off x="2371725" y="6867525"/>
              <a:ext cx="1760482" cy="2049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US" altLang="ko-KR" sz="110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sSup>
                        <m:sSupPr>
                          <m:ctrlPr>
                            <a:rPr lang="en-US" altLang="ko-KR" sz="1100" i="1">
                              <a:latin typeface="Cambria Math" panose="02040503050406030204" pitchFamily="18" charset="0"/>
                            </a:rPr>
                          </m:ctrlPr>
                        </m:sSupPr>
                        <m:e>
                          <m:r>
                            <a:rPr lang="en-US" altLang="ko-KR" sz="1100" b="0" i="1">
                              <a:latin typeface="Cambria Math" panose="02040503050406030204" pitchFamily="18" charset="0"/>
                            </a:rPr>
                            <m:t>        </m:t>
                          </m:r>
                        </m:e>
                        <m:sup>
                          <m:r>
                            <a:rPr lang="en-US" altLang="ko-KR" sz="1100" b="0" i="1">
                              <a:latin typeface="Cambria Math" panose="02040503050406030204" pitchFamily="18" charset="0"/>
                            </a:rPr>
                            <m:t>2</m:t>
                          </m:r>
                        </m:sup>
                      </m:sSup>
                      <m:r>
                        <a:rPr lang="en-US" altLang="ko-KR" sz="1100" b="0" i="1">
                          <a:latin typeface="Cambria Math" panose="02040503050406030204" pitchFamily="18" charset="0"/>
                        </a:rPr>
                        <m:t>+</m:t>
                      </m:r>
                      <m:sSup>
                        <m:sSupPr>
                          <m:ctrlPr>
                            <a:rPr lang="en-US" altLang="ko-KR" sz="1100" b="0" i="1">
                              <a:latin typeface="Cambria Math" panose="02040503050406030204" pitchFamily="18" charset="0"/>
                            </a:rPr>
                          </m:ctrlPr>
                        </m:sSupPr>
                        <m:e>
                          <m:d>
                            <m:dPr>
                              <m:ctrlPr>
                                <a:rPr lang="en-US" altLang="ko-KR" sz="1100" b="0" i="1">
                                  <a:latin typeface="Cambria Math" panose="02040503050406030204" pitchFamily="18" charset="0"/>
                                </a:rPr>
                              </m:ctrlPr>
                            </m:dPr>
                            <m:e>
                              <m:r>
                                <a:rPr lang="en-US" altLang="ko-KR" sz="1100" b="0" i="1">
                                  <a:latin typeface="Cambria Math" panose="02040503050406030204" pitchFamily="18" charset="0"/>
                                </a:rPr>
                                <m:t>             </m:t>
                              </m:r>
                              <m:r>
                                <a:rPr lang="en-US" altLang="ko-KR" sz="1100" b="0" i="1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  <m:t>×</m:t>
                              </m:r>
                              <m:sSub>
                                <m:sSubPr>
                                  <m:ctrlPr>
                                    <a:rPr lang="en-US" altLang="ko-KR" sz="1100" b="0" i="1">
                                      <a:latin typeface="Cambria Math" panose="02040503050406030204" pitchFamily="18" charset="0"/>
                                      <a:ea typeface="Cambria Math" panose="02040503050406030204" pitchFamily="18" charset="0"/>
                                    </a:rPr>
                                  </m:ctrlPr>
                                </m:sSubPr>
                                <m:e>
                                  <m:r>
                                    <a:rPr lang="en-US" altLang="ko-KR" sz="1100" b="0" i="1">
                                      <a:latin typeface="Cambria Math" panose="02040503050406030204" pitchFamily="18" charset="0"/>
                                      <a:ea typeface="Cambria Math" panose="02040503050406030204" pitchFamily="18" charset="0"/>
                                    </a:rPr>
                                    <m:t>𝑙</m:t>
                                  </m:r>
                                </m:e>
                                <m:sub>
                                  <m:r>
                                    <a:rPr lang="en-US" altLang="ko-KR" sz="1100" b="0" i="1">
                                      <a:latin typeface="Cambria Math" panose="02040503050406030204" pitchFamily="18" charset="0"/>
                                      <a:ea typeface="Cambria Math" panose="02040503050406030204" pitchFamily="18" charset="0"/>
                                    </a:rPr>
                                    <m:t>0</m:t>
                                  </m:r>
                                </m:sub>
                              </m:sSub>
                            </m:e>
                          </m:d>
                        </m:e>
                        <m:sup>
                          <m:r>
                            <a:rPr lang="en-US" altLang="ko-KR" sz="1100" b="0" i="1">
                              <a:latin typeface="Cambria Math" panose="02040503050406030204" pitchFamily="18" charset="0"/>
                            </a:rPr>
                            <m:t>2</m:t>
                          </m:r>
                        </m:sup>
                      </m:sSup>
                    </m:e>
                  </m:rad>
                  <m:r>
                    <a:rPr lang="en-US" altLang="ko-KR" sz="1100" b="0" i="1">
                      <a:latin typeface="Cambria Math" panose="02040503050406030204" pitchFamily="18" charset="0"/>
                    </a:rPr>
                    <m:t>   </m:t>
                  </m:r>
                  <m:r>
                    <m:rPr>
                      <m:sty m:val="p"/>
                    </m:rPr>
                    <a:rPr lang="en-US" altLang="ko-KR" sz="1100" b="0" i="1">
                      <a:latin typeface="Cambria Math" panose="02040503050406030204" pitchFamily="18" charset="0"/>
                    </a:rPr>
                    <m:t>μ</m:t>
                  </m:r>
                </m:oMath>
              </a14:m>
              <a:r>
                <a:rPr lang="en-US" altLang="ko-KR" sz="1100"/>
                <a:t>m  </a:t>
              </a:r>
              <a:endParaRPr lang="ko-KR" altLang="en-US" sz="1100"/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2371725" y="6867525"/>
              <a:ext cx="1760482" cy="2049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i="0">
                  <a:latin typeface="Cambria Math" panose="02040503050406030204" pitchFamily="18" charset="0"/>
                </a:rPr>
                <a:t>√(〖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        〗^2+(             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×𝑙_0 )^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2 )    μ</a:t>
              </a:r>
              <a:r>
                <a:rPr lang="en-US" altLang="ko-KR" sz="1100"/>
                <a:t>m  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4</xdr:col>
      <xdr:colOff>241268</xdr:colOff>
      <xdr:row>36</xdr:row>
      <xdr:rowOff>22701</xdr:rowOff>
    </xdr:from>
    <xdr:ext cx="141834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Box 3"/>
            <xdr:cNvSpPr txBox="1"/>
          </xdr:nvSpPr>
          <xdr:spPr>
            <a:xfrm>
              <a:off x="1879568" y="11671776"/>
              <a:ext cx="14183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</m:oMath>
                </m:oMathPara>
              </a14:m>
              <a:endParaRPr lang="ko-KR" altLang="en-US" sz="1100"/>
            </a:p>
          </xdr:txBody>
        </xdr:sp>
      </mc:Choice>
      <mc:Fallback>
        <xdr:sp macro="" textlink="">
          <xdr:nvSpPr>
            <xdr:cNvPr id="4" name="TextBox 3"/>
            <xdr:cNvSpPr txBox="1"/>
          </xdr:nvSpPr>
          <xdr:spPr>
            <a:xfrm>
              <a:off x="1879568" y="11671776"/>
              <a:ext cx="14183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ko-KR" sz="1100" b="0" i="0">
                  <a:latin typeface="Cambria Math" panose="02040503050406030204" pitchFamily="18" charset="0"/>
                </a:rPr>
                <a:t>𝑙_0</a:t>
              </a:r>
              <a:endParaRPr lang="ko-KR" altLang="en-US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457200</xdr:colOff>
      <xdr:row>35</xdr:row>
      <xdr:rowOff>4762</xdr:rowOff>
    </xdr:from>
    <xdr:ext cx="25840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3819525" y="7081837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3819525" y="7081837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𝑘=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5</xdr:col>
      <xdr:colOff>1076325</xdr:colOff>
      <xdr:row>33</xdr:row>
      <xdr:rowOff>171450</xdr:rowOff>
    </xdr:from>
    <xdr:ext cx="1760482" cy="20499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/>
            <xdr:cNvSpPr txBox="1"/>
          </xdr:nvSpPr>
          <xdr:spPr>
            <a:xfrm>
              <a:off x="2714625" y="6867525"/>
              <a:ext cx="1760482" cy="2049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US" altLang="ko-KR" sz="110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sSup>
                        <m:sSupPr>
                          <m:ctrlPr>
                            <a:rPr lang="en-US" altLang="ko-KR" sz="1100" i="1">
                              <a:latin typeface="Cambria Math" panose="02040503050406030204" pitchFamily="18" charset="0"/>
                            </a:rPr>
                          </m:ctrlPr>
                        </m:sSupPr>
                        <m:e>
                          <m:r>
                            <a:rPr lang="en-US" altLang="ko-KR" sz="1100" b="0" i="1">
                              <a:latin typeface="Cambria Math" panose="02040503050406030204" pitchFamily="18" charset="0"/>
                            </a:rPr>
                            <m:t>        </m:t>
                          </m:r>
                        </m:e>
                        <m:sup>
                          <m:r>
                            <a:rPr lang="en-US" altLang="ko-KR" sz="1100" b="0" i="1">
                              <a:latin typeface="Cambria Math" panose="02040503050406030204" pitchFamily="18" charset="0"/>
                            </a:rPr>
                            <m:t>2</m:t>
                          </m:r>
                        </m:sup>
                      </m:sSup>
                      <m:r>
                        <a:rPr lang="en-US" altLang="ko-KR" sz="1100" b="0" i="1">
                          <a:latin typeface="Cambria Math" panose="02040503050406030204" pitchFamily="18" charset="0"/>
                        </a:rPr>
                        <m:t>+</m:t>
                      </m:r>
                      <m:sSup>
                        <m:sSupPr>
                          <m:ctrlPr>
                            <a:rPr lang="en-US" altLang="ko-KR" sz="1100" b="0" i="1">
                              <a:latin typeface="Cambria Math" panose="02040503050406030204" pitchFamily="18" charset="0"/>
                            </a:rPr>
                          </m:ctrlPr>
                        </m:sSupPr>
                        <m:e>
                          <m:d>
                            <m:dPr>
                              <m:ctrlPr>
                                <a:rPr lang="en-US" altLang="ko-KR" sz="1100" b="0" i="1">
                                  <a:latin typeface="Cambria Math" panose="02040503050406030204" pitchFamily="18" charset="0"/>
                                </a:rPr>
                              </m:ctrlPr>
                            </m:dPr>
                            <m:e>
                              <m:r>
                                <a:rPr lang="en-US" altLang="ko-KR" sz="1100" b="0" i="1">
                                  <a:latin typeface="Cambria Math" panose="02040503050406030204" pitchFamily="18" charset="0"/>
                                </a:rPr>
                                <m:t>             </m:t>
                              </m:r>
                              <m:r>
                                <a:rPr lang="en-US" altLang="ko-KR" sz="1100" b="0" i="1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  <m:t>×</m:t>
                              </m:r>
                              <m:sSub>
                                <m:sSubPr>
                                  <m:ctrlPr>
                                    <a:rPr lang="en-US" altLang="ko-KR" sz="1100" b="0" i="1">
                                      <a:latin typeface="Cambria Math" panose="02040503050406030204" pitchFamily="18" charset="0"/>
                                      <a:ea typeface="Cambria Math" panose="02040503050406030204" pitchFamily="18" charset="0"/>
                                    </a:rPr>
                                  </m:ctrlPr>
                                </m:sSubPr>
                                <m:e>
                                  <m:r>
                                    <a:rPr lang="en-US" altLang="ko-KR" sz="1100" b="0" i="1">
                                      <a:latin typeface="Cambria Math" panose="02040503050406030204" pitchFamily="18" charset="0"/>
                                      <a:ea typeface="Cambria Math" panose="02040503050406030204" pitchFamily="18" charset="0"/>
                                    </a:rPr>
                                    <m:t>𝑙</m:t>
                                  </m:r>
                                </m:e>
                                <m:sub>
                                  <m:r>
                                    <a:rPr lang="en-US" altLang="ko-KR" sz="1100" b="0" i="1">
                                      <a:latin typeface="Cambria Math" panose="02040503050406030204" pitchFamily="18" charset="0"/>
                                      <a:ea typeface="Cambria Math" panose="02040503050406030204" pitchFamily="18" charset="0"/>
                                    </a:rPr>
                                    <m:t>0</m:t>
                                  </m:r>
                                </m:sub>
                              </m:sSub>
                            </m:e>
                          </m:d>
                        </m:e>
                        <m:sup>
                          <m:r>
                            <a:rPr lang="en-US" altLang="ko-KR" sz="1100" b="0" i="1">
                              <a:latin typeface="Cambria Math" panose="02040503050406030204" pitchFamily="18" charset="0"/>
                            </a:rPr>
                            <m:t>2</m:t>
                          </m:r>
                        </m:sup>
                      </m:sSup>
                    </m:e>
                  </m:rad>
                  <m:r>
                    <a:rPr lang="en-US" altLang="ko-KR" sz="1100" b="0" i="1">
                      <a:latin typeface="Cambria Math" panose="02040503050406030204" pitchFamily="18" charset="0"/>
                    </a:rPr>
                    <m:t>   </m:t>
                  </m:r>
                  <m:r>
                    <m:rPr>
                      <m:sty m:val="p"/>
                    </m:rPr>
                    <a:rPr lang="en-US" altLang="ko-KR" sz="1100" b="0" i="1">
                      <a:latin typeface="Cambria Math" panose="02040503050406030204" pitchFamily="18" charset="0"/>
                    </a:rPr>
                    <m:t>μ</m:t>
                  </m:r>
                </m:oMath>
              </a14:m>
              <a:r>
                <a:rPr lang="en-US" altLang="ko-KR" sz="1100"/>
                <a:t>m  </a:t>
              </a:r>
              <a:endParaRPr lang="ko-KR" altLang="en-US" sz="1100"/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2714625" y="6867525"/>
              <a:ext cx="1760482" cy="2049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i="0">
                  <a:latin typeface="Cambria Math" panose="02040503050406030204" pitchFamily="18" charset="0"/>
                </a:rPr>
                <a:t>√(〖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        〗^2+(             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×𝑙_0 )^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2 )    μ</a:t>
              </a:r>
              <a:r>
                <a:rPr lang="en-US" altLang="ko-KR" sz="1100"/>
                <a:t>m  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4</xdr:col>
      <xdr:colOff>241268</xdr:colOff>
      <xdr:row>37</xdr:row>
      <xdr:rowOff>22701</xdr:rowOff>
    </xdr:from>
    <xdr:ext cx="141834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Box 3"/>
            <xdr:cNvSpPr txBox="1"/>
          </xdr:nvSpPr>
          <xdr:spPr>
            <a:xfrm>
              <a:off x="1622393" y="11671776"/>
              <a:ext cx="14183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</m:oMath>
                </m:oMathPara>
              </a14:m>
              <a:endParaRPr lang="ko-KR" altLang="en-US" sz="1100"/>
            </a:p>
          </xdr:txBody>
        </xdr:sp>
      </mc:Choice>
      <mc:Fallback>
        <xdr:sp macro="" textlink="">
          <xdr:nvSpPr>
            <xdr:cNvPr id="4" name="TextBox 3"/>
            <xdr:cNvSpPr txBox="1"/>
          </xdr:nvSpPr>
          <xdr:spPr>
            <a:xfrm>
              <a:off x="1622393" y="11671776"/>
              <a:ext cx="14183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ko-KR" sz="1100" b="0" i="0">
                  <a:latin typeface="Cambria Math" panose="02040503050406030204" pitchFamily="18" charset="0"/>
                </a:rPr>
                <a:t>𝑙_0</a:t>
              </a:r>
              <a:endParaRPr lang="ko-KR" altLang="en-US" sz="11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34</xdr:row>
      <xdr:rowOff>9525</xdr:rowOff>
    </xdr:from>
    <xdr:to>
      <xdr:col>7</xdr:col>
      <xdr:colOff>267929</xdr:colOff>
      <xdr:row>34</xdr:row>
      <xdr:rowOff>181752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2686050" y="14706600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2686050" y="14706600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𝑘=</a:t>
              </a:r>
              <a:endParaRPr lang="ko-KR" altLang="en-US" sz="1100"/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9525</xdr:colOff>
      <xdr:row>54</xdr:row>
      <xdr:rowOff>76200</xdr:rowOff>
    </xdr:from>
    <xdr:ext cx="6427465" cy="3130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161925" y="13096875"/>
              <a:ext cx="6427465" cy="313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20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𝑙</m:t>
                        </m:r>
                      </m:e>
                      <m:sub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𝑥</m:t>
                        </m:r>
                      </m:sub>
                    </m:sSub>
                    <m:r>
                      <a:rPr lang="en-US" altLang="ko-KR" sz="20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altLang="ko-KR" sz="20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𝑙</m:t>
                        </m:r>
                      </m:e>
                      <m:sub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𝑠</m:t>
                        </m:r>
                      </m:sub>
                    </m:sSub>
                    <m:r>
                      <a:rPr lang="en-US" altLang="ko-KR" sz="20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altLang="ko-KR" sz="20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𝑙</m:t>
                        </m:r>
                      </m:e>
                      <m:sub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𝑖𝑥</m:t>
                        </m:r>
                      </m:sub>
                    </m:sSub>
                    <m:r>
                      <a:rPr lang="en-US" altLang="ko-KR" sz="2000" b="0" i="1">
                        <a:latin typeface="Cambria Math" panose="02040503050406030204" pitchFamily="18" charset="0"/>
                      </a:rPr>
                      <m:t>−</m:t>
                    </m:r>
                    <m:d>
                      <m:dPr>
                        <m:ctrlPr>
                          <a:rPr lang="en-US" altLang="ko-KR" sz="2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bar>
                          <m:barPr>
                            <m:pos m:val="top"/>
                            <m:ctrlPr>
                              <a:rPr lang="en-US" altLang="ko-KR" sz="20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barPr>
                          <m:e>
                            <m:r>
                              <a:rPr lang="ko-KR" altLang="en-US" sz="20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𝛼</m:t>
                            </m:r>
                          </m:e>
                        </m:bar>
                        <m:r>
                          <a:rPr lang="en-US" altLang="ko-KR" sz="2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∙∆</m:t>
                        </m:r>
                        <m:r>
                          <a:rPr lang="en-US" altLang="ko-KR" sz="2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𝑡</m:t>
                        </m:r>
                        <m:r>
                          <a:rPr lang="en-US" altLang="ko-KR" sz="2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+∆</m:t>
                        </m:r>
                        <m:r>
                          <a:rPr lang="ko-KR" altLang="en-US" sz="2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𝛼</m:t>
                        </m:r>
                        <m:r>
                          <a:rPr lang="ko-KR" altLang="en-US" sz="2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∙</m:t>
                        </m:r>
                        <m:r>
                          <a:rPr lang="ko-KR" altLang="en-US" sz="2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𝛿</m:t>
                        </m:r>
                        <m:r>
                          <a:rPr lang="en-US" altLang="ko-KR" sz="2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𝑡</m:t>
                        </m:r>
                      </m:e>
                    </m:d>
                    <m:sSub>
                      <m:sSubPr>
                        <m:ctrlPr>
                          <a:rPr lang="en-US" altLang="ko-KR" sz="2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2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𝑙</m:t>
                        </m:r>
                      </m:e>
                      <m:sub>
                        <m:r>
                          <a:rPr lang="en-US" altLang="ko-KR" sz="2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</m:t>
                        </m:r>
                      </m:sub>
                    </m:sSub>
                    <m:r>
                      <a:rPr lang="en-US" altLang="ko-KR" sz="20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en-US" altLang="ko-KR" sz="2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ko-KR" altLang="ko-KR" sz="2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  <m:r>
                          <a:rPr lang="en-US" altLang="ko-KR" sz="2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𝑙</m:t>
                        </m:r>
                      </m:e>
                      <m:sub>
                        <m:r>
                          <a:rPr lang="en-US" altLang="ko-KR" sz="2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𝑟</m:t>
                        </m:r>
                      </m:sub>
                    </m:sSub>
                    <m:r>
                      <a:rPr lang="en-US" altLang="ko-KR" sz="20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en-US" altLang="ko-KR" sz="2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ko-KR" altLang="ko-KR" sz="2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  <m:r>
                          <a:rPr lang="en-US" altLang="ko-KR" sz="2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𝑙</m:t>
                        </m:r>
                      </m:e>
                      <m:sub>
                        <m:r>
                          <a:rPr lang="en-US" altLang="ko-KR" sz="2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𝐸</m:t>
                        </m:r>
                      </m:sub>
                    </m:sSub>
                    <m:r>
                      <a:rPr lang="en-US" altLang="ko-KR" sz="20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en-US" altLang="ko-KR" sz="2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ko-KR" altLang="en-US" sz="2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  <m:r>
                          <a:rPr lang="en-US" altLang="ko-KR" sz="2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𝑙</m:t>
                        </m:r>
                      </m:e>
                      <m:sub>
                        <m:r>
                          <a:rPr lang="en-US" altLang="ko-KR" sz="2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𝐹</m:t>
                        </m:r>
                      </m:sub>
                    </m:sSub>
                    <m:r>
                      <a:rPr lang="en-US" altLang="ko-KR" sz="20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en-US" altLang="ko-KR" sz="2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ko-KR" altLang="en-US" sz="2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  <m:r>
                          <a:rPr lang="en-US" altLang="ko-KR" sz="2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𝑙</m:t>
                        </m:r>
                      </m:e>
                      <m:sub>
                        <m:r>
                          <a:rPr lang="en-US" altLang="ko-KR" sz="2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</m:t>
                        </m:r>
                      </m:sub>
                    </m:sSub>
                  </m:oMath>
                </m:oMathPara>
              </a14:m>
              <a:endParaRPr lang="ko-KR" altLang="en-US" sz="20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161925" y="13096875"/>
              <a:ext cx="6427465" cy="313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2000" b="0" i="0">
                  <a:latin typeface="Cambria Math" panose="02040503050406030204" pitchFamily="18" charset="0"/>
                </a:rPr>
                <a:t>𝑙_𝑥=𝑙_𝑠+𝑙_𝑖𝑥−</a:t>
              </a:r>
              <a:r>
                <a:rPr lang="en-US" altLang="ko-KR" sz="2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(¯</a:t>
              </a:r>
              <a:r>
                <a:rPr lang="ko-KR" altLang="en-US" sz="2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r>
                <a:rPr lang="en-US" altLang="ko-KR" sz="2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∙∆𝑡+∆</a:t>
              </a:r>
              <a:r>
                <a:rPr lang="ko-KR" altLang="en-US" sz="2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𝛼∙𝛿</a:t>
              </a:r>
              <a:r>
                <a:rPr lang="en-US" altLang="ko-KR" sz="2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𝑡)</a:t>
              </a:r>
              <a:r>
                <a:rPr lang="en-US" altLang="ko-KR" sz="2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𝑙_0+〖</a:t>
              </a:r>
              <a:r>
                <a:rPr lang="ko-KR" altLang="ko-KR" sz="2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2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𝑙〗_𝑟+〖</a:t>
              </a:r>
              <a:r>
                <a:rPr lang="ko-KR" altLang="ko-KR" sz="2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2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𝑙〗_𝐸+〖</a:t>
              </a:r>
              <a:r>
                <a:rPr lang="ko-KR" altLang="en-US" sz="2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2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𝑙〗_𝐹+〖</a:t>
              </a:r>
              <a:r>
                <a:rPr lang="ko-KR" altLang="en-US" sz="2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2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𝑙〗_𝑃</a:t>
              </a:r>
              <a:endParaRPr lang="ko-KR" altLang="en-US" sz="2000"/>
            </a:p>
          </xdr:txBody>
        </xdr:sp>
      </mc:Fallback>
    </mc:AlternateContent>
    <xdr:clientData/>
  </xdr:oneCellAnchor>
  <xdr:oneCellAnchor>
    <xdr:from>
      <xdr:col>3</xdr:col>
      <xdr:colOff>28575</xdr:colOff>
      <xdr:row>60</xdr:row>
      <xdr:rowOff>38100</xdr:rowOff>
    </xdr:from>
    <xdr:ext cx="12073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485775" y="14487525"/>
              <a:ext cx="12073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bar>
                      <m:barPr>
                        <m:pos m:val="top"/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barPr>
                      <m:e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</m:e>
                    </m:ba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485775" y="14487525"/>
              <a:ext cx="12073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¯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</xdr:col>
      <xdr:colOff>4762</xdr:colOff>
      <xdr:row>70</xdr:row>
      <xdr:rowOff>19050</xdr:rowOff>
    </xdr:from>
    <xdr:ext cx="9235092" cy="20486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/>
            <xdr:cNvSpPr txBox="1"/>
          </xdr:nvSpPr>
          <xdr:spPr>
            <a:xfrm>
              <a:off x="309562" y="16849725"/>
              <a:ext cx="9235092" cy="20486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sub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b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bSup>
                      <m:sSub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𝑠</m:t>
                            </m:r>
                          </m:sub>
                        </m:sSub>
                      </m:sub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b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∙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𝑠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+</m:t>
                    </m:r>
                    <m:sSubSup>
                      <m:sSub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𝑖𝑥</m:t>
                            </m:r>
                          </m:sub>
                        </m:sSub>
                      </m:sub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b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𝑖𝑥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Sup>
                      <m:sSub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bar>
                          <m:barPr>
                            <m:pos m:val="top"/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barPr>
                          <m:e>
                            <m:r>
                              <a:rPr lang="ko-KR" alt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𝛼</m:t>
                            </m:r>
                          </m:e>
                        </m:bar>
                      </m:sub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b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bar>
                          <m:barPr>
                            <m:pos m:val="top"/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barPr>
                          <m:e>
                            <m:r>
                              <a:rPr lang="ko-KR" alt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𝛼</m:t>
                            </m:r>
                          </m:e>
                        </m:bar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Sup>
                      <m:sSub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∆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𝑡</m:t>
                        </m:r>
                      </m:sub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b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∆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Sup>
                      <m:sSub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∆</m:t>
                        </m:r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𝛼</m:t>
                        </m:r>
                      </m:sub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b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∆</m:t>
                        </m:r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Sup>
                      <m:sSub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sub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b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Sup>
                      <m:sSub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𝛿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𝑟</m:t>
                            </m:r>
                          </m:sub>
                        </m:sSub>
                      </m:sub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b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𝛿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𝑟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Sup>
                      <m:sSub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𝛿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𝐸</m:t>
                            </m:r>
                          </m:sub>
                        </m:sSub>
                      </m:sub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b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𝛿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𝐸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Sup>
                      <m:sSub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𝛿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𝐹</m:t>
                            </m:r>
                          </m:sub>
                        </m:sSub>
                      </m:sub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b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𝛿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𝐹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Sup>
                      <m:sSub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𝛿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𝑃</m:t>
                            </m:r>
                          </m:sub>
                        </m:sSub>
                      </m:sub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b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𝛿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𝑃</m:t>
                            </m:r>
                          </m:sub>
                        </m:sSub>
                      </m:e>
                    </m: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309562" y="16849725"/>
              <a:ext cx="9235092" cy="20486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𝑢_𝑐^2 (𝑙_𝑥 )=𝑐_(𝑙_𝑠)^2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∙𝑢^2 (𝑙_𝑠 )+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𝑐_(𝑙_𝑖𝑥)^2∙𝑢^2 (𝑙_𝑖𝑥 )+𝑐_¯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𝛼^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2∙𝑢^2 (¯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+𝑐_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∆𝑡^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2∙𝑢^2 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∆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𝑡)+𝑐_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∆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𝛼^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2∙𝑢^2 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∆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+𝑐_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𝑡^2∙𝑢^2 (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+𝑐_(〖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𝑙〗_𝑟)^2∙𝑢^2 (〖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𝑙〗_𝑟 )+𝑐_(〖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𝑙〗_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𝐸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)^2∙𝑢^2 (〖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𝑙〗_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𝐸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)+𝑐_(〖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𝑙〗_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𝐹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)^2∙𝑢^2 (〖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𝑙〗_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𝐹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+𝑐_(〖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𝑙〗_𝑃)^2∙𝑢^2 (〖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𝑙〗_𝑃 )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3</xdr:col>
      <xdr:colOff>4762</xdr:colOff>
      <xdr:row>72</xdr:row>
      <xdr:rowOff>52394</xdr:rowOff>
    </xdr:from>
    <xdr:ext cx="8207375" cy="86639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/>
            <xdr:cNvSpPr txBox="1"/>
          </xdr:nvSpPr>
          <xdr:spPr>
            <a:xfrm>
              <a:off x="461962" y="17359319"/>
              <a:ext cx="8207375" cy="86639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𝑠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𝜕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𝑠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=1,  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𝑖𝑥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𝑖𝑥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=1,  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bar>
                          <m:barPr>
                            <m:pos m:val="top"/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barPr>
                          <m:e>
                            <m:r>
                              <a:rPr lang="ko-KR" alt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𝛼</m:t>
                            </m:r>
                          </m:e>
                        </m:ba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bar>
                          <m:barPr>
                            <m:pos m:val="top"/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barPr>
                          <m:e>
                            <m:r>
                              <a:rPr lang="ko-KR" alt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𝛼</m:t>
                            </m:r>
                          </m:e>
                        </m:bar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=−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∆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𝑡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∙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0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,  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∆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𝑡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=−</m:t>
                    </m:r>
                    <m:bar>
                      <m:barPr>
                        <m:pos m:val="top"/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barPr>
                      <m:e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</m:e>
                    </m:ba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,  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∆</m:t>
                        </m:r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𝛼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=−</m:t>
                    </m:r>
                    <m:r>
                      <a:rPr lang="ko-KR" alt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𝛿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𝑡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,  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=−∆</m:t>
                    </m:r>
                    <m:r>
                      <a:rPr lang="ko-KR" alt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𝛼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,  </m:t>
                    </m:r>
                  </m:oMath>
                </m:oMathPara>
              </a14:m>
              <a:endParaRPr lang="en-US" altLang="ko-KR" sz="1100" b="0" i="1">
                <a:solidFill>
                  <a:schemeClr val="tx1"/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  <a:p>
              <a:endParaRPr lang="en-US" altLang="ko-KR" sz="1100" b="0" i="1">
                <a:solidFill>
                  <a:schemeClr val="tx1"/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𝛿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𝑟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𝜕</m:t>
                            </m:r>
                            <m:r>
                              <a:rPr lang="ko-KR" alt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𝛿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𝑟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=1,  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𝛿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𝐸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𝜕𝛿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𝐸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=1,  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𝛿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𝐹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𝜕𝛿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𝐹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=1,  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𝑃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𝜕</m:t>
                            </m:r>
                            <m:r>
                              <a:rPr lang="ko-KR" alt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𝛿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𝑃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=1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461962" y="17359319"/>
              <a:ext cx="8207375" cy="86639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𝑐_(𝑙_𝑠 )=(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𝑙_𝑥)/〖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𝑙〗_𝑠 =1,  𝑐_(𝑙_𝑖𝑥 )=(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𝑙_𝑥)/(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𝑙_𝑖𝑥 )=1,  𝑐_¯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=(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𝑙_𝑥)/(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¯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)=−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∆𝑡∙𝑙_0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,  𝑐_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∆𝑡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=(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𝑙_𝑥)/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𝑡=−¯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∙𝑙_0,  𝑐_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∆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=(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𝑙_𝑥)/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=−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𝑡∙𝑙_0,  𝑐_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𝑡=(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𝑙_𝑥)/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𝑡=−∆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∙𝑙_0,  </a:t>
              </a:r>
              <a:endParaRPr lang="en-US" altLang="ko-KR" sz="1100" b="0" i="1">
                <a:solidFill>
                  <a:schemeClr val="tx1"/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  <a:p>
              <a:pPr/>
              <a:endParaRPr lang="en-US" altLang="ko-KR" sz="1100" b="0" i="1">
                <a:solidFill>
                  <a:schemeClr val="tx1"/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  <a:p>
              <a:pPr/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𝑐_(〖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𝑙〗_𝑟 )=(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𝑙_𝑥)/〖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𝑙〗_𝑟 =1,  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𝑐_(〖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𝑙〗_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𝐸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)=(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𝑙_𝑥)/〖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𝑙〗_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𝐸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=1,  𝑐_(〖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𝑙〗_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𝐹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)=(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𝑙_𝑥)/〖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𝑙〗_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𝐹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=1,  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𝑐_(𝑙_𝑃 )=(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𝑙_𝑥)/〖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𝑙〗_𝑃 =1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14</xdr:col>
      <xdr:colOff>38100</xdr:colOff>
      <xdr:row>117</xdr:row>
      <xdr:rowOff>19050</xdr:rowOff>
    </xdr:from>
    <xdr:ext cx="228600" cy="17767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/>
            <xdr:cNvSpPr txBox="1"/>
          </xdr:nvSpPr>
          <xdr:spPr>
            <a:xfrm>
              <a:off x="2200275" y="28041600"/>
              <a:ext cx="228600" cy="1776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6" name="TextBox 5"/>
            <xdr:cNvSpPr txBox="1"/>
          </xdr:nvSpPr>
          <xdr:spPr>
            <a:xfrm>
              <a:off x="2200275" y="28041600"/>
              <a:ext cx="228600" cy="1776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√𝑛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18</xdr:col>
      <xdr:colOff>123825</xdr:colOff>
      <xdr:row>117</xdr:row>
      <xdr:rowOff>19050</xdr:rowOff>
    </xdr:from>
    <xdr:ext cx="228600" cy="19922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5"/>
            <xdr:cNvSpPr txBox="1"/>
          </xdr:nvSpPr>
          <xdr:spPr>
            <a:xfrm>
              <a:off x="2895600" y="28041600"/>
              <a:ext cx="228600" cy="19922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5</m:t>
                        </m:r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7" name="TextBox 5"/>
            <xdr:cNvSpPr txBox="1"/>
          </xdr:nvSpPr>
          <xdr:spPr>
            <a:xfrm>
              <a:off x="2895600" y="28041600"/>
              <a:ext cx="228600" cy="19922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√5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13</xdr:col>
      <xdr:colOff>142874</xdr:colOff>
      <xdr:row>120</xdr:row>
      <xdr:rowOff>19051</xdr:rowOff>
    </xdr:from>
    <xdr:ext cx="333375" cy="1957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5"/>
            <xdr:cNvSpPr txBox="1"/>
          </xdr:nvSpPr>
          <xdr:spPr>
            <a:xfrm>
              <a:off x="2152649" y="28755976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2</m:t>
                    </m:r>
                    <m:rad>
                      <m:radPr>
                        <m:degHide m:val="on"/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3</m:t>
                        </m:r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8" name="TextBox 5"/>
            <xdr:cNvSpPr txBox="1"/>
          </xdr:nvSpPr>
          <xdr:spPr>
            <a:xfrm>
              <a:off x="2152649" y="28755976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2√3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18</xdr:col>
      <xdr:colOff>95249</xdr:colOff>
      <xdr:row>120</xdr:row>
      <xdr:rowOff>19051</xdr:rowOff>
    </xdr:from>
    <xdr:ext cx="333375" cy="1957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5"/>
            <xdr:cNvSpPr txBox="1"/>
          </xdr:nvSpPr>
          <xdr:spPr>
            <a:xfrm>
              <a:off x="2867024" y="28755976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2</m:t>
                    </m:r>
                    <m:rad>
                      <m:radPr>
                        <m:degHide m:val="on"/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3</m:t>
                        </m:r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9" name="TextBox 5"/>
            <xdr:cNvSpPr txBox="1"/>
          </xdr:nvSpPr>
          <xdr:spPr>
            <a:xfrm>
              <a:off x="2867024" y="28755976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2√3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8</xdr:col>
      <xdr:colOff>9525</xdr:colOff>
      <xdr:row>122</xdr:row>
      <xdr:rowOff>57150</xdr:rowOff>
    </xdr:from>
    <xdr:ext cx="785663" cy="35048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4"/>
            <xdr:cNvSpPr txBox="1"/>
          </xdr:nvSpPr>
          <xdr:spPr>
            <a:xfrm>
              <a:off x="1257300" y="29270325"/>
              <a:ext cx="785663" cy="3504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𝑖𝑥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ko-KR" altLang="en-US" sz="1100" i="1">
                            <a:latin typeface="Cambria Math" panose="02040503050406030204" pitchFamily="18" charset="0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en-US" sz="1100" i="1">
                            <a:latin typeface="Cambria Math" panose="02040503050406030204" pitchFamily="18" charset="0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𝑖𝑥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0" name="TextBox 4"/>
            <xdr:cNvSpPr txBox="1"/>
          </xdr:nvSpPr>
          <xdr:spPr>
            <a:xfrm>
              <a:off x="1257300" y="29270325"/>
              <a:ext cx="785663" cy="3504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𝑐_(𝑙_𝑖𝑥 )=</a:t>
              </a:r>
              <a:r>
                <a:rPr lang="en-US" altLang="ko-KR" sz="1100" i="0">
                  <a:latin typeface="Cambria Math" panose="02040503050406030204" pitchFamily="18" charset="0"/>
                </a:rPr>
                <a:t>(</a:t>
              </a:r>
              <a:r>
                <a:rPr lang="ko-KR" altLang="en-US" sz="1100" i="0">
                  <a:latin typeface="Cambria Math" panose="02040503050406030204" pitchFamily="18" charset="0"/>
                </a:rPr>
                <a:t>𝜕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𝑙_𝑥)/(</a:t>
              </a:r>
              <a:r>
                <a:rPr lang="ko-KR" altLang="en-US" sz="1100" i="0">
                  <a:latin typeface="Cambria Math" panose="02040503050406030204" pitchFamily="18" charset="0"/>
                </a:rPr>
                <a:t>𝜕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𝑙_𝑖𝑥 )=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29</xdr:col>
      <xdr:colOff>9525</xdr:colOff>
      <xdr:row>127</xdr:row>
      <xdr:rowOff>28575</xdr:rowOff>
    </xdr:from>
    <xdr:ext cx="32233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4"/>
            <xdr:cNvSpPr txBox="1"/>
          </xdr:nvSpPr>
          <xdr:spPr>
            <a:xfrm>
              <a:off x="4457700" y="30432375"/>
              <a:ext cx="32233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𝑢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(</m:t>
                    </m:r>
                    <m:acc>
                      <m:accPr>
                        <m:chr m:val="̅"/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ko-KR" altLang="en-US" sz="1100" i="1">
                            <a:latin typeface="Cambria Math" panose="02040503050406030204" pitchFamily="18" charset="0"/>
                          </a:rPr>
                          <m:t>𝛼</m:t>
                        </m:r>
                      </m:e>
                    </m:acc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1" name="TextBox 4"/>
            <xdr:cNvSpPr txBox="1"/>
          </xdr:nvSpPr>
          <xdr:spPr>
            <a:xfrm>
              <a:off x="4457700" y="30432375"/>
              <a:ext cx="32233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𝑢(</a:t>
              </a:r>
              <a:r>
                <a:rPr lang="ko-KR" altLang="en-US" sz="1100" i="0">
                  <a:latin typeface="Cambria Math" panose="02040503050406030204" pitchFamily="18" charset="0"/>
                </a:rPr>
                <a:t>𝛼</a:t>
              </a:r>
              <a:r>
                <a:rPr lang="en-US" altLang="ko-KR" sz="1100" i="0">
                  <a:latin typeface="Cambria Math" panose="02040503050406030204" pitchFamily="18" charset="0"/>
                </a:rPr>
                <a:t> ̅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)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4</xdr:col>
      <xdr:colOff>95250</xdr:colOff>
      <xdr:row>83</xdr:row>
      <xdr:rowOff>28575</xdr:rowOff>
    </xdr:from>
    <xdr:ext cx="12073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Box 4"/>
            <xdr:cNvSpPr txBox="1"/>
          </xdr:nvSpPr>
          <xdr:spPr>
            <a:xfrm>
              <a:off x="733425" y="19954875"/>
              <a:ext cx="1207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ko-KR" altLang="en-US" sz="1100" i="1">
                            <a:latin typeface="Cambria Math" panose="02040503050406030204" pitchFamily="18" charset="0"/>
                          </a:rPr>
                          <m:t>𝛼</m:t>
                        </m:r>
                      </m:e>
                    </m:acc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2" name="TextBox 4"/>
            <xdr:cNvSpPr txBox="1"/>
          </xdr:nvSpPr>
          <xdr:spPr>
            <a:xfrm>
              <a:off x="733425" y="19954875"/>
              <a:ext cx="1207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ko-KR" altLang="en-US" sz="1100" i="0">
                  <a:latin typeface="Cambria Math" panose="02040503050406030204" pitchFamily="18" charset="0"/>
                </a:rPr>
                <a:t>𝛼</a:t>
              </a:r>
              <a:r>
                <a:rPr lang="en-US" altLang="ko-KR" sz="1100" i="0">
                  <a:latin typeface="Cambria Math" panose="02040503050406030204" pitchFamily="18" charset="0"/>
                </a:rPr>
                <a:t> ̅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24</xdr:col>
      <xdr:colOff>57150</xdr:colOff>
      <xdr:row>128</xdr:row>
      <xdr:rowOff>38100</xdr:rowOff>
    </xdr:from>
    <xdr:ext cx="116205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TextBox 4"/>
            <xdr:cNvSpPr txBox="1"/>
          </xdr:nvSpPr>
          <xdr:spPr>
            <a:xfrm>
              <a:off x="3743325" y="30680025"/>
              <a:ext cx="116205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ko-KR" altLang="en-US" sz="1100" i="1">
                            <a:latin typeface="Cambria Math" panose="02040503050406030204" pitchFamily="18" charset="0"/>
                          </a:rPr>
                          <m:t>𝛼</m:t>
                        </m:r>
                      </m:e>
                    </m:acc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=(</m:t>
                    </m:r>
                    <m:sSub>
                      <m:sSub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ko-KR" altLang="en-US" sz="1100" b="0" i="1">
                            <a:latin typeface="Cambria Math" panose="02040503050406030204" pitchFamily="18" charset="0"/>
                          </a:rPr>
                          <m:t>𝛼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𝑠</m:t>
                        </m:r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ko-KR" altLang="en-US" sz="1100" b="0" i="1">
                            <a:latin typeface="Cambria Math" panose="02040503050406030204" pitchFamily="18" charset="0"/>
                          </a:rPr>
                          <m:t>𝛼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)/2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3" name="TextBox 4"/>
            <xdr:cNvSpPr txBox="1"/>
          </xdr:nvSpPr>
          <xdr:spPr>
            <a:xfrm>
              <a:off x="3743325" y="30680025"/>
              <a:ext cx="116205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ko-KR" altLang="en-US" sz="1100" i="0">
                  <a:latin typeface="Cambria Math" panose="02040503050406030204" pitchFamily="18" charset="0"/>
                </a:rPr>
                <a:t>𝛼</a:t>
              </a:r>
              <a:r>
                <a:rPr lang="en-US" altLang="ko-KR" sz="1100" i="0">
                  <a:latin typeface="Cambria Math" panose="02040503050406030204" pitchFamily="18" charset="0"/>
                </a:rPr>
                <a:t> ̅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=(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𝛼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_𝑠+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𝛼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_𝑥)/2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23</xdr:col>
      <xdr:colOff>9525</xdr:colOff>
      <xdr:row>130</xdr:row>
      <xdr:rowOff>69881</xdr:rowOff>
    </xdr:from>
    <xdr:ext cx="2209799" cy="34857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TextBox 4"/>
            <xdr:cNvSpPr txBox="1"/>
          </xdr:nvSpPr>
          <xdr:spPr>
            <a:xfrm>
              <a:off x="3543300" y="31188056"/>
              <a:ext cx="2209799" cy="3485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acc>
                          <m:accPr>
                            <m:chr m:val="̅"/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ko-KR" altLang="en-US" sz="1100" i="1">
                                <a:latin typeface="Cambria Math" panose="02040503050406030204" pitchFamily="18" charset="0"/>
                              </a:rPr>
                              <m:t>𝛼</m:t>
                            </m:r>
                          </m:e>
                        </m:acc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den>
                    </m:f>
                    <m:sSup>
                      <m:sSup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ko-KR" altLang="en-US" sz="1100" b="0" i="1">
                                <a:latin typeface="Cambria Math" panose="02040503050406030204" pitchFamily="18" charset="0"/>
                              </a:rPr>
                              <m:t>𝛼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den>
                    </m:f>
                    <m:sSup>
                      <m:sSup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sSub>
                      <m:sSub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ko-KR" altLang="en-US" sz="1100" b="0" i="1">
                            <a:latin typeface="Cambria Math" panose="02040503050406030204" pitchFamily="18" charset="0"/>
                          </a:rPr>
                          <m:t>𝛼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4" name="TextBox 4"/>
            <xdr:cNvSpPr txBox="1"/>
          </xdr:nvSpPr>
          <xdr:spPr>
            <a:xfrm>
              <a:off x="3543300" y="31188056"/>
              <a:ext cx="2209799" cy="3485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𝑢^2 (</a:t>
              </a:r>
              <a:r>
                <a:rPr lang="ko-KR" altLang="en-US" sz="1100" i="0">
                  <a:latin typeface="Cambria Math" panose="02040503050406030204" pitchFamily="18" charset="0"/>
                </a:rPr>
                <a:t>𝛼</a:t>
              </a:r>
              <a:r>
                <a:rPr lang="en-US" altLang="ko-KR" sz="1100" i="0">
                  <a:latin typeface="Cambria Math" panose="02040503050406030204" pitchFamily="18" charset="0"/>
                </a:rPr>
                <a:t> ̅</a:t>
              </a:r>
              <a:r>
                <a:rPr lang="ko-KR" altLang="en-US" sz="1100" i="0">
                  <a:latin typeface="Cambria Math" panose="02040503050406030204" pitchFamily="18" charset="0"/>
                </a:rPr>
                <a:t> )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=1/4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𝑢^2 (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𝛼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_𝑠 )+1/4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𝑢^2 (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𝛼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_𝑥)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27</xdr:col>
      <xdr:colOff>66674</xdr:colOff>
      <xdr:row>133</xdr:row>
      <xdr:rowOff>19051</xdr:rowOff>
    </xdr:from>
    <xdr:ext cx="333375" cy="1957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TextBox 5"/>
            <xdr:cNvSpPr txBox="1"/>
          </xdr:nvSpPr>
          <xdr:spPr>
            <a:xfrm>
              <a:off x="4210049" y="31851601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3</m:t>
                        </m:r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5" name="TextBox 5"/>
            <xdr:cNvSpPr txBox="1"/>
          </xdr:nvSpPr>
          <xdr:spPr>
            <a:xfrm>
              <a:off x="4210049" y="31851601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√3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10</xdr:col>
      <xdr:colOff>9524</xdr:colOff>
      <xdr:row>134</xdr:row>
      <xdr:rowOff>203231</xdr:rowOff>
    </xdr:from>
    <xdr:ext cx="3419475" cy="5001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TextBox 4"/>
            <xdr:cNvSpPr txBox="1"/>
          </xdr:nvSpPr>
          <xdr:spPr>
            <a:xfrm>
              <a:off x="1562099" y="32273906"/>
              <a:ext cx="3419475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acc>
                          <m:accPr>
                            <m:chr m:val="̅"/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ko-KR" altLang="en-US" sz="1100" i="1">
                                <a:latin typeface="Cambria Math" panose="02040503050406030204" pitchFamily="18" charset="0"/>
                              </a:rPr>
                              <m:t>𝛼</m:t>
                            </m:r>
                          </m:e>
                        </m:acc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4</m:t>
                            </m:r>
                          </m:den>
                        </m:f>
                        <m:sSup>
                          <m:sSup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0.58</m:t>
                                </m:r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×</m:t>
                                </m:r>
                                <m:sSup>
                                  <m:sSup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  <a:cs typeface="+mn-cs"/>
                                      </a:rPr>
                                      <m:t>10</m:t>
                                    </m:r>
                                  </m:e>
                                  <m:sup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  <a:cs typeface="+mn-cs"/>
                                      </a:rPr>
                                      <m:t>−6</m:t>
                                    </m:r>
                                  </m:sup>
                                </m:sSup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/</m:t>
                                </m:r>
                                <m:r>
                                  <a:rPr lang="ko-KR" alt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℃</m:t>
                                </m:r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f>
                          <m:f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4</m:t>
                            </m:r>
                          </m:den>
                        </m:f>
                        <m:sSup>
                          <m:sSup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0.58×</m:t>
                                </m:r>
                                <m:sSup>
                                  <m:sSup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10</m:t>
                                    </m:r>
                                  </m:e>
                                  <m:sup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−6</m:t>
                                    </m:r>
                                  </m:sup>
                                </m:sSup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/</m:t>
                                </m:r>
                                <m:r>
                                  <a:rPr lang="ko-KR" alt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℃</m:t>
                                </m:r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e>
                    </m:ra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6" name="TextBox 4"/>
            <xdr:cNvSpPr txBox="1"/>
          </xdr:nvSpPr>
          <xdr:spPr>
            <a:xfrm>
              <a:off x="1562099" y="32273906"/>
              <a:ext cx="3419475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𝑢^2 (</a:t>
              </a:r>
              <a:r>
                <a:rPr lang="ko-KR" altLang="en-US" sz="1100" i="0">
                  <a:latin typeface="Cambria Math" panose="02040503050406030204" pitchFamily="18" charset="0"/>
                </a:rPr>
                <a:t>𝛼</a:t>
              </a:r>
              <a:r>
                <a:rPr lang="en-US" altLang="ko-KR" sz="1100" i="0">
                  <a:latin typeface="Cambria Math" panose="02040503050406030204" pitchFamily="18" charset="0"/>
                </a:rPr>
                <a:t> ̅</a:t>
              </a:r>
              <a:r>
                <a:rPr lang="ko-KR" altLang="en-US" sz="1100" i="0">
                  <a:latin typeface="Cambria Math" panose="02040503050406030204" pitchFamily="18" charset="0"/>
                </a:rPr>
                <a:t> )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=√(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1/4 (0.58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×〖10〗^(−6)/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℃)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^2+1/4 (0.58×〖10〗^(−6)/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℃)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^2 )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8</xdr:col>
      <xdr:colOff>9525</xdr:colOff>
      <xdr:row>138</xdr:row>
      <xdr:rowOff>57150</xdr:rowOff>
    </xdr:from>
    <xdr:ext cx="1340047" cy="32188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TextBox 16"/>
            <xdr:cNvSpPr txBox="1"/>
          </xdr:nvSpPr>
          <xdr:spPr>
            <a:xfrm>
              <a:off x="1257300" y="33080325"/>
              <a:ext cx="1340047" cy="3218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acc>
                          <m:accPr>
                            <m:chr m:val="̅"/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a:rPr lang="ko-KR" alt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𝛼</m:t>
                            </m:r>
                          </m:e>
                        </m:acc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acc>
                          <m:accPr>
                            <m:chr m:val="̅"/>
                            <m:ctrlPr>
                              <a:rPr lang="ko-KR" alt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a:rPr lang="ko-KR" alt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𝛼</m:t>
                            </m:r>
                          </m:e>
                        </m:acc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=−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∆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𝑡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∙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0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7" name="TextBox 16"/>
            <xdr:cNvSpPr txBox="1"/>
          </xdr:nvSpPr>
          <xdr:spPr>
            <a:xfrm>
              <a:off x="1257300" y="33080325"/>
              <a:ext cx="1340047" cy="3218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𝑐_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 ̅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𝑙_𝑥)/(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ko-KR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 ̅ 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=−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∆𝑡∙𝑙_0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7</xdr:col>
      <xdr:colOff>9524</xdr:colOff>
      <xdr:row>141</xdr:row>
      <xdr:rowOff>9525</xdr:rowOff>
    </xdr:from>
    <xdr:ext cx="2743201" cy="41812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TextBox 5"/>
            <xdr:cNvSpPr txBox="1"/>
          </xdr:nvSpPr>
          <xdr:spPr>
            <a:xfrm>
              <a:off x="1104899" y="33747075"/>
              <a:ext cx="2743201" cy="4181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altLang="ko-KR" sz="1100" b="0" i="1">
                        <a:latin typeface="Cambria Math" panose="02040503050406030204" pitchFamily="18" charset="0"/>
                      </a:rPr>
                      <m:t>ν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ko-KR" altLang="en-US" sz="1100" b="0" i="1">
                                <a:latin typeface="Cambria Math" panose="02040503050406030204" pitchFamily="18" charset="0"/>
                              </a:rPr>
                              <m:t>𝛼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m:rPr>
                        <m:sty m:val="p"/>
                      </m:rP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ν</m:t>
                    </m:r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𝛼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𝑅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10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=50</m:t>
                    </m:r>
                  </m:oMath>
                </m:oMathPara>
              </a14:m>
              <a:endParaRPr lang="en-US" altLang="ko-KR" sz="1100" b="0" i="1">
                <a:solidFill>
                  <a:schemeClr val="tx1"/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18" name="TextBox 5"/>
            <xdr:cNvSpPr txBox="1"/>
          </xdr:nvSpPr>
          <xdr:spPr>
            <a:xfrm>
              <a:off x="1104899" y="33747075"/>
              <a:ext cx="2743201" cy="4181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ν(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𝛼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_𝑠 )=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ν(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_𝑥 )=1/2 (100/𝑅)^2=1/2 (100/10)^2=50</a:t>
              </a:r>
              <a:endParaRPr lang="en-US" altLang="ko-KR" sz="1100" b="0" i="1">
                <a:solidFill>
                  <a:schemeClr val="tx1"/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8</xdr:col>
      <xdr:colOff>104775</xdr:colOff>
      <xdr:row>168</xdr:row>
      <xdr:rowOff>57150</xdr:rowOff>
    </xdr:from>
    <xdr:ext cx="1473417" cy="32188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TextBox 18"/>
            <xdr:cNvSpPr txBox="1"/>
          </xdr:nvSpPr>
          <xdr:spPr>
            <a:xfrm>
              <a:off x="1352550" y="40224075"/>
              <a:ext cx="1473417" cy="3218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∆</m:t>
                        </m:r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𝛼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ko-KR" alt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ko-KR" alt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=−</m:t>
                    </m:r>
                    <m:r>
                      <a:rPr lang="ko-KR" alt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𝛿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𝑡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9" name="TextBox 18"/>
            <xdr:cNvSpPr txBox="1"/>
          </xdr:nvSpPr>
          <xdr:spPr>
            <a:xfrm>
              <a:off x="1352550" y="40224075"/>
              <a:ext cx="1473417" cy="3218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𝑐_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∆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𝑙_𝑥)/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ko-KR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=−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𝑡∙𝑙_0=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8</xdr:col>
      <xdr:colOff>9525</xdr:colOff>
      <xdr:row>154</xdr:row>
      <xdr:rowOff>57150</xdr:rowOff>
    </xdr:from>
    <xdr:ext cx="1403782" cy="32188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" name="TextBox 19"/>
            <xdr:cNvSpPr txBox="1"/>
          </xdr:nvSpPr>
          <xdr:spPr>
            <a:xfrm>
              <a:off x="1257300" y="36890325"/>
              <a:ext cx="1403782" cy="3218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∆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𝑡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ko-KR" alt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=−</m:t>
                    </m:r>
                    <m:acc>
                      <m:accPr>
                        <m:chr m:val="̅"/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accPr>
                      <m:e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</m:e>
                    </m:acc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0" name="TextBox 19"/>
            <xdr:cNvSpPr txBox="1"/>
          </xdr:nvSpPr>
          <xdr:spPr>
            <a:xfrm>
              <a:off x="1257300" y="36890325"/>
              <a:ext cx="1403782" cy="3218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𝑐_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∆𝑡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𝑙_𝑥)/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ko-KR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𝑡=−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 ̅∙𝑙_0=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9</xdr:col>
      <xdr:colOff>9525</xdr:colOff>
      <xdr:row>200</xdr:row>
      <xdr:rowOff>57150</xdr:rowOff>
    </xdr:from>
    <xdr:ext cx="748154" cy="35054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" name="TextBox 20"/>
            <xdr:cNvSpPr txBox="1"/>
          </xdr:nvSpPr>
          <xdr:spPr>
            <a:xfrm>
              <a:off x="1409700" y="47844075"/>
              <a:ext cx="748154" cy="35054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𝑑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ko-KR" alt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num>
                      <m:den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𝑑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1" name="TextBox 20"/>
            <xdr:cNvSpPr txBox="1"/>
          </xdr:nvSpPr>
          <xdr:spPr>
            <a:xfrm>
              <a:off x="1409700" y="47844075"/>
              <a:ext cx="748154" cy="35054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𝑐_(𝑡_𝑑 )=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ko-KR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𝑡/(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𝑡_𝑑 )=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8</xdr:col>
      <xdr:colOff>9525</xdr:colOff>
      <xdr:row>236</xdr:row>
      <xdr:rowOff>57150</xdr:rowOff>
    </xdr:from>
    <xdr:ext cx="853823" cy="34958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" name="TextBox 21"/>
            <xdr:cNvSpPr txBox="1"/>
          </xdr:nvSpPr>
          <xdr:spPr>
            <a:xfrm>
              <a:off x="1257300" y="56416575"/>
              <a:ext cx="853823" cy="3495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𝛿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𝑟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ko-KR" alt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𝑟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2" name="TextBox 21"/>
            <xdr:cNvSpPr txBox="1"/>
          </xdr:nvSpPr>
          <xdr:spPr>
            <a:xfrm>
              <a:off x="1257300" y="56416575"/>
              <a:ext cx="853823" cy="3495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𝑐_(〖</a:t>
              </a:r>
              <a:r>
                <a:rPr lang="ko-KR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𝑙〗_𝑟 )=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𝑙_𝑥)/(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ko-KR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𝑙_𝑟 )=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8</xdr:col>
      <xdr:colOff>9525</xdr:colOff>
      <xdr:row>260</xdr:row>
      <xdr:rowOff>57150</xdr:rowOff>
    </xdr:from>
    <xdr:ext cx="866775" cy="4762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" name="TextBox 22"/>
            <xdr:cNvSpPr txBox="1"/>
          </xdr:nvSpPr>
          <xdr:spPr>
            <a:xfrm>
              <a:off x="1257300" y="62131575"/>
              <a:ext cx="866775" cy="4762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𝐹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ko-KR" alt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𝐹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ko-KR" altLang="ko-KR">
                <a:effectLst/>
              </a:endParaRPr>
            </a:p>
            <a:p>
              <a:pPr algn="l"/>
              <a:endParaRPr lang="ko-KR" altLang="en-US" sz="1100"/>
            </a:p>
          </xdr:txBody>
        </xdr:sp>
      </mc:Choice>
      <mc:Fallback xmlns="">
        <xdr:sp macro="" textlink="">
          <xdr:nvSpPr>
            <xdr:cNvPr id="23" name="TextBox 22"/>
            <xdr:cNvSpPr txBox="1"/>
          </xdr:nvSpPr>
          <xdr:spPr>
            <a:xfrm>
              <a:off x="1257300" y="62131575"/>
              <a:ext cx="866775" cy="4762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𝑐_(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𝑙_𝐹 )=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𝑙_𝑥)/(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ko-KR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𝑙_𝐹 )=</a:t>
              </a:r>
              <a:endParaRPr lang="ko-KR" altLang="ko-KR">
                <a:effectLst/>
              </a:endParaRPr>
            </a:p>
            <a:p>
              <a:pPr algn="l"/>
              <a:endParaRPr lang="ko-KR" altLang="en-US" sz="1100"/>
            </a:p>
          </xdr:txBody>
        </xdr:sp>
      </mc:Fallback>
    </mc:AlternateContent>
    <xdr:clientData/>
  </xdr:oneCellAnchor>
  <xdr:oneCellAnchor>
    <xdr:from>
      <xdr:col>7</xdr:col>
      <xdr:colOff>9524</xdr:colOff>
      <xdr:row>143</xdr:row>
      <xdr:rowOff>47625</xdr:rowOff>
    </xdr:from>
    <xdr:ext cx="3124201" cy="60234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4" name="TextBox 5"/>
            <xdr:cNvSpPr txBox="1"/>
          </xdr:nvSpPr>
          <xdr:spPr>
            <a:xfrm>
              <a:off x="1104899" y="34261425"/>
              <a:ext cx="3124201" cy="6023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altLang="ko-KR" sz="1100" b="0" i="1">
                        <a:latin typeface="Cambria Math" panose="02040503050406030204" pitchFamily="18" charset="0"/>
                      </a:rPr>
                      <m:t>ν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bar>
                          <m:barPr>
                            <m:pos m:val="top"/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barPr>
                          <m:e>
                            <m:r>
                              <a:rPr lang="ko-KR" altLang="en-US" sz="1100" b="0" i="1">
                                <a:latin typeface="Cambria Math" panose="02040503050406030204" pitchFamily="18" charset="0"/>
                              </a:rPr>
                              <m:t>𝛼</m:t>
                            </m:r>
                          </m:e>
                        </m:bar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(0.41</m:t>
                            </m:r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×</m:t>
                            </m:r>
                            <m:sSup>
                              <m:sSup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10</m:t>
                                </m:r>
                              </m:e>
                              <m:sup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−6</m:t>
                                </m:r>
                              </m:sup>
                            </m:s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)</m:t>
                            </m:r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4</m:t>
                            </m:r>
                          </m:sup>
                        </m:sSup>
                      </m:num>
                      <m:den>
                        <m:f>
                          <m:f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en-US" altLang="ko-KR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(</m:t>
                                </m:r>
                                <m:f>
                                  <m:f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</m:t>
                                    </m:r>
                                  </m:num>
                                  <m:den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</m:den>
                                </m:f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×</m:t>
                                </m:r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0.58×</m:t>
                                </m:r>
                                <m:sSup>
                                  <m:sSup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10</m:t>
                                    </m:r>
                                  </m:e>
                                  <m:sup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−6</m:t>
                                    </m:r>
                                  </m:sup>
                                </m:sSup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)</m:t>
                                </m:r>
                              </m:e>
                              <m:sup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4</m:t>
                                </m:r>
                              </m:sup>
                            </m:sSup>
                          </m:num>
                          <m:den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50</m:t>
                            </m:r>
                          </m:den>
                        </m:f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+</m:t>
                        </m:r>
                        <m:f>
                          <m:f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en-US" altLang="ko-KR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(</m:t>
                                </m:r>
                                <m:f>
                                  <m:f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</m:t>
                                    </m:r>
                                  </m:num>
                                  <m:den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</m:den>
                                </m:f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×</m:t>
                                </m:r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0.58×</m:t>
                                </m:r>
                                <m:sSup>
                                  <m:sSup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10</m:t>
                                    </m:r>
                                  </m:e>
                                  <m:sup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−6</m:t>
                                    </m:r>
                                  </m:sup>
                                </m:sSup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)</m:t>
                                </m:r>
                              </m:e>
                              <m:sup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4</m:t>
                                </m:r>
                              </m:sup>
                            </m:sSup>
                          </m:num>
                          <m:den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50</m:t>
                            </m:r>
                          </m:den>
                        </m:f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en-US" altLang="ko-KR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24" name="TextBox 5"/>
            <xdr:cNvSpPr txBox="1"/>
          </xdr:nvSpPr>
          <xdr:spPr>
            <a:xfrm>
              <a:off x="1104899" y="34261425"/>
              <a:ext cx="3124201" cy="6023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ν(¯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𝛼)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</a:t>
              </a:r>
              <a:r>
                <a:rPr lang="en-US" altLang="ko-KR" sz="1100" i="0">
                  <a:latin typeface="Cambria Math" panose="02040503050406030204" pitchFamily="18" charset="0"/>
                </a:rPr>
                <a:t>〖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(0.41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×〖10〗^(−6))〗^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4/(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〖(1/2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×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0.58×〖10〗^(−6))〗^4/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50+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〖(1/2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×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0.58×〖10〗^(−6))〗^4/50)=</a:t>
              </a:r>
              <a:endParaRPr lang="en-US" altLang="ko-KR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10</xdr:col>
      <xdr:colOff>9524</xdr:colOff>
      <xdr:row>166</xdr:row>
      <xdr:rowOff>12731</xdr:rowOff>
    </xdr:from>
    <xdr:ext cx="4371976" cy="21666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5" name="TextBox 4"/>
            <xdr:cNvSpPr txBox="1"/>
          </xdr:nvSpPr>
          <xdr:spPr>
            <a:xfrm>
              <a:off x="1562099" y="39703406"/>
              <a:ext cx="4371976" cy="2166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∆</m:t>
                        </m:r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𝛼</m:t>
                        </m:r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0.58</m:t>
                                </m:r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×</m:t>
                                </m:r>
                                <m:sSup>
                                  <m:sSup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  <a:cs typeface="+mn-cs"/>
                                      </a:rPr>
                                      <m:t>10</m:t>
                                    </m:r>
                                  </m:e>
                                  <m:sup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  <a:cs typeface="+mn-cs"/>
                                      </a:rPr>
                                      <m:t>−6</m:t>
                                    </m:r>
                                  </m:sup>
                                </m:sSup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/</m:t>
                                </m:r>
                                <m:r>
                                  <a:rPr lang="ko-KR" alt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℃</m:t>
                                </m:r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p>
                          <m:sSup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0.58×</m:t>
                                </m:r>
                                <m:sSup>
                                  <m:sSup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10</m:t>
                                    </m:r>
                                  </m:e>
                                  <m:sup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−6</m:t>
                                    </m:r>
                                  </m:sup>
                                </m:sSup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/</m:t>
                                </m:r>
                                <m:r>
                                  <a:rPr lang="ko-KR" alt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℃</m:t>
                                </m:r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e>
                    </m:ra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=0.82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</m:t>
                    </m:r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10</m:t>
                        </m:r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−6</m:t>
                        </m:r>
                      </m:sup>
                    </m:sSup>
                    <m:r>
                      <a:rPr lang="en-US" altLang="ko-K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/</m:t>
                    </m:r>
                    <m:r>
                      <a:rPr lang="ko-KR" alt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℃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5" name="TextBox 4"/>
            <xdr:cNvSpPr txBox="1"/>
          </xdr:nvSpPr>
          <xdr:spPr>
            <a:xfrm>
              <a:off x="1562099" y="39703406"/>
              <a:ext cx="4371976" cy="2166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𝑢^2 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∆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𝛼)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=√(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(0.58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×〖10〗^(−6)/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℃)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^2+(0.58×〖10〗^(−6)/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℃)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^2 )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=0.82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×〖10〗^(−6)/</a:t>
              </a:r>
              <a:r>
                <a:rPr lang="ko-KR" alt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℃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13</xdr:col>
      <xdr:colOff>142874</xdr:colOff>
      <xdr:row>152</xdr:row>
      <xdr:rowOff>28576</xdr:rowOff>
    </xdr:from>
    <xdr:ext cx="333375" cy="1957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6" name="TextBox 5"/>
            <xdr:cNvSpPr txBox="1"/>
          </xdr:nvSpPr>
          <xdr:spPr>
            <a:xfrm>
              <a:off x="2152649" y="36385501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3</m:t>
                        </m:r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6" name="TextBox 5"/>
            <xdr:cNvSpPr txBox="1"/>
          </xdr:nvSpPr>
          <xdr:spPr>
            <a:xfrm>
              <a:off x="2152649" y="36385501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√3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7</xdr:col>
      <xdr:colOff>9524</xdr:colOff>
      <xdr:row>171</xdr:row>
      <xdr:rowOff>9525</xdr:rowOff>
    </xdr:from>
    <xdr:ext cx="2743201" cy="41812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7" name="TextBox 5"/>
            <xdr:cNvSpPr txBox="1"/>
          </xdr:nvSpPr>
          <xdr:spPr>
            <a:xfrm>
              <a:off x="1104899" y="40890825"/>
              <a:ext cx="2743201" cy="4181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altLang="ko-KR" sz="1100" b="0" i="1">
                        <a:latin typeface="Cambria Math" panose="02040503050406030204" pitchFamily="18" charset="0"/>
                      </a:rPr>
                      <m:t>ν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ko-KR" altLang="en-US" sz="1100" b="0" i="1">
                                <a:latin typeface="Cambria Math" panose="02040503050406030204" pitchFamily="18" charset="0"/>
                              </a:rPr>
                              <m:t>𝛼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m:rPr>
                        <m:sty m:val="p"/>
                      </m:rP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ν</m:t>
                    </m:r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𝛼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𝑅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10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=50</m:t>
                    </m:r>
                  </m:oMath>
                </m:oMathPara>
              </a14:m>
              <a:endParaRPr lang="en-US" altLang="ko-KR" sz="1100" b="0" i="1">
                <a:solidFill>
                  <a:schemeClr val="tx1"/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27" name="TextBox 5"/>
            <xdr:cNvSpPr txBox="1"/>
          </xdr:nvSpPr>
          <xdr:spPr>
            <a:xfrm>
              <a:off x="1104899" y="40890825"/>
              <a:ext cx="2743201" cy="4181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ν(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𝛼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_𝑠 )=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ν(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_𝑥 )=1/2 (100/𝑅)^2=1/2 (100/10)^2=50</a:t>
              </a:r>
              <a:endParaRPr lang="en-US" altLang="ko-KR" sz="1100" b="0" i="1">
                <a:solidFill>
                  <a:schemeClr val="tx1"/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7</xdr:col>
      <xdr:colOff>9525</xdr:colOff>
      <xdr:row>173</xdr:row>
      <xdr:rowOff>47625</xdr:rowOff>
    </xdr:from>
    <xdr:ext cx="2733676" cy="49667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8" name="TextBox 5"/>
            <xdr:cNvSpPr txBox="1"/>
          </xdr:nvSpPr>
          <xdr:spPr>
            <a:xfrm>
              <a:off x="1104900" y="41405175"/>
              <a:ext cx="2733676" cy="4966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altLang="ko-KR" sz="1100" b="0" i="1">
                        <a:latin typeface="Cambria Math" panose="02040503050406030204" pitchFamily="18" charset="0"/>
                      </a:rPr>
                      <m:t>ν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∆</m:t>
                        </m:r>
                        <m:r>
                          <a:rPr lang="ko-KR" alt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𝛼</m:t>
                        </m:r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(0.82</m:t>
                            </m:r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×</m:t>
                            </m:r>
                            <m:sSup>
                              <m:sSup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10</m:t>
                                </m:r>
                              </m:e>
                              <m:sup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−6</m:t>
                                </m:r>
                              </m:sup>
                            </m:s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)</m:t>
                            </m:r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4</m:t>
                            </m:r>
                          </m:sup>
                        </m:sSup>
                      </m:num>
                      <m:den>
                        <m:f>
                          <m:f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en-US" altLang="ko-KR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(0.58×</m:t>
                                </m:r>
                                <m:sSup>
                                  <m:sSup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10</m:t>
                                    </m:r>
                                  </m:e>
                                  <m:sup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−6</m:t>
                                    </m:r>
                                  </m:sup>
                                </m:sSup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)</m:t>
                                </m:r>
                              </m:e>
                              <m:sup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4</m:t>
                                </m:r>
                              </m:sup>
                            </m:sSup>
                          </m:num>
                          <m:den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50</m:t>
                            </m:r>
                          </m:den>
                        </m:f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+</m:t>
                        </m:r>
                        <m:f>
                          <m:f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en-US" altLang="ko-KR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(0.58×</m:t>
                                </m:r>
                                <m:sSup>
                                  <m:sSup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10</m:t>
                                    </m:r>
                                  </m:e>
                                  <m:sup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−6</m:t>
                                    </m:r>
                                  </m:sup>
                                </m:sSup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)</m:t>
                                </m:r>
                              </m:e>
                              <m:sup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4</m:t>
                                </m:r>
                              </m:sup>
                            </m:sSup>
                          </m:num>
                          <m:den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50</m:t>
                            </m:r>
                          </m:den>
                        </m:f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en-US" altLang="ko-KR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28" name="TextBox 5"/>
            <xdr:cNvSpPr txBox="1"/>
          </xdr:nvSpPr>
          <xdr:spPr>
            <a:xfrm>
              <a:off x="1104900" y="41405175"/>
              <a:ext cx="2733676" cy="4966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ν(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ko-KR" alt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𝛼)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</a:t>
              </a:r>
              <a:r>
                <a:rPr lang="en-US" altLang="ko-KR" sz="1100" i="0">
                  <a:latin typeface="Cambria Math" panose="02040503050406030204" pitchFamily="18" charset="0"/>
                </a:rPr>
                <a:t>〖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(0.82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×〖10〗^(−6))〗^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4/(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〖(0.58×〖10〗^(−6))〗^4/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50+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〖(0.58×〖10〗^(−6))〗^4/50)=</a:t>
              </a:r>
              <a:endParaRPr lang="en-US" altLang="ko-KR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14</xdr:col>
      <xdr:colOff>133349</xdr:colOff>
      <xdr:row>198</xdr:row>
      <xdr:rowOff>28576</xdr:rowOff>
    </xdr:from>
    <xdr:ext cx="333375" cy="1957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9" name="TextBox 5"/>
            <xdr:cNvSpPr txBox="1"/>
          </xdr:nvSpPr>
          <xdr:spPr>
            <a:xfrm>
              <a:off x="2295524" y="47339251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3</m:t>
                        </m:r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9" name="TextBox 5"/>
            <xdr:cNvSpPr txBox="1"/>
          </xdr:nvSpPr>
          <xdr:spPr>
            <a:xfrm>
              <a:off x="2295524" y="47339251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√3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14</xdr:col>
      <xdr:colOff>142874</xdr:colOff>
      <xdr:row>234</xdr:row>
      <xdr:rowOff>19051</xdr:rowOff>
    </xdr:from>
    <xdr:ext cx="333375" cy="1957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0" name="TextBox 5"/>
            <xdr:cNvSpPr txBox="1"/>
          </xdr:nvSpPr>
          <xdr:spPr>
            <a:xfrm>
              <a:off x="2305049" y="55902226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2</m:t>
                    </m:r>
                    <m:rad>
                      <m:radPr>
                        <m:degHide m:val="on"/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3</m:t>
                        </m:r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30" name="TextBox 5"/>
            <xdr:cNvSpPr txBox="1"/>
          </xdr:nvSpPr>
          <xdr:spPr>
            <a:xfrm>
              <a:off x="2305049" y="55902226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2√3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19</xdr:col>
      <xdr:colOff>152399</xdr:colOff>
      <xdr:row>234</xdr:row>
      <xdr:rowOff>19051</xdr:rowOff>
    </xdr:from>
    <xdr:ext cx="333375" cy="1957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1" name="TextBox 5"/>
            <xdr:cNvSpPr txBox="1"/>
          </xdr:nvSpPr>
          <xdr:spPr>
            <a:xfrm>
              <a:off x="3076574" y="55902226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2</m:t>
                    </m:r>
                    <m:rad>
                      <m:radPr>
                        <m:degHide m:val="on"/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3</m:t>
                        </m:r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31" name="TextBox 5"/>
            <xdr:cNvSpPr txBox="1"/>
          </xdr:nvSpPr>
          <xdr:spPr>
            <a:xfrm>
              <a:off x="3076574" y="55902226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2√3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7</xdr:col>
      <xdr:colOff>9525</xdr:colOff>
      <xdr:row>239</xdr:row>
      <xdr:rowOff>9525</xdr:rowOff>
    </xdr:from>
    <xdr:ext cx="2266950" cy="41383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2" name="TextBox 5"/>
            <xdr:cNvSpPr txBox="1"/>
          </xdr:nvSpPr>
          <xdr:spPr>
            <a:xfrm>
              <a:off x="1104900" y="57083325"/>
              <a:ext cx="2266950" cy="4138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altLang="ko-KR" sz="1100" b="0" i="1">
                        <a:latin typeface="Cambria Math" panose="02040503050406030204" pitchFamily="18" charset="0"/>
                      </a:rPr>
                      <m:t>ν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ko-KR" altLang="en-US" sz="1100" b="0" i="1">
                            <a:latin typeface="Cambria Math" panose="02040503050406030204" pitchFamily="18" charset="0"/>
                          </a:rPr>
                          <m:t>𝛿</m:t>
                        </m:r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altLang="ko-KR" sz="110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altLang="ko-KR" sz="110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𝑅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∞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32" name="TextBox 5"/>
            <xdr:cNvSpPr txBox="1"/>
          </xdr:nvSpPr>
          <xdr:spPr>
            <a:xfrm>
              <a:off x="1104900" y="57083325"/>
              <a:ext cx="2266950" cy="4138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ν(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𝛿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𝑙_𝑥 )=</a:t>
              </a:r>
              <a:r>
                <a:rPr lang="en-US" altLang="ko-KR" sz="1100" i="0">
                  <a:latin typeface="Cambria Math" panose="02040503050406030204" pitchFamily="18" charset="0"/>
                </a:rPr>
                <a:t>1/2 (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100/𝑅)^2=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1/2 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100/0)^2=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∞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20</xdr:col>
      <xdr:colOff>19049</xdr:colOff>
      <xdr:row>258</xdr:row>
      <xdr:rowOff>28576</xdr:rowOff>
    </xdr:from>
    <xdr:ext cx="333375" cy="1957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3" name="TextBox 5"/>
            <xdr:cNvSpPr txBox="1"/>
          </xdr:nvSpPr>
          <xdr:spPr>
            <a:xfrm>
              <a:off x="3095624" y="61626751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+mn-lt"/>
                </a:rPr>
                <a:t>5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US" altLang="ko-KR" sz="1100" b="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r>
                        <a:rPr lang="en-US" altLang="ko-KR" sz="1100" b="0" i="1">
                          <a:latin typeface="Cambria Math" panose="02040503050406030204" pitchFamily="18" charset="0"/>
                        </a:rPr>
                        <m:t>3</m:t>
                      </m:r>
                    </m:e>
                  </m:rad>
                </m:oMath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33" name="TextBox 5"/>
            <xdr:cNvSpPr txBox="1"/>
          </xdr:nvSpPr>
          <xdr:spPr>
            <a:xfrm>
              <a:off x="3095624" y="61626751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+mn-lt"/>
                </a:rPr>
                <a:t>5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√3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7</xdr:col>
      <xdr:colOff>9525</xdr:colOff>
      <xdr:row>263</xdr:row>
      <xdr:rowOff>9525</xdr:rowOff>
    </xdr:from>
    <xdr:ext cx="2266950" cy="41383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4" name="TextBox 5"/>
            <xdr:cNvSpPr txBox="1"/>
          </xdr:nvSpPr>
          <xdr:spPr>
            <a:xfrm>
              <a:off x="1104900" y="62798325"/>
              <a:ext cx="2266950" cy="4138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altLang="ko-KR" sz="1100" b="0" i="1">
                        <a:latin typeface="Cambria Math" panose="02040503050406030204" pitchFamily="18" charset="0"/>
                      </a:rPr>
                      <m:t>ν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ko-KR" altLang="en-US" sz="1100" b="0" i="1">
                            <a:latin typeface="Cambria Math" panose="02040503050406030204" pitchFamily="18" charset="0"/>
                          </a:rPr>
                          <m:t>𝛿</m:t>
                        </m:r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𝐹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altLang="ko-KR" sz="110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altLang="ko-KR" sz="110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𝑅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10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=50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34" name="TextBox 5"/>
            <xdr:cNvSpPr txBox="1"/>
          </xdr:nvSpPr>
          <xdr:spPr>
            <a:xfrm>
              <a:off x="1104900" y="62798325"/>
              <a:ext cx="2266950" cy="4138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ν(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𝛿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𝑙_𝐹 )=</a:t>
              </a:r>
              <a:r>
                <a:rPr lang="en-US" altLang="ko-KR" sz="1100" i="0">
                  <a:latin typeface="Cambria Math" panose="02040503050406030204" pitchFamily="18" charset="0"/>
                </a:rPr>
                <a:t>1/2 (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100/𝑅)^2=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1/2 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100/10)^2=50</a:t>
              </a:r>
              <a:endParaRPr lang="ko-KR" altLang="en-US" sz="1100"/>
            </a:p>
          </xdr:txBody>
        </xdr:sp>
      </mc:Fallback>
    </mc:AlternateContent>
    <xdr:clientData/>
  </xdr:oneCellAnchor>
  <xdr:twoCellAnchor editAs="oneCell">
    <xdr:from>
      <xdr:col>1</xdr:col>
      <xdr:colOff>9525</xdr:colOff>
      <xdr:row>300</xdr:row>
      <xdr:rowOff>9524</xdr:rowOff>
    </xdr:from>
    <xdr:to>
      <xdr:col>50</xdr:col>
      <xdr:colOff>9525</xdr:colOff>
      <xdr:row>301</xdr:row>
      <xdr:rowOff>9524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5" name="TextBox 2"/>
            <xdr:cNvSpPr txBox="1">
              <a:spLocks/>
            </xdr:cNvSpPr>
          </xdr:nvSpPr>
          <xdr:spPr>
            <a:xfrm>
              <a:off x="161925" y="71608949"/>
              <a:ext cx="7496175" cy="2381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sSubSup>
                    <m:sSubSupPr>
                      <m:ctrlPr>
                        <a:rPr lang="en-US" altLang="ko-KR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SupPr>
                    <m:e>
                      <m:r>
                        <a:rPr lang="en-US" altLang="ko-KR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𝑢</m:t>
                      </m:r>
                    </m:e>
                    <m:sub>
                      <m:r>
                        <a:rPr lang="en-US" altLang="ko-KR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𝑐</m:t>
                      </m:r>
                    </m:sub>
                    <m:sup>
                      <m:r>
                        <a:rPr lang="en-US" altLang="ko-KR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bSup>
                  <m:d>
                    <m:dPr>
                      <m:ctrlPr>
                        <a:rPr lang="en-US" altLang="ko-KR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sSub>
                        <m:sSubPr>
                          <m:ctrlPr>
                            <a:rPr lang="en-US" altLang="ko-KR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US" altLang="ko-KR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𝑙</m:t>
                          </m:r>
                        </m:e>
                        <m:sub>
                          <m:r>
                            <a:rPr lang="en-US" altLang="ko-KR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𝑥</m:t>
                          </m:r>
                        </m:sub>
                      </m:sSub>
                    </m:e>
                  </m:d>
                  <m:r>
                    <a:rPr lang="en-US" altLang="ko-KR" sz="1100" b="0" i="1">
                      <a:latin typeface="Cambria Math" panose="02040503050406030204" pitchFamily="18" charset="0"/>
                    </a:rPr>
                    <m:t>=</m:t>
                  </m:r>
                  <m:sSup>
                    <m:sSupPr>
                      <m:ctrlPr>
                        <a:rPr lang="en-US" altLang="ko-KR" sz="1100" b="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en-US" altLang="ko-KR" sz="1100" b="0" i="1">
                          <a:latin typeface="Cambria Math" panose="02040503050406030204" pitchFamily="18" charset="0"/>
                        </a:rPr>
                        <m:t>𝑢</m:t>
                      </m:r>
                    </m:e>
                    <m:sup>
                      <m:r>
                        <a:rPr lang="en-US" altLang="ko-KR" sz="1100" b="0" i="1">
                          <a:latin typeface="Cambria Math" panose="02040503050406030204" pitchFamily="18" charset="0"/>
                        </a:rPr>
                        <m:t>2</m:t>
                      </m:r>
                    </m:sup>
                  </m:sSup>
                  <m:d>
                    <m:dPr>
                      <m:ctrlPr>
                        <a:rPr lang="en-US" altLang="ko-KR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sSub>
                        <m:sSubPr>
                          <m:ctrlPr>
                            <a:rPr lang="en-US" altLang="ko-KR" sz="11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altLang="ko-KR" sz="1100" b="0" i="1">
                              <a:latin typeface="Cambria Math" panose="02040503050406030204" pitchFamily="18" charset="0"/>
                            </a:rPr>
                            <m:t>𝑙</m:t>
                          </m:r>
                        </m:e>
                        <m:sub>
                          <m:r>
                            <a:rPr lang="en-US" altLang="ko-KR" sz="1100" b="0" i="1">
                              <a:latin typeface="Cambria Math" panose="02040503050406030204" pitchFamily="18" charset="0"/>
                            </a:rPr>
                            <m:t>𝑠</m:t>
                          </m:r>
                        </m:sub>
                      </m:sSub>
                    </m:e>
                  </m:d>
                  <m:r>
                    <a:rPr lang="en-US" altLang="ko-KR" sz="1100" b="0" i="1">
                      <a:latin typeface="Cambria Math" panose="02040503050406030204" pitchFamily="18" charset="0"/>
                    </a:rPr>
                    <m:t>+</m:t>
                  </m:r>
                  <m:sSup>
                    <m:sSupPr>
                      <m:ctrlPr>
                        <a:rPr lang="en-US" altLang="ko-KR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en-US" altLang="ko-KR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𝑢</m:t>
                      </m:r>
                    </m:e>
                    <m:sup>
                      <m:r>
                        <a:rPr lang="en-US" altLang="ko-KR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p>
                  <m:d>
                    <m:dPr>
                      <m:ctrlPr>
                        <a:rPr lang="en-US" altLang="ko-KR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sSub>
                        <m:sSubPr>
                          <m:ctrlPr>
                            <a:rPr lang="en-US" altLang="ko-KR" sz="11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altLang="ko-KR" sz="1100" b="0" i="1">
                              <a:latin typeface="Cambria Math" panose="02040503050406030204" pitchFamily="18" charset="0"/>
                            </a:rPr>
                            <m:t>𝑙</m:t>
                          </m:r>
                        </m:e>
                        <m:sub>
                          <m:r>
                            <a:rPr lang="en-US" altLang="ko-KR" sz="1100" b="0" i="1">
                              <a:latin typeface="Cambria Math" panose="02040503050406030204" pitchFamily="18" charset="0"/>
                            </a:rPr>
                            <m:t>𝑖𝑥</m:t>
                          </m:r>
                        </m:sub>
                      </m:sSub>
                    </m:e>
                  </m:d>
                  <m:r>
                    <a:rPr lang="en-US" altLang="ko-KR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+</m:t>
                  </m:r>
                  <m:sSup>
                    <m:sSupPr>
                      <m:ctrlPr>
                        <a:rPr lang="en-US" altLang="ko-KR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en-US" altLang="ko-KR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𝑢</m:t>
                      </m:r>
                    </m:e>
                    <m:sup>
                      <m:r>
                        <a:rPr lang="en-US" altLang="ko-KR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p>
                  <m:r>
                    <a:rPr lang="en-US" altLang="ko-KR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(</m:t>
                  </m:r>
                  <m:acc>
                    <m:accPr>
                      <m:chr m:val="̅"/>
                      <m:ctrlPr>
                        <a:rPr lang="en-US" altLang="ko-KR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accPr>
                    <m:e>
                      <m:r>
                        <a:rPr lang="ko-KR" altLang="ko-KR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𝛼</m:t>
                      </m:r>
                    </m:e>
                  </m:acc>
                  <m:r>
                    <a:rPr lang="en-US" altLang="ko-KR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)+</m:t>
                  </m:r>
                  <m:sSup>
                    <m:sSupPr>
                      <m:ctrlPr>
                        <a:rPr lang="en-US" altLang="ko-KR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en-US" altLang="ko-KR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𝑢</m:t>
                      </m:r>
                    </m:e>
                    <m:sup>
                      <m:r>
                        <a:rPr lang="en-US" altLang="ko-KR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p>
                  <m:r>
                    <a:rPr lang="en-US" altLang="ko-KR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(</m:t>
                  </m:r>
                  <m:r>
                    <a:rPr lang="en-US" altLang="ko-KR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∆</m:t>
                  </m:r>
                  <m:r>
                    <a:rPr lang="en-US" altLang="ko-KR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𝑡</m:t>
                  </m:r>
                  <m:r>
                    <a:rPr lang="en-US" altLang="ko-KR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)+</m:t>
                  </m:r>
                  <m:sSup>
                    <m:sSupPr>
                      <m:ctrlPr>
                        <a:rPr lang="en-US" altLang="ko-KR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en-US" altLang="ko-KR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𝑢</m:t>
                      </m:r>
                    </m:e>
                    <m:sup>
                      <m:r>
                        <a:rPr lang="en-US" altLang="ko-KR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p>
                  <m:r>
                    <a:rPr lang="en-US" altLang="ko-KR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(</m:t>
                  </m:r>
                  <m:r>
                    <a:rPr lang="en-US" altLang="ko-KR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∆</m:t>
                  </m:r>
                  <m:r>
                    <a:rPr lang="ko-KR" alt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𝛼</m:t>
                  </m:r>
                  <m:r>
                    <a:rPr lang="en-US" altLang="ko-KR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)+</m:t>
                  </m:r>
                  <m:sSup>
                    <m:sSupPr>
                      <m:ctrlPr>
                        <a:rPr lang="en-US" altLang="ko-KR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en-US" altLang="ko-KR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𝑢</m:t>
                      </m:r>
                    </m:e>
                    <m:sup>
                      <m:r>
                        <a:rPr lang="en-US" altLang="ko-KR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p>
                  <m:r>
                    <a:rPr lang="en-US" altLang="ko-KR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(</m:t>
                  </m:r>
                  <m:r>
                    <a:rPr lang="ko-KR" alt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𝛿</m:t>
                  </m:r>
                  <m:r>
                    <a:rPr lang="en-US" altLang="ko-KR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𝑡</m:t>
                  </m:r>
                  <m:r>
                    <a:rPr lang="en-US" altLang="ko-KR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)+</m:t>
                  </m:r>
                  <m:sSub>
                    <m:sSubPr>
                      <m:ctrlPr>
                        <a:rPr lang="en-US" altLang="ko-KR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sSubPr>
                    <m:e>
                      <m:sSup>
                        <m:sSupPr>
                          <m:ctrlPr>
                            <a:rPr lang="en-US" altLang="ko-KR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</m:ctrlPr>
                        </m:sSupPr>
                        <m:e>
                          <m:r>
                            <a:rPr lang="en-US" altLang="ko-KR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𝑢</m:t>
                          </m:r>
                        </m:e>
                        <m:sup>
                          <m:r>
                            <a:rPr lang="en-US" altLang="ko-KR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2</m:t>
                          </m:r>
                        </m:sup>
                      </m:sSup>
                      <m:r>
                        <a:rPr lang="en-US" altLang="ko-KR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(</m:t>
                      </m:r>
                      <m:r>
                        <a:rPr lang="ko-KR" altLang="en-US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𝛿</m:t>
                      </m:r>
                      <m:r>
                        <a:rPr lang="en-US" altLang="ko-KR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𝑙</m:t>
                      </m:r>
                    </m:e>
                    <m:sub>
                      <m:r>
                        <a:rPr lang="en-US" altLang="ko-KR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𝑟</m:t>
                      </m:r>
                    </m:sub>
                  </m:sSub>
                  <m:r>
                    <a:rPr lang="en-US" altLang="ko-KR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)</m:t>
                  </m:r>
                  <m:r>
                    <a:rPr lang="en-US" altLang="ko-KR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+</m:t>
                  </m:r>
                  <m:sSup>
                    <m:sSupPr>
                      <m:ctrlPr>
                        <a:rPr lang="en-US" altLang="ko-KR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en-US" altLang="ko-KR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𝑢</m:t>
                      </m:r>
                    </m:e>
                    <m:sup>
                      <m:r>
                        <a:rPr lang="en-US" altLang="ko-KR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p>
                  <m:r>
                    <a:rPr lang="en-US" altLang="ko-KR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(</m:t>
                  </m:r>
                  <m:r>
                    <a:rPr lang="ko-KR" altLang="ko-KR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𝛿</m:t>
                  </m:r>
                  <m:sSub>
                    <m:sSubPr>
                      <m:ctrlPr>
                        <a:rPr lang="en-US" altLang="ko-KR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altLang="ko-KR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𝑙</m:t>
                      </m:r>
                    </m:e>
                    <m:sub>
                      <m:r>
                        <a:rPr lang="en-US" altLang="ko-KR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𝐸</m:t>
                      </m:r>
                    </m:sub>
                  </m:sSub>
                  <m:r>
                    <a:rPr lang="en-US" altLang="ko-KR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)+</m:t>
                  </m:r>
                  <m:sSup>
                    <m:sSupPr>
                      <m:ctrlPr>
                        <a:rPr lang="en-US" altLang="ko-KR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en-US" altLang="ko-KR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𝑢</m:t>
                      </m:r>
                    </m:e>
                    <m:sup>
                      <m:r>
                        <a:rPr lang="en-US" altLang="ko-KR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p>
                  <m:r>
                    <a:rPr lang="en-US" altLang="ko-KR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(</m:t>
                  </m:r>
                  <m:r>
                    <a:rPr lang="ko-KR" altLang="ko-KR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𝛿</m:t>
                  </m:r>
                  <m:sSub>
                    <m:sSubPr>
                      <m:ctrlPr>
                        <a:rPr lang="en-US" altLang="ko-KR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altLang="ko-KR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𝑙</m:t>
                      </m:r>
                    </m:e>
                    <m:sub>
                      <m:r>
                        <a:rPr lang="en-US" altLang="ko-KR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𝐹</m:t>
                      </m:r>
                    </m:sub>
                  </m:sSub>
                  <m:r>
                    <a:rPr lang="en-US" altLang="ko-KR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)+</m:t>
                  </m:r>
                  <m:sSup>
                    <m:sSupPr>
                      <m:ctrlPr>
                        <a:rPr lang="en-US" altLang="ko-KR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en-US" altLang="ko-KR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𝑢</m:t>
                      </m:r>
                    </m:e>
                    <m:sup>
                      <m:r>
                        <a:rPr lang="en-US" altLang="ko-KR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p>
                  <m:r>
                    <a:rPr lang="en-US" altLang="ko-KR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(</m:t>
                  </m:r>
                  <m:r>
                    <a:rPr lang="ko-KR" altLang="ko-KR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𝛿</m:t>
                  </m:r>
                  <m:sSub>
                    <m:sSubPr>
                      <m:ctrlPr>
                        <a:rPr lang="en-US" altLang="ko-KR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altLang="ko-KR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𝑙</m:t>
                      </m:r>
                    </m:e>
                    <m:sub>
                      <m:r>
                        <a:rPr lang="en-US" altLang="ko-KR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𝑃</m:t>
                      </m:r>
                    </m:sub>
                  </m:sSub>
                  <m:r>
                    <a:rPr lang="en-US" altLang="ko-KR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)+2</m:t>
                  </m:r>
                  <m:r>
                    <a:rPr lang="ko-KR" alt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차항</m:t>
                  </m:r>
                  <m:r>
                    <a:rPr lang="en-US" altLang="ko-KR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+2</m:t>
                  </m:r>
                  <m:r>
                    <a:rPr lang="ko-KR" alt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차</m:t>
                  </m:r>
                </m:oMath>
              </a14:m>
              <a:r>
                <a:rPr lang="ko-KR" altLang="en-US" sz="1100"/>
                <a:t>항</a:t>
              </a:r>
            </a:p>
          </xdr:txBody>
        </xdr:sp>
      </mc:Choice>
      <mc:Fallback xmlns="">
        <xdr:sp macro="" textlink="">
          <xdr:nvSpPr>
            <xdr:cNvPr id="35" name="TextBox 2"/>
            <xdr:cNvSpPr txBox="1">
              <a:spLocks/>
            </xdr:cNvSpPr>
          </xdr:nvSpPr>
          <xdr:spPr>
            <a:xfrm>
              <a:off x="161925" y="71608949"/>
              <a:ext cx="7496175" cy="2381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𝑢_𝑐^2 (𝑙_𝑥 )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=𝑢^2 (𝑙_𝑠 )+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𝑢^2 (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𝑙_𝑖𝑥 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+𝑢^2 (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 ̅)+𝑢^2 (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𝑡)+𝑢^2 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∆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)+𝑢^2 (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𝑡)+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〖𝑢^2 (</a:t>
              </a:r>
              <a:r>
                <a:rPr lang="ko-KR" alt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𝛿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𝑙〗_𝑟)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+𝑢^2 (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𝑙_𝐸)+𝑢^2 (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𝑙_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𝐹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)+𝑢^2 (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𝑙_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𝑃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)+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차항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+2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차</a:t>
              </a:r>
              <a:r>
                <a:rPr lang="ko-KR" altLang="en-US" sz="1100"/>
                <a:t>항</a:t>
              </a:r>
            </a:p>
          </xdr:txBody>
        </xdr:sp>
      </mc:Fallback>
    </mc:AlternateContent>
    <xdr:clientData/>
  </xdr:twoCellAnchor>
  <xdr:twoCellAnchor editAs="oneCell">
    <xdr:from>
      <xdr:col>34</xdr:col>
      <xdr:colOff>142875</xdr:colOff>
      <xdr:row>302</xdr:row>
      <xdr:rowOff>38101</xdr:rowOff>
    </xdr:from>
    <xdr:to>
      <xdr:col>40</xdr:col>
      <xdr:colOff>104775</xdr:colOff>
      <xdr:row>302</xdr:row>
      <xdr:rowOff>237226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6" name="TextBox 2"/>
            <xdr:cNvSpPr txBox="1">
              <a:spLocks/>
            </xdr:cNvSpPr>
          </xdr:nvSpPr>
          <xdr:spPr>
            <a:xfrm>
              <a:off x="5353050" y="72113776"/>
              <a:ext cx="876300" cy="1991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36" name="TextBox 2"/>
            <xdr:cNvSpPr txBox="1">
              <a:spLocks/>
            </xdr:cNvSpPr>
          </xdr:nvSpPr>
          <xdr:spPr>
            <a:xfrm>
              <a:off x="5353050" y="72113776"/>
              <a:ext cx="876300" cy="1991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)^2</a:t>
              </a:r>
              <a:endParaRPr lang="ko-KR" altLang="en-US" sz="1100"/>
            </a:p>
          </xdr:txBody>
        </xdr:sp>
      </mc:Fallback>
    </mc:AlternateContent>
    <xdr:clientData/>
  </xdr:twoCellAnchor>
  <xdr:twoCellAnchor editAs="oneCell">
    <xdr:from>
      <xdr:col>26</xdr:col>
      <xdr:colOff>142875</xdr:colOff>
      <xdr:row>302</xdr:row>
      <xdr:rowOff>38101</xdr:rowOff>
    </xdr:from>
    <xdr:to>
      <xdr:col>32</xdr:col>
      <xdr:colOff>104775</xdr:colOff>
      <xdr:row>302</xdr:row>
      <xdr:rowOff>237226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7" name="TextBox 2"/>
            <xdr:cNvSpPr txBox="1">
              <a:spLocks/>
            </xdr:cNvSpPr>
          </xdr:nvSpPr>
          <xdr:spPr>
            <a:xfrm>
              <a:off x="4133850" y="72113776"/>
              <a:ext cx="876300" cy="1991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37" name="TextBox 2"/>
            <xdr:cNvSpPr txBox="1">
              <a:spLocks/>
            </xdr:cNvSpPr>
          </xdr:nvSpPr>
          <xdr:spPr>
            <a:xfrm>
              <a:off x="4133850" y="72113776"/>
              <a:ext cx="876300" cy="1991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)^2</a:t>
              </a:r>
              <a:endParaRPr lang="ko-KR" altLang="en-US" sz="1100"/>
            </a:p>
          </xdr:txBody>
        </xdr:sp>
      </mc:Fallback>
    </mc:AlternateContent>
    <xdr:clientData/>
  </xdr:twoCellAnchor>
  <xdr:twoCellAnchor editAs="oneCell">
    <xdr:from>
      <xdr:col>12</xdr:col>
      <xdr:colOff>0</xdr:colOff>
      <xdr:row>310</xdr:row>
      <xdr:rowOff>19050</xdr:rowOff>
    </xdr:from>
    <xdr:to>
      <xdr:col>16</xdr:col>
      <xdr:colOff>123825</xdr:colOff>
      <xdr:row>310</xdr:row>
      <xdr:rowOff>228599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8" name="TextBox 2"/>
            <xdr:cNvSpPr txBox="1">
              <a:spLocks/>
            </xdr:cNvSpPr>
          </xdr:nvSpPr>
          <xdr:spPr>
            <a:xfrm>
              <a:off x="1857375" y="73999725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38" name="TextBox 2"/>
            <xdr:cNvSpPr txBox="1">
              <a:spLocks/>
            </xdr:cNvSpPr>
          </xdr:nvSpPr>
          <xdr:spPr>
            <a:xfrm>
              <a:off x="1857375" y="73999725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)^4</a:t>
              </a:r>
              <a:endParaRPr lang="ko-KR" altLang="en-US" sz="1100"/>
            </a:p>
          </xdr:txBody>
        </xdr:sp>
      </mc:Fallback>
    </mc:AlternateContent>
    <xdr:clientData/>
  </xdr:twoCellAnchor>
  <xdr:twoCellAnchor editAs="oneCell">
    <xdr:from>
      <xdr:col>24</xdr:col>
      <xdr:colOff>104775</xdr:colOff>
      <xdr:row>309</xdr:row>
      <xdr:rowOff>28575</xdr:rowOff>
    </xdr:from>
    <xdr:to>
      <xdr:col>29</xdr:col>
      <xdr:colOff>76200</xdr:colOff>
      <xdr:row>310</xdr:row>
      <xdr:rowOff>898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9" name="TextBox 2"/>
            <xdr:cNvSpPr txBox="1">
              <a:spLocks/>
            </xdr:cNvSpPr>
          </xdr:nvSpPr>
          <xdr:spPr>
            <a:xfrm>
              <a:off x="3790950" y="73771125"/>
              <a:ext cx="733425" cy="21044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39" name="TextBox 2"/>
            <xdr:cNvSpPr txBox="1">
              <a:spLocks/>
            </xdr:cNvSpPr>
          </xdr:nvSpPr>
          <xdr:spPr>
            <a:xfrm>
              <a:off x="3790950" y="73771125"/>
              <a:ext cx="733425" cy="21044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)^4</a:t>
              </a:r>
              <a:endParaRPr lang="ko-KR" altLang="en-US" sz="1100"/>
            </a:p>
          </xdr:txBody>
        </xdr:sp>
      </mc:Fallback>
    </mc:AlternateContent>
    <xdr:clientData/>
  </xdr:twoCellAnchor>
  <xdr:twoCellAnchor editAs="oneCell">
    <xdr:from>
      <xdr:col>16</xdr:col>
      <xdr:colOff>85725</xdr:colOff>
      <xdr:row>310</xdr:row>
      <xdr:rowOff>19050</xdr:rowOff>
    </xdr:from>
    <xdr:to>
      <xdr:col>21</xdr:col>
      <xdr:colOff>57150</xdr:colOff>
      <xdr:row>310</xdr:row>
      <xdr:rowOff>228599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0" name="TextBox 2"/>
            <xdr:cNvSpPr txBox="1">
              <a:spLocks/>
            </xdr:cNvSpPr>
          </xdr:nvSpPr>
          <xdr:spPr>
            <a:xfrm>
              <a:off x="2552700" y="73999725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40" name="TextBox 2"/>
            <xdr:cNvSpPr txBox="1">
              <a:spLocks/>
            </xdr:cNvSpPr>
          </xdr:nvSpPr>
          <xdr:spPr>
            <a:xfrm>
              <a:off x="2552700" y="73999725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)^4</a:t>
              </a:r>
              <a:endParaRPr lang="ko-KR" altLang="en-US" sz="1100"/>
            </a:p>
          </xdr:txBody>
        </xdr:sp>
      </mc:Fallback>
    </mc:AlternateContent>
    <xdr:clientData/>
  </xdr:twoCellAnchor>
  <xdr:twoCellAnchor editAs="oneCell">
    <xdr:from>
      <xdr:col>21</xdr:col>
      <xdr:colOff>114300</xdr:colOff>
      <xdr:row>310</xdr:row>
      <xdr:rowOff>19050</xdr:rowOff>
    </xdr:from>
    <xdr:to>
      <xdr:col>26</xdr:col>
      <xdr:colOff>85725</xdr:colOff>
      <xdr:row>310</xdr:row>
      <xdr:rowOff>228599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1" name="TextBox 2"/>
            <xdr:cNvSpPr txBox="1">
              <a:spLocks/>
            </xdr:cNvSpPr>
          </xdr:nvSpPr>
          <xdr:spPr>
            <a:xfrm>
              <a:off x="3343275" y="73999725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41" name="TextBox 2"/>
            <xdr:cNvSpPr txBox="1">
              <a:spLocks/>
            </xdr:cNvSpPr>
          </xdr:nvSpPr>
          <xdr:spPr>
            <a:xfrm>
              <a:off x="3343275" y="73999725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)^4</a:t>
              </a:r>
              <a:endParaRPr lang="ko-KR" altLang="en-US" sz="1100"/>
            </a:p>
          </xdr:txBody>
        </xdr:sp>
      </mc:Fallback>
    </mc:AlternateContent>
    <xdr:clientData/>
  </xdr:twoCellAnchor>
  <xdr:twoCellAnchor editAs="oneCell">
    <xdr:from>
      <xdr:col>26</xdr:col>
      <xdr:colOff>95250</xdr:colOff>
      <xdr:row>310</xdr:row>
      <xdr:rowOff>19050</xdr:rowOff>
    </xdr:from>
    <xdr:to>
      <xdr:col>31</xdr:col>
      <xdr:colOff>66675</xdr:colOff>
      <xdr:row>310</xdr:row>
      <xdr:rowOff>228599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2" name="TextBox 2"/>
            <xdr:cNvSpPr txBox="1">
              <a:spLocks/>
            </xdr:cNvSpPr>
          </xdr:nvSpPr>
          <xdr:spPr>
            <a:xfrm>
              <a:off x="4086225" y="73999725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42" name="TextBox 2"/>
            <xdr:cNvSpPr txBox="1">
              <a:spLocks/>
            </xdr:cNvSpPr>
          </xdr:nvSpPr>
          <xdr:spPr>
            <a:xfrm>
              <a:off x="4086225" y="73999725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)^4</a:t>
              </a:r>
              <a:endParaRPr lang="ko-KR" altLang="en-US" sz="1100"/>
            </a:p>
          </xdr:txBody>
        </xdr:sp>
      </mc:Fallback>
    </mc:AlternateContent>
    <xdr:clientData/>
  </xdr:twoCellAnchor>
  <xdr:twoCellAnchor editAs="oneCell">
    <xdr:from>
      <xdr:col>31</xdr:col>
      <xdr:colOff>104775</xdr:colOff>
      <xdr:row>310</xdr:row>
      <xdr:rowOff>19050</xdr:rowOff>
    </xdr:from>
    <xdr:to>
      <xdr:col>36</xdr:col>
      <xdr:colOff>76200</xdr:colOff>
      <xdr:row>310</xdr:row>
      <xdr:rowOff>228599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3" name="TextBox 2"/>
            <xdr:cNvSpPr txBox="1">
              <a:spLocks/>
            </xdr:cNvSpPr>
          </xdr:nvSpPr>
          <xdr:spPr>
            <a:xfrm>
              <a:off x="4857750" y="73999725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43" name="TextBox 2"/>
            <xdr:cNvSpPr txBox="1">
              <a:spLocks/>
            </xdr:cNvSpPr>
          </xdr:nvSpPr>
          <xdr:spPr>
            <a:xfrm>
              <a:off x="4857750" y="73999725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)^4</a:t>
              </a:r>
              <a:endParaRPr lang="ko-KR" altLang="en-US" sz="1100"/>
            </a:p>
          </xdr:txBody>
        </xdr:sp>
      </mc:Fallback>
    </mc:AlternateContent>
    <xdr:clientData/>
  </xdr:twoCellAnchor>
  <xdr:twoCellAnchor editAs="oneCell">
    <xdr:from>
      <xdr:col>36</xdr:col>
      <xdr:colOff>95250</xdr:colOff>
      <xdr:row>310</xdr:row>
      <xdr:rowOff>19050</xdr:rowOff>
    </xdr:from>
    <xdr:to>
      <xdr:col>41</xdr:col>
      <xdr:colOff>66675</xdr:colOff>
      <xdr:row>310</xdr:row>
      <xdr:rowOff>228599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4" name="TextBox 2"/>
            <xdr:cNvSpPr txBox="1">
              <a:spLocks/>
            </xdr:cNvSpPr>
          </xdr:nvSpPr>
          <xdr:spPr>
            <a:xfrm>
              <a:off x="5610225" y="73999725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44" name="TextBox 2"/>
            <xdr:cNvSpPr txBox="1">
              <a:spLocks/>
            </xdr:cNvSpPr>
          </xdr:nvSpPr>
          <xdr:spPr>
            <a:xfrm>
              <a:off x="5610225" y="73999725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)^4</a:t>
              </a:r>
              <a:endParaRPr lang="ko-KR" altLang="en-US" sz="1100"/>
            </a:p>
          </xdr:txBody>
        </xdr:sp>
      </mc:Fallback>
    </mc:AlternateContent>
    <xdr:clientData/>
  </xdr:twoCellAnchor>
  <xdr:twoCellAnchor editAs="oneCell">
    <xdr:from>
      <xdr:col>37</xdr:col>
      <xdr:colOff>85725</xdr:colOff>
      <xdr:row>312</xdr:row>
      <xdr:rowOff>19050</xdr:rowOff>
    </xdr:from>
    <xdr:to>
      <xdr:col>42</xdr:col>
      <xdr:colOff>57150</xdr:colOff>
      <xdr:row>312</xdr:row>
      <xdr:rowOff>228599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5" name="TextBox 2"/>
            <xdr:cNvSpPr txBox="1">
              <a:spLocks/>
            </xdr:cNvSpPr>
          </xdr:nvSpPr>
          <xdr:spPr>
            <a:xfrm>
              <a:off x="5753100" y="74475975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45" name="TextBox 2"/>
            <xdr:cNvSpPr txBox="1">
              <a:spLocks/>
            </xdr:cNvSpPr>
          </xdr:nvSpPr>
          <xdr:spPr>
            <a:xfrm>
              <a:off x="5753100" y="74475975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)^4</a:t>
              </a:r>
              <a:endParaRPr lang="ko-KR" altLang="en-US" sz="1100"/>
            </a:p>
          </xdr:txBody>
        </xdr:sp>
      </mc:Fallback>
    </mc:AlternateContent>
    <xdr:clientData/>
  </xdr:twoCellAnchor>
  <xdr:twoCellAnchor editAs="oneCell">
    <xdr:from>
      <xdr:col>32</xdr:col>
      <xdr:colOff>95250</xdr:colOff>
      <xdr:row>312</xdr:row>
      <xdr:rowOff>19050</xdr:rowOff>
    </xdr:from>
    <xdr:to>
      <xdr:col>37</xdr:col>
      <xdr:colOff>66675</xdr:colOff>
      <xdr:row>312</xdr:row>
      <xdr:rowOff>228599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6" name="TextBox 2"/>
            <xdr:cNvSpPr txBox="1">
              <a:spLocks/>
            </xdr:cNvSpPr>
          </xdr:nvSpPr>
          <xdr:spPr>
            <a:xfrm>
              <a:off x="5000625" y="74475975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46" name="TextBox 2"/>
            <xdr:cNvSpPr txBox="1">
              <a:spLocks/>
            </xdr:cNvSpPr>
          </xdr:nvSpPr>
          <xdr:spPr>
            <a:xfrm>
              <a:off x="5000625" y="74475975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)^4</a:t>
              </a:r>
              <a:endParaRPr lang="ko-KR" altLang="en-US" sz="1100"/>
            </a:p>
          </xdr:txBody>
        </xdr:sp>
      </mc:Fallback>
    </mc:AlternateContent>
    <xdr:clientData/>
  </xdr:twoCellAnchor>
  <xdr:oneCellAnchor>
    <xdr:from>
      <xdr:col>1</xdr:col>
      <xdr:colOff>47625</xdr:colOff>
      <xdr:row>309</xdr:row>
      <xdr:rowOff>52101</xdr:rowOff>
    </xdr:from>
    <xdr:ext cx="1476375" cy="72894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7" name="TextBox 46"/>
            <xdr:cNvSpPr txBox="1"/>
          </xdr:nvSpPr>
          <xdr:spPr>
            <a:xfrm>
              <a:off x="200025" y="73794651"/>
              <a:ext cx="1476375" cy="7289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n-US" altLang="ko-KR" sz="1100" i="1">
                            <a:latin typeface="Cambria Math" panose="02040503050406030204" pitchFamily="18" charset="0"/>
                          </a:rPr>
                          <m:t>ν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𝑒𝑓𝑓</m:t>
                        </m:r>
                      </m:sub>
                    </m:sSub>
                    <m:r>
                      <a:rPr lang="en-US" altLang="ko-KR" sz="110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Sup>
                          <m:sSubSup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𝑐</m:t>
                            </m:r>
                          </m:sub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4</m:t>
                            </m:r>
                          </m:sup>
                        </m:sSub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𝑦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)</m:t>
                        </m:r>
                      </m:num>
                      <m:den>
                        <m:nary>
                          <m:naryPr>
                            <m:chr m:val="∑"/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  <m: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  <m:sup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𝑁</m:t>
                            </m:r>
                          </m:sup>
                          <m:e>
                            <m:f>
                              <m:f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sSup>
                                  <m:sSup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d>
                                      <m:dPr>
                                        <m:begChr m:val="["/>
                                        <m:endChr m:val="]"/>
                                        <m:ctrlPr>
                                          <a:rPr lang="en-US" altLang="ko-K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dPr>
                                      <m:e>
                                        <m:sSub>
                                          <m:sSubPr>
                                            <m:ctrlP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𝑐</m:t>
                                            </m:r>
                                          </m:e>
                                          <m:sub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𝑖</m:t>
                                            </m:r>
                                          </m:sub>
                                        </m:sSub>
                                        <m:sSub>
                                          <m:sSubPr>
                                            <m:ctrlP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𝑢</m:t>
                                            </m:r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(</m:t>
                                            </m:r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𝑥</m:t>
                                            </m:r>
                                          </m:e>
                                          <m:sub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𝑖</m:t>
                                            </m:r>
                                          </m:sub>
                                        </m:sSub>
                                        <m:r>
                                          <a:rPr lang="en-US" altLang="ko-K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)</m:t>
                                        </m:r>
                                      </m:e>
                                    </m:d>
                                  </m:e>
                                  <m:sup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4</m:t>
                                    </m:r>
                                  </m:sup>
                                </m:sSup>
                              </m:num>
                              <m:den>
                                <m:sSub>
                                  <m:sSub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m:rPr>
                                        <m:sty m:val="p"/>
                                      </m:r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ν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sub>
                                </m:sSub>
                              </m:den>
                            </m:f>
                          </m:e>
                        </m:nary>
                      </m:den>
                    </m:f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47" name="TextBox 46"/>
            <xdr:cNvSpPr txBox="1"/>
          </xdr:nvSpPr>
          <xdr:spPr>
            <a:xfrm>
              <a:off x="200025" y="73794651"/>
              <a:ext cx="1476375" cy="7289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i="0">
                  <a:latin typeface="Cambria Math" panose="02040503050406030204" pitchFamily="18" charset="0"/>
                </a:rPr>
                <a:t>ν_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𝑒𝑓𝑓</a:t>
              </a:r>
              <a:r>
                <a:rPr lang="en-US" altLang="ko-KR" sz="1100" i="0">
                  <a:latin typeface="Cambria Math" panose="02040503050406030204" pitchFamily="18" charset="0"/>
                </a:rPr>
                <a:t>=(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𝑢_𝑐^4 (𝑦))/(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∑_(𝑖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1)^𝑁▒[𝑐_𝑖 〖𝑢(𝑥〗_𝑖)]^4/ν_𝑖 )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7</xdr:col>
      <xdr:colOff>9525</xdr:colOff>
      <xdr:row>157</xdr:row>
      <xdr:rowOff>9524</xdr:rowOff>
    </xdr:from>
    <xdr:ext cx="2266950" cy="40957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8" name="TextBox 5"/>
            <xdr:cNvSpPr txBox="1"/>
          </xdr:nvSpPr>
          <xdr:spPr>
            <a:xfrm>
              <a:off x="1104900" y="37557074"/>
              <a:ext cx="2266950" cy="4095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𝜈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∆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altLang="ko-KR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altLang="ko-KR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𝑅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fPr>
                      <m:num>
                        <m: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20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=12</m:t>
                    </m:r>
                  </m:oMath>
                </m:oMathPara>
              </a14:m>
              <a:endParaRPr lang="ko-KR" altLang="en-US" sz="1100">
                <a:latin typeface="Cambria Math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48" name="TextBox 5"/>
            <xdr:cNvSpPr txBox="1"/>
          </xdr:nvSpPr>
          <xdr:spPr>
            <a:xfrm>
              <a:off x="1104900" y="37557074"/>
              <a:ext cx="2266950" cy="4095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𝜈(∆𝑡)=</a:t>
              </a:r>
              <a:r>
                <a:rPr lang="en-US" altLang="ko-K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1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/</a:t>
              </a:r>
              <a:r>
                <a:rPr lang="en-US" altLang="ko-K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2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</a:t>
              </a:r>
              <a:r>
                <a:rPr lang="en-US" altLang="ko-K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(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100/𝑅)^2=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1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/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2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100/20)^2=12</a:t>
              </a:r>
              <a:endParaRPr lang="ko-KR" altLang="en-US" sz="1100">
                <a:latin typeface="Cambria Math" panose="02040503050406030204" pitchFamily="18" charset="0"/>
              </a:endParaRPr>
            </a:p>
          </xdr:txBody>
        </xdr:sp>
      </mc:Fallback>
    </mc:AlternateContent>
    <xdr:clientData/>
  </xdr:oneCellAnchor>
  <xdr:oneCellAnchor>
    <xdr:from>
      <xdr:col>8</xdr:col>
      <xdr:colOff>9525</xdr:colOff>
      <xdr:row>203</xdr:row>
      <xdr:rowOff>9525</xdr:rowOff>
    </xdr:from>
    <xdr:ext cx="2133601" cy="5048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9" name="TextBox 5"/>
            <xdr:cNvSpPr txBox="1"/>
          </xdr:nvSpPr>
          <xdr:spPr>
            <a:xfrm>
              <a:off x="1257300" y="48510825"/>
              <a:ext cx="2133601" cy="5048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altLang="ko-KR" sz="1100" b="0" i="1">
                        <a:latin typeface="Cambria Math" panose="02040503050406030204" pitchFamily="18" charset="0"/>
                      </a:rPr>
                      <m:t>ν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𝑡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𝑑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altLang="ko-KR" sz="110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altLang="ko-KR" sz="110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𝑅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lang="ko-KR" alt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∞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49" name="TextBox 5"/>
            <xdr:cNvSpPr txBox="1"/>
          </xdr:nvSpPr>
          <xdr:spPr>
            <a:xfrm>
              <a:off x="1257300" y="48510825"/>
              <a:ext cx="2133601" cy="5048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ν(𝑡_𝑑 )=</a:t>
              </a:r>
              <a:r>
                <a:rPr lang="en-US" altLang="ko-KR" sz="1100" i="0">
                  <a:latin typeface="Cambria Math" panose="02040503050406030204" pitchFamily="18" charset="0"/>
                </a:rPr>
                <a:t>1/2 (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100/𝑅)^2=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1/2 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100/0)^2=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∞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15</xdr:col>
      <xdr:colOff>19049</xdr:colOff>
      <xdr:row>258</xdr:row>
      <xdr:rowOff>28576</xdr:rowOff>
    </xdr:from>
    <xdr:ext cx="333375" cy="1957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0" name="TextBox 5"/>
            <xdr:cNvSpPr txBox="1"/>
          </xdr:nvSpPr>
          <xdr:spPr>
            <a:xfrm>
              <a:off x="2333624" y="61626751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5</m:t>
                    </m:r>
                    <m:rad>
                      <m:radPr>
                        <m:degHide m:val="on"/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3</m:t>
                        </m:r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50" name="TextBox 5"/>
            <xdr:cNvSpPr txBox="1"/>
          </xdr:nvSpPr>
          <xdr:spPr>
            <a:xfrm>
              <a:off x="2333624" y="61626751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5√3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14</xdr:col>
      <xdr:colOff>28575</xdr:colOff>
      <xdr:row>80</xdr:row>
      <xdr:rowOff>228600</xdr:rowOff>
    </xdr:from>
    <xdr:ext cx="1663084" cy="2081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1" name="TextBox 4"/>
            <xdr:cNvSpPr txBox="1"/>
          </xdr:nvSpPr>
          <xdr:spPr>
            <a:xfrm>
              <a:off x="2190750" y="19440525"/>
              <a:ext cx="1663084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</m:t>
                            </m:r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 + </m:t>
                        </m:r>
                        <m:sSup>
                          <m:s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               </m:t>
                                </m:r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×</m:t>
                                </m:r>
                                <m:sSub>
                                  <m:sSubPr>
                                    <m:ctrlP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𝑙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0</m:t>
                                    </m:r>
                                  </m:sub>
                                </m:sSub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51" name="TextBox 4"/>
            <xdr:cNvSpPr txBox="1"/>
          </xdr:nvSpPr>
          <xdr:spPr>
            <a:xfrm>
              <a:off x="2190750" y="19440525"/>
              <a:ext cx="1663084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i="0">
                  <a:latin typeface="Cambria Math" panose="02040503050406030204" pitchFamily="18" charset="0"/>
                </a:rPr>
                <a:t>√(〖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           〗^2  + (               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×𝑙_0 )^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2 )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41</xdr:col>
      <xdr:colOff>28575</xdr:colOff>
      <xdr:row>80</xdr:row>
      <xdr:rowOff>228600</xdr:rowOff>
    </xdr:from>
    <xdr:ext cx="1619250" cy="2081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2" name="TextBox 4"/>
            <xdr:cNvSpPr txBox="1"/>
          </xdr:nvSpPr>
          <xdr:spPr>
            <a:xfrm>
              <a:off x="6305550" y="19440525"/>
              <a:ext cx="1619250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</m:t>
                            </m:r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 + </m:t>
                        </m:r>
                        <m:sSup>
                          <m:s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               </m:t>
                                </m:r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×</m:t>
                                </m:r>
                                <m:sSub>
                                  <m:sSubPr>
                                    <m:ctrlP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𝑙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0</m:t>
                                    </m:r>
                                  </m:sub>
                                </m:sSub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52" name="TextBox 4"/>
            <xdr:cNvSpPr txBox="1"/>
          </xdr:nvSpPr>
          <xdr:spPr>
            <a:xfrm>
              <a:off x="6305550" y="19440525"/>
              <a:ext cx="1619250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i="0">
                  <a:latin typeface="Cambria Math" panose="02040503050406030204" pitchFamily="18" charset="0"/>
                </a:rPr>
                <a:t>√(〖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           〗^2  + (               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×𝑙_0 )^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2 )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8</xdr:col>
      <xdr:colOff>28575</xdr:colOff>
      <xdr:row>106</xdr:row>
      <xdr:rowOff>57150</xdr:rowOff>
    </xdr:from>
    <xdr:ext cx="706026" cy="35048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3" name="TextBox 4"/>
            <xdr:cNvSpPr txBox="1"/>
          </xdr:nvSpPr>
          <xdr:spPr>
            <a:xfrm>
              <a:off x="1276350" y="25460325"/>
              <a:ext cx="706026" cy="3504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ko-KR" altLang="en-US" sz="1100" i="1">
                            <a:latin typeface="Cambria Math" panose="02040503050406030204" pitchFamily="18" charset="0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en-US" sz="1100" i="1">
                            <a:latin typeface="Cambria Math" panose="02040503050406030204" pitchFamily="18" charset="0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53" name="TextBox 4"/>
            <xdr:cNvSpPr txBox="1"/>
          </xdr:nvSpPr>
          <xdr:spPr>
            <a:xfrm>
              <a:off x="1276350" y="25460325"/>
              <a:ext cx="706026" cy="3504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𝑐_(𝑙_𝑠 )=</a:t>
              </a:r>
              <a:r>
                <a:rPr lang="en-US" altLang="ko-KR" sz="1100" i="0">
                  <a:latin typeface="Cambria Math" panose="02040503050406030204" pitchFamily="18" charset="0"/>
                </a:rPr>
                <a:t>(</a:t>
              </a:r>
              <a:r>
                <a:rPr lang="ko-KR" altLang="en-US" sz="1100" i="0">
                  <a:latin typeface="Cambria Math" panose="02040503050406030204" pitchFamily="18" charset="0"/>
                </a:rPr>
                <a:t>𝜕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𝑙_𝑥)/(</a:t>
              </a:r>
              <a:r>
                <a:rPr lang="ko-KR" altLang="en-US" sz="1100" i="0">
                  <a:latin typeface="Cambria Math" panose="02040503050406030204" pitchFamily="18" charset="0"/>
                </a:rPr>
                <a:t>𝜕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𝑙_𝑠 )=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23</xdr:col>
      <xdr:colOff>66675</xdr:colOff>
      <xdr:row>101</xdr:row>
      <xdr:rowOff>0</xdr:rowOff>
    </xdr:from>
    <xdr:ext cx="1445845" cy="2081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4" name="TextBox 4"/>
            <xdr:cNvSpPr txBox="1"/>
          </xdr:nvSpPr>
          <xdr:spPr>
            <a:xfrm>
              <a:off x="3600450" y="24212550"/>
              <a:ext cx="1445845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</m:t>
                            </m:r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p>
                          <m:s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             </m:t>
                                </m:r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×</m:t>
                                </m:r>
                                <m:sSub>
                                  <m:sSubPr>
                                    <m:ctrlP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𝑙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0</m:t>
                                    </m:r>
                                  </m:sub>
                                </m:sSub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54" name="TextBox 4"/>
            <xdr:cNvSpPr txBox="1"/>
          </xdr:nvSpPr>
          <xdr:spPr>
            <a:xfrm>
              <a:off x="3600450" y="24212550"/>
              <a:ext cx="1445845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i="0">
                  <a:latin typeface="Cambria Math" panose="02040503050406030204" pitchFamily="18" charset="0"/>
                </a:rPr>
                <a:t>√(〖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         〗^2+(             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×𝑙_0 )^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2 )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14</xdr:col>
      <xdr:colOff>76200</xdr:colOff>
      <xdr:row>102</xdr:row>
      <xdr:rowOff>228600</xdr:rowOff>
    </xdr:from>
    <xdr:ext cx="1445845" cy="2081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5" name="TextBox 4"/>
            <xdr:cNvSpPr txBox="1"/>
          </xdr:nvSpPr>
          <xdr:spPr>
            <a:xfrm>
              <a:off x="2238375" y="24679275"/>
              <a:ext cx="1445845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</m:t>
                            </m:r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p>
                          <m:s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             </m:t>
                                </m:r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×</m:t>
                                </m:r>
                                <m:sSub>
                                  <m:sSubPr>
                                    <m:ctrlP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𝑙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0</m:t>
                                    </m:r>
                                  </m:sub>
                                </m:sSub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55" name="TextBox 4"/>
            <xdr:cNvSpPr txBox="1"/>
          </xdr:nvSpPr>
          <xdr:spPr>
            <a:xfrm>
              <a:off x="2238375" y="24679275"/>
              <a:ext cx="1445845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i="0">
                  <a:latin typeface="Cambria Math" panose="02040503050406030204" pitchFamily="18" charset="0"/>
                </a:rPr>
                <a:t>√(〖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         〗^2+(             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×𝑙_0 )^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2 )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27</xdr:col>
      <xdr:colOff>57150</xdr:colOff>
      <xdr:row>103</xdr:row>
      <xdr:rowOff>104775</xdr:rowOff>
    </xdr:from>
    <xdr:ext cx="1694118" cy="2081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6" name="TextBox 4"/>
            <xdr:cNvSpPr txBox="1"/>
          </xdr:nvSpPr>
          <xdr:spPr>
            <a:xfrm>
              <a:off x="4200525" y="24793575"/>
              <a:ext cx="1694118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</m:t>
                            </m:r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p>
                          <m:s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                 </m:t>
                                </m:r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×</m:t>
                                </m:r>
                                <m:sSub>
                                  <m:sSubPr>
                                    <m:ctrlP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𝑙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0</m:t>
                                    </m:r>
                                  </m:sub>
                                </m:sSub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56" name="TextBox 4"/>
            <xdr:cNvSpPr txBox="1"/>
          </xdr:nvSpPr>
          <xdr:spPr>
            <a:xfrm>
              <a:off x="4200525" y="24793575"/>
              <a:ext cx="1694118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i="0">
                  <a:latin typeface="Cambria Math" panose="02040503050406030204" pitchFamily="18" charset="0"/>
                </a:rPr>
                <a:t>√(〖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              〗^2+(                 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×𝑙_0 )^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2 )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14</xdr:col>
      <xdr:colOff>28575</xdr:colOff>
      <xdr:row>107</xdr:row>
      <xdr:rowOff>228600</xdr:rowOff>
    </xdr:from>
    <xdr:ext cx="1663084" cy="2081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7" name="TextBox 4"/>
            <xdr:cNvSpPr txBox="1"/>
          </xdr:nvSpPr>
          <xdr:spPr>
            <a:xfrm>
              <a:off x="2190750" y="25869900"/>
              <a:ext cx="1663084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</m:t>
                            </m:r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 + </m:t>
                        </m:r>
                        <m:sSup>
                          <m:s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                </m:t>
                                </m:r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×</m:t>
                                </m:r>
                                <m:sSub>
                                  <m:sSubPr>
                                    <m:ctrlP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𝑙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0</m:t>
                                    </m:r>
                                  </m:sub>
                                </m:sSub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57" name="TextBox 4"/>
            <xdr:cNvSpPr txBox="1"/>
          </xdr:nvSpPr>
          <xdr:spPr>
            <a:xfrm>
              <a:off x="2190750" y="25869900"/>
              <a:ext cx="1663084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i="0">
                  <a:latin typeface="Cambria Math" panose="02040503050406030204" pitchFamily="18" charset="0"/>
                </a:rPr>
                <a:t>√(〖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           〗^2  + (                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×𝑙_0 )^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2 )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29</xdr:col>
      <xdr:colOff>28575</xdr:colOff>
      <xdr:row>107</xdr:row>
      <xdr:rowOff>228600</xdr:rowOff>
    </xdr:from>
    <xdr:ext cx="1632050" cy="2081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8" name="TextBox 4"/>
            <xdr:cNvSpPr txBox="1"/>
          </xdr:nvSpPr>
          <xdr:spPr>
            <a:xfrm>
              <a:off x="4476750" y="25869900"/>
              <a:ext cx="1632050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</m:t>
                            </m:r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 + </m:t>
                        </m:r>
                        <m:sSup>
                          <m:s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                </m:t>
                                </m:r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×</m:t>
                                </m:r>
                                <m:sSub>
                                  <m:sSubPr>
                                    <m:ctrlP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𝑙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0</m:t>
                                    </m:r>
                                  </m:sub>
                                </m:sSub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58" name="TextBox 4"/>
            <xdr:cNvSpPr txBox="1"/>
          </xdr:nvSpPr>
          <xdr:spPr>
            <a:xfrm>
              <a:off x="4476750" y="25869900"/>
              <a:ext cx="1632050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i="0">
                  <a:latin typeface="Cambria Math" panose="02040503050406030204" pitchFamily="18" charset="0"/>
                </a:rPr>
                <a:t>√(〖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           〗^2  + (                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×𝑙_0 )^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2 )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4</xdr:col>
      <xdr:colOff>142875</xdr:colOff>
      <xdr:row>301</xdr:row>
      <xdr:rowOff>38101</xdr:rowOff>
    </xdr:from>
    <xdr:ext cx="876300" cy="1991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9" name="TextBox 2"/>
            <xdr:cNvSpPr txBox="1">
              <a:spLocks/>
            </xdr:cNvSpPr>
          </xdr:nvSpPr>
          <xdr:spPr>
            <a:xfrm>
              <a:off x="781050" y="71875651"/>
              <a:ext cx="876300" cy="1991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59" name="TextBox 2"/>
            <xdr:cNvSpPr txBox="1">
              <a:spLocks/>
            </xdr:cNvSpPr>
          </xdr:nvSpPr>
          <xdr:spPr>
            <a:xfrm>
              <a:off x="781050" y="71875651"/>
              <a:ext cx="876300" cy="1991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11</xdr:col>
      <xdr:colOff>114298</xdr:colOff>
      <xdr:row>301</xdr:row>
      <xdr:rowOff>38101</xdr:rowOff>
    </xdr:from>
    <xdr:ext cx="1257301" cy="1904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0" name="TextBox 2"/>
            <xdr:cNvSpPr txBox="1">
              <a:spLocks/>
            </xdr:cNvSpPr>
          </xdr:nvSpPr>
          <xdr:spPr>
            <a:xfrm>
              <a:off x="1819273" y="71875651"/>
              <a:ext cx="1257301" cy="1904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60" name="TextBox 2"/>
            <xdr:cNvSpPr txBox="1">
              <a:spLocks/>
            </xdr:cNvSpPr>
          </xdr:nvSpPr>
          <xdr:spPr>
            <a:xfrm>
              <a:off x="1819273" y="71875651"/>
              <a:ext cx="1257301" cy="1904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21</xdr:col>
      <xdr:colOff>142875</xdr:colOff>
      <xdr:row>301</xdr:row>
      <xdr:rowOff>38101</xdr:rowOff>
    </xdr:from>
    <xdr:ext cx="876300" cy="1991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1" name="TextBox 2"/>
            <xdr:cNvSpPr txBox="1">
              <a:spLocks/>
            </xdr:cNvSpPr>
          </xdr:nvSpPr>
          <xdr:spPr>
            <a:xfrm>
              <a:off x="3371850" y="71875651"/>
              <a:ext cx="876300" cy="1991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61" name="TextBox 2"/>
            <xdr:cNvSpPr txBox="1">
              <a:spLocks/>
            </xdr:cNvSpPr>
          </xdr:nvSpPr>
          <xdr:spPr>
            <a:xfrm>
              <a:off x="3371850" y="71875651"/>
              <a:ext cx="876300" cy="1991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28</xdr:col>
      <xdr:colOff>142874</xdr:colOff>
      <xdr:row>301</xdr:row>
      <xdr:rowOff>38100</xdr:rowOff>
    </xdr:from>
    <xdr:ext cx="1228726" cy="2000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2" name="TextBox 2"/>
            <xdr:cNvSpPr txBox="1">
              <a:spLocks/>
            </xdr:cNvSpPr>
          </xdr:nvSpPr>
          <xdr:spPr>
            <a:xfrm>
              <a:off x="4438649" y="71875650"/>
              <a:ext cx="1228726" cy="2000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62" name="TextBox 2"/>
            <xdr:cNvSpPr txBox="1">
              <a:spLocks/>
            </xdr:cNvSpPr>
          </xdr:nvSpPr>
          <xdr:spPr>
            <a:xfrm>
              <a:off x="4438649" y="71875650"/>
              <a:ext cx="1228726" cy="2000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38</xdr:col>
      <xdr:colOff>142874</xdr:colOff>
      <xdr:row>301</xdr:row>
      <xdr:rowOff>38100</xdr:rowOff>
    </xdr:from>
    <xdr:ext cx="1228726" cy="2000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3" name="TextBox 2"/>
            <xdr:cNvSpPr txBox="1">
              <a:spLocks/>
            </xdr:cNvSpPr>
          </xdr:nvSpPr>
          <xdr:spPr>
            <a:xfrm>
              <a:off x="5962649" y="71875650"/>
              <a:ext cx="1228726" cy="2000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63" name="TextBox 2"/>
            <xdr:cNvSpPr txBox="1">
              <a:spLocks/>
            </xdr:cNvSpPr>
          </xdr:nvSpPr>
          <xdr:spPr>
            <a:xfrm>
              <a:off x="5962649" y="71875650"/>
              <a:ext cx="1228726" cy="2000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6</xdr:col>
      <xdr:colOff>142874</xdr:colOff>
      <xdr:row>302</xdr:row>
      <xdr:rowOff>38100</xdr:rowOff>
    </xdr:from>
    <xdr:ext cx="1228726" cy="2000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4" name="TextBox 2"/>
            <xdr:cNvSpPr txBox="1">
              <a:spLocks/>
            </xdr:cNvSpPr>
          </xdr:nvSpPr>
          <xdr:spPr>
            <a:xfrm>
              <a:off x="1085849" y="72113775"/>
              <a:ext cx="1228726" cy="2000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64" name="TextBox 2"/>
            <xdr:cNvSpPr txBox="1">
              <a:spLocks/>
            </xdr:cNvSpPr>
          </xdr:nvSpPr>
          <xdr:spPr>
            <a:xfrm>
              <a:off x="1085849" y="72113775"/>
              <a:ext cx="1228726" cy="2000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16</xdr:col>
      <xdr:colOff>142874</xdr:colOff>
      <xdr:row>302</xdr:row>
      <xdr:rowOff>38100</xdr:rowOff>
    </xdr:from>
    <xdr:ext cx="1228726" cy="2000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5" name="TextBox 2"/>
            <xdr:cNvSpPr txBox="1">
              <a:spLocks/>
            </xdr:cNvSpPr>
          </xdr:nvSpPr>
          <xdr:spPr>
            <a:xfrm>
              <a:off x="2609849" y="72113775"/>
              <a:ext cx="1228726" cy="2000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65" name="TextBox 2"/>
            <xdr:cNvSpPr txBox="1">
              <a:spLocks/>
            </xdr:cNvSpPr>
          </xdr:nvSpPr>
          <xdr:spPr>
            <a:xfrm>
              <a:off x="2609849" y="72113775"/>
              <a:ext cx="1228726" cy="2000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4</xdr:col>
      <xdr:colOff>142875</xdr:colOff>
      <xdr:row>304</xdr:row>
      <xdr:rowOff>38101</xdr:rowOff>
    </xdr:from>
    <xdr:ext cx="876300" cy="1991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6" name="TextBox 2"/>
            <xdr:cNvSpPr txBox="1">
              <a:spLocks/>
            </xdr:cNvSpPr>
          </xdr:nvSpPr>
          <xdr:spPr>
            <a:xfrm>
              <a:off x="781050" y="72590026"/>
              <a:ext cx="876300" cy="1991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66" name="TextBox 2"/>
            <xdr:cNvSpPr txBox="1">
              <a:spLocks/>
            </xdr:cNvSpPr>
          </xdr:nvSpPr>
          <xdr:spPr>
            <a:xfrm>
              <a:off x="781050" y="72590026"/>
              <a:ext cx="876300" cy="1991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11</xdr:col>
      <xdr:colOff>114299</xdr:colOff>
      <xdr:row>304</xdr:row>
      <xdr:rowOff>38101</xdr:rowOff>
    </xdr:from>
    <xdr:ext cx="1152526" cy="20002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7" name="TextBox 2"/>
            <xdr:cNvSpPr txBox="1">
              <a:spLocks/>
            </xdr:cNvSpPr>
          </xdr:nvSpPr>
          <xdr:spPr>
            <a:xfrm>
              <a:off x="1819274" y="72590026"/>
              <a:ext cx="1152526" cy="200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67" name="TextBox 2"/>
            <xdr:cNvSpPr txBox="1">
              <a:spLocks/>
            </xdr:cNvSpPr>
          </xdr:nvSpPr>
          <xdr:spPr>
            <a:xfrm>
              <a:off x="1819274" y="72590026"/>
              <a:ext cx="1152526" cy="200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5</xdr:col>
      <xdr:colOff>28575</xdr:colOff>
      <xdr:row>305</xdr:row>
      <xdr:rowOff>228600</xdr:rowOff>
    </xdr:from>
    <xdr:ext cx="1663084" cy="2081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8" name="TextBox 4"/>
            <xdr:cNvSpPr txBox="1"/>
          </xdr:nvSpPr>
          <xdr:spPr>
            <a:xfrm>
              <a:off x="819150" y="73018650"/>
              <a:ext cx="1663084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</m:t>
                            </m:r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 + </m:t>
                        </m:r>
                        <m:sSup>
                          <m:s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               </m:t>
                                </m:r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×</m:t>
                                </m:r>
                                <m:sSub>
                                  <m:sSubPr>
                                    <m:ctrlP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𝑙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0</m:t>
                                    </m:r>
                                  </m:sub>
                                </m:sSub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68" name="TextBox 4"/>
            <xdr:cNvSpPr txBox="1"/>
          </xdr:nvSpPr>
          <xdr:spPr>
            <a:xfrm>
              <a:off x="819150" y="73018650"/>
              <a:ext cx="1663084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i="0">
                  <a:latin typeface="Cambria Math" panose="02040503050406030204" pitchFamily="18" charset="0"/>
                </a:rPr>
                <a:t>√(〖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           〗^2  + (               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×𝑙_0 )^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2 )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12</xdr:col>
      <xdr:colOff>19050</xdr:colOff>
      <xdr:row>325</xdr:row>
      <xdr:rowOff>228600</xdr:rowOff>
    </xdr:from>
    <xdr:ext cx="1663084" cy="2081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9" name="TextBox 4"/>
            <xdr:cNvSpPr txBox="1"/>
          </xdr:nvSpPr>
          <xdr:spPr>
            <a:xfrm>
              <a:off x="1876425" y="77781150"/>
              <a:ext cx="1663084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</m:t>
                            </m:r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 + </m:t>
                        </m:r>
                        <m:sSup>
                          <m:s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               </m:t>
                                </m:r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×</m:t>
                                </m:r>
                                <m:sSub>
                                  <m:sSubPr>
                                    <m:ctrlP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𝑙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0</m:t>
                                    </m:r>
                                  </m:sub>
                                </m:sSub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69" name="TextBox 4"/>
            <xdr:cNvSpPr txBox="1"/>
          </xdr:nvSpPr>
          <xdr:spPr>
            <a:xfrm>
              <a:off x="1876425" y="77781150"/>
              <a:ext cx="1663084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i="0">
                  <a:latin typeface="Cambria Math" panose="02040503050406030204" pitchFamily="18" charset="0"/>
                </a:rPr>
                <a:t>√(〖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           〗^2  + (               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×𝑙_0 )^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2 )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26</xdr:col>
      <xdr:colOff>19050</xdr:colOff>
      <xdr:row>325</xdr:row>
      <xdr:rowOff>228600</xdr:rowOff>
    </xdr:from>
    <xdr:ext cx="1663084" cy="2081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0" name="TextBox 4"/>
            <xdr:cNvSpPr txBox="1"/>
          </xdr:nvSpPr>
          <xdr:spPr>
            <a:xfrm>
              <a:off x="4010025" y="77781150"/>
              <a:ext cx="1663084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</m:t>
                            </m:r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 + </m:t>
                        </m:r>
                        <m:sSup>
                          <m:s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               </m:t>
                                </m:r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×</m:t>
                                </m:r>
                                <m:sSub>
                                  <m:sSubPr>
                                    <m:ctrlP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𝑙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0</m:t>
                                    </m:r>
                                  </m:sub>
                                </m:sSub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70" name="TextBox 4"/>
            <xdr:cNvSpPr txBox="1"/>
          </xdr:nvSpPr>
          <xdr:spPr>
            <a:xfrm>
              <a:off x="4010025" y="77781150"/>
              <a:ext cx="1663084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i="0">
                  <a:latin typeface="Cambria Math" panose="02040503050406030204" pitchFamily="18" charset="0"/>
                </a:rPr>
                <a:t>√(〖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           〗^2  + (               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×𝑙_0 )^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2 )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40</xdr:col>
      <xdr:colOff>19050</xdr:colOff>
      <xdr:row>325</xdr:row>
      <xdr:rowOff>228600</xdr:rowOff>
    </xdr:from>
    <xdr:ext cx="1476879" cy="2081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1" name="TextBox 4"/>
            <xdr:cNvSpPr txBox="1"/>
          </xdr:nvSpPr>
          <xdr:spPr>
            <a:xfrm>
              <a:off x="6143625" y="77781150"/>
              <a:ext cx="1476879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</m:t>
                            </m:r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 + </m:t>
                        </m:r>
                        <m:sSup>
                          <m:s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               </m:t>
                                </m:r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×</m:t>
                                </m:r>
                                <m:sSub>
                                  <m:sSubPr>
                                    <m:ctrlP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𝑙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0</m:t>
                                    </m:r>
                                  </m:sub>
                                </m:sSub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71" name="TextBox 4"/>
            <xdr:cNvSpPr txBox="1"/>
          </xdr:nvSpPr>
          <xdr:spPr>
            <a:xfrm>
              <a:off x="6143625" y="77781150"/>
              <a:ext cx="1476879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i="0">
                  <a:latin typeface="Cambria Math" panose="02040503050406030204" pitchFamily="18" charset="0"/>
                </a:rPr>
                <a:t>√(〖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       〗^2  + (               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×𝑙_0 )^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2 )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41</xdr:col>
      <xdr:colOff>28575</xdr:colOff>
      <xdr:row>95</xdr:row>
      <xdr:rowOff>228600</xdr:rowOff>
    </xdr:from>
    <xdr:ext cx="1663084" cy="2081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2" name="TextBox 4"/>
            <xdr:cNvSpPr txBox="1"/>
          </xdr:nvSpPr>
          <xdr:spPr>
            <a:xfrm>
              <a:off x="6305550" y="23012400"/>
              <a:ext cx="1663084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</m:t>
                            </m:r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 + </m:t>
                        </m:r>
                        <m:sSup>
                          <m:s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               </m:t>
                                </m:r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×</m:t>
                                </m:r>
                                <m:sSub>
                                  <m:sSubPr>
                                    <m:ctrlP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𝑙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0</m:t>
                                    </m:r>
                                  </m:sub>
                                </m:sSub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72" name="TextBox 4"/>
            <xdr:cNvSpPr txBox="1"/>
          </xdr:nvSpPr>
          <xdr:spPr>
            <a:xfrm>
              <a:off x="6305550" y="23012400"/>
              <a:ext cx="1663084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i="0">
                  <a:latin typeface="Cambria Math" panose="02040503050406030204" pitchFamily="18" charset="0"/>
                </a:rPr>
                <a:t>√(〖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           〗^2  + (               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×𝑙_0 )^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2 )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4</xdr:col>
      <xdr:colOff>9525</xdr:colOff>
      <xdr:row>183</xdr:row>
      <xdr:rowOff>38100</xdr:rowOff>
    </xdr:from>
    <xdr:ext cx="2264466" cy="17966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3" name="TextBox 72"/>
            <xdr:cNvSpPr txBox="1"/>
          </xdr:nvSpPr>
          <xdr:spPr>
            <a:xfrm>
              <a:off x="647700" y="43776900"/>
              <a:ext cx="2264466" cy="1796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𝑑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𝛿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𝑑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𝛿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∆</m:t>
                            </m:r>
                          </m:sub>
                        </m:sSub>
                      </m:e>
                    </m: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73" name="TextBox 72"/>
            <xdr:cNvSpPr txBox="1"/>
          </xdr:nvSpPr>
          <xdr:spPr>
            <a:xfrm>
              <a:off x="647700" y="43776900"/>
              <a:ext cx="2264466" cy="1796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𝑢^2 (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𝑡)=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𝑢^2 (𝑡_𝑑 )+𝑢^2 (〖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𝑡〗_𝑑 )+𝑢^2 (〖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𝑡〗_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∆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8</xdr:col>
      <xdr:colOff>114300</xdr:colOff>
      <xdr:row>187</xdr:row>
      <xdr:rowOff>57150</xdr:rowOff>
    </xdr:from>
    <xdr:ext cx="1425070" cy="32188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4" name="TextBox 73"/>
            <xdr:cNvSpPr txBox="1"/>
          </xdr:nvSpPr>
          <xdr:spPr>
            <a:xfrm>
              <a:off x="1362075" y="44748450"/>
              <a:ext cx="1425070" cy="3218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ko-KR" alt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=−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∆</m:t>
                    </m:r>
                    <m:r>
                      <a:rPr lang="ko-KR" alt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𝛼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74" name="TextBox 73"/>
            <xdr:cNvSpPr txBox="1"/>
          </xdr:nvSpPr>
          <xdr:spPr>
            <a:xfrm>
              <a:off x="1362075" y="44748450"/>
              <a:ext cx="1425070" cy="3218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𝑐_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𝑙_𝑥)/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ko-KR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𝑡=−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∆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∙𝑙_0=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13</xdr:col>
      <xdr:colOff>47625</xdr:colOff>
      <xdr:row>185</xdr:row>
      <xdr:rowOff>0</xdr:rowOff>
    </xdr:from>
    <xdr:ext cx="2287614" cy="21249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5" name="TextBox 74"/>
            <xdr:cNvSpPr txBox="1"/>
          </xdr:nvSpPr>
          <xdr:spPr>
            <a:xfrm>
              <a:off x="2057400" y="44215050"/>
              <a:ext cx="2287614" cy="2124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             </m:t>
                                </m:r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p>
                          <m:sSup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              </m:t>
                                </m:r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p>
                          <m:sSup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              </m:t>
                                </m:r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75" name="TextBox 74"/>
            <xdr:cNvSpPr txBox="1"/>
          </xdr:nvSpPr>
          <xdr:spPr>
            <a:xfrm>
              <a:off x="2057400" y="44215050"/>
              <a:ext cx="2287614" cy="2124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√((             )^2+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             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)^2+(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             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)^2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7</xdr:col>
      <xdr:colOff>9525</xdr:colOff>
      <xdr:row>190</xdr:row>
      <xdr:rowOff>47625</xdr:rowOff>
    </xdr:from>
    <xdr:ext cx="1476375" cy="72894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6" name="TextBox 75"/>
            <xdr:cNvSpPr txBox="1"/>
          </xdr:nvSpPr>
          <xdr:spPr>
            <a:xfrm>
              <a:off x="1104900" y="45453300"/>
              <a:ext cx="1476375" cy="7289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n-US" altLang="ko-KR" sz="1100" i="1">
                            <a:latin typeface="Cambria Math" panose="02040503050406030204" pitchFamily="18" charset="0"/>
                          </a:rPr>
                          <m:t>ν</m:t>
                        </m:r>
                      </m:e>
                      <m:sub>
                        <m:r>
                          <a:rPr lang="ko-KR" altLang="en-US" sz="1100" i="1">
                            <a:latin typeface="Cambria Math" panose="02040503050406030204" pitchFamily="18" charset="0"/>
                          </a:rPr>
                          <m:t>𝛿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sub>
                    </m:sSub>
                    <m:r>
                      <a:rPr lang="en-US" altLang="ko-KR" sz="110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Sup>
                          <m:sSubSup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𝑐</m:t>
                            </m:r>
                          </m:sub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4</m:t>
                            </m:r>
                          </m:sup>
                        </m:sSub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𝑦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)</m:t>
                        </m:r>
                      </m:num>
                      <m:den>
                        <m:nary>
                          <m:naryPr>
                            <m:chr m:val="∑"/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  <m: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  <m:sup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𝑁</m:t>
                            </m:r>
                          </m:sup>
                          <m:e>
                            <m:f>
                              <m:f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sSup>
                                  <m:sSup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d>
                                      <m:dPr>
                                        <m:begChr m:val="["/>
                                        <m:endChr m:val="]"/>
                                        <m:ctrlPr>
                                          <a:rPr lang="en-US" altLang="ko-K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dPr>
                                      <m:e>
                                        <m:sSub>
                                          <m:sSubPr>
                                            <m:ctrlP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𝑐</m:t>
                                            </m:r>
                                          </m:e>
                                          <m:sub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𝑖</m:t>
                                            </m:r>
                                          </m:sub>
                                        </m:sSub>
                                        <m:sSub>
                                          <m:sSubPr>
                                            <m:ctrlP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𝑢</m:t>
                                            </m:r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(</m:t>
                                            </m:r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𝑥</m:t>
                                            </m:r>
                                          </m:e>
                                          <m:sub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𝑖</m:t>
                                            </m:r>
                                          </m:sub>
                                        </m:sSub>
                                        <m:r>
                                          <a:rPr lang="en-US" altLang="ko-K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)</m:t>
                                        </m:r>
                                      </m:e>
                                    </m:d>
                                  </m:e>
                                  <m:sup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4</m:t>
                                    </m:r>
                                  </m:sup>
                                </m:sSup>
                              </m:num>
                              <m:den>
                                <m:sSub>
                                  <m:sSub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m:rPr>
                                        <m:sty m:val="p"/>
                                      </m:r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ν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sub>
                                </m:sSub>
                              </m:den>
                            </m:f>
                          </m:e>
                        </m:nary>
                      </m:den>
                    </m:f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76" name="TextBox 75"/>
            <xdr:cNvSpPr txBox="1"/>
          </xdr:nvSpPr>
          <xdr:spPr>
            <a:xfrm>
              <a:off x="1104900" y="45453300"/>
              <a:ext cx="1476375" cy="7289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i="0">
                  <a:latin typeface="Cambria Math" panose="02040503050406030204" pitchFamily="18" charset="0"/>
                </a:rPr>
                <a:t>ν_</a:t>
              </a:r>
              <a:r>
                <a:rPr lang="ko-KR" altLang="en-US" sz="1100" i="0">
                  <a:latin typeface="Cambria Math" panose="02040503050406030204" pitchFamily="18" charset="0"/>
                </a:rPr>
                <a:t>𝛿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𝑡</a:t>
              </a:r>
              <a:r>
                <a:rPr lang="en-US" altLang="ko-KR" sz="1100" i="0">
                  <a:latin typeface="Cambria Math" panose="02040503050406030204" pitchFamily="18" charset="0"/>
                </a:rPr>
                <a:t>=(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𝑢_𝑐^4 (𝑦))/(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∑_(𝑖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1)^𝑁▒[𝑐_𝑖 〖𝑢(𝑥〗_𝑖)]^4/ν_𝑖 )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17</xdr:col>
      <xdr:colOff>0</xdr:colOff>
      <xdr:row>191</xdr:row>
      <xdr:rowOff>19050</xdr:rowOff>
    </xdr:from>
    <xdr:ext cx="733425" cy="20954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7" name="TextBox 2"/>
            <xdr:cNvSpPr txBox="1">
              <a:spLocks/>
            </xdr:cNvSpPr>
          </xdr:nvSpPr>
          <xdr:spPr>
            <a:xfrm>
              <a:off x="2619375" y="45662850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77" name="TextBox 2"/>
            <xdr:cNvSpPr txBox="1">
              <a:spLocks/>
            </xdr:cNvSpPr>
          </xdr:nvSpPr>
          <xdr:spPr>
            <a:xfrm>
              <a:off x="2619375" y="45662850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)^4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21</xdr:col>
      <xdr:colOff>85725</xdr:colOff>
      <xdr:row>191</xdr:row>
      <xdr:rowOff>19050</xdr:rowOff>
    </xdr:from>
    <xdr:ext cx="733425" cy="20954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8" name="TextBox 2"/>
            <xdr:cNvSpPr txBox="1">
              <a:spLocks/>
            </xdr:cNvSpPr>
          </xdr:nvSpPr>
          <xdr:spPr>
            <a:xfrm>
              <a:off x="3314700" y="45662850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78" name="TextBox 2"/>
            <xdr:cNvSpPr txBox="1">
              <a:spLocks/>
            </xdr:cNvSpPr>
          </xdr:nvSpPr>
          <xdr:spPr>
            <a:xfrm>
              <a:off x="3314700" y="45662850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)^4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26</xdr:col>
      <xdr:colOff>114300</xdr:colOff>
      <xdr:row>191</xdr:row>
      <xdr:rowOff>19050</xdr:rowOff>
    </xdr:from>
    <xdr:ext cx="733425" cy="20954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9" name="TextBox 2"/>
            <xdr:cNvSpPr txBox="1">
              <a:spLocks/>
            </xdr:cNvSpPr>
          </xdr:nvSpPr>
          <xdr:spPr>
            <a:xfrm>
              <a:off x="4105275" y="45662850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79" name="TextBox 2"/>
            <xdr:cNvSpPr txBox="1">
              <a:spLocks/>
            </xdr:cNvSpPr>
          </xdr:nvSpPr>
          <xdr:spPr>
            <a:xfrm>
              <a:off x="4105275" y="45662850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)^4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21</xdr:col>
      <xdr:colOff>85725</xdr:colOff>
      <xdr:row>190</xdr:row>
      <xdr:rowOff>38100</xdr:rowOff>
    </xdr:from>
    <xdr:ext cx="733425" cy="20954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0" name="TextBox 2"/>
            <xdr:cNvSpPr txBox="1">
              <a:spLocks/>
            </xdr:cNvSpPr>
          </xdr:nvSpPr>
          <xdr:spPr>
            <a:xfrm>
              <a:off x="3314700" y="45443775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80" name="TextBox 2"/>
            <xdr:cNvSpPr txBox="1">
              <a:spLocks/>
            </xdr:cNvSpPr>
          </xdr:nvSpPr>
          <xdr:spPr>
            <a:xfrm>
              <a:off x="3314700" y="45443775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)^4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9</xdr:col>
      <xdr:colOff>9525</xdr:colOff>
      <xdr:row>212</xdr:row>
      <xdr:rowOff>57150</xdr:rowOff>
    </xdr:from>
    <xdr:ext cx="882549" cy="35054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1" name="TextBox 80"/>
            <xdr:cNvSpPr txBox="1"/>
          </xdr:nvSpPr>
          <xdr:spPr>
            <a:xfrm>
              <a:off x="1409700" y="50701575"/>
              <a:ext cx="882549" cy="35054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𝛿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𝑑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ko-KR" alt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num>
                      <m:den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𝛿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𝑑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81" name="TextBox 80"/>
            <xdr:cNvSpPr txBox="1"/>
          </xdr:nvSpPr>
          <xdr:spPr>
            <a:xfrm>
              <a:off x="1409700" y="50701575"/>
              <a:ext cx="882549" cy="35054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𝑐_(〖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𝑡〗_𝑑 )=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ko-KR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𝑡/(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ko-KR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𝑡〗_𝑑 )=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14</xdr:col>
      <xdr:colOff>133349</xdr:colOff>
      <xdr:row>210</xdr:row>
      <xdr:rowOff>28576</xdr:rowOff>
    </xdr:from>
    <xdr:ext cx="333375" cy="1957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2" name="TextBox 5"/>
            <xdr:cNvSpPr txBox="1"/>
          </xdr:nvSpPr>
          <xdr:spPr>
            <a:xfrm>
              <a:off x="2295524" y="50196751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3</m:t>
                        </m:r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82" name="TextBox 5"/>
            <xdr:cNvSpPr txBox="1"/>
          </xdr:nvSpPr>
          <xdr:spPr>
            <a:xfrm>
              <a:off x="2295524" y="50196751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√3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8</xdr:col>
      <xdr:colOff>9525</xdr:colOff>
      <xdr:row>215</xdr:row>
      <xdr:rowOff>9525</xdr:rowOff>
    </xdr:from>
    <xdr:ext cx="2238375" cy="5048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3" name="TextBox 5"/>
            <xdr:cNvSpPr txBox="1"/>
          </xdr:nvSpPr>
          <xdr:spPr>
            <a:xfrm>
              <a:off x="1257300" y="51368325"/>
              <a:ext cx="2238375" cy="5048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altLang="ko-KR" sz="1100" b="0" i="1">
                        <a:latin typeface="Cambria Math" panose="02040503050406030204" pitchFamily="18" charset="0"/>
                      </a:rPr>
                      <m:t>ν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ko-KR" altLang="en-US" sz="1100" b="0" i="1">
                                <a:latin typeface="Cambria Math" panose="02040503050406030204" pitchFamily="18" charset="0"/>
                              </a:rPr>
                              <m:t>𝛿</m:t>
                            </m:r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𝑡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𝑑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altLang="ko-KR" sz="110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altLang="ko-KR" sz="110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𝑅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20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=12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83" name="TextBox 5"/>
            <xdr:cNvSpPr txBox="1"/>
          </xdr:nvSpPr>
          <xdr:spPr>
            <a:xfrm>
              <a:off x="1257300" y="51368325"/>
              <a:ext cx="2238375" cy="5048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ν(〖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𝛿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𝑡〗_𝑑 )=</a:t>
              </a:r>
              <a:r>
                <a:rPr lang="en-US" altLang="ko-KR" sz="1100" i="0">
                  <a:latin typeface="Cambria Math" panose="02040503050406030204" pitchFamily="18" charset="0"/>
                </a:rPr>
                <a:t>1/2 (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100/𝑅)^2=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1/2 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100/20)^2=12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9</xdr:col>
      <xdr:colOff>9525</xdr:colOff>
      <xdr:row>224</xdr:row>
      <xdr:rowOff>57150</xdr:rowOff>
    </xdr:from>
    <xdr:ext cx="867610" cy="34958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4" name="TextBox 83"/>
            <xdr:cNvSpPr txBox="1"/>
          </xdr:nvSpPr>
          <xdr:spPr>
            <a:xfrm>
              <a:off x="1409700" y="53559075"/>
              <a:ext cx="867610" cy="3495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𝛿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∆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ko-KR" alt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num>
                      <m:den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𝛿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</m:t>
                            </m:r>
                          </m:e>
                          <m:sub>
                            <m: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∆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84" name="TextBox 83"/>
            <xdr:cNvSpPr txBox="1"/>
          </xdr:nvSpPr>
          <xdr:spPr>
            <a:xfrm>
              <a:off x="1409700" y="53559075"/>
              <a:ext cx="867610" cy="3495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𝑐_(〖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𝑡〗_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∆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)=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ko-KR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𝑡/(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ko-KR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𝑡〗_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∆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14</xdr:col>
      <xdr:colOff>133349</xdr:colOff>
      <xdr:row>222</xdr:row>
      <xdr:rowOff>28576</xdr:rowOff>
    </xdr:from>
    <xdr:ext cx="333375" cy="1957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5" name="TextBox 5"/>
            <xdr:cNvSpPr txBox="1"/>
          </xdr:nvSpPr>
          <xdr:spPr>
            <a:xfrm>
              <a:off x="2295524" y="53054251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3</m:t>
                        </m:r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85" name="TextBox 5"/>
            <xdr:cNvSpPr txBox="1"/>
          </xdr:nvSpPr>
          <xdr:spPr>
            <a:xfrm>
              <a:off x="2295524" y="53054251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√3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8</xdr:col>
      <xdr:colOff>9525</xdr:colOff>
      <xdr:row>227</xdr:row>
      <xdr:rowOff>9525</xdr:rowOff>
    </xdr:from>
    <xdr:ext cx="2238375" cy="5048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6" name="TextBox 5"/>
            <xdr:cNvSpPr txBox="1"/>
          </xdr:nvSpPr>
          <xdr:spPr>
            <a:xfrm>
              <a:off x="1257300" y="54225825"/>
              <a:ext cx="2238375" cy="5048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altLang="ko-KR" sz="1100" b="0" i="1">
                        <a:latin typeface="Cambria Math" panose="02040503050406030204" pitchFamily="18" charset="0"/>
                      </a:rPr>
                      <m:t>ν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ko-KR" altLang="en-US" sz="1100" b="0" i="1">
                                <a:latin typeface="Cambria Math" panose="02040503050406030204" pitchFamily="18" charset="0"/>
                              </a:rPr>
                              <m:t>𝛿</m:t>
                            </m:r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𝑡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∆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altLang="ko-KR" sz="110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altLang="ko-KR" sz="110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𝑅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20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=12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86" name="TextBox 5"/>
            <xdr:cNvSpPr txBox="1"/>
          </xdr:nvSpPr>
          <xdr:spPr>
            <a:xfrm>
              <a:off x="1257300" y="54225825"/>
              <a:ext cx="2238375" cy="5048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ν(〖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𝛿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𝑡〗_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 )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</a:t>
              </a:r>
              <a:r>
                <a:rPr lang="en-US" altLang="ko-KR" sz="1100" i="0">
                  <a:latin typeface="Cambria Math" panose="02040503050406030204" pitchFamily="18" charset="0"/>
                </a:rPr>
                <a:t>1/2 (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100/𝑅)^2=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1/2 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100/20)^2=12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8</xdr:col>
      <xdr:colOff>9525</xdr:colOff>
      <xdr:row>248</xdr:row>
      <xdr:rowOff>61912</xdr:rowOff>
    </xdr:from>
    <xdr:ext cx="867032" cy="34958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7" name="TextBox 86"/>
            <xdr:cNvSpPr txBox="1"/>
          </xdr:nvSpPr>
          <xdr:spPr>
            <a:xfrm>
              <a:off x="1257300" y="59278837"/>
              <a:ext cx="867032" cy="3495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ko-KR" altLang="en-US" sz="1100" b="0" i="1">
                                <a:latin typeface="Cambria Math" panose="02040503050406030204" pitchFamily="18" charset="0"/>
                              </a:rPr>
                              <m:t>𝛿</m:t>
                            </m:r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𝐸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ko-KR" altLang="en-US" sz="1100" b="0" i="1">
                            <a:latin typeface="Cambria Math" panose="02040503050406030204" pitchFamily="18" charset="0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en-US" sz="1100" b="0" i="1">
                            <a:latin typeface="Cambria Math" panose="02040503050406030204" pitchFamily="18" charset="0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ko-KR" altLang="en-US" sz="1100" b="0" i="1">
                                <a:latin typeface="Cambria Math" panose="02040503050406030204" pitchFamily="18" charset="0"/>
                              </a:rPr>
                              <m:t>𝛿</m:t>
                            </m:r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𝐸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87" name="TextBox 86"/>
            <xdr:cNvSpPr txBox="1"/>
          </xdr:nvSpPr>
          <xdr:spPr>
            <a:xfrm>
              <a:off x="1257300" y="59278837"/>
              <a:ext cx="867032" cy="3495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𝑐_(〖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𝛿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𝑙〗_𝐸 )=(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𝜕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𝑙_𝑥)/(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𝜕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〖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𝛿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𝑙〗_𝐸 )=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8</xdr:col>
      <xdr:colOff>9525</xdr:colOff>
      <xdr:row>275</xdr:row>
      <xdr:rowOff>57150</xdr:rowOff>
    </xdr:from>
    <xdr:ext cx="866775" cy="4762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8" name="TextBox 87"/>
            <xdr:cNvSpPr txBox="1"/>
          </xdr:nvSpPr>
          <xdr:spPr>
            <a:xfrm>
              <a:off x="1257300" y="65703450"/>
              <a:ext cx="866775" cy="4762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𝑃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ko-KR" alt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𝑃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ko-KR" altLang="ko-KR">
                <a:effectLst/>
              </a:endParaRPr>
            </a:p>
            <a:p>
              <a:pPr algn="l"/>
              <a:endParaRPr lang="ko-KR" altLang="en-US" sz="1100"/>
            </a:p>
          </xdr:txBody>
        </xdr:sp>
      </mc:Choice>
      <mc:Fallback xmlns="">
        <xdr:sp macro="" textlink="">
          <xdr:nvSpPr>
            <xdr:cNvPr id="88" name="TextBox 87"/>
            <xdr:cNvSpPr txBox="1"/>
          </xdr:nvSpPr>
          <xdr:spPr>
            <a:xfrm>
              <a:off x="1257300" y="65703450"/>
              <a:ext cx="866775" cy="4762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𝑐_(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𝑙_𝑃 )=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𝑙_𝑥)/(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ko-KR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𝑙_𝑃 )=</a:t>
              </a:r>
              <a:endParaRPr lang="ko-KR" altLang="ko-KR">
                <a:effectLst/>
              </a:endParaRPr>
            </a:p>
            <a:p>
              <a:pPr algn="l"/>
              <a:endParaRPr lang="ko-KR" altLang="en-US" sz="1100"/>
            </a:p>
          </xdr:txBody>
        </xdr:sp>
      </mc:Fallback>
    </mc:AlternateContent>
    <xdr:clientData/>
  </xdr:oneCellAnchor>
  <xdr:oneCellAnchor>
    <xdr:from>
      <xdr:col>17</xdr:col>
      <xdr:colOff>142874</xdr:colOff>
      <xdr:row>273</xdr:row>
      <xdr:rowOff>28576</xdr:rowOff>
    </xdr:from>
    <xdr:ext cx="333375" cy="1957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9" name="TextBox 5"/>
            <xdr:cNvSpPr txBox="1"/>
          </xdr:nvSpPr>
          <xdr:spPr>
            <a:xfrm>
              <a:off x="2762249" y="65198626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3</m:t>
                        </m:r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89" name="TextBox 5"/>
            <xdr:cNvSpPr txBox="1"/>
          </xdr:nvSpPr>
          <xdr:spPr>
            <a:xfrm>
              <a:off x="2762249" y="65198626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√3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7</xdr:col>
      <xdr:colOff>9525</xdr:colOff>
      <xdr:row>278</xdr:row>
      <xdr:rowOff>9525</xdr:rowOff>
    </xdr:from>
    <xdr:ext cx="2266950" cy="41383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0" name="TextBox 5"/>
            <xdr:cNvSpPr txBox="1"/>
          </xdr:nvSpPr>
          <xdr:spPr>
            <a:xfrm>
              <a:off x="1104900" y="66370200"/>
              <a:ext cx="2266950" cy="4138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altLang="ko-KR" sz="1100" b="0" i="1">
                        <a:latin typeface="Cambria Math" panose="02040503050406030204" pitchFamily="18" charset="0"/>
                      </a:rPr>
                      <m:t>ν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ko-KR" altLang="en-US" sz="1100" b="0" i="1">
                            <a:latin typeface="Cambria Math" panose="02040503050406030204" pitchFamily="18" charset="0"/>
                          </a:rPr>
                          <m:t>𝛿</m:t>
                        </m:r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𝑃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altLang="ko-KR" sz="110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altLang="ko-KR" sz="110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𝑅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10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=50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90" name="TextBox 5"/>
            <xdr:cNvSpPr txBox="1"/>
          </xdr:nvSpPr>
          <xdr:spPr>
            <a:xfrm>
              <a:off x="1104900" y="66370200"/>
              <a:ext cx="2266950" cy="4138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ν(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𝛿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𝑙_𝑃 )=</a:t>
              </a:r>
              <a:r>
                <a:rPr lang="en-US" altLang="ko-KR" sz="1100" i="0">
                  <a:latin typeface="Cambria Math" panose="02040503050406030204" pitchFamily="18" charset="0"/>
                </a:rPr>
                <a:t>1/2 (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100/𝑅)^2=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1/2 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100/10)^2=50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10</xdr:col>
      <xdr:colOff>104774</xdr:colOff>
      <xdr:row>282</xdr:row>
      <xdr:rowOff>38101</xdr:rowOff>
    </xdr:from>
    <xdr:ext cx="33337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1" name="TextBox 5"/>
            <xdr:cNvSpPr txBox="1"/>
          </xdr:nvSpPr>
          <xdr:spPr>
            <a:xfrm>
              <a:off x="1657349" y="67351276"/>
              <a:ext cx="33337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𝑢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(</m:t>
                    </m:r>
                    <m:acc>
                      <m:accPr>
                        <m:chr m:val="̅"/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ko-KR" altLang="en-US" sz="1100" b="0" i="1">
                            <a:latin typeface="Cambria Math" panose="02040503050406030204" pitchFamily="18" charset="0"/>
                          </a:rPr>
                          <m:t>𝛼</m:t>
                        </m:r>
                      </m:e>
                    </m:acc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91" name="TextBox 5"/>
            <xdr:cNvSpPr txBox="1"/>
          </xdr:nvSpPr>
          <xdr:spPr>
            <a:xfrm>
              <a:off x="1657349" y="67351276"/>
              <a:ext cx="33337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𝑢(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𝛼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 ̅)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3</xdr:col>
      <xdr:colOff>9524</xdr:colOff>
      <xdr:row>283</xdr:row>
      <xdr:rowOff>38101</xdr:rowOff>
    </xdr:from>
    <xdr:ext cx="75247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2" name="TextBox 5"/>
            <xdr:cNvSpPr txBox="1"/>
          </xdr:nvSpPr>
          <xdr:spPr>
            <a:xfrm>
              <a:off x="466724" y="67589401"/>
              <a:ext cx="75247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𝑢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acc>
                          <m:accPr>
                            <m:chr m:val="̅"/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ko-KR" altLang="en-US" sz="1100" b="0" i="1">
                                <a:latin typeface="Cambria Math" panose="02040503050406030204" pitchFamily="18" charset="0"/>
                              </a:rPr>
                              <m:t>𝛼</m:t>
                            </m:r>
                          </m:e>
                        </m:acc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, 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𝑢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(∆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𝑡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92" name="TextBox 5"/>
            <xdr:cNvSpPr txBox="1"/>
          </xdr:nvSpPr>
          <xdr:spPr>
            <a:xfrm>
              <a:off x="466724" y="67589401"/>
              <a:ext cx="75247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𝑢(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𝛼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 ̅ ), 𝑢(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∆𝑡)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10</xdr:col>
      <xdr:colOff>12668</xdr:colOff>
      <xdr:row>284</xdr:row>
      <xdr:rowOff>32226</xdr:rowOff>
    </xdr:from>
    <xdr:ext cx="2073645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3" name="TextBox 92"/>
            <xdr:cNvSpPr txBox="1"/>
          </xdr:nvSpPr>
          <xdr:spPr>
            <a:xfrm>
              <a:off x="1565243" y="67821651"/>
              <a:ext cx="2073645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𝑢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acc>
                          <m:accPr>
                            <m:chr m:val="̅"/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ko-KR" altLang="en-US" sz="1100" b="0" i="1">
                                <a:latin typeface="Cambria Math" panose="02040503050406030204" pitchFamily="18" charset="0"/>
                              </a:rPr>
                              <m:t>𝛼</m:t>
                            </m:r>
                          </m:e>
                        </m:acc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𝑢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(∆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𝑡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)=0.41×</m:t>
                    </m:r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10</m:t>
                        </m:r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−6</m:t>
                        </m:r>
                      </m:sup>
                    </m:sSup>
                    <m:r>
                      <a:rPr lang="en-US" altLang="ko-K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/</m:t>
                    </m:r>
                    <m:r>
                      <a:rPr lang="ko-KR" alt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℃</m:t>
                    </m:r>
                    <m:r>
                      <a:rPr lang="en-US" altLang="ko-KR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93" name="TextBox 92"/>
            <xdr:cNvSpPr txBox="1"/>
          </xdr:nvSpPr>
          <xdr:spPr>
            <a:xfrm>
              <a:off x="1565243" y="67821651"/>
              <a:ext cx="2073645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𝑢(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𝛼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 ̅ )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×𝑢(∆𝑡)</a:t>
              </a:r>
              <a:r>
                <a:rPr lang="en-US" altLang="ko-KR" sz="1100" i="0">
                  <a:latin typeface="Cambria Math" panose="02040503050406030204" pitchFamily="18" charset="0"/>
                </a:rPr>
                <a:t>=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0.41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×〖10〗^(−6)/</a:t>
              </a:r>
              <a:r>
                <a:rPr lang="ko-KR" alt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℃</a:t>
              </a:r>
              <a:r>
                <a:rPr lang="en-US" altLang="ko-K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×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9</xdr:col>
      <xdr:colOff>12668</xdr:colOff>
      <xdr:row>286</xdr:row>
      <xdr:rowOff>32226</xdr:rowOff>
    </xdr:from>
    <xdr:ext cx="1432700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4" name="TextBox 93"/>
            <xdr:cNvSpPr txBox="1"/>
          </xdr:nvSpPr>
          <xdr:spPr>
            <a:xfrm>
              <a:off x="1412843" y="68297901"/>
              <a:ext cx="1432700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10</m:t>
                        </m:r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en-US" altLang="ko-K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</m:t>
                    </m:r>
                    <m:sSub>
                      <m:sSubPr>
                        <m:ctrlP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</m:t>
                    </m:r>
                    <m:r>
                      <m:rPr>
                        <m:sty m:val="p"/>
                      </m:rPr>
                      <a:rPr lang="en-US" altLang="ko-K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μ</m:t>
                    </m:r>
                    <m:r>
                      <m:rPr>
                        <m:sty m:val="p"/>
                      </m:rPr>
                      <a:rPr lang="en-US" altLang="ko-KR" sz="1100" b="0" i="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m</m:t>
                    </m:r>
                    <m:r>
                      <a:rPr lang="en-US" altLang="ko-KR" sz="1100" b="0" i="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  (</m:t>
                    </m:r>
                    <m:sSub>
                      <m:sSubPr>
                        <m:ctrlP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:</m:t>
                    </m:r>
                    <m:r>
                      <m:rPr>
                        <m:sty m:val="p"/>
                      </m:rPr>
                      <a:rPr lang="en-US" altLang="ko-KR" sz="1100" b="0" i="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mm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94" name="TextBox 93"/>
            <xdr:cNvSpPr txBox="1"/>
          </xdr:nvSpPr>
          <xdr:spPr>
            <a:xfrm>
              <a:off x="1412843" y="68297901"/>
              <a:ext cx="1432700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〖10〗^3×𝑙_0  μm   (𝑙_0  :mm)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11</xdr:col>
      <xdr:colOff>12668</xdr:colOff>
      <xdr:row>288</xdr:row>
      <xdr:rowOff>32226</xdr:rowOff>
    </xdr:from>
    <xdr:ext cx="1083951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5" name="TextBox 94"/>
            <xdr:cNvSpPr txBox="1"/>
          </xdr:nvSpPr>
          <xdr:spPr>
            <a:xfrm>
              <a:off x="1717643" y="68774151"/>
              <a:ext cx="1083951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0.41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</m:t>
                    </m:r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10</m:t>
                        </m:r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−6</m:t>
                        </m:r>
                      </m:sup>
                    </m:sSup>
                    <m:r>
                      <a:rPr lang="en-US" altLang="ko-K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/</m:t>
                    </m:r>
                    <m:r>
                      <a:rPr lang="ko-KR" alt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℃</m:t>
                    </m:r>
                    <m:r>
                      <a:rPr lang="en-US" altLang="ko-KR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95" name="TextBox 94"/>
            <xdr:cNvSpPr txBox="1"/>
          </xdr:nvSpPr>
          <xdr:spPr>
            <a:xfrm>
              <a:off x="1717643" y="68774151"/>
              <a:ext cx="1083951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0.41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×〖10〗^(−6)/</a:t>
              </a:r>
              <a:r>
                <a:rPr lang="ko-KR" alt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℃</a:t>
              </a:r>
              <a:r>
                <a:rPr lang="en-US" altLang="ko-K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×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24</xdr:col>
      <xdr:colOff>12668</xdr:colOff>
      <xdr:row>288</xdr:row>
      <xdr:rowOff>41751</xdr:rowOff>
    </xdr:from>
    <xdr:ext cx="896912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6" name="TextBox 95"/>
            <xdr:cNvSpPr txBox="1"/>
          </xdr:nvSpPr>
          <xdr:spPr>
            <a:xfrm>
              <a:off x="3698843" y="68783676"/>
              <a:ext cx="896912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10</m:t>
                        </m:r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en-US" altLang="ko-K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</m:t>
                    </m:r>
                    <m:sSub>
                      <m:sSubPr>
                        <m:ctrlP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</m:t>
                    </m:r>
                    <m:r>
                      <m:rPr>
                        <m:sty m:val="p"/>
                      </m:rPr>
                      <a:rPr lang="en-US" altLang="ko-K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μ</m:t>
                    </m:r>
                    <m:r>
                      <m:rPr>
                        <m:sty m:val="p"/>
                      </m:rPr>
                      <a:rPr lang="en-US" altLang="ko-KR" sz="1100" b="0" i="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m</m:t>
                    </m:r>
                    <m:r>
                      <a:rPr lang="en-US" altLang="ko-KR" sz="1100" b="0" i="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96" name="TextBox 95"/>
            <xdr:cNvSpPr txBox="1"/>
          </xdr:nvSpPr>
          <xdr:spPr>
            <a:xfrm>
              <a:off x="3698843" y="68783676"/>
              <a:ext cx="896912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〖10〗^3×𝑙_0  μm=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3</xdr:col>
      <xdr:colOff>9524</xdr:colOff>
      <xdr:row>291</xdr:row>
      <xdr:rowOff>38101</xdr:rowOff>
    </xdr:from>
    <xdr:ext cx="75247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7" name="TextBox 5"/>
            <xdr:cNvSpPr txBox="1"/>
          </xdr:nvSpPr>
          <xdr:spPr>
            <a:xfrm>
              <a:off x="466724" y="69494401"/>
              <a:ext cx="75247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𝑢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∆</m:t>
                        </m:r>
                        <m:r>
                          <a:rPr lang="ko-KR" alt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𝛼</m:t>
                        </m:r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, 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𝑢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ko-KR" altLang="en-US" sz="1100" b="0" i="1">
                        <a:latin typeface="Cambria Math" panose="02040503050406030204" pitchFamily="18" charset="0"/>
                      </a:rPr>
                      <m:t>𝛿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𝑡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97" name="TextBox 5"/>
            <xdr:cNvSpPr txBox="1"/>
          </xdr:nvSpPr>
          <xdr:spPr>
            <a:xfrm>
              <a:off x="466724" y="69494401"/>
              <a:ext cx="75247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𝑢(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ko-KR" alt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)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, 𝑢(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𝛿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𝑡)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10</xdr:col>
      <xdr:colOff>12668</xdr:colOff>
      <xdr:row>292</xdr:row>
      <xdr:rowOff>32226</xdr:rowOff>
    </xdr:from>
    <xdr:ext cx="2142317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8" name="TextBox 97"/>
            <xdr:cNvSpPr txBox="1"/>
          </xdr:nvSpPr>
          <xdr:spPr>
            <a:xfrm>
              <a:off x="1565243" y="69726651"/>
              <a:ext cx="2142317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𝑢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∆</m:t>
                        </m:r>
                        <m:r>
                          <a:rPr lang="ko-KR" alt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𝛼</m:t>
                        </m:r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𝑢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(</m:t>
                    </m:r>
                    <m:r>
                      <a:rPr lang="ko-KR" alt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𝛿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𝑡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)=0.82×</m:t>
                    </m:r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10</m:t>
                        </m:r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−6</m:t>
                        </m:r>
                      </m:sup>
                    </m:sSup>
                    <m:r>
                      <a:rPr lang="en-US" altLang="ko-K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/</m:t>
                    </m:r>
                    <m:r>
                      <a:rPr lang="ko-KR" alt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℃</m:t>
                    </m:r>
                    <m:r>
                      <a:rPr lang="en-US" altLang="ko-KR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98" name="TextBox 97"/>
            <xdr:cNvSpPr txBox="1"/>
          </xdr:nvSpPr>
          <xdr:spPr>
            <a:xfrm>
              <a:off x="1565243" y="69726651"/>
              <a:ext cx="2142317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𝑢(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ko-KR" alt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)×𝑢(</a:t>
              </a:r>
              <a:r>
                <a:rPr lang="ko-KR" alt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𝛿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𝑡)</a:t>
              </a:r>
              <a:r>
                <a:rPr lang="en-US" altLang="ko-KR" sz="1100" i="0">
                  <a:latin typeface="Cambria Math" panose="02040503050406030204" pitchFamily="18" charset="0"/>
                </a:rPr>
                <a:t>=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0.82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×〖10〗^(−6)/</a:t>
              </a:r>
              <a:r>
                <a:rPr lang="ko-KR" alt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℃</a:t>
              </a:r>
              <a:r>
                <a:rPr lang="en-US" altLang="ko-K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×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9</xdr:col>
      <xdr:colOff>12668</xdr:colOff>
      <xdr:row>294</xdr:row>
      <xdr:rowOff>32226</xdr:rowOff>
    </xdr:from>
    <xdr:ext cx="1432700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9" name="TextBox 98"/>
            <xdr:cNvSpPr txBox="1"/>
          </xdr:nvSpPr>
          <xdr:spPr>
            <a:xfrm>
              <a:off x="1412843" y="70202901"/>
              <a:ext cx="1432700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10</m:t>
                        </m:r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en-US" altLang="ko-K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</m:t>
                    </m:r>
                    <m:sSub>
                      <m:sSubPr>
                        <m:ctrlP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</m:t>
                    </m:r>
                    <m:r>
                      <m:rPr>
                        <m:sty m:val="p"/>
                      </m:rPr>
                      <a:rPr lang="en-US" altLang="ko-K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μ</m:t>
                    </m:r>
                    <m:r>
                      <m:rPr>
                        <m:sty m:val="p"/>
                      </m:rPr>
                      <a:rPr lang="en-US" altLang="ko-KR" sz="1100" b="0" i="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m</m:t>
                    </m:r>
                    <m:r>
                      <a:rPr lang="en-US" altLang="ko-KR" sz="1100" b="0" i="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  (</m:t>
                    </m:r>
                    <m:sSub>
                      <m:sSubPr>
                        <m:ctrlP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:</m:t>
                    </m:r>
                    <m:r>
                      <m:rPr>
                        <m:sty m:val="p"/>
                      </m:rPr>
                      <a:rPr lang="en-US" altLang="ko-KR" sz="1100" b="0" i="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mm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99" name="TextBox 98"/>
            <xdr:cNvSpPr txBox="1"/>
          </xdr:nvSpPr>
          <xdr:spPr>
            <a:xfrm>
              <a:off x="1412843" y="70202901"/>
              <a:ext cx="1432700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〖10〗^3×𝑙_0  μm   (𝑙_0  :mm)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11</xdr:col>
      <xdr:colOff>12668</xdr:colOff>
      <xdr:row>296</xdr:row>
      <xdr:rowOff>32226</xdr:rowOff>
    </xdr:from>
    <xdr:ext cx="1083951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0" name="TextBox 99"/>
            <xdr:cNvSpPr txBox="1"/>
          </xdr:nvSpPr>
          <xdr:spPr>
            <a:xfrm>
              <a:off x="1717643" y="70679151"/>
              <a:ext cx="1083951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0.42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</m:t>
                    </m:r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10</m:t>
                        </m:r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−6</m:t>
                        </m:r>
                      </m:sup>
                    </m:sSup>
                    <m:r>
                      <a:rPr lang="en-US" altLang="ko-K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/</m:t>
                    </m:r>
                    <m:r>
                      <a:rPr lang="ko-KR" alt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℃</m:t>
                    </m:r>
                    <m:r>
                      <a:rPr lang="en-US" altLang="ko-KR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00" name="TextBox 99"/>
            <xdr:cNvSpPr txBox="1"/>
          </xdr:nvSpPr>
          <xdr:spPr>
            <a:xfrm>
              <a:off x="1717643" y="70679151"/>
              <a:ext cx="1083951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0.42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×〖10〗^(−6)/</a:t>
              </a:r>
              <a:r>
                <a:rPr lang="ko-KR" alt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℃</a:t>
              </a:r>
              <a:r>
                <a:rPr lang="en-US" altLang="ko-K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×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24</xdr:col>
      <xdr:colOff>12668</xdr:colOff>
      <xdr:row>296</xdr:row>
      <xdr:rowOff>41751</xdr:rowOff>
    </xdr:from>
    <xdr:ext cx="896912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1" name="TextBox 100"/>
            <xdr:cNvSpPr txBox="1"/>
          </xdr:nvSpPr>
          <xdr:spPr>
            <a:xfrm>
              <a:off x="3698843" y="70688676"/>
              <a:ext cx="896912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10</m:t>
                        </m:r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en-US" altLang="ko-K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</m:t>
                    </m:r>
                    <m:sSub>
                      <m:sSubPr>
                        <m:ctrlP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</m:t>
                    </m:r>
                    <m:r>
                      <m:rPr>
                        <m:sty m:val="p"/>
                      </m:rPr>
                      <a:rPr lang="en-US" altLang="ko-K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μ</m:t>
                    </m:r>
                    <m:r>
                      <m:rPr>
                        <m:sty m:val="p"/>
                      </m:rPr>
                      <a:rPr lang="en-US" altLang="ko-KR" sz="1100" b="0" i="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m</m:t>
                    </m:r>
                    <m:r>
                      <a:rPr lang="en-US" altLang="ko-KR" sz="1100" b="0" i="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01" name="TextBox 100"/>
            <xdr:cNvSpPr txBox="1"/>
          </xdr:nvSpPr>
          <xdr:spPr>
            <a:xfrm>
              <a:off x="3698843" y="70688676"/>
              <a:ext cx="896912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〖10〗^3×𝑙_0  μm=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42</xdr:col>
      <xdr:colOff>142875</xdr:colOff>
      <xdr:row>302</xdr:row>
      <xdr:rowOff>38101</xdr:rowOff>
    </xdr:from>
    <xdr:ext cx="876300" cy="1991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2" name="TextBox 2"/>
            <xdr:cNvSpPr txBox="1">
              <a:spLocks/>
            </xdr:cNvSpPr>
          </xdr:nvSpPr>
          <xdr:spPr>
            <a:xfrm>
              <a:off x="6572250" y="72113776"/>
              <a:ext cx="876300" cy="1991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02" name="TextBox 2"/>
            <xdr:cNvSpPr txBox="1">
              <a:spLocks/>
            </xdr:cNvSpPr>
          </xdr:nvSpPr>
          <xdr:spPr>
            <a:xfrm>
              <a:off x="6572250" y="72113776"/>
              <a:ext cx="876300" cy="1991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6</xdr:col>
      <xdr:colOff>142875</xdr:colOff>
      <xdr:row>303</xdr:row>
      <xdr:rowOff>38101</xdr:rowOff>
    </xdr:from>
    <xdr:ext cx="876300" cy="1991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3" name="TextBox 2"/>
            <xdr:cNvSpPr txBox="1">
              <a:spLocks/>
            </xdr:cNvSpPr>
          </xdr:nvSpPr>
          <xdr:spPr>
            <a:xfrm>
              <a:off x="1085850" y="72351901"/>
              <a:ext cx="876300" cy="1991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03" name="TextBox 2"/>
            <xdr:cNvSpPr txBox="1">
              <a:spLocks/>
            </xdr:cNvSpPr>
          </xdr:nvSpPr>
          <xdr:spPr>
            <a:xfrm>
              <a:off x="1085850" y="72351901"/>
              <a:ext cx="876300" cy="1991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13</xdr:col>
      <xdr:colOff>142874</xdr:colOff>
      <xdr:row>303</xdr:row>
      <xdr:rowOff>38100</xdr:rowOff>
    </xdr:from>
    <xdr:ext cx="1228726" cy="2000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4" name="TextBox 2"/>
            <xdr:cNvSpPr txBox="1">
              <a:spLocks/>
            </xdr:cNvSpPr>
          </xdr:nvSpPr>
          <xdr:spPr>
            <a:xfrm>
              <a:off x="2152649" y="72351900"/>
              <a:ext cx="1228726" cy="2000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04" name="TextBox 2"/>
            <xdr:cNvSpPr txBox="1">
              <a:spLocks/>
            </xdr:cNvSpPr>
          </xdr:nvSpPr>
          <xdr:spPr>
            <a:xfrm>
              <a:off x="2152649" y="72351900"/>
              <a:ext cx="1228726" cy="2000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23</xdr:col>
      <xdr:colOff>142874</xdr:colOff>
      <xdr:row>303</xdr:row>
      <xdr:rowOff>38100</xdr:rowOff>
    </xdr:from>
    <xdr:ext cx="1228726" cy="2000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5" name="TextBox 2"/>
            <xdr:cNvSpPr txBox="1">
              <a:spLocks/>
            </xdr:cNvSpPr>
          </xdr:nvSpPr>
          <xdr:spPr>
            <a:xfrm>
              <a:off x="3676649" y="72351900"/>
              <a:ext cx="1228726" cy="2000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05" name="TextBox 2"/>
            <xdr:cNvSpPr txBox="1">
              <a:spLocks/>
            </xdr:cNvSpPr>
          </xdr:nvSpPr>
          <xdr:spPr>
            <a:xfrm>
              <a:off x="3676649" y="72351900"/>
              <a:ext cx="1228726" cy="2000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12</xdr:col>
      <xdr:colOff>104775</xdr:colOff>
      <xdr:row>312</xdr:row>
      <xdr:rowOff>19050</xdr:rowOff>
    </xdr:from>
    <xdr:ext cx="733425" cy="20954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6" name="TextBox 2"/>
            <xdr:cNvSpPr txBox="1">
              <a:spLocks/>
            </xdr:cNvSpPr>
          </xdr:nvSpPr>
          <xdr:spPr>
            <a:xfrm>
              <a:off x="1962150" y="74475975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06" name="TextBox 2"/>
            <xdr:cNvSpPr txBox="1">
              <a:spLocks/>
            </xdr:cNvSpPr>
          </xdr:nvSpPr>
          <xdr:spPr>
            <a:xfrm>
              <a:off x="1962150" y="74475975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)^4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17</xdr:col>
      <xdr:colOff>95250</xdr:colOff>
      <xdr:row>312</xdr:row>
      <xdr:rowOff>19050</xdr:rowOff>
    </xdr:from>
    <xdr:ext cx="733425" cy="20954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7" name="TextBox 2"/>
            <xdr:cNvSpPr txBox="1">
              <a:spLocks/>
            </xdr:cNvSpPr>
          </xdr:nvSpPr>
          <xdr:spPr>
            <a:xfrm>
              <a:off x="2714625" y="74475975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07" name="TextBox 2"/>
            <xdr:cNvSpPr txBox="1">
              <a:spLocks/>
            </xdr:cNvSpPr>
          </xdr:nvSpPr>
          <xdr:spPr>
            <a:xfrm>
              <a:off x="2714625" y="74475975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)^4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22</xdr:col>
      <xdr:colOff>85725</xdr:colOff>
      <xdr:row>312</xdr:row>
      <xdr:rowOff>19050</xdr:rowOff>
    </xdr:from>
    <xdr:ext cx="733425" cy="20954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8" name="TextBox 2"/>
            <xdr:cNvSpPr txBox="1">
              <a:spLocks/>
            </xdr:cNvSpPr>
          </xdr:nvSpPr>
          <xdr:spPr>
            <a:xfrm>
              <a:off x="3467100" y="74475975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08" name="TextBox 2"/>
            <xdr:cNvSpPr txBox="1">
              <a:spLocks/>
            </xdr:cNvSpPr>
          </xdr:nvSpPr>
          <xdr:spPr>
            <a:xfrm>
              <a:off x="3467100" y="74475975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)^4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27</xdr:col>
      <xdr:colOff>95250</xdr:colOff>
      <xdr:row>312</xdr:row>
      <xdr:rowOff>19050</xdr:rowOff>
    </xdr:from>
    <xdr:ext cx="733425" cy="20954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9" name="TextBox 2"/>
            <xdr:cNvSpPr txBox="1">
              <a:spLocks/>
            </xdr:cNvSpPr>
          </xdr:nvSpPr>
          <xdr:spPr>
            <a:xfrm>
              <a:off x="4238625" y="74475975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09" name="TextBox 2"/>
            <xdr:cNvSpPr txBox="1">
              <a:spLocks/>
            </xdr:cNvSpPr>
          </xdr:nvSpPr>
          <xdr:spPr>
            <a:xfrm>
              <a:off x="4238625" y="74475975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)^4</a:t>
              </a:r>
              <a:endParaRPr lang="ko-KR" altLang="en-US" sz="1100"/>
            </a:p>
          </xdr:txBody>
        </xdr:sp>
      </mc:Fallback>
    </mc:AlternateContent>
    <xdr:clientData/>
  </xdr:oneCellAnchor>
  <xdr:twoCellAnchor editAs="oneCell">
    <xdr:from>
      <xdr:col>10</xdr:col>
      <xdr:colOff>114299</xdr:colOff>
      <xdr:row>310</xdr:row>
      <xdr:rowOff>0</xdr:rowOff>
    </xdr:from>
    <xdr:to>
      <xdr:col>43</xdr:col>
      <xdr:colOff>47624</xdr:colOff>
      <xdr:row>314</xdr:row>
      <xdr:rowOff>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0" name="TextBox 2"/>
            <xdr:cNvSpPr txBox="1">
              <a:spLocks/>
            </xdr:cNvSpPr>
          </xdr:nvSpPr>
          <xdr:spPr>
            <a:xfrm>
              <a:off x="1666874" y="73980675"/>
              <a:ext cx="4962525" cy="9525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begChr m:val="{"/>
                        <m:endChr m:val="}"/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eqArr>
                          <m:eqArrPr>
                            <m:ctrlPr>
                              <a:rPr lang="en-US" altLang="ko-KR" b="0" i="1">
                                <a:latin typeface="Cambria Math" panose="02040503050406030204" pitchFamily="18" charset="0"/>
                              </a:rPr>
                            </m:ctrlPr>
                          </m:eqArrPr>
                          <m:e>
                            <m:r>
                              <a:rPr lang="en-US" altLang="ko-KR" b="0" i="1">
                                <a:latin typeface="Cambria Math" panose="02040503050406030204" pitchFamily="18" charset="0"/>
                              </a:rPr>
                              <m:t> </m:t>
                            </m:r>
                          </m:e>
                          <m:e>
                            <m:r>
                              <a:rPr lang="en-US" altLang="ko-KR" b="0" i="1">
                                <a:latin typeface="Cambria Math" panose="02040503050406030204" pitchFamily="18" charset="0"/>
                              </a:rPr>
                              <m:t> </m:t>
                            </m:r>
                          </m:e>
                          <m:e>
                            <m:r>
                              <a:rPr lang="en-US" altLang="ko-KR" b="0" i="1">
                                <a:latin typeface="Cambria Math" panose="02040503050406030204" pitchFamily="18" charset="0"/>
                              </a:rPr>
                              <m:t> </m:t>
                            </m:r>
                          </m:e>
                          <m:e>
                            <m:r>
                              <a:rPr lang="en-US" altLang="ko-KR" b="0" i="1">
                                <a:latin typeface="Cambria Math" panose="02040503050406030204" pitchFamily="18" charset="0"/>
                              </a:rPr>
                              <m:t> </m:t>
                            </m:r>
                          </m:e>
                          <m:e>
                            <m:r>
                              <a:rPr lang="en-US" altLang="ko-KR" b="0" i="1">
                                <a:latin typeface="Cambria Math" panose="02040503050406030204" pitchFamily="18" charset="0"/>
                              </a:rPr>
                              <m:t> </m:t>
                            </m:r>
                          </m:e>
                          <m:e>
                            <m:r>
                              <a:rPr lang="en-US" altLang="ko-KR" b="0" i="1">
                                <a:latin typeface="Cambria Math" panose="02040503050406030204" pitchFamily="18" charset="0"/>
                              </a:rPr>
                              <m:t>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</m:t>
                            </m:r>
                          </m:e>
                        </m:eqArr>
                        <m:r>
                          <a:rPr lang="en-US" altLang="ko-KR" b="0" i="1">
                            <a:latin typeface="Cambria Math" panose="02040503050406030204" pitchFamily="18" charset="0"/>
                          </a:rPr>
                          <m:t>  </m:t>
                        </m:r>
                      </m:e>
                    </m: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10" name="TextBox 2"/>
            <xdr:cNvSpPr txBox="1">
              <a:spLocks/>
            </xdr:cNvSpPr>
          </xdr:nvSpPr>
          <xdr:spPr>
            <a:xfrm>
              <a:off x="1666874" y="73980675"/>
              <a:ext cx="4962525" cy="9525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{█(</a:t>
              </a:r>
              <a:r>
                <a:rPr lang="en-US" altLang="ko-KR" b="0" i="0">
                  <a:latin typeface="Cambria Math" panose="02040503050406030204" pitchFamily="18" charset="0"/>
                </a:rPr>
                <a:t> @ @ @ @ @                                                                                                                                                     )  }</a:t>
              </a:r>
              <a:endParaRPr lang="ko-KR" altLang="en-US" sz="1100"/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52"/>
  <sheetViews>
    <sheetView showGridLines="0" tabSelected="1" zoomScaleNormal="100" zoomScaleSheetLayoutView="115" workbookViewId="0">
      <selection activeCell="A48" sqref="A48"/>
    </sheetView>
  </sheetViews>
  <sheetFormatPr defaultColWidth="8.109375" defaultRowHeight="12.95" customHeight="1"/>
  <cols>
    <col min="1" max="11" width="8.109375" style="1" customWidth="1"/>
    <col min="12" max="16384" width="8.109375" style="1"/>
  </cols>
  <sheetData>
    <row r="1" spans="1:13" ht="51.95" customHeight="1">
      <c r="A1" s="344" t="s">
        <v>0</v>
      </c>
      <c r="B1" s="345"/>
      <c r="C1" s="345"/>
      <c r="D1" s="345"/>
      <c r="E1" s="345"/>
      <c r="F1" s="345"/>
      <c r="G1" s="345"/>
      <c r="H1" s="346"/>
      <c r="I1" s="347"/>
      <c r="J1" s="348"/>
    </row>
    <row r="2" spans="1:13" ht="12.95" customHeight="1">
      <c r="A2" s="324" t="s">
        <v>1</v>
      </c>
      <c r="B2" s="324"/>
      <c r="C2" s="324"/>
      <c r="D2" s="324"/>
      <c r="E2" s="324"/>
      <c r="F2" s="324"/>
      <c r="G2" s="324"/>
      <c r="H2" s="324"/>
      <c r="I2" s="324"/>
      <c r="J2" s="324"/>
    </row>
    <row r="3" spans="1:13" ht="12.95" customHeight="1">
      <c r="A3" s="325" t="s">
        <v>2</v>
      </c>
      <c r="B3" s="326"/>
      <c r="C3" s="349"/>
      <c r="D3" s="349"/>
      <c r="E3" s="349"/>
      <c r="F3" s="326" t="s">
        <v>3</v>
      </c>
      <c r="G3" s="326"/>
      <c r="H3" s="340"/>
      <c r="I3" s="339"/>
      <c r="J3" s="339"/>
    </row>
    <row r="4" spans="1:13" ht="12.95" customHeight="1">
      <c r="A4" s="326" t="s">
        <v>4</v>
      </c>
      <c r="B4" s="326"/>
      <c r="C4" s="350"/>
      <c r="D4" s="326"/>
      <c r="E4" s="326"/>
      <c r="F4" s="326" t="s">
        <v>5</v>
      </c>
      <c r="G4" s="326"/>
      <c r="H4" s="326"/>
      <c r="I4" s="339"/>
      <c r="J4" s="339"/>
    </row>
    <row r="5" spans="1:13" ht="12.95" customHeight="1">
      <c r="A5" s="326" t="s">
        <v>6</v>
      </c>
      <c r="B5" s="326"/>
      <c r="C5" s="326"/>
      <c r="D5" s="339"/>
      <c r="E5" s="339"/>
      <c r="F5" s="325" t="s">
        <v>7</v>
      </c>
      <c r="G5" s="326"/>
      <c r="H5" s="327"/>
      <c r="I5" s="328"/>
      <c r="J5" s="328"/>
    </row>
    <row r="6" spans="1:13" ht="12.95" customHeight="1">
      <c r="A6" s="326" t="s">
        <v>8</v>
      </c>
      <c r="B6" s="326"/>
      <c r="C6" s="326"/>
      <c r="D6" s="339"/>
      <c r="E6" s="339"/>
      <c r="F6" s="325" t="s">
        <v>9</v>
      </c>
      <c r="G6" s="326"/>
      <c r="H6" s="327"/>
      <c r="I6" s="328"/>
      <c r="J6" s="328"/>
    </row>
    <row r="7" spans="1:13" ht="12.95" customHeight="1">
      <c r="A7" s="326" t="s">
        <v>10</v>
      </c>
      <c r="B7" s="326"/>
      <c r="C7" s="342"/>
      <c r="D7" s="339"/>
      <c r="E7" s="339"/>
      <c r="F7" s="325" t="s">
        <v>11</v>
      </c>
      <c r="G7" s="326"/>
      <c r="H7" s="326"/>
      <c r="I7" s="339"/>
      <c r="J7" s="339"/>
    </row>
    <row r="8" spans="1:13" ht="12.95" customHeight="1">
      <c r="A8" s="326" t="s">
        <v>12</v>
      </c>
      <c r="B8" s="326"/>
      <c r="C8" s="340"/>
      <c r="D8" s="341"/>
      <c r="E8" s="341"/>
      <c r="F8" s="325" t="s">
        <v>13</v>
      </c>
      <c r="G8" s="326"/>
      <c r="H8" s="326"/>
      <c r="I8" s="339"/>
      <c r="J8" s="339"/>
    </row>
    <row r="9" spans="1:13" ht="12.95" customHeight="1">
      <c r="A9" s="325" t="s">
        <v>35</v>
      </c>
      <c r="B9" s="326"/>
      <c r="C9" s="327"/>
      <c r="D9" s="328"/>
      <c r="E9" s="328"/>
      <c r="F9" s="343" t="s">
        <v>14</v>
      </c>
      <c r="G9" s="343"/>
      <c r="H9" s="327"/>
      <c r="I9" s="328"/>
      <c r="J9" s="328"/>
    </row>
    <row r="10" spans="1:13" ht="23.25" customHeight="1">
      <c r="A10" s="326" t="s">
        <v>15</v>
      </c>
      <c r="B10" s="326"/>
      <c r="C10" s="327"/>
      <c r="D10" s="328"/>
      <c r="E10" s="328"/>
      <c r="F10" s="326" t="s">
        <v>16</v>
      </c>
      <c r="G10" s="326"/>
      <c r="H10" s="34"/>
      <c r="I10" s="331" t="s">
        <v>17</v>
      </c>
      <c r="J10" s="332"/>
      <c r="K10" s="4"/>
    </row>
    <row r="11" spans="1:13" ht="12.95" customHeight="1">
      <c r="A11" s="324" t="s">
        <v>18</v>
      </c>
      <c r="B11" s="324"/>
      <c r="C11" s="324"/>
      <c r="D11" s="324"/>
      <c r="E11" s="324"/>
      <c r="F11" s="324"/>
      <c r="G11" s="324"/>
      <c r="H11" s="324"/>
      <c r="I11" s="324"/>
      <c r="J11" s="324"/>
      <c r="K11" s="5"/>
    </row>
    <row r="12" spans="1:13" ht="17.25" customHeight="1">
      <c r="A12" s="3" t="s">
        <v>19</v>
      </c>
      <c r="B12" s="71"/>
      <c r="C12" s="6" t="s">
        <v>20</v>
      </c>
      <c r="D12" s="72"/>
      <c r="E12" s="6" t="s">
        <v>21</v>
      </c>
      <c r="F12" s="73"/>
      <c r="G12" s="333" t="s">
        <v>22</v>
      </c>
      <c r="H12" s="329"/>
      <c r="I12" s="335" t="s">
        <v>23</v>
      </c>
      <c r="J12" s="336"/>
      <c r="K12" s="4"/>
      <c r="L12" s="7"/>
      <c r="M12" s="7"/>
    </row>
    <row r="13" spans="1:13" ht="17.25" customHeight="1">
      <c r="A13" s="8" t="s">
        <v>24</v>
      </c>
      <c r="B13" s="71"/>
      <c r="C13" s="8" t="s">
        <v>25</v>
      </c>
      <c r="D13" s="72"/>
      <c r="E13" s="6" t="s">
        <v>26</v>
      </c>
      <c r="F13" s="73"/>
      <c r="G13" s="334"/>
      <c r="H13" s="330"/>
      <c r="I13" s="337"/>
      <c r="J13" s="338"/>
      <c r="K13" s="5"/>
    </row>
    <row r="14" spans="1:13" ht="12.95" customHeight="1">
      <c r="A14" s="324" t="s">
        <v>27</v>
      </c>
      <c r="B14" s="324"/>
      <c r="C14" s="324"/>
      <c r="D14" s="324"/>
      <c r="E14" s="324"/>
      <c r="F14" s="324"/>
      <c r="G14" s="324"/>
      <c r="H14" s="324"/>
      <c r="I14" s="324"/>
      <c r="J14" s="324"/>
      <c r="K14" s="5"/>
    </row>
    <row r="15" spans="1:13" ht="39" customHeight="1">
      <c r="A15" s="321"/>
      <c r="B15" s="322"/>
      <c r="C15" s="322"/>
      <c r="D15" s="322"/>
      <c r="E15" s="322"/>
      <c r="F15" s="322"/>
      <c r="G15" s="322"/>
      <c r="H15" s="322"/>
      <c r="I15" s="322"/>
      <c r="J15" s="323"/>
    </row>
    <row r="16" spans="1:13" ht="12.95" customHeight="1">
      <c r="A16" s="324" t="s">
        <v>28</v>
      </c>
      <c r="B16" s="324"/>
      <c r="C16" s="324"/>
      <c r="D16" s="324"/>
      <c r="E16" s="324"/>
      <c r="F16" s="324"/>
      <c r="G16" s="324"/>
      <c r="H16" s="324"/>
      <c r="I16" s="324"/>
      <c r="J16" s="324"/>
    </row>
    <row r="17" spans="1:12" ht="12.95" customHeight="1">
      <c r="A17" s="3" t="s">
        <v>29</v>
      </c>
      <c r="B17" s="325" t="s">
        <v>30</v>
      </c>
      <c r="C17" s="326"/>
      <c r="D17" s="326"/>
      <c r="E17" s="326"/>
      <c r="F17" s="325" t="s">
        <v>31</v>
      </c>
      <c r="G17" s="326"/>
      <c r="H17" s="3" t="s">
        <v>10</v>
      </c>
      <c r="I17" s="2" t="s">
        <v>32</v>
      </c>
      <c r="J17" s="2" t="s">
        <v>33</v>
      </c>
      <c r="L17" s="5"/>
    </row>
    <row r="18" spans="1:12" ht="12.95" customHeight="1">
      <c r="A18" s="35"/>
      <c r="B18" s="319"/>
      <c r="C18" s="320"/>
      <c r="D18" s="320"/>
      <c r="E18" s="320"/>
      <c r="F18" s="319"/>
      <c r="G18" s="320"/>
      <c r="H18" s="40"/>
      <c r="I18" s="17"/>
      <c r="J18" s="70"/>
      <c r="L18" s="5"/>
    </row>
    <row r="19" spans="1:12" ht="12.95" customHeight="1">
      <c r="A19" s="35"/>
      <c r="B19" s="319"/>
      <c r="C19" s="320"/>
      <c r="D19" s="320"/>
      <c r="E19" s="320"/>
      <c r="F19" s="319"/>
      <c r="G19" s="320"/>
      <c r="H19" s="20"/>
      <c r="I19" s="20"/>
      <c r="J19" s="70"/>
      <c r="L19" s="5"/>
    </row>
    <row r="20" spans="1:12" ht="12.95" customHeight="1">
      <c r="A20" s="35"/>
      <c r="B20" s="319"/>
      <c r="C20" s="320"/>
      <c r="D20" s="320"/>
      <c r="E20" s="320"/>
      <c r="F20" s="319"/>
      <c r="G20" s="320"/>
      <c r="H20" s="31"/>
      <c r="I20" s="31"/>
      <c r="J20" s="70"/>
      <c r="L20" s="5"/>
    </row>
    <row r="21" spans="1:12" ht="12.95" customHeight="1">
      <c r="A21" s="35"/>
      <c r="B21" s="319"/>
      <c r="C21" s="320"/>
      <c r="D21" s="320"/>
      <c r="E21" s="320"/>
      <c r="F21" s="319"/>
      <c r="G21" s="320"/>
      <c r="H21" s="31"/>
      <c r="I21" s="9"/>
      <c r="J21" s="70"/>
      <c r="L21" s="5"/>
    </row>
    <row r="22" spans="1:12" ht="12.95" customHeight="1">
      <c r="A22" s="35"/>
      <c r="B22" s="319"/>
      <c r="C22" s="320"/>
      <c r="D22" s="320"/>
      <c r="E22" s="320"/>
      <c r="F22" s="319"/>
      <c r="G22" s="320"/>
      <c r="H22" s="19"/>
      <c r="I22" s="11"/>
      <c r="J22" s="70"/>
      <c r="L22" s="5"/>
    </row>
    <row r="23" spans="1:12" ht="12.95" customHeight="1">
      <c r="A23" s="35"/>
      <c r="B23" s="319"/>
      <c r="C23" s="320"/>
      <c r="D23" s="320"/>
      <c r="E23" s="320"/>
      <c r="F23" s="319"/>
      <c r="G23" s="320"/>
      <c r="H23" s="11"/>
      <c r="I23" s="9"/>
      <c r="J23" s="70"/>
      <c r="L23" s="5"/>
    </row>
    <row r="24" spans="1:12" ht="12.95" customHeight="1">
      <c r="A24" s="35"/>
      <c r="B24" s="319"/>
      <c r="C24" s="320"/>
      <c r="D24" s="320"/>
      <c r="E24" s="320"/>
      <c r="F24" s="319"/>
      <c r="G24" s="320"/>
      <c r="H24" s="15"/>
      <c r="I24" s="9"/>
      <c r="J24" s="70"/>
      <c r="L24" s="5"/>
    </row>
    <row r="25" spans="1:12" ht="12.95" customHeight="1">
      <c r="A25" s="35"/>
      <c r="B25" s="319"/>
      <c r="C25" s="320"/>
      <c r="D25" s="320"/>
      <c r="E25" s="320"/>
      <c r="F25" s="319"/>
      <c r="G25" s="320"/>
      <c r="H25" s="15"/>
      <c r="I25" s="9"/>
      <c r="J25" s="70"/>
      <c r="L25" s="5"/>
    </row>
    <row r="26" spans="1:12" ht="12.95" customHeight="1">
      <c r="A26" s="35"/>
      <c r="B26" s="319"/>
      <c r="C26" s="320"/>
      <c r="D26" s="320"/>
      <c r="E26" s="320"/>
      <c r="F26" s="319"/>
      <c r="G26" s="320"/>
      <c r="H26" s="15"/>
      <c r="I26" s="9"/>
      <c r="J26" s="70"/>
      <c r="L26" s="5"/>
    </row>
    <row r="27" spans="1:12" ht="12.95" customHeight="1">
      <c r="A27" s="35"/>
      <c r="B27" s="319"/>
      <c r="C27" s="320"/>
      <c r="D27" s="320"/>
      <c r="E27" s="320"/>
      <c r="F27" s="319"/>
      <c r="G27" s="320"/>
      <c r="H27" s="9"/>
      <c r="I27" s="9"/>
      <c r="J27" s="70"/>
    </row>
    <row r="28" spans="1:12" ht="12.95" customHeight="1">
      <c r="A28" s="35"/>
      <c r="B28" s="319"/>
      <c r="C28" s="320"/>
      <c r="D28" s="320"/>
      <c r="E28" s="320"/>
      <c r="F28" s="319"/>
      <c r="G28" s="320"/>
      <c r="H28" s="9"/>
      <c r="I28" s="9"/>
      <c r="J28" s="70"/>
    </row>
    <row r="29" spans="1:12" ht="12.95" customHeight="1">
      <c r="A29" s="35"/>
      <c r="B29" s="319"/>
      <c r="C29" s="320"/>
      <c r="D29" s="320"/>
      <c r="E29" s="320"/>
      <c r="F29" s="319"/>
      <c r="G29" s="320"/>
      <c r="H29" s="9"/>
      <c r="I29" s="9"/>
      <c r="J29" s="70"/>
    </row>
    <row r="30" spans="1:12" ht="12.95" customHeight="1">
      <c r="A30" s="35"/>
      <c r="B30" s="319"/>
      <c r="C30" s="320"/>
      <c r="D30" s="320"/>
      <c r="E30" s="320"/>
      <c r="F30" s="319"/>
      <c r="G30" s="320"/>
      <c r="H30" s="9"/>
      <c r="I30" s="9"/>
      <c r="J30" s="70"/>
    </row>
    <row r="31" spans="1:12" ht="12.95" customHeight="1">
      <c r="A31" s="35"/>
      <c r="B31" s="319"/>
      <c r="C31" s="320"/>
      <c r="D31" s="320"/>
      <c r="E31" s="320"/>
      <c r="F31" s="319"/>
      <c r="G31" s="320"/>
      <c r="H31" s="9"/>
      <c r="I31" s="9"/>
      <c r="J31" s="70"/>
    </row>
    <row r="32" spans="1:12" ht="12.95" customHeight="1">
      <c r="A32" s="35"/>
      <c r="B32" s="319"/>
      <c r="C32" s="320"/>
      <c r="D32" s="320"/>
      <c r="E32" s="320"/>
      <c r="F32" s="319"/>
      <c r="G32" s="320"/>
      <c r="H32" s="9"/>
      <c r="I32" s="9"/>
      <c r="J32" s="70"/>
    </row>
    <row r="33" spans="1:10" ht="12.95" customHeight="1">
      <c r="A33" s="35"/>
      <c r="B33" s="319"/>
      <c r="C33" s="320"/>
      <c r="D33" s="320"/>
      <c r="E33" s="320"/>
      <c r="F33" s="319"/>
      <c r="G33" s="320"/>
      <c r="H33" s="9"/>
      <c r="I33" s="9"/>
      <c r="J33" s="70"/>
    </row>
    <row r="34" spans="1:10" ht="12.95" customHeight="1">
      <c r="A34" s="35"/>
      <c r="B34" s="319"/>
      <c r="C34" s="320"/>
      <c r="D34" s="320"/>
      <c r="E34" s="320"/>
      <c r="F34" s="319"/>
      <c r="G34" s="320"/>
      <c r="H34" s="9"/>
      <c r="I34" s="9"/>
      <c r="J34" s="70"/>
    </row>
    <row r="35" spans="1:10" ht="12.95" customHeight="1">
      <c r="A35" s="35"/>
      <c r="B35" s="319"/>
      <c r="C35" s="320"/>
      <c r="D35" s="320"/>
      <c r="E35" s="320"/>
      <c r="F35" s="319"/>
      <c r="G35" s="320"/>
      <c r="H35" s="9"/>
      <c r="I35" s="9"/>
      <c r="J35" s="70"/>
    </row>
    <row r="36" spans="1:10" ht="12.95" customHeight="1">
      <c r="A36" s="35"/>
      <c r="B36" s="319"/>
      <c r="C36" s="320"/>
      <c r="D36" s="320"/>
      <c r="E36" s="320"/>
      <c r="F36" s="319"/>
      <c r="G36" s="320"/>
      <c r="H36" s="9"/>
      <c r="I36" s="9"/>
      <c r="J36" s="70"/>
    </row>
    <row r="37" spans="1:10" ht="12.95" customHeight="1">
      <c r="A37" s="35"/>
      <c r="B37" s="319"/>
      <c r="C37" s="320"/>
      <c r="D37" s="320"/>
      <c r="E37" s="320"/>
      <c r="F37" s="319"/>
      <c r="G37" s="320"/>
      <c r="H37" s="9"/>
      <c r="I37" s="9"/>
      <c r="J37" s="70"/>
    </row>
    <row r="38" spans="1:10" ht="12.95" customHeight="1">
      <c r="A38" s="39" t="s">
        <v>36</v>
      </c>
      <c r="B38" s="5"/>
      <c r="C38" s="5"/>
      <c r="D38" s="5"/>
      <c r="E38" s="5"/>
      <c r="J38" s="10"/>
    </row>
    <row r="39" spans="1:10" ht="12.95" customHeight="1">
      <c r="A39" s="305" t="s">
        <v>37</v>
      </c>
      <c r="B39" s="305"/>
      <c r="C39" s="305"/>
      <c r="D39" s="305"/>
      <c r="E39" s="305"/>
      <c r="F39" s="306" t="s">
        <v>38</v>
      </c>
      <c r="G39" s="309"/>
      <c r="H39" s="310"/>
      <c r="I39" s="310"/>
      <c r="J39" s="311"/>
    </row>
    <row r="40" spans="1:10" ht="12.95" customHeight="1">
      <c r="A40" s="305" t="s">
        <v>39</v>
      </c>
      <c r="B40" s="305"/>
      <c r="C40" s="305"/>
      <c r="D40" s="305"/>
      <c r="E40" s="305"/>
      <c r="F40" s="307"/>
      <c r="G40" s="312"/>
      <c r="H40" s="313"/>
      <c r="I40" s="313"/>
      <c r="J40" s="314"/>
    </row>
    <row r="41" spans="1:10" ht="12.95" customHeight="1">
      <c r="A41" s="305" t="s">
        <v>40</v>
      </c>
      <c r="B41" s="305"/>
      <c r="C41" s="305"/>
      <c r="D41" s="305"/>
      <c r="E41" s="305"/>
      <c r="F41" s="307"/>
      <c r="G41" s="312"/>
      <c r="H41" s="313"/>
      <c r="I41" s="313"/>
      <c r="J41" s="314"/>
    </row>
    <row r="42" spans="1:10" ht="12.95" customHeight="1">
      <c r="A42" s="305" t="s">
        <v>41</v>
      </c>
      <c r="B42" s="305"/>
      <c r="C42" s="318" t="s">
        <v>42</v>
      </c>
      <c r="D42" s="318"/>
      <c r="E42" s="318"/>
      <c r="F42" s="308"/>
      <c r="G42" s="315"/>
      <c r="H42" s="316"/>
      <c r="I42" s="316"/>
      <c r="J42" s="317"/>
    </row>
    <row r="43" spans="1:10" ht="12.95" customHeight="1">
      <c r="A43" s="304" t="s">
        <v>49</v>
      </c>
      <c r="B43" s="304"/>
      <c r="C43" s="304" t="e">
        <f ca="1">Calcu!H3</f>
        <v>#N/A</v>
      </c>
      <c r="D43" s="304"/>
      <c r="E43" s="304"/>
    </row>
    <row r="46" spans="1:10" ht="12.95" customHeight="1">
      <c r="B46" s="1" t="s">
        <v>86</v>
      </c>
    </row>
    <row r="47" spans="1:10" ht="12.95" customHeight="1">
      <c r="B47" s="1" t="s">
        <v>87</v>
      </c>
    </row>
    <row r="48" spans="1:10" ht="12.95" customHeight="1">
      <c r="A48" s="1">
        <f>Calcu!P73</f>
        <v>100500</v>
      </c>
      <c r="B48" s="1" t="s">
        <v>88</v>
      </c>
    </row>
    <row r="49" spans="1:2" ht="12.95" customHeight="1">
      <c r="A49" s="91"/>
    </row>
    <row r="50" spans="1:2" ht="12.95" customHeight="1">
      <c r="A50" s="1" t="str">
        <f>Calcu!I3</f>
        <v>PASS</v>
      </c>
      <c r="B50" s="1" t="s">
        <v>89</v>
      </c>
    </row>
    <row r="52" spans="1:2" ht="12.95" customHeight="1">
      <c r="B52" s="159" t="s">
        <v>160</v>
      </c>
    </row>
  </sheetData>
  <sheetProtection selectLockedCells="1"/>
  <mergeCells count="95">
    <mergeCell ref="A4:B4"/>
    <mergeCell ref="C4:E4"/>
    <mergeCell ref="F4:G4"/>
    <mergeCell ref="H4:J4"/>
    <mergeCell ref="A5:B5"/>
    <mergeCell ref="C5:E5"/>
    <mergeCell ref="F5:G5"/>
    <mergeCell ref="H5:J5"/>
    <mergeCell ref="A1:J1"/>
    <mergeCell ref="A2:J2"/>
    <mergeCell ref="A3:B3"/>
    <mergeCell ref="C3:E3"/>
    <mergeCell ref="F3:G3"/>
    <mergeCell ref="H3:J3"/>
    <mergeCell ref="A6:B6"/>
    <mergeCell ref="C6:E6"/>
    <mergeCell ref="F6:G6"/>
    <mergeCell ref="H6:J6"/>
    <mergeCell ref="F10:G10"/>
    <mergeCell ref="A8:B8"/>
    <mergeCell ref="C8:E8"/>
    <mergeCell ref="F8:G8"/>
    <mergeCell ref="H8:J8"/>
    <mergeCell ref="A9:B9"/>
    <mergeCell ref="A7:B7"/>
    <mergeCell ref="C7:E7"/>
    <mergeCell ref="F7:G7"/>
    <mergeCell ref="H7:J7"/>
    <mergeCell ref="C9:E9"/>
    <mergeCell ref="F9:G9"/>
    <mergeCell ref="B22:E22"/>
    <mergeCell ref="F22:G22"/>
    <mergeCell ref="B20:E20"/>
    <mergeCell ref="F18:G18"/>
    <mergeCell ref="F19:G19"/>
    <mergeCell ref="B18:E18"/>
    <mergeCell ref="B19:E19"/>
    <mergeCell ref="F20:G20"/>
    <mergeCell ref="B21:E21"/>
    <mergeCell ref="F21:G21"/>
    <mergeCell ref="A15:J15"/>
    <mergeCell ref="A16:J16"/>
    <mergeCell ref="B17:E17"/>
    <mergeCell ref="H9:J9"/>
    <mergeCell ref="F17:G17"/>
    <mergeCell ref="C10:E10"/>
    <mergeCell ref="A10:B10"/>
    <mergeCell ref="H12:H13"/>
    <mergeCell ref="A14:J14"/>
    <mergeCell ref="I10:J10"/>
    <mergeCell ref="A11:J11"/>
    <mergeCell ref="G12:G13"/>
    <mergeCell ref="I12:J13"/>
    <mergeCell ref="B32:E32"/>
    <mergeCell ref="F32:G32"/>
    <mergeCell ref="B31:E31"/>
    <mergeCell ref="F24:G24"/>
    <mergeCell ref="B25:E25"/>
    <mergeCell ref="F25:G25"/>
    <mergeCell ref="B26:E26"/>
    <mergeCell ref="B27:E27"/>
    <mergeCell ref="F27:G27"/>
    <mergeCell ref="B29:E29"/>
    <mergeCell ref="F29:G29"/>
    <mergeCell ref="B30:E30"/>
    <mergeCell ref="B24:E24"/>
    <mergeCell ref="F30:G30"/>
    <mergeCell ref="B23:E23"/>
    <mergeCell ref="F23:G23"/>
    <mergeCell ref="F26:G26"/>
    <mergeCell ref="B37:E37"/>
    <mergeCell ref="F37:G37"/>
    <mergeCell ref="B34:E34"/>
    <mergeCell ref="F34:G34"/>
    <mergeCell ref="B35:E35"/>
    <mergeCell ref="B36:E36"/>
    <mergeCell ref="F35:G35"/>
    <mergeCell ref="F36:G36"/>
    <mergeCell ref="B33:E33"/>
    <mergeCell ref="F33:G33"/>
    <mergeCell ref="B28:E28"/>
    <mergeCell ref="F28:G28"/>
    <mergeCell ref="F31:G31"/>
    <mergeCell ref="G39:J42"/>
    <mergeCell ref="A40:B40"/>
    <mergeCell ref="C40:E40"/>
    <mergeCell ref="A41:B41"/>
    <mergeCell ref="C41:E41"/>
    <mergeCell ref="A42:B42"/>
    <mergeCell ref="C42:E42"/>
    <mergeCell ref="A43:B43"/>
    <mergeCell ref="C43:E43"/>
    <mergeCell ref="A39:B39"/>
    <mergeCell ref="C39:E39"/>
    <mergeCell ref="F39:F42"/>
  </mergeCells>
  <phoneticPr fontId="4" type="noConversion"/>
  <dataValidations disablePrompts="1" count="1">
    <dataValidation type="list" allowBlank="1" showInputMessage="1" showErrorMessage="1" sqref="C42:E42">
      <formula1>"확인전,확인완료,수정"</formula1>
    </dataValidation>
  </dataValidations>
  <pageMargins left="0.39370078740157483" right="0.35433070866141736" top="0.39370078740157483" bottom="0.59055118110236227" header="0" footer="0.31496062992125984"/>
  <pageSetup paperSize="9" orientation="portrait" r:id="rId1"/>
  <headerFooter alignWithMargins="0">
    <oddFooter>&amp;R&amp;"휴먼엑스포,보통"&amp;9(주)에이치시티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J1"/>
  <sheetViews>
    <sheetView workbookViewId="0"/>
  </sheetViews>
  <sheetFormatPr defaultColWidth="8.88671875" defaultRowHeight="12"/>
  <cols>
    <col min="1" max="1" width="5.21875" style="79" bestFit="1" customWidth="1"/>
    <col min="2" max="2" width="6.6640625" style="79" bestFit="1" customWidth="1"/>
    <col min="3" max="3" width="14.88671875" style="79" bestFit="1" customWidth="1"/>
    <col min="4" max="4" width="4.44140625" style="79" bestFit="1" customWidth="1"/>
    <col min="5" max="5" width="3.6640625" style="79" bestFit="1" customWidth="1"/>
    <col min="6" max="6" width="4.88671875" style="79" bestFit="1" customWidth="1"/>
    <col min="7" max="13" width="1.77734375" style="79" customWidth="1"/>
    <col min="14" max="15" width="5.33203125" style="79" bestFit="1" customWidth="1"/>
    <col min="16" max="16" width="8.33203125" style="79" bestFit="1" customWidth="1"/>
    <col min="17" max="17" width="4" style="79" bestFit="1" customWidth="1"/>
    <col min="18" max="18" width="5.33203125" style="79" bestFit="1" customWidth="1"/>
    <col min="19" max="19" width="4" style="79" bestFit="1" customWidth="1"/>
    <col min="20" max="21" width="6.5546875" style="79" bestFit="1" customWidth="1"/>
    <col min="22" max="22" width="8.44140625" style="79" bestFit="1" customWidth="1"/>
    <col min="23" max="23" width="6.6640625" style="79" bestFit="1" customWidth="1"/>
    <col min="24" max="24" width="5.33203125" style="79" bestFit="1" customWidth="1"/>
    <col min="25" max="25" width="8.33203125" style="79" bestFit="1" customWidth="1"/>
    <col min="26" max="26" width="4" style="79" bestFit="1" customWidth="1"/>
    <col min="27" max="27" width="3.6640625" style="79" bestFit="1" customWidth="1"/>
    <col min="28" max="28" width="5.33203125" style="79" bestFit="1" customWidth="1"/>
    <col min="29" max="29" width="2.109375" style="79" bestFit="1" customWidth="1"/>
    <col min="30" max="32" width="5" style="79" bestFit="1" customWidth="1"/>
    <col min="33" max="34" width="1.77734375" style="79" customWidth="1"/>
    <col min="35" max="35" width="7.5546875" style="79" bestFit="1" customWidth="1"/>
    <col min="36" max="36" width="7.21875" style="79" bestFit="1" customWidth="1"/>
    <col min="37" max="16384" width="8.88671875" style="79"/>
  </cols>
  <sheetData>
    <row r="1" spans="1:36">
      <c r="A1" s="98" t="s">
        <v>171</v>
      </c>
      <c r="B1" s="98" t="s">
        <v>60</v>
      </c>
      <c r="C1" s="98" t="s">
        <v>61</v>
      </c>
      <c r="D1" s="98"/>
      <c r="E1" s="98"/>
      <c r="F1" s="98"/>
      <c r="G1" s="98"/>
      <c r="H1" s="98"/>
      <c r="I1" s="98"/>
      <c r="J1" s="98"/>
      <c r="K1" s="98"/>
      <c r="L1" s="98"/>
      <c r="M1" s="98"/>
      <c r="N1" s="98" t="s">
        <v>75</v>
      </c>
      <c r="O1" s="98" t="s">
        <v>172</v>
      </c>
      <c r="P1" s="98" t="s">
        <v>173</v>
      </c>
      <c r="Q1" s="98" t="s">
        <v>174</v>
      </c>
      <c r="R1" s="98" t="s">
        <v>175</v>
      </c>
      <c r="S1" s="98" t="s">
        <v>174</v>
      </c>
      <c r="T1" s="98" t="s">
        <v>176</v>
      </c>
      <c r="U1" s="98" t="s">
        <v>76</v>
      </c>
      <c r="V1" s="98" t="s">
        <v>177</v>
      </c>
      <c r="W1" s="98" t="s">
        <v>62</v>
      </c>
      <c r="X1" s="98" t="s">
        <v>178</v>
      </c>
      <c r="Y1" s="98" t="s">
        <v>179</v>
      </c>
      <c r="Z1" s="98" t="s">
        <v>180</v>
      </c>
      <c r="AA1" s="98" t="s">
        <v>181</v>
      </c>
      <c r="AB1" s="98" t="s">
        <v>182</v>
      </c>
      <c r="AC1" s="550" t="s">
        <v>183</v>
      </c>
      <c r="AD1" s="551"/>
      <c r="AE1" s="551"/>
      <c r="AF1" s="551"/>
      <c r="AG1" s="551"/>
      <c r="AH1" s="552"/>
      <c r="AI1" s="98" t="s">
        <v>184</v>
      </c>
      <c r="AJ1" s="98" t="s">
        <v>85</v>
      </c>
    </row>
  </sheetData>
  <mergeCells count="1">
    <mergeCell ref="AC1:AH1"/>
  </mergeCells>
  <phoneticPr fontId="4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K73"/>
  <sheetViews>
    <sheetView zoomScaleNormal="100" workbookViewId="0"/>
  </sheetViews>
  <sheetFormatPr defaultColWidth="9" defaultRowHeight="17.100000000000001" customHeight="1"/>
  <cols>
    <col min="1" max="36" width="10.44140625" style="32" customWidth="1"/>
    <col min="37" max="16384" width="9" style="32"/>
  </cols>
  <sheetData>
    <row r="1" spans="1:19" s="12" customFormat="1" ht="33" customHeight="1">
      <c r="A1" s="14" t="s">
        <v>70</v>
      </c>
    </row>
    <row r="2" spans="1:19" s="12" customFormat="1" ht="17.100000000000001" customHeight="1">
      <c r="A2" s="16" t="s">
        <v>43</v>
      </c>
      <c r="B2" s="16"/>
      <c r="C2" s="80" t="s">
        <v>57</v>
      </c>
      <c r="F2" s="80" t="s">
        <v>91</v>
      </c>
      <c r="J2" s="16" t="s">
        <v>44</v>
      </c>
      <c r="M2" s="16" t="s">
        <v>162</v>
      </c>
      <c r="R2" s="16" t="s">
        <v>161</v>
      </c>
    </row>
    <row r="3" spans="1:19" s="12" customFormat="1" ht="13.5">
      <c r="A3" s="13" t="s">
        <v>90</v>
      </c>
      <c r="B3" s="13" t="s">
        <v>56</v>
      </c>
      <c r="C3" s="13" t="s">
        <v>52</v>
      </c>
      <c r="D3" s="13" t="s">
        <v>53</v>
      </c>
      <c r="E3" s="13" t="s">
        <v>48</v>
      </c>
      <c r="F3" s="13" t="s">
        <v>92</v>
      </c>
      <c r="G3" s="13" t="s">
        <v>93</v>
      </c>
      <c r="H3" s="13" t="s">
        <v>94</v>
      </c>
      <c r="I3" s="13" t="s">
        <v>95</v>
      </c>
      <c r="J3" s="13" t="s">
        <v>45</v>
      </c>
      <c r="K3" s="41" t="s">
        <v>46</v>
      </c>
      <c r="L3" s="41" t="s">
        <v>47</v>
      </c>
      <c r="M3" s="41" t="s">
        <v>58</v>
      </c>
      <c r="N3" s="41" t="s">
        <v>59</v>
      </c>
      <c r="O3" s="93" t="s">
        <v>71</v>
      </c>
      <c r="P3" s="93" t="s">
        <v>72</v>
      </c>
      <c r="Q3" s="41" t="s">
        <v>73</v>
      </c>
      <c r="R3" s="41" t="s">
        <v>163</v>
      </c>
      <c r="S3" s="41" t="s">
        <v>164</v>
      </c>
    </row>
    <row r="4" spans="1:19" s="12" customFormat="1" ht="17.100000000000001" customHeight="1">
      <c r="A4" s="33"/>
      <c r="B4" s="92"/>
      <c r="C4" s="22"/>
      <c r="D4" s="54"/>
      <c r="E4" s="42"/>
      <c r="F4" s="127"/>
      <c r="G4" s="127"/>
      <c r="H4" s="127"/>
      <c r="I4" s="127"/>
      <c r="J4" s="22"/>
      <c r="K4" s="22"/>
      <c r="L4" s="22"/>
      <c r="M4" s="22"/>
      <c r="N4" s="22"/>
      <c r="O4" s="94"/>
      <c r="P4" s="94"/>
      <c r="Q4" s="22"/>
      <c r="R4" s="22"/>
      <c r="S4" s="22"/>
    </row>
    <row r="5" spans="1:19" s="12" customFormat="1" ht="17.100000000000001" customHeight="1">
      <c r="A5" s="33"/>
      <c r="B5" s="92"/>
      <c r="C5" s="22"/>
      <c r="D5" s="54"/>
      <c r="E5" s="42"/>
      <c r="F5" s="127"/>
      <c r="G5" s="127"/>
      <c r="H5" s="127"/>
      <c r="I5" s="127"/>
      <c r="J5" s="22"/>
      <c r="K5" s="23"/>
      <c r="L5" s="23"/>
      <c r="M5" s="23"/>
      <c r="N5" s="23"/>
      <c r="O5" s="95"/>
      <c r="P5" s="95"/>
      <c r="Q5" s="23"/>
      <c r="R5" s="23"/>
      <c r="S5" s="23"/>
    </row>
    <row r="6" spans="1:19" s="12" customFormat="1" ht="17.100000000000001" customHeight="1">
      <c r="A6" s="33"/>
      <c r="B6" s="92"/>
      <c r="C6" s="22"/>
      <c r="D6" s="54"/>
      <c r="E6" s="42"/>
      <c r="F6" s="127"/>
      <c r="G6" s="127"/>
      <c r="H6" s="127"/>
      <c r="I6" s="127"/>
      <c r="J6" s="22"/>
      <c r="K6" s="23"/>
      <c r="L6" s="23"/>
      <c r="M6" s="23"/>
      <c r="N6" s="23"/>
      <c r="O6" s="95"/>
      <c r="P6" s="95"/>
      <c r="Q6" s="23"/>
      <c r="R6" s="23"/>
      <c r="S6" s="23"/>
    </row>
    <row r="7" spans="1:19" s="12" customFormat="1" ht="17.100000000000001" customHeight="1">
      <c r="A7" s="33"/>
      <c r="B7" s="92"/>
      <c r="C7" s="22"/>
      <c r="D7" s="54"/>
      <c r="E7" s="42"/>
      <c r="F7" s="127"/>
      <c r="G7" s="127"/>
      <c r="H7" s="127"/>
      <c r="I7" s="127"/>
      <c r="J7" s="22"/>
      <c r="K7" s="23"/>
      <c r="L7" s="23"/>
      <c r="M7" s="23"/>
      <c r="N7" s="23"/>
      <c r="O7" s="95"/>
      <c r="P7" s="95"/>
      <c r="Q7" s="23"/>
      <c r="R7" s="23"/>
      <c r="S7" s="23"/>
    </row>
    <row r="8" spans="1:19" s="12" customFormat="1" ht="17.100000000000001" customHeight="1">
      <c r="A8" s="33"/>
      <c r="B8" s="92"/>
      <c r="C8" s="22"/>
      <c r="D8" s="54"/>
      <c r="E8" s="42"/>
      <c r="F8" s="127"/>
      <c r="G8" s="127"/>
      <c r="H8" s="127"/>
      <c r="I8" s="127"/>
      <c r="J8" s="22"/>
      <c r="K8" s="23"/>
      <c r="L8" s="23"/>
      <c r="M8" s="23"/>
      <c r="N8" s="23"/>
      <c r="O8" s="95"/>
      <c r="P8" s="95"/>
      <c r="Q8" s="23"/>
      <c r="R8" s="23"/>
      <c r="S8" s="23"/>
    </row>
    <row r="9" spans="1:19" s="12" customFormat="1" ht="17.100000000000001" customHeight="1">
      <c r="A9" s="33"/>
      <c r="B9" s="92"/>
      <c r="C9" s="22"/>
      <c r="D9" s="54"/>
      <c r="E9" s="42"/>
      <c r="F9" s="127"/>
      <c r="G9" s="127"/>
      <c r="H9" s="127"/>
      <c r="I9" s="127"/>
      <c r="J9" s="22"/>
      <c r="K9" s="23"/>
      <c r="L9" s="23"/>
      <c r="M9" s="23"/>
      <c r="N9" s="23"/>
      <c r="O9" s="95"/>
      <c r="P9" s="95"/>
      <c r="Q9" s="23"/>
      <c r="R9" s="23"/>
      <c r="S9" s="23"/>
    </row>
    <row r="10" spans="1:19" s="12" customFormat="1" ht="17.100000000000001" customHeight="1">
      <c r="A10" s="33"/>
      <c r="B10" s="92"/>
      <c r="C10" s="22"/>
      <c r="D10" s="54"/>
      <c r="E10" s="42"/>
      <c r="F10" s="127"/>
      <c r="G10" s="127"/>
      <c r="H10" s="127"/>
      <c r="I10" s="127"/>
      <c r="J10" s="22"/>
      <c r="K10" s="23"/>
      <c r="L10" s="23"/>
      <c r="M10" s="23"/>
      <c r="N10" s="23"/>
      <c r="O10" s="95"/>
      <c r="P10" s="95"/>
      <c r="Q10" s="23"/>
      <c r="R10" s="23"/>
      <c r="S10" s="23"/>
    </row>
    <row r="11" spans="1:19" s="12" customFormat="1" ht="17.100000000000001" customHeight="1">
      <c r="A11" s="33"/>
      <c r="B11" s="92"/>
      <c r="C11" s="22"/>
      <c r="D11" s="54"/>
      <c r="E11" s="42"/>
      <c r="F11" s="127"/>
      <c r="G11" s="127"/>
      <c r="H11" s="127"/>
      <c r="I11" s="127"/>
      <c r="J11" s="22"/>
      <c r="K11" s="23"/>
      <c r="L11" s="23"/>
      <c r="M11" s="23"/>
      <c r="N11" s="23"/>
      <c r="O11" s="95"/>
      <c r="P11" s="95"/>
      <c r="Q11" s="23"/>
      <c r="R11" s="23"/>
      <c r="S11" s="23"/>
    </row>
    <row r="12" spans="1:19" s="12" customFormat="1" ht="17.100000000000001" customHeight="1">
      <c r="A12" s="33"/>
      <c r="B12" s="92"/>
      <c r="C12" s="22"/>
      <c r="D12" s="54"/>
      <c r="E12" s="42"/>
      <c r="F12" s="127"/>
      <c r="G12" s="127"/>
      <c r="H12" s="127"/>
      <c r="I12" s="127"/>
      <c r="J12" s="22"/>
      <c r="K12" s="23"/>
      <c r="L12" s="23"/>
      <c r="M12" s="23"/>
      <c r="N12" s="23"/>
      <c r="O12" s="95"/>
      <c r="P12" s="95"/>
      <c r="Q12" s="23"/>
      <c r="R12" s="23"/>
      <c r="S12" s="23"/>
    </row>
    <row r="13" spans="1:19" s="12" customFormat="1" ht="17.100000000000001" customHeight="1">
      <c r="A13" s="33"/>
      <c r="B13" s="92"/>
      <c r="C13" s="22"/>
      <c r="D13" s="54"/>
      <c r="E13" s="42"/>
      <c r="F13" s="127"/>
      <c r="G13" s="127"/>
      <c r="H13" s="127"/>
      <c r="I13" s="127"/>
      <c r="J13" s="22"/>
      <c r="K13" s="23"/>
      <c r="L13" s="23"/>
      <c r="M13" s="23"/>
      <c r="N13" s="23"/>
      <c r="O13" s="95"/>
      <c r="P13" s="95"/>
      <c r="Q13" s="23"/>
      <c r="R13" s="23"/>
      <c r="S13" s="23"/>
    </row>
    <row r="14" spans="1:19" s="12" customFormat="1" ht="17.100000000000001" customHeight="1">
      <c r="A14" s="33"/>
      <c r="B14" s="92"/>
      <c r="C14" s="22"/>
      <c r="D14" s="54"/>
      <c r="E14" s="42"/>
      <c r="F14" s="127"/>
      <c r="G14" s="127"/>
      <c r="H14" s="127"/>
      <c r="I14" s="127"/>
      <c r="J14" s="22"/>
      <c r="K14" s="23"/>
      <c r="L14" s="23"/>
      <c r="M14" s="23"/>
      <c r="N14" s="23"/>
      <c r="O14" s="95"/>
      <c r="P14" s="95"/>
      <c r="Q14" s="23"/>
      <c r="R14" s="23"/>
      <c r="S14" s="23"/>
    </row>
    <row r="15" spans="1:19" s="12" customFormat="1" ht="17.100000000000001" customHeight="1">
      <c r="A15" s="33"/>
      <c r="B15" s="92"/>
      <c r="C15" s="22"/>
      <c r="D15" s="54"/>
      <c r="E15" s="42"/>
      <c r="F15" s="127"/>
      <c r="G15" s="127"/>
      <c r="H15" s="127"/>
      <c r="I15" s="127"/>
      <c r="J15" s="23"/>
      <c r="K15" s="23"/>
      <c r="L15" s="23"/>
      <c r="M15" s="23"/>
      <c r="N15" s="23"/>
      <c r="O15" s="95"/>
      <c r="P15" s="95"/>
      <c r="Q15" s="23"/>
      <c r="R15" s="23"/>
      <c r="S15" s="23"/>
    </row>
    <row r="16" spans="1:19" s="12" customFormat="1" ht="17.100000000000001" customHeight="1">
      <c r="A16" s="33"/>
      <c r="B16" s="92"/>
      <c r="C16" s="22"/>
      <c r="D16" s="54"/>
      <c r="E16" s="42"/>
      <c r="F16" s="127"/>
      <c r="G16" s="127"/>
      <c r="H16" s="127"/>
      <c r="I16" s="127"/>
      <c r="J16" s="23"/>
      <c r="K16" s="23"/>
      <c r="L16" s="23"/>
      <c r="M16" s="23"/>
      <c r="N16" s="23"/>
      <c r="O16" s="95"/>
      <c r="P16" s="95"/>
      <c r="Q16" s="23"/>
      <c r="R16" s="23"/>
      <c r="S16" s="23"/>
    </row>
    <row r="17" spans="1:27" s="12" customFormat="1" ht="17.100000000000001" customHeight="1">
      <c r="A17" s="33"/>
      <c r="B17" s="92"/>
      <c r="C17" s="22"/>
      <c r="D17" s="54"/>
      <c r="E17" s="42"/>
      <c r="F17" s="127"/>
      <c r="G17" s="127"/>
      <c r="H17" s="127"/>
      <c r="I17" s="127"/>
      <c r="J17" s="23"/>
      <c r="K17" s="23"/>
      <c r="L17" s="23"/>
      <c r="M17" s="23"/>
      <c r="N17" s="23"/>
      <c r="O17" s="95"/>
      <c r="P17" s="95"/>
      <c r="Q17" s="23"/>
      <c r="R17" s="23"/>
      <c r="S17" s="23"/>
    </row>
    <row r="18" spans="1:27" s="12" customFormat="1" ht="17.100000000000001" customHeight="1">
      <c r="A18" s="33"/>
      <c r="B18" s="92"/>
      <c r="C18" s="22"/>
      <c r="D18" s="54"/>
      <c r="E18" s="42"/>
      <c r="F18" s="127"/>
      <c r="G18" s="127"/>
      <c r="H18" s="127"/>
      <c r="I18" s="127"/>
      <c r="J18" s="23"/>
      <c r="K18" s="23"/>
      <c r="L18" s="23"/>
      <c r="M18" s="23"/>
      <c r="N18" s="23"/>
      <c r="O18" s="95"/>
      <c r="P18" s="95"/>
      <c r="Q18" s="23"/>
      <c r="R18" s="23"/>
      <c r="S18" s="23"/>
    </row>
    <row r="19" spans="1:27" s="12" customFormat="1" ht="17.100000000000001" customHeight="1">
      <c r="A19" s="92"/>
      <c r="B19" s="92"/>
      <c r="C19" s="94"/>
      <c r="D19" s="94"/>
      <c r="E19" s="94"/>
      <c r="F19" s="127"/>
      <c r="G19" s="127"/>
      <c r="H19" s="127"/>
      <c r="I19" s="127"/>
      <c r="J19" s="95"/>
      <c r="K19" s="95"/>
      <c r="L19" s="95"/>
      <c r="M19" s="95"/>
      <c r="N19" s="95"/>
      <c r="O19" s="95"/>
      <c r="P19" s="95"/>
      <c r="Q19" s="95"/>
      <c r="R19" s="95"/>
      <c r="S19" s="95"/>
    </row>
    <row r="20" spans="1:27" s="12" customFormat="1" ht="17.100000000000001" customHeight="1">
      <c r="A20" s="92"/>
      <c r="B20" s="92"/>
      <c r="C20" s="94"/>
      <c r="D20" s="94"/>
      <c r="E20" s="94"/>
      <c r="F20" s="127"/>
      <c r="G20" s="127"/>
      <c r="H20" s="127"/>
      <c r="I20" s="127"/>
      <c r="J20" s="95"/>
      <c r="K20" s="95"/>
      <c r="L20" s="95"/>
      <c r="M20" s="95"/>
      <c r="N20" s="95"/>
      <c r="O20" s="95"/>
      <c r="P20" s="95"/>
      <c r="Q20" s="95"/>
      <c r="R20" s="95"/>
      <c r="S20" s="95"/>
    </row>
    <row r="21" spans="1:27" s="12" customFormat="1" ht="17.100000000000001" customHeight="1">
      <c r="A21" s="92"/>
      <c r="B21" s="92"/>
      <c r="C21" s="94"/>
      <c r="D21" s="94"/>
      <c r="E21" s="94"/>
      <c r="F21" s="127"/>
      <c r="G21" s="127"/>
      <c r="H21" s="127"/>
      <c r="I21" s="127"/>
      <c r="J21" s="95"/>
      <c r="K21" s="95"/>
      <c r="L21" s="95"/>
      <c r="M21" s="95"/>
      <c r="N21" s="95"/>
      <c r="O21" s="95"/>
      <c r="P21" s="95"/>
      <c r="Q21" s="95"/>
      <c r="R21" s="95"/>
      <c r="S21" s="95"/>
    </row>
    <row r="22" spans="1:27" s="12" customFormat="1" ht="17.100000000000001" customHeight="1">
      <c r="A22" s="92"/>
      <c r="B22" s="92"/>
      <c r="C22" s="94"/>
      <c r="D22" s="94"/>
      <c r="E22" s="94"/>
      <c r="F22" s="127"/>
      <c r="G22" s="127"/>
      <c r="H22" s="127"/>
      <c r="I22" s="127"/>
      <c r="J22" s="95"/>
      <c r="K22" s="95"/>
      <c r="L22" s="95"/>
      <c r="M22" s="95"/>
      <c r="N22" s="95"/>
      <c r="O22" s="95"/>
      <c r="P22" s="95"/>
      <c r="Q22" s="95"/>
      <c r="R22" s="95"/>
      <c r="S22" s="95"/>
    </row>
    <row r="23" spans="1:27" s="12" customFormat="1" ht="17.100000000000001" customHeight="1">
      <c r="A23" s="92"/>
      <c r="B23" s="92"/>
      <c r="C23" s="94"/>
      <c r="D23" s="94"/>
      <c r="E23" s="94"/>
      <c r="F23" s="127"/>
      <c r="G23" s="127"/>
      <c r="H23" s="127"/>
      <c r="I23" s="127"/>
      <c r="J23" s="95"/>
      <c r="K23" s="95"/>
      <c r="L23" s="95"/>
      <c r="M23" s="95"/>
      <c r="N23" s="95"/>
      <c r="O23" s="95"/>
      <c r="P23" s="95"/>
      <c r="Q23" s="95"/>
      <c r="R23" s="95"/>
      <c r="S23" s="95"/>
    </row>
    <row r="24" spans="1:27" s="12" customFormat="1" ht="17.100000000000001" customHeight="1"/>
    <row r="25" spans="1:27" s="12" customFormat="1" ht="17.100000000000001" customHeight="1">
      <c r="A25" s="16" t="s">
        <v>74</v>
      </c>
    </row>
    <row r="26" spans="1:27" s="18" customFormat="1" ht="18" customHeight="1">
      <c r="A26" s="96" t="s">
        <v>134</v>
      </c>
      <c r="B26" s="96" t="s">
        <v>90</v>
      </c>
      <c r="C26" s="96" t="s">
        <v>98</v>
      </c>
      <c r="D26" s="96" t="s">
        <v>68</v>
      </c>
      <c r="E26" s="96" t="s">
        <v>77</v>
      </c>
      <c r="F26" s="96" t="s">
        <v>105</v>
      </c>
      <c r="G26" s="96" t="s">
        <v>128</v>
      </c>
      <c r="H26" s="96" t="s">
        <v>99</v>
      </c>
      <c r="I26" s="96" t="s">
        <v>100</v>
      </c>
      <c r="J26" s="96" t="s">
        <v>101</v>
      </c>
      <c r="K26" s="96" t="s">
        <v>165</v>
      </c>
      <c r="L26" s="96" t="s">
        <v>129</v>
      </c>
      <c r="M26" s="96" t="s">
        <v>102</v>
      </c>
      <c r="N26" s="96" t="s">
        <v>103</v>
      </c>
      <c r="O26" s="96" t="s">
        <v>104</v>
      </c>
      <c r="P26" s="96" t="s">
        <v>166</v>
      </c>
      <c r="Q26" s="96" t="s">
        <v>167</v>
      </c>
      <c r="R26" s="96" t="s">
        <v>168</v>
      </c>
      <c r="S26" s="96" t="s">
        <v>169</v>
      </c>
      <c r="T26" s="96" t="s">
        <v>170</v>
      </c>
      <c r="U26" s="12"/>
      <c r="V26" s="12"/>
      <c r="W26" s="12"/>
      <c r="X26" s="12"/>
      <c r="Y26" s="12"/>
      <c r="Z26" s="12"/>
      <c r="AA26" s="12"/>
    </row>
    <row r="27" spans="1:27" ht="17.100000000000001" customHeight="1">
      <c r="A27" s="81"/>
      <c r="B27" s="81"/>
      <c r="C27" s="81"/>
      <c r="D27" s="81"/>
      <c r="E27" s="81"/>
      <c r="F27" s="81"/>
      <c r="G27" s="81"/>
      <c r="H27" s="81"/>
      <c r="I27" s="97"/>
      <c r="J27" s="81"/>
      <c r="K27" s="81"/>
      <c r="L27" s="81"/>
      <c r="M27" s="81"/>
      <c r="N27" s="81"/>
      <c r="O27" s="81"/>
      <c r="P27" s="81"/>
      <c r="Q27" s="81"/>
      <c r="R27" s="81"/>
      <c r="S27" s="81"/>
      <c r="T27" s="81"/>
      <c r="U27" s="12"/>
      <c r="V27" s="12"/>
      <c r="W27" s="12"/>
      <c r="X27" s="12"/>
      <c r="Y27" s="12"/>
      <c r="Z27" s="12"/>
      <c r="AA27" s="12"/>
    </row>
    <row r="28" spans="1:27" ht="17.100000000000001" customHeight="1">
      <c r="A28" s="81"/>
      <c r="B28" s="81"/>
      <c r="C28" s="81"/>
      <c r="D28" s="81"/>
      <c r="E28" s="81"/>
      <c r="F28" s="81"/>
      <c r="G28" s="81"/>
      <c r="H28" s="81"/>
      <c r="I28" s="97"/>
      <c r="J28" s="81"/>
      <c r="K28" s="81"/>
      <c r="L28" s="81"/>
      <c r="M28" s="81"/>
      <c r="N28" s="81"/>
      <c r="O28" s="81"/>
      <c r="P28" s="81"/>
      <c r="Q28" s="81"/>
      <c r="R28" s="81"/>
      <c r="S28" s="81"/>
      <c r="T28" s="81"/>
      <c r="U28" s="12"/>
      <c r="V28" s="12"/>
      <c r="W28" s="12"/>
      <c r="X28" s="12"/>
      <c r="Y28" s="12"/>
      <c r="Z28" s="12"/>
      <c r="AA28" s="12"/>
    </row>
    <row r="29" spans="1:27" ht="17.100000000000001" customHeight="1">
      <c r="A29" s="81"/>
      <c r="B29" s="81"/>
      <c r="C29" s="81"/>
      <c r="D29" s="81"/>
      <c r="E29" s="81"/>
      <c r="F29" s="81"/>
      <c r="G29" s="81"/>
      <c r="H29" s="81"/>
      <c r="I29" s="97"/>
      <c r="J29" s="81"/>
      <c r="K29" s="81"/>
      <c r="L29" s="81"/>
      <c r="M29" s="81"/>
      <c r="N29" s="81"/>
      <c r="O29" s="81"/>
      <c r="P29" s="81"/>
      <c r="Q29" s="81"/>
      <c r="R29" s="81"/>
      <c r="S29" s="81"/>
      <c r="T29" s="81"/>
      <c r="U29" s="12"/>
      <c r="V29" s="12"/>
      <c r="W29" s="12"/>
      <c r="X29" s="12"/>
      <c r="Y29" s="12"/>
      <c r="Z29" s="12"/>
      <c r="AA29" s="12"/>
    </row>
    <row r="30" spans="1:27" ht="17.100000000000001" customHeight="1">
      <c r="A30" s="81"/>
      <c r="B30" s="81"/>
      <c r="C30" s="81"/>
      <c r="D30" s="81"/>
      <c r="E30" s="81"/>
      <c r="F30" s="81"/>
      <c r="G30" s="81"/>
      <c r="H30" s="81"/>
      <c r="I30" s="97"/>
      <c r="J30" s="81"/>
      <c r="K30" s="81"/>
      <c r="L30" s="81"/>
      <c r="M30" s="81"/>
      <c r="N30" s="81"/>
      <c r="O30" s="81"/>
      <c r="P30" s="81"/>
      <c r="Q30" s="81"/>
      <c r="R30" s="81"/>
      <c r="S30" s="81"/>
      <c r="T30" s="81"/>
      <c r="U30" s="12"/>
      <c r="V30" s="12"/>
      <c r="W30" s="12"/>
      <c r="X30" s="12"/>
      <c r="Y30" s="12"/>
      <c r="Z30" s="12"/>
      <c r="AA30" s="12"/>
    </row>
    <row r="31" spans="1:27" ht="17.100000000000001" customHeight="1">
      <c r="A31" s="81"/>
      <c r="B31" s="81"/>
      <c r="C31" s="81"/>
      <c r="D31" s="81"/>
      <c r="E31" s="81"/>
      <c r="F31" s="81"/>
      <c r="G31" s="81"/>
      <c r="H31" s="81"/>
      <c r="I31" s="97"/>
      <c r="J31" s="81"/>
      <c r="K31" s="81"/>
      <c r="L31" s="81"/>
      <c r="M31" s="81"/>
      <c r="N31" s="81"/>
      <c r="O31" s="81"/>
      <c r="P31" s="81"/>
      <c r="Q31" s="81"/>
      <c r="R31" s="81"/>
      <c r="S31" s="81"/>
      <c r="T31" s="81"/>
      <c r="U31" s="12"/>
      <c r="V31" s="12"/>
      <c r="W31" s="12"/>
      <c r="X31" s="12"/>
      <c r="Y31" s="12"/>
      <c r="Z31" s="12"/>
      <c r="AA31" s="12"/>
    </row>
    <row r="32" spans="1:27" ht="17.100000000000001" customHeight="1">
      <c r="A32" s="81"/>
      <c r="B32" s="81"/>
      <c r="C32" s="81"/>
      <c r="D32" s="81"/>
      <c r="E32" s="81"/>
      <c r="F32" s="81"/>
      <c r="G32" s="81"/>
      <c r="H32" s="81"/>
      <c r="I32" s="97"/>
      <c r="J32" s="81"/>
      <c r="K32" s="81"/>
      <c r="L32" s="81"/>
      <c r="M32" s="81"/>
      <c r="N32" s="81"/>
      <c r="O32" s="81"/>
      <c r="P32" s="81"/>
      <c r="Q32" s="81"/>
      <c r="R32" s="81"/>
      <c r="S32" s="81"/>
      <c r="T32" s="81"/>
      <c r="U32" s="12"/>
      <c r="V32" s="12"/>
      <c r="W32" s="12"/>
      <c r="X32" s="12"/>
      <c r="Y32" s="12"/>
      <c r="Z32" s="12"/>
      <c r="AA32" s="12"/>
    </row>
    <row r="33" spans="1:37" ht="17.100000000000001" customHeight="1">
      <c r="A33" s="81"/>
      <c r="B33" s="81"/>
      <c r="C33" s="81"/>
      <c r="D33" s="81"/>
      <c r="E33" s="81"/>
      <c r="F33" s="81"/>
      <c r="G33" s="81"/>
      <c r="H33" s="81"/>
      <c r="I33" s="97"/>
      <c r="J33" s="81"/>
      <c r="K33" s="81"/>
      <c r="L33" s="81"/>
      <c r="M33" s="81"/>
      <c r="N33" s="81"/>
      <c r="O33" s="81"/>
      <c r="P33" s="81"/>
      <c r="Q33" s="81"/>
      <c r="R33" s="81"/>
      <c r="S33" s="81"/>
      <c r="T33" s="81"/>
      <c r="U33" s="12"/>
      <c r="V33" s="12"/>
      <c r="W33" s="12"/>
      <c r="X33" s="12"/>
      <c r="Y33" s="12"/>
      <c r="Z33" s="12"/>
      <c r="AA33" s="12"/>
    </row>
    <row r="34" spans="1:37" ht="17.100000000000001" customHeight="1">
      <c r="A34" s="81"/>
      <c r="B34" s="81"/>
      <c r="C34" s="81"/>
      <c r="D34" s="81"/>
      <c r="E34" s="81"/>
      <c r="F34" s="81"/>
      <c r="G34" s="81"/>
      <c r="H34" s="81"/>
      <c r="I34" s="97"/>
      <c r="J34" s="81"/>
      <c r="K34" s="81"/>
      <c r="L34" s="81"/>
      <c r="M34" s="81"/>
      <c r="N34" s="81"/>
      <c r="O34" s="81"/>
      <c r="P34" s="81"/>
      <c r="Q34" s="81"/>
      <c r="R34" s="81"/>
      <c r="S34" s="81"/>
      <c r="T34" s="81"/>
      <c r="U34" s="12"/>
      <c r="V34" s="12"/>
      <c r="W34" s="12"/>
      <c r="X34" s="12"/>
      <c r="Y34" s="12"/>
      <c r="Z34" s="12"/>
      <c r="AA34" s="12"/>
    </row>
    <row r="35" spans="1:37" ht="17.100000000000001" customHeight="1">
      <c r="A35" s="81"/>
      <c r="B35" s="81"/>
      <c r="C35" s="81"/>
      <c r="D35" s="81"/>
      <c r="E35" s="81"/>
      <c r="F35" s="81"/>
      <c r="G35" s="81"/>
      <c r="H35" s="81"/>
      <c r="I35" s="97"/>
      <c r="J35" s="81"/>
      <c r="K35" s="81"/>
      <c r="L35" s="81"/>
      <c r="M35" s="81"/>
      <c r="N35" s="81"/>
      <c r="O35" s="81"/>
      <c r="P35" s="81"/>
      <c r="Q35" s="81"/>
      <c r="R35" s="81"/>
      <c r="S35" s="81"/>
      <c r="T35" s="81"/>
      <c r="U35" s="12"/>
      <c r="V35" s="12"/>
      <c r="W35" s="12"/>
      <c r="X35" s="12"/>
      <c r="Y35" s="12"/>
      <c r="Z35" s="12"/>
      <c r="AA35" s="12"/>
    </row>
    <row r="36" spans="1:37" ht="17.100000000000001" customHeight="1">
      <c r="A36" s="81"/>
      <c r="B36" s="81"/>
      <c r="C36" s="81"/>
      <c r="D36" s="81"/>
      <c r="E36" s="81"/>
      <c r="F36" s="81"/>
      <c r="G36" s="81"/>
      <c r="H36" s="81"/>
      <c r="I36" s="97"/>
      <c r="J36" s="81"/>
      <c r="K36" s="81"/>
      <c r="L36" s="81"/>
      <c r="M36" s="81"/>
      <c r="N36" s="81"/>
      <c r="O36" s="81"/>
      <c r="P36" s="81"/>
      <c r="Q36" s="81"/>
      <c r="R36" s="81"/>
      <c r="S36" s="81"/>
      <c r="T36" s="81"/>
      <c r="U36" s="12"/>
      <c r="V36" s="12"/>
      <c r="W36" s="12"/>
      <c r="X36" s="12"/>
      <c r="Y36" s="12"/>
      <c r="Z36" s="12"/>
      <c r="AA36" s="12"/>
    </row>
    <row r="37" spans="1:37" ht="17.100000000000001" customHeight="1">
      <c r="A37" s="81"/>
      <c r="B37" s="81"/>
      <c r="C37" s="81"/>
      <c r="D37" s="81"/>
      <c r="E37" s="81"/>
      <c r="F37" s="81"/>
      <c r="G37" s="81"/>
      <c r="H37" s="81"/>
      <c r="I37" s="97"/>
      <c r="J37" s="81"/>
      <c r="K37" s="81"/>
      <c r="L37" s="81"/>
      <c r="M37" s="81"/>
      <c r="N37" s="81"/>
      <c r="O37" s="81"/>
      <c r="P37" s="81"/>
      <c r="Q37" s="81"/>
      <c r="R37" s="81"/>
      <c r="S37" s="81"/>
      <c r="T37" s="81"/>
      <c r="U37" s="12"/>
      <c r="V37" s="12"/>
      <c r="W37" s="12"/>
      <c r="X37" s="12"/>
      <c r="Y37" s="12"/>
      <c r="Z37" s="12"/>
      <c r="AA37" s="12"/>
    </row>
    <row r="38" spans="1:37" ht="17.100000000000001" customHeight="1">
      <c r="A38" s="81"/>
      <c r="B38" s="81"/>
      <c r="C38" s="81"/>
      <c r="D38" s="81"/>
      <c r="E38" s="81"/>
      <c r="F38" s="81"/>
      <c r="G38" s="81"/>
      <c r="H38" s="81"/>
      <c r="I38" s="97"/>
      <c r="J38" s="81"/>
      <c r="K38" s="81"/>
      <c r="L38" s="81"/>
      <c r="M38" s="81"/>
      <c r="N38" s="81"/>
      <c r="O38" s="81"/>
      <c r="P38" s="81"/>
      <c r="Q38" s="81"/>
      <c r="R38" s="81"/>
      <c r="S38" s="81"/>
      <c r="T38" s="81"/>
      <c r="U38" s="12"/>
      <c r="V38" s="12"/>
      <c r="W38" s="12"/>
      <c r="X38" s="12"/>
      <c r="Y38" s="12"/>
      <c r="Z38" s="12"/>
      <c r="AA38" s="12"/>
    </row>
    <row r="39" spans="1:37" ht="17.100000000000001" customHeight="1">
      <c r="A39" s="81"/>
      <c r="B39" s="81"/>
      <c r="C39" s="81"/>
      <c r="D39" s="81"/>
      <c r="E39" s="81"/>
      <c r="F39" s="81"/>
      <c r="G39" s="81"/>
      <c r="H39" s="81"/>
      <c r="I39" s="97"/>
      <c r="J39" s="81"/>
      <c r="K39" s="81"/>
      <c r="L39" s="81"/>
      <c r="M39" s="81"/>
      <c r="N39" s="81"/>
      <c r="O39" s="81"/>
      <c r="P39" s="81"/>
      <c r="Q39" s="81"/>
      <c r="R39" s="81"/>
      <c r="S39" s="81"/>
      <c r="T39" s="81"/>
      <c r="U39" s="12"/>
      <c r="V39" s="12"/>
      <c r="W39" s="12"/>
      <c r="X39" s="12"/>
      <c r="Y39" s="12"/>
      <c r="Z39" s="12"/>
      <c r="AA39" s="12"/>
    </row>
    <row r="40" spans="1:37" ht="17.100000000000001" customHeight="1">
      <c r="A40" s="81"/>
      <c r="B40" s="81"/>
      <c r="C40" s="81"/>
      <c r="D40" s="81"/>
      <c r="E40" s="81"/>
      <c r="F40" s="81"/>
      <c r="G40" s="81"/>
      <c r="H40" s="81"/>
      <c r="I40" s="97"/>
      <c r="J40" s="81"/>
      <c r="K40" s="81"/>
      <c r="L40" s="81"/>
      <c r="M40" s="81"/>
      <c r="N40" s="81"/>
      <c r="O40" s="81"/>
      <c r="P40" s="81"/>
      <c r="Q40" s="81"/>
      <c r="R40" s="81"/>
      <c r="S40" s="81"/>
      <c r="T40" s="81"/>
      <c r="U40" s="12"/>
      <c r="V40" s="12"/>
      <c r="W40" s="12"/>
      <c r="X40" s="12"/>
      <c r="Y40" s="12"/>
      <c r="Z40" s="12"/>
      <c r="AA40" s="12"/>
    </row>
    <row r="41" spans="1:37" ht="17.100000000000001" customHeight="1">
      <c r="A41" s="81"/>
      <c r="B41" s="81"/>
      <c r="C41" s="81"/>
      <c r="D41" s="81"/>
      <c r="E41" s="81"/>
      <c r="F41" s="81"/>
      <c r="G41" s="81"/>
      <c r="H41" s="81"/>
      <c r="I41" s="97"/>
      <c r="J41" s="81"/>
      <c r="K41" s="81"/>
      <c r="L41" s="81"/>
      <c r="M41" s="81"/>
      <c r="N41" s="81"/>
      <c r="O41" s="81"/>
      <c r="P41" s="81"/>
      <c r="Q41" s="81"/>
      <c r="R41" s="81"/>
      <c r="S41" s="81"/>
      <c r="T41" s="81"/>
      <c r="U41" s="12"/>
      <c r="V41" s="12"/>
      <c r="W41" s="12"/>
      <c r="X41" s="12"/>
      <c r="Y41" s="12"/>
      <c r="Z41" s="12"/>
      <c r="AA41" s="12"/>
    </row>
    <row r="42" spans="1:37" ht="17.100000000000001" customHeight="1">
      <c r="A42" s="97"/>
      <c r="B42" s="97"/>
      <c r="C42" s="97"/>
      <c r="D42" s="97"/>
      <c r="E42" s="97"/>
      <c r="F42" s="97"/>
      <c r="G42" s="97"/>
      <c r="H42" s="97"/>
      <c r="I42" s="97"/>
      <c r="J42" s="97"/>
      <c r="K42" s="97"/>
      <c r="L42" s="97"/>
      <c r="M42" s="97"/>
      <c r="N42" s="97"/>
      <c r="O42" s="97"/>
      <c r="P42" s="97"/>
      <c r="Q42" s="97"/>
      <c r="R42" s="97"/>
      <c r="S42" s="97"/>
      <c r="T42" s="97"/>
      <c r="U42" s="12"/>
      <c r="V42" s="12"/>
      <c r="W42" s="12"/>
      <c r="X42" s="12"/>
      <c r="Y42" s="12"/>
      <c r="Z42" s="12"/>
      <c r="AA42" s="12"/>
    </row>
    <row r="43" spans="1:37" ht="17.100000000000001" customHeight="1">
      <c r="A43" s="97"/>
      <c r="B43" s="97"/>
      <c r="C43" s="97"/>
      <c r="D43" s="97"/>
      <c r="E43" s="97"/>
      <c r="F43" s="97"/>
      <c r="G43" s="97"/>
      <c r="H43" s="97"/>
      <c r="I43" s="97"/>
      <c r="J43" s="97"/>
      <c r="K43" s="97"/>
      <c r="L43" s="97"/>
      <c r="M43" s="97"/>
      <c r="N43" s="97"/>
      <c r="O43" s="97"/>
      <c r="P43" s="97"/>
      <c r="Q43" s="97"/>
      <c r="R43" s="97"/>
      <c r="S43" s="97"/>
      <c r="T43" s="97"/>
      <c r="U43" s="12"/>
      <c r="V43" s="12"/>
      <c r="W43" s="12"/>
      <c r="X43" s="12"/>
      <c r="Y43" s="12"/>
      <c r="Z43" s="12"/>
      <c r="AA43" s="12"/>
    </row>
    <row r="44" spans="1:37" ht="17.100000000000001" customHeight="1">
      <c r="A44" s="97"/>
      <c r="B44" s="97"/>
      <c r="C44" s="97"/>
      <c r="D44" s="97"/>
      <c r="E44" s="97"/>
      <c r="F44" s="97"/>
      <c r="G44" s="97"/>
      <c r="H44" s="97"/>
      <c r="I44" s="97"/>
      <c r="J44" s="97"/>
      <c r="K44" s="97"/>
      <c r="L44" s="97"/>
      <c r="M44" s="97"/>
      <c r="N44" s="97"/>
      <c r="O44" s="97"/>
      <c r="P44" s="97"/>
      <c r="Q44" s="97"/>
      <c r="R44" s="97"/>
      <c r="S44" s="97"/>
      <c r="T44" s="97"/>
      <c r="U44" s="12"/>
      <c r="V44" s="12"/>
      <c r="W44" s="12"/>
      <c r="X44" s="12"/>
      <c r="Y44" s="12"/>
      <c r="Z44" s="12"/>
      <c r="AA44" s="12"/>
    </row>
    <row r="45" spans="1:37" ht="17.100000000000001" customHeight="1">
      <c r="A45" s="97"/>
      <c r="B45" s="97"/>
      <c r="C45" s="97"/>
      <c r="D45" s="97"/>
      <c r="E45" s="97"/>
      <c r="F45" s="97"/>
      <c r="G45" s="97"/>
      <c r="H45" s="97"/>
      <c r="I45" s="97"/>
      <c r="J45" s="97"/>
      <c r="K45" s="97"/>
      <c r="L45" s="97"/>
      <c r="M45" s="97"/>
      <c r="N45" s="97"/>
      <c r="O45" s="97"/>
      <c r="P45" s="97"/>
      <c r="Q45" s="97"/>
      <c r="R45" s="97"/>
      <c r="S45" s="97"/>
      <c r="T45" s="97"/>
      <c r="U45" s="12"/>
      <c r="V45" s="12"/>
      <c r="W45" s="12"/>
      <c r="X45" s="12"/>
      <c r="Y45" s="12"/>
      <c r="Z45" s="12"/>
      <c r="AA45" s="12"/>
    </row>
    <row r="46" spans="1:37" ht="17.100000000000001" customHeight="1">
      <c r="A46" s="97"/>
      <c r="B46" s="97"/>
      <c r="C46" s="97"/>
      <c r="D46" s="97"/>
      <c r="E46" s="97"/>
      <c r="F46" s="97"/>
      <c r="G46" s="97"/>
      <c r="H46" s="97"/>
      <c r="I46" s="97"/>
      <c r="J46" s="97"/>
      <c r="K46" s="97"/>
      <c r="L46" s="97"/>
      <c r="M46" s="97"/>
      <c r="N46" s="97"/>
      <c r="O46" s="97"/>
      <c r="P46" s="97"/>
      <c r="Q46" s="97"/>
      <c r="R46" s="97"/>
      <c r="S46" s="97"/>
      <c r="T46" s="97"/>
      <c r="U46" s="12"/>
      <c r="V46" s="12"/>
      <c r="W46" s="12"/>
      <c r="X46" s="12"/>
      <c r="Y46" s="12"/>
      <c r="Z46" s="12"/>
      <c r="AA46" s="12"/>
    </row>
    <row r="47" spans="1:37" ht="17.100000000000001" customHeight="1">
      <c r="AF47" s="12"/>
      <c r="AG47" s="12"/>
      <c r="AH47" s="12"/>
      <c r="AI47" s="12"/>
      <c r="AJ47" s="12"/>
      <c r="AK47" s="12"/>
    </row>
    <row r="48" spans="1:37" ht="17.100000000000001" customHeight="1">
      <c r="A48" s="16" t="s">
        <v>127</v>
      </c>
    </row>
    <row r="49" spans="1:36" ht="17.100000000000001" customHeight="1">
      <c r="A49" s="96" t="s">
        <v>107</v>
      </c>
      <c r="B49" s="96" t="s">
        <v>108</v>
      </c>
      <c r="C49" s="96" t="s">
        <v>109</v>
      </c>
      <c r="D49" s="96" t="s">
        <v>110</v>
      </c>
      <c r="E49" s="96" t="s">
        <v>111</v>
      </c>
      <c r="F49" s="96"/>
      <c r="G49" s="96"/>
      <c r="H49" s="96"/>
      <c r="I49" s="96"/>
      <c r="J49" s="96"/>
      <c r="K49" s="96"/>
      <c r="L49" s="96"/>
      <c r="M49" s="96"/>
      <c r="N49" s="96" t="s">
        <v>112</v>
      </c>
      <c r="O49" s="96" t="s">
        <v>113</v>
      </c>
      <c r="P49" s="96" t="s">
        <v>114</v>
      </c>
      <c r="Q49" s="96" t="s">
        <v>115</v>
      </c>
      <c r="R49" s="96" t="s">
        <v>116</v>
      </c>
      <c r="S49" s="96" t="s">
        <v>115</v>
      </c>
      <c r="T49" s="96" t="s">
        <v>117</v>
      </c>
      <c r="U49" s="96"/>
      <c r="V49" s="96" t="s">
        <v>118</v>
      </c>
      <c r="W49" s="96" t="s">
        <v>119</v>
      </c>
      <c r="X49" s="96"/>
      <c r="Y49" s="96" t="s">
        <v>131</v>
      </c>
      <c r="Z49" s="96"/>
      <c r="AA49" s="96"/>
      <c r="AB49" s="96"/>
      <c r="AC49" s="96"/>
      <c r="AD49" s="96"/>
      <c r="AE49" s="96"/>
      <c r="AF49" s="96"/>
      <c r="AG49" s="96"/>
      <c r="AH49" s="96"/>
      <c r="AI49" s="96" t="s">
        <v>120</v>
      </c>
      <c r="AJ49" s="96" t="s">
        <v>85</v>
      </c>
    </row>
    <row r="50" spans="1:36" ht="17.100000000000001" customHeight="1">
      <c r="A50" s="81"/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  <c r="P50" s="81"/>
      <c r="Q50" s="81"/>
      <c r="R50" s="81"/>
      <c r="S50" s="81"/>
      <c r="T50" s="81"/>
      <c r="U50" s="81"/>
      <c r="V50" s="81"/>
      <c r="W50" s="81"/>
      <c r="X50" s="81"/>
      <c r="Y50" s="81"/>
      <c r="Z50" s="81"/>
      <c r="AA50" s="81"/>
      <c r="AB50" s="81"/>
      <c r="AC50" s="81"/>
      <c r="AD50" s="81"/>
      <c r="AE50" s="81"/>
      <c r="AF50" s="81"/>
      <c r="AG50" s="81"/>
      <c r="AH50" s="81"/>
      <c r="AI50" s="81"/>
      <c r="AJ50" s="81"/>
    </row>
    <row r="51" spans="1:36" ht="17.100000000000001" customHeight="1">
      <c r="A51" s="81"/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  <c r="R51" s="81"/>
      <c r="S51" s="81"/>
      <c r="T51" s="81"/>
      <c r="U51" s="81"/>
      <c r="V51" s="81"/>
      <c r="W51" s="81"/>
      <c r="X51" s="81"/>
      <c r="Y51" s="81"/>
      <c r="Z51" s="81"/>
      <c r="AA51" s="81"/>
      <c r="AB51" s="81"/>
      <c r="AC51" s="81"/>
      <c r="AD51" s="81"/>
      <c r="AE51" s="81"/>
      <c r="AF51" s="81"/>
      <c r="AG51" s="81"/>
      <c r="AH51" s="81"/>
      <c r="AI51" s="81"/>
      <c r="AJ51" s="81"/>
    </row>
    <row r="52" spans="1:36" ht="17.100000000000001" customHeight="1">
      <c r="A52" s="81"/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81"/>
      <c r="Q52" s="81"/>
      <c r="R52" s="81"/>
      <c r="S52" s="81"/>
      <c r="T52" s="81"/>
      <c r="U52" s="81"/>
      <c r="V52" s="81"/>
      <c r="W52" s="81"/>
      <c r="X52" s="81"/>
      <c r="Y52" s="81"/>
      <c r="Z52" s="81"/>
      <c r="AA52" s="81"/>
      <c r="AB52" s="81"/>
      <c r="AC52" s="81"/>
      <c r="AD52" s="81"/>
      <c r="AE52" s="81"/>
      <c r="AF52" s="81"/>
      <c r="AG52" s="81"/>
      <c r="AH52" s="81"/>
      <c r="AI52" s="81"/>
      <c r="AJ52" s="81"/>
    </row>
    <row r="53" spans="1:36" ht="17.100000000000001" customHeight="1">
      <c r="A53" s="81"/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  <c r="Q53" s="81"/>
      <c r="R53" s="81"/>
      <c r="S53" s="81"/>
      <c r="T53" s="81"/>
      <c r="U53" s="81"/>
      <c r="V53" s="81"/>
      <c r="W53" s="81"/>
      <c r="X53" s="81"/>
      <c r="Y53" s="81"/>
      <c r="Z53" s="81"/>
      <c r="AA53" s="81"/>
      <c r="AB53" s="81"/>
      <c r="AC53" s="81"/>
      <c r="AD53" s="81"/>
      <c r="AE53" s="81"/>
      <c r="AF53" s="81"/>
      <c r="AG53" s="81"/>
      <c r="AH53" s="81"/>
      <c r="AI53" s="81"/>
      <c r="AJ53" s="81"/>
    </row>
    <row r="54" spans="1:36" ht="17.100000000000001" customHeight="1">
      <c r="A54" s="81"/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  <c r="Q54" s="81"/>
      <c r="R54" s="81"/>
      <c r="S54" s="81"/>
      <c r="T54" s="81"/>
      <c r="U54" s="81"/>
      <c r="V54" s="81"/>
      <c r="W54" s="81"/>
      <c r="X54" s="81"/>
      <c r="Y54" s="81"/>
      <c r="Z54" s="81"/>
      <c r="AA54" s="81"/>
      <c r="AB54" s="81"/>
      <c r="AC54" s="81"/>
      <c r="AD54" s="81"/>
      <c r="AE54" s="81"/>
      <c r="AF54" s="81"/>
      <c r="AG54" s="81"/>
      <c r="AH54" s="81"/>
      <c r="AI54" s="81"/>
      <c r="AJ54" s="81"/>
    </row>
    <row r="55" spans="1:36" ht="17.100000000000001" customHeight="1">
      <c r="A55" s="81"/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  <c r="S55" s="81"/>
      <c r="T55" s="81"/>
      <c r="U55" s="81"/>
      <c r="V55" s="81"/>
      <c r="W55" s="81"/>
      <c r="X55" s="81"/>
      <c r="Y55" s="81"/>
      <c r="Z55" s="81"/>
      <c r="AA55" s="81"/>
      <c r="AB55" s="81"/>
      <c r="AC55" s="81"/>
      <c r="AD55" s="81"/>
      <c r="AE55" s="81"/>
      <c r="AF55" s="81"/>
      <c r="AG55" s="81"/>
      <c r="AH55" s="81"/>
      <c r="AI55" s="81"/>
      <c r="AJ55" s="81"/>
    </row>
    <row r="56" spans="1:36" ht="17.100000000000001" customHeight="1">
      <c r="A56" s="81"/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  <c r="P56" s="81"/>
      <c r="Q56" s="81"/>
      <c r="R56" s="81"/>
      <c r="S56" s="81"/>
      <c r="T56" s="81"/>
      <c r="U56" s="81"/>
      <c r="V56" s="81"/>
      <c r="W56" s="81"/>
      <c r="X56" s="81"/>
      <c r="Y56" s="81"/>
      <c r="Z56" s="81"/>
      <c r="AA56" s="81"/>
      <c r="AB56" s="81"/>
      <c r="AC56" s="81"/>
      <c r="AD56" s="81"/>
      <c r="AE56" s="81"/>
      <c r="AF56" s="81"/>
      <c r="AG56" s="81"/>
      <c r="AH56" s="81"/>
      <c r="AI56" s="81"/>
      <c r="AJ56" s="81"/>
    </row>
    <row r="57" spans="1:36" ht="17.100000000000001" customHeight="1">
      <c r="A57" s="81"/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  <c r="P57" s="81"/>
      <c r="Q57" s="81"/>
      <c r="R57" s="81"/>
      <c r="S57" s="81"/>
      <c r="T57" s="81"/>
      <c r="U57" s="81"/>
      <c r="V57" s="81"/>
      <c r="W57" s="81"/>
      <c r="X57" s="81"/>
      <c r="Y57" s="81"/>
      <c r="Z57" s="81"/>
      <c r="AA57" s="81"/>
      <c r="AB57" s="81"/>
      <c r="AC57" s="81"/>
      <c r="AD57" s="81"/>
      <c r="AE57" s="81"/>
      <c r="AF57" s="81"/>
      <c r="AG57" s="81"/>
      <c r="AH57" s="81"/>
      <c r="AI57" s="81"/>
      <c r="AJ57" s="81"/>
    </row>
    <row r="58" spans="1:36" ht="17.100000000000001" customHeight="1">
      <c r="A58" s="81"/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  <c r="P58" s="81"/>
      <c r="Q58" s="81"/>
      <c r="R58" s="81"/>
      <c r="S58" s="81"/>
      <c r="T58" s="81"/>
      <c r="U58" s="81"/>
      <c r="V58" s="81"/>
      <c r="W58" s="81"/>
      <c r="X58" s="81"/>
      <c r="Y58" s="81"/>
      <c r="Z58" s="81"/>
      <c r="AA58" s="81"/>
      <c r="AB58" s="81"/>
      <c r="AC58" s="81"/>
      <c r="AD58" s="81"/>
      <c r="AE58" s="81"/>
      <c r="AF58" s="81"/>
      <c r="AG58" s="81"/>
      <c r="AH58" s="81"/>
      <c r="AI58" s="81"/>
      <c r="AJ58" s="81"/>
    </row>
    <row r="59" spans="1:36" ht="17.100000000000001" customHeight="1">
      <c r="A59" s="81"/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S59" s="81"/>
      <c r="T59" s="81"/>
      <c r="U59" s="81"/>
      <c r="V59" s="81"/>
      <c r="W59" s="81"/>
      <c r="X59" s="81"/>
      <c r="Y59" s="81"/>
      <c r="Z59" s="81"/>
      <c r="AA59" s="81"/>
      <c r="AB59" s="81"/>
      <c r="AC59" s="81"/>
      <c r="AD59" s="81"/>
      <c r="AE59" s="81"/>
      <c r="AF59" s="81"/>
      <c r="AG59" s="81"/>
      <c r="AH59" s="81"/>
      <c r="AI59" s="81"/>
      <c r="AJ59" s="81"/>
    </row>
    <row r="60" spans="1:36" ht="17.100000000000001" customHeight="1">
      <c r="A60" s="81"/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  <c r="Q60" s="81"/>
      <c r="R60" s="81"/>
      <c r="S60" s="81"/>
      <c r="T60" s="81"/>
      <c r="U60" s="81"/>
      <c r="V60" s="81"/>
      <c r="W60" s="81"/>
      <c r="X60" s="81"/>
      <c r="Y60" s="81"/>
      <c r="Z60" s="81"/>
      <c r="AA60" s="81"/>
      <c r="AB60" s="81"/>
      <c r="AC60" s="81"/>
      <c r="AD60" s="81"/>
      <c r="AE60" s="81"/>
      <c r="AF60" s="81"/>
      <c r="AG60" s="81"/>
      <c r="AH60" s="81"/>
      <c r="AI60" s="81"/>
      <c r="AJ60" s="81"/>
    </row>
    <row r="61" spans="1:36" ht="17.100000000000001" customHeight="1">
      <c r="A61" s="81"/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  <c r="Q61" s="81"/>
      <c r="R61" s="81"/>
      <c r="S61" s="81"/>
      <c r="T61" s="81"/>
      <c r="U61" s="81"/>
      <c r="V61" s="81"/>
      <c r="W61" s="81"/>
      <c r="X61" s="81"/>
      <c r="Y61" s="81"/>
      <c r="Z61" s="81"/>
      <c r="AA61" s="81"/>
      <c r="AB61" s="81"/>
      <c r="AC61" s="81"/>
      <c r="AD61" s="81"/>
      <c r="AE61" s="81"/>
      <c r="AF61" s="81"/>
      <c r="AG61" s="81"/>
      <c r="AH61" s="81"/>
      <c r="AI61" s="81"/>
      <c r="AJ61" s="81"/>
    </row>
    <row r="62" spans="1:36" ht="17.100000000000001" customHeight="1">
      <c r="A62" s="81"/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  <c r="Q62" s="81"/>
      <c r="R62" s="81"/>
      <c r="S62" s="81"/>
      <c r="T62" s="81"/>
      <c r="U62" s="81"/>
      <c r="V62" s="81"/>
      <c r="W62" s="81"/>
      <c r="X62" s="81"/>
      <c r="Y62" s="81"/>
      <c r="Z62" s="81"/>
      <c r="AA62" s="81"/>
      <c r="AB62" s="81"/>
      <c r="AC62" s="81"/>
      <c r="AD62" s="81"/>
      <c r="AE62" s="81"/>
      <c r="AF62" s="81"/>
      <c r="AG62" s="81"/>
      <c r="AH62" s="81"/>
      <c r="AI62" s="81"/>
      <c r="AJ62" s="81"/>
    </row>
    <row r="63" spans="1:36" ht="17.100000000000001" customHeight="1">
      <c r="A63" s="81"/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S63" s="81"/>
      <c r="T63" s="81"/>
      <c r="U63" s="81"/>
      <c r="V63" s="81"/>
      <c r="W63" s="81"/>
      <c r="X63" s="81"/>
      <c r="Y63" s="81"/>
      <c r="Z63" s="81"/>
      <c r="AA63" s="81"/>
      <c r="AB63" s="81"/>
      <c r="AC63" s="81"/>
      <c r="AD63" s="81"/>
      <c r="AE63" s="81"/>
      <c r="AF63" s="81"/>
      <c r="AG63" s="81"/>
      <c r="AH63" s="81"/>
      <c r="AI63" s="81"/>
      <c r="AJ63" s="81"/>
    </row>
    <row r="64" spans="1:36" ht="17.100000000000001" customHeight="1">
      <c r="A64" s="81"/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  <c r="Q64" s="81"/>
      <c r="R64" s="81"/>
      <c r="S64" s="81"/>
      <c r="T64" s="81"/>
      <c r="U64" s="81"/>
      <c r="V64" s="81"/>
      <c r="W64" s="81"/>
      <c r="X64" s="81"/>
      <c r="Y64" s="81"/>
      <c r="Z64" s="81"/>
      <c r="AA64" s="81"/>
      <c r="AB64" s="81"/>
      <c r="AC64" s="81"/>
      <c r="AD64" s="81"/>
      <c r="AE64" s="81"/>
      <c r="AF64" s="81"/>
      <c r="AG64" s="81"/>
      <c r="AH64" s="81"/>
      <c r="AI64" s="81"/>
      <c r="AJ64" s="81"/>
    </row>
    <row r="65" spans="1:36" ht="17.100000000000001" customHeight="1">
      <c r="A65" s="81"/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  <c r="P65" s="81"/>
      <c r="Q65" s="81"/>
      <c r="R65" s="81"/>
      <c r="S65" s="81"/>
      <c r="T65" s="81"/>
      <c r="U65" s="81"/>
      <c r="V65" s="81"/>
      <c r="W65" s="81"/>
      <c r="X65" s="81"/>
      <c r="Y65" s="81"/>
      <c r="Z65" s="81"/>
      <c r="AA65" s="81"/>
      <c r="AB65" s="81"/>
      <c r="AC65" s="81"/>
      <c r="AD65" s="81"/>
      <c r="AE65" s="81"/>
      <c r="AF65" s="81"/>
      <c r="AG65" s="81"/>
      <c r="AH65" s="81"/>
      <c r="AI65" s="81"/>
      <c r="AJ65" s="81"/>
    </row>
    <row r="66" spans="1:36" ht="17.100000000000001" customHeight="1">
      <c r="A66" s="97"/>
      <c r="B66" s="97"/>
      <c r="C66" s="97"/>
      <c r="D66" s="97"/>
      <c r="E66" s="97"/>
      <c r="F66" s="97"/>
      <c r="G66" s="97"/>
      <c r="H66" s="97"/>
      <c r="I66" s="97"/>
      <c r="J66" s="97"/>
      <c r="K66" s="97"/>
      <c r="L66" s="97"/>
      <c r="M66" s="97"/>
      <c r="N66" s="97"/>
      <c r="O66" s="97"/>
      <c r="P66" s="97"/>
      <c r="Q66" s="97"/>
      <c r="R66" s="97"/>
      <c r="S66" s="97"/>
      <c r="T66" s="97"/>
      <c r="U66" s="97"/>
      <c r="V66" s="97"/>
      <c r="W66" s="97"/>
      <c r="X66" s="97"/>
      <c r="Y66" s="97"/>
      <c r="Z66" s="97"/>
      <c r="AA66" s="97"/>
      <c r="AB66" s="97"/>
      <c r="AC66" s="97"/>
      <c r="AD66" s="97"/>
      <c r="AE66" s="97"/>
      <c r="AF66" s="97"/>
      <c r="AG66" s="97"/>
      <c r="AH66" s="97"/>
      <c r="AI66" s="97"/>
      <c r="AJ66" s="97"/>
    </row>
    <row r="67" spans="1:36" ht="17.100000000000001" customHeight="1">
      <c r="A67" s="97"/>
      <c r="B67" s="97"/>
      <c r="C67" s="97"/>
      <c r="D67" s="97"/>
      <c r="E67" s="97"/>
      <c r="F67" s="97"/>
      <c r="G67" s="97"/>
      <c r="H67" s="97"/>
      <c r="I67" s="97"/>
      <c r="J67" s="97"/>
      <c r="K67" s="97"/>
      <c r="L67" s="97"/>
      <c r="M67" s="97"/>
      <c r="N67" s="97"/>
      <c r="O67" s="97"/>
      <c r="P67" s="97"/>
      <c r="Q67" s="97"/>
      <c r="R67" s="97"/>
      <c r="S67" s="97"/>
      <c r="T67" s="97"/>
      <c r="U67" s="97"/>
      <c r="V67" s="97"/>
      <c r="W67" s="97"/>
      <c r="X67" s="97"/>
      <c r="Y67" s="97"/>
      <c r="Z67" s="97"/>
      <c r="AA67" s="97"/>
      <c r="AB67" s="97"/>
      <c r="AC67" s="97"/>
      <c r="AD67" s="97"/>
      <c r="AE67" s="97"/>
      <c r="AF67" s="97"/>
      <c r="AG67" s="97"/>
      <c r="AH67" s="97"/>
      <c r="AI67" s="97"/>
      <c r="AJ67" s="97"/>
    </row>
    <row r="68" spans="1:36" ht="17.100000000000001" customHeight="1">
      <c r="A68" s="81"/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  <c r="P68" s="81"/>
      <c r="Q68" s="81"/>
      <c r="R68" s="81"/>
      <c r="S68" s="81"/>
      <c r="T68" s="81"/>
      <c r="U68" s="81"/>
      <c r="V68" s="81"/>
      <c r="W68" s="81"/>
      <c r="X68" s="81"/>
      <c r="Y68" s="81"/>
      <c r="Z68" s="81"/>
      <c r="AA68" s="81"/>
      <c r="AB68" s="81"/>
      <c r="AC68" s="81"/>
      <c r="AD68" s="81"/>
      <c r="AE68" s="81"/>
      <c r="AF68" s="81"/>
      <c r="AG68" s="81"/>
      <c r="AH68" s="81"/>
      <c r="AI68" s="81"/>
      <c r="AJ68" s="81"/>
    </row>
    <row r="69" spans="1:36" ht="17.100000000000001" customHeight="1">
      <c r="A69" s="81"/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  <c r="P69" s="81"/>
      <c r="Q69" s="81"/>
      <c r="R69" s="81"/>
      <c r="S69" s="81"/>
      <c r="T69" s="81"/>
      <c r="U69" s="81"/>
      <c r="V69" s="81"/>
      <c r="W69" s="81"/>
      <c r="X69" s="81"/>
      <c r="Y69" s="81"/>
      <c r="Z69" s="81"/>
      <c r="AA69" s="81"/>
      <c r="AB69" s="81"/>
      <c r="AC69" s="81"/>
      <c r="AD69" s="81"/>
      <c r="AE69" s="81"/>
      <c r="AF69" s="81"/>
      <c r="AG69" s="81"/>
      <c r="AH69" s="81"/>
      <c r="AI69" s="81"/>
      <c r="AJ69" s="81"/>
    </row>
    <row r="71" spans="1:36" ht="17.100000000000001" customHeight="1">
      <c r="A71" s="16" t="s">
        <v>106</v>
      </c>
    </row>
    <row r="72" spans="1:36" ht="17.100000000000001" customHeight="1">
      <c r="A72" s="96" t="s">
        <v>107</v>
      </c>
      <c r="B72" s="96" t="s">
        <v>108</v>
      </c>
      <c r="C72" s="96" t="s">
        <v>109</v>
      </c>
      <c r="D72" s="96" t="s">
        <v>110</v>
      </c>
      <c r="E72" s="96" t="s">
        <v>111</v>
      </c>
      <c r="F72" s="96"/>
      <c r="G72" s="96"/>
      <c r="H72" s="96"/>
      <c r="I72" s="96"/>
      <c r="J72" s="96"/>
      <c r="K72" s="96"/>
      <c r="L72" s="96"/>
      <c r="M72" s="96"/>
      <c r="N72" s="96" t="s">
        <v>112</v>
      </c>
      <c r="O72" s="96" t="s">
        <v>113</v>
      </c>
      <c r="P72" s="96" t="s">
        <v>114</v>
      </c>
      <c r="Q72" s="96" t="s">
        <v>115</v>
      </c>
      <c r="R72" s="96" t="s">
        <v>116</v>
      </c>
      <c r="S72" s="96" t="s">
        <v>115</v>
      </c>
      <c r="T72" s="96" t="s">
        <v>117</v>
      </c>
      <c r="U72" s="96"/>
      <c r="V72" s="96" t="s">
        <v>118</v>
      </c>
      <c r="W72" s="96" t="s">
        <v>119</v>
      </c>
      <c r="X72" s="96"/>
      <c r="Y72" s="96"/>
      <c r="Z72" s="96"/>
      <c r="AA72" s="96"/>
      <c r="AB72" s="96"/>
      <c r="AC72" s="96"/>
      <c r="AD72" s="96"/>
      <c r="AE72" s="96"/>
      <c r="AF72" s="96"/>
      <c r="AG72" s="96"/>
      <c r="AH72" s="96"/>
      <c r="AI72" s="96" t="s">
        <v>120</v>
      </c>
      <c r="AJ72" s="96" t="s">
        <v>85</v>
      </c>
    </row>
    <row r="73" spans="1:36" ht="17.100000000000001" customHeight="1">
      <c r="A73" s="81"/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1"/>
      <c r="Q73" s="81"/>
      <c r="R73" s="81"/>
      <c r="S73" s="81"/>
      <c r="T73" s="81"/>
      <c r="U73" s="81"/>
      <c r="V73" s="81"/>
      <c r="W73" s="81"/>
      <c r="X73" s="81"/>
      <c r="Y73" s="81"/>
      <c r="Z73" s="81"/>
      <c r="AA73" s="81"/>
      <c r="AB73" s="81"/>
      <c r="AC73" s="81"/>
      <c r="AD73" s="81"/>
      <c r="AE73" s="81"/>
      <c r="AF73" s="81"/>
      <c r="AG73" s="81"/>
      <c r="AH73" s="81"/>
      <c r="AI73" s="81"/>
      <c r="AJ73" s="81"/>
    </row>
  </sheetData>
  <phoneticPr fontId="4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38"/>
  <sheetViews>
    <sheetView showGridLines="0" showWhiteSpace="0" zoomScaleNormal="100" zoomScaleSheetLayoutView="100" workbookViewId="0">
      <selection sqref="A1:L2"/>
    </sheetView>
  </sheetViews>
  <sheetFormatPr defaultColWidth="10.77734375" defaultRowHeight="15" customHeight="1"/>
  <cols>
    <col min="1" max="4" width="4.77734375" style="37" customWidth="1"/>
    <col min="5" max="5" width="12.77734375" style="37" customWidth="1"/>
    <col min="6" max="6" width="3.77734375" style="37" customWidth="1"/>
    <col min="7" max="7" width="9.77734375" style="37" customWidth="1"/>
    <col min="8" max="8" width="12.77734375" style="37" customWidth="1"/>
    <col min="9" max="12" width="4.77734375" style="37" customWidth="1"/>
    <col min="13" max="16384" width="10.77734375" style="37"/>
  </cols>
  <sheetData>
    <row r="1" spans="1:12" s="47" customFormat="1" ht="33" customHeight="1">
      <c r="A1" s="353" t="s">
        <v>34</v>
      </c>
      <c r="B1" s="353"/>
      <c r="C1" s="353"/>
      <c r="D1" s="353"/>
      <c r="E1" s="353"/>
      <c r="F1" s="353"/>
      <c r="G1" s="353"/>
      <c r="H1" s="353"/>
      <c r="I1" s="353"/>
      <c r="J1" s="353"/>
      <c r="K1" s="353"/>
      <c r="L1" s="353"/>
    </row>
    <row r="2" spans="1:12" s="47" customFormat="1" ht="33" customHeight="1">
      <c r="A2" s="353"/>
      <c r="B2" s="353"/>
      <c r="C2" s="353"/>
      <c r="D2" s="353"/>
      <c r="E2" s="353"/>
      <c r="F2" s="353"/>
      <c r="G2" s="353"/>
      <c r="H2" s="353"/>
      <c r="I2" s="353"/>
      <c r="J2" s="353"/>
      <c r="K2" s="353"/>
      <c r="L2" s="353"/>
    </row>
    <row r="3" spans="1:12" s="47" customFormat="1" ht="12.75" customHeight="1">
      <c r="A3" s="48" t="s">
        <v>66</v>
      </c>
      <c r="B3" s="48"/>
      <c r="C3" s="21"/>
      <c r="D3" s="21"/>
      <c r="E3" s="21"/>
      <c r="F3" s="21"/>
      <c r="G3" s="21"/>
      <c r="H3" s="21"/>
      <c r="I3" s="21"/>
      <c r="J3" s="21"/>
      <c r="K3" s="21"/>
      <c r="L3" s="21"/>
    </row>
    <row r="4" spans="1:12" s="49" customFormat="1" ht="13.5" customHeight="1">
      <c r="A4" s="74" t="str">
        <f>" 교   정   번   호(Calibration No) : "&amp;기본정보!H3</f>
        <v xml:space="preserve"> 교   정   번   호(Calibration No) : </v>
      </c>
      <c r="B4" s="74"/>
      <c r="C4" s="75"/>
      <c r="D4" s="130"/>
      <c r="E4" s="75"/>
      <c r="F4" s="75"/>
      <c r="G4" s="130"/>
      <c r="H4" s="75"/>
      <c r="I4" s="130"/>
      <c r="J4" s="130"/>
      <c r="K4" s="128"/>
      <c r="L4" s="82"/>
    </row>
    <row r="5" spans="1:12" s="36" customFormat="1" ht="15" customHeight="1"/>
    <row r="6" spans="1:12" ht="15" customHeight="1">
      <c r="E6" s="53" t="str">
        <f>"○ 품명 : "&amp;기본정보!C$5</f>
        <v xml:space="preserve">○ 품명 : </v>
      </c>
    </row>
    <row r="7" spans="1:12" ht="15" customHeight="1">
      <c r="E7" s="53" t="str">
        <f>"○ 제작회사 : "&amp;기본정보!C$6</f>
        <v xml:space="preserve">○ 제작회사 : </v>
      </c>
    </row>
    <row r="8" spans="1:12" ht="15" customHeight="1">
      <c r="E8" s="53" t="str">
        <f>"○ 형식 : "&amp;기본정보!C$7</f>
        <v xml:space="preserve">○ 형식 : </v>
      </c>
    </row>
    <row r="9" spans="1:12" ht="15" customHeight="1">
      <c r="E9" s="53" t="str">
        <f>"○ 기기번호 : "&amp;기본정보!C$8</f>
        <v xml:space="preserve">○ 기기번호 : </v>
      </c>
    </row>
    <row r="11" spans="1:12" ht="15" customHeight="1">
      <c r="E11" s="38" t="s">
        <v>364</v>
      </c>
    </row>
    <row r="12" spans="1:12" ht="15" customHeight="1">
      <c r="A12" s="44"/>
      <c r="B12" s="43"/>
      <c r="E12" s="136" t="s">
        <v>90</v>
      </c>
      <c r="F12" s="354" t="s">
        <v>365</v>
      </c>
      <c r="G12" s="355"/>
      <c r="H12" s="137" t="s">
        <v>367</v>
      </c>
      <c r="I12" s="51"/>
      <c r="J12" s="51"/>
    </row>
    <row r="13" spans="1:12" ht="15" customHeight="1">
      <c r="A13" s="44"/>
      <c r="B13" s="43"/>
      <c r="E13" s="131" t="s">
        <v>126</v>
      </c>
      <c r="F13" s="356" t="s">
        <v>366</v>
      </c>
      <c r="G13" s="357"/>
      <c r="H13" s="188" t="s">
        <v>366</v>
      </c>
      <c r="I13" s="51"/>
      <c r="J13" s="51"/>
    </row>
    <row r="14" spans="1:12" ht="15" customHeight="1">
      <c r="A14" s="44" t="str">
        <f>IF(Calcu!B9=TRUE,"","삭제")</f>
        <v>삭제</v>
      </c>
      <c r="B14" s="43"/>
      <c r="E14" s="138" t="str">
        <f>Calcu!AE9</f>
        <v/>
      </c>
      <c r="F14" s="351" t="e">
        <f ca="1">Calcu!AH9</f>
        <v>#N/A</v>
      </c>
      <c r="G14" s="352"/>
      <c r="H14" s="129" t="e">
        <f ca="1">Calcu!AI9</f>
        <v>#N/A</v>
      </c>
      <c r="I14" s="51"/>
      <c r="J14" s="51"/>
    </row>
    <row r="15" spans="1:12" ht="15" customHeight="1">
      <c r="A15" s="44" t="str">
        <f>IF(Calcu!B10=TRUE,"","삭제")</f>
        <v>삭제</v>
      </c>
      <c r="B15" s="43"/>
      <c r="E15" s="187" t="str">
        <f>Calcu!AE10</f>
        <v/>
      </c>
      <c r="F15" s="351" t="e">
        <f ca="1">Calcu!AH10</f>
        <v>#N/A</v>
      </c>
      <c r="G15" s="352"/>
      <c r="H15" s="129" t="e">
        <f ca="1">Calcu!AI10</f>
        <v>#N/A</v>
      </c>
      <c r="I15" s="51"/>
      <c r="J15" s="51"/>
    </row>
    <row r="16" spans="1:12" ht="15" customHeight="1">
      <c r="A16" s="44" t="str">
        <f>IF(Calcu!B11=TRUE,"","삭제")</f>
        <v>삭제</v>
      </c>
      <c r="B16" s="43"/>
      <c r="E16" s="187" t="str">
        <f>Calcu!AE11</f>
        <v/>
      </c>
      <c r="F16" s="351" t="e">
        <f ca="1">Calcu!AH11</f>
        <v>#N/A</v>
      </c>
      <c r="G16" s="352"/>
      <c r="H16" s="129" t="e">
        <f ca="1">Calcu!AI11</f>
        <v>#N/A</v>
      </c>
      <c r="I16" s="51"/>
      <c r="J16" s="51"/>
    </row>
    <row r="17" spans="1:10" ht="15" customHeight="1">
      <c r="A17" s="44" t="str">
        <f>IF(Calcu!B12=TRUE,"","삭제")</f>
        <v>삭제</v>
      </c>
      <c r="B17" s="43"/>
      <c r="E17" s="187" t="str">
        <f>Calcu!AE12</f>
        <v/>
      </c>
      <c r="F17" s="351" t="e">
        <f ca="1">Calcu!AH12</f>
        <v>#N/A</v>
      </c>
      <c r="G17" s="352"/>
      <c r="H17" s="129" t="e">
        <f ca="1">Calcu!AI12</f>
        <v>#N/A</v>
      </c>
      <c r="I17" s="51"/>
      <c r="J17" s="51"/>
    </row>
    <row r="18" spans="1:10" ht="15" customHeight="1">
      <c r="A18" s="44" t="str">
        <f>IF(Calcu!B13=TRUE,"","삭제")</f>
        <v>삭제</v>
      </c>
      <c r="B18" s="43"/>
      <c r="E18" s="187" t="str">
        <f>Calcu!AE13</f>
        <v/>
      </c>
      <c r="F18" s="351" t="e">
        <f ca="1">Calcu!AH13</f>
        <v>#N/A</v>
      </c>
      <c r="G18" s="352"/>
      <c r="H18" s="129" t="e">
        <f ca="1">Calcu!AI13</f>
        <v>#N/A</v>
      </c>
      <c r="I18" s="51"/>
      <c r="J18" s="51"/>
    </row>
    <row r="19" spans="1:10" ht="15" customHeight="1">
      <c r="A19" s="44" t="str">
        <f>IF(Calcu!B14=TRUE,"","삭제")</f>
        <v>삭제</v>
      </c>
      <c r="B19" s="43"/>
      <c r="E19" s="187" t="str">
        <f>Calcu!AE14</f>
        <v/>
      </c>
      <c r="F19" s="351" t="e">
        <f ca="1">Calcu!AH14</f>
        <v>#N/A</v>
      </c>
      <c r="G19" s="352"/>
      <c r="H19" s="129" t="e">
        <f ca="1">Calcu!AI14</f>
        <v>#N/A</v>
      </c>
      <c r="I19" s="51"/>
      <c r="J19" s="51"/>
    </row>
    <row r="20" spans="1:10" ht="15" customHeight="1">
      <c r="A20" s="44" t="str">
        <f>IF(Calcu!B15=TRUE,"","삭제")</f>
        <v>삭제</v>
      </c>
      <c r="B20" s="43"/>
      <c r="E20" s="187" t="str">
        <f>Calcu!AE15</f>
        <v/>
      </c>
      <c r="F20" s="351" t="e">
        <f ca="1">Calcu!AH15</f>
        <v>#N/A</v>
      </c>
      <c r="G20" s="352"/>
      <c r="H20" s="129" t="e">
        <f ca="1">Calcu!AI15</f>
        <v>#N/A</v>
      </c>
      <c r="I20" s="51"/>
      <c r="J20" s="51"/>
    </row>
    <row r="21" spans="1:10" ht="15" customHeight="1">
      <c r="A21" s="44" t="str">
        <f>IF(Calcu!B16=TRUE,"","삭제")</f>
        <v>삭제</v>
      </c>
      <c r="B21" s="43"/>
      <c r="E21" s="187" t="str">
        <f>Calcu!AE16</f>
        <v/>
      </c>
      <c r="F21" s="351" t="e">
        <f ca="1">Calcu!AH16</f>
        <v>#N/A</v>
      </c>
      <c r="G21" s="352"/>
      <c r="H21" s="129" t="e">
        <f ca="1">Calcu!AI16</f>
        <v>#N/A</v>
      </c>
      <c r="I21" s="51"/>
      <c r="J21" s="51"/>
    </row>
    <row r="22" spans="1:10" ht="15" customHeight="1">
      <c r="A22" s="44" t="str">
        <f>IF(Calcu!B17=TRUE,"","삭제")</f>
        <v>삭제</v>
      </c>
      <c r="B22" s="43"/>
      <c r="E22" s="187" t="str">
        <f>Calcu!AE17</f>
        <v/>
      </c>
      <c r="F22" s="351" t="e">
        <f ca="1">Calcu!AH17</f>
        <v>#N/A</v>
      </c>
      <c r="G22" s="352"/>
      <c r="H22" s="129" t="e">
        <f ca="1">Calcu!AI17</f>
        <v>#N/A</v>
      </c>
      <c r="I22" s="51"/>
      <c r="J22" s="51"/>
    </row>
    <row r="23" spans="1:10" ht="15" customHeight="1">
      <c r="A23" s="44" t="str">
        <f>IF(Calcu!B18=TRUE,"","삭제")</f>
        <v>삭제</v>
      </c>
      <c r="B23" s="43"/>
      <c r="E23" s="187" t="str">
        <f>Calcu!AE18</f>
        <v/>
      </c>
      <c r="F23" s="351" t="e">
        <f ca="1">Calcu!AH18</f>
        <v>#N/A</v>
      </c>
      <c r="G23" s="352"/>
      <c r="H23" s="129" t="e">
        <f ca="1">Calcu!AI18</f>
        <v>#N/A</v>
      </c>
      <c r="I23" s="51"/>
      <c r="J23" s="51"/>
    </row>
    <row r="24" spans="1:10" ht="15" customHeight="1">
      <c r="A24" s="44" t="str">
        <f>IF(Calcu!B19=TRUE,"","삭제")</f>
        <v>삭제</v>
      </c>
      <c r="B24" s="43"/>
      <c r="E24" s="187" t="str">
        <f>Calcu!AE19</f>
        <v/>
      </c>
      <c r="F24" s="351" t="e">
        <f ca="1">Calcu!AH19</f>
        <v>#N/A</v>
      </c>
      <c r="G24" s="352"/>
      <c r="H24" s="129" t="e">
        <f ca="1">Calcu!AI19</f>
        <v>#N/A</v>
      </c>
      <c r="I24" s="51"/>
      <c r="J24" s="51"/>
    </row>
    <row r="25" spans="1:10" ht="15" customHeight="1">
      <c r="A25" s="44" t="str">
        <f>IF(Calcu!B20=TRUE,"","삭제")</f>
        <v>삭제</v>
      </c>
      <c r="B25" s="43"/>
      <c r="E25" s="187" t="str">
        <f>Calcu!AE20</f>
        <v/>
      </c>
      <c r="F25" s="351" t="e">
        <f ca="1">Calcu!AH20</f>
        <v>#N/A</v>
      </c>
      <c r="G25" s="352"/>
      <c r="H25" s="129" t="e">
        <f ca="1">Calcu!AI20</f>
        <v>#N/A</v>
      </c>
      <c r="I25" s="51"/>
      <c r="J25" s="51"/>
    </row>
    <row r="26" spans="1:10" ht="15" customHeight="1">
      <c r="A26" s="44" t="str">
        <f>IF(Calcu!B21=TRUE,"","삭제")</f>
        <v>삭제</v>
      </c>
      <c r="B26" s="43"/>
      <c r="E26" s="187" t="str">
        <f>Calcu!AE21</f>
        <v/>
      </c>
      <c r="F26" s="351" t="e">
        <f ca="1">Calcu!AH21</f>
        <v>#N/A</v>
      </c>
      <c r="G26" s="352"/>
      <c r="H26" s="129" t="e">
        <f ca="1">Calcu!AI21</f>
        <v>#N/A</v>
      </c>
      <c r="I26" s="51"/>
      <c r="J26" s="51"/>
    </row>
    <row r="27" spans="1:10" ht="15" customHeight="1">
      <c r="A27" s="44" t="str">
        <f>IF(Calcu!B22=TRUE,"","삭제")</f>
        <v>삭제</v>
      </c>
      <c r="B27" s="43"/>
      <c r="E27" s="187" t="str">
        <f>Calcu!AE22</f>
        <v/>
      </c>
      <c r="F27" s="351" t="e">
        <f ca="1">Calcu!AH22</f>
        <v>#N/A</v>
      </c>
      <c r="G27" s="352"/>
      <c r="H27" s="129" t="e">
        <f ca="1">Calcu!AI22</f>
        <v>#N/A</v>
      </c>
      <c r="I27" s="51"/>
      <c r="J27" s="51"/>
    </row>
    <row r="28" spans="1:10" ht="15" customHeight="1">
      <c r="A28" s="44" t="str">
        <f>IF(Calcu!B23=TRUE,"","삭제")</f>
        <v>삭제</v>
      </c>
      <c r="B28" s="43"/>
      <c r="E28" s="187" t="str">
        <f>Calcu!AE23</f>
        <v/>
      </c>
      <c r="F28" s="351" t="e">
        <f ca="1">Calcu!AH23</f>
        <v>#N/A</v>
      </c>
      <c r="G28" s="352"/>
      <c r="H28" s="129" t="e">
        <f ca="1">Calcu!AI23</f>
        <v>#N/A</v>
      </c>
      <c r="I28" s="51"/>
      <c r="J28" s="51"/>
    </row>
    <row r="29" spans="1:10" ht="15" customHeight="1">
      <c r="A29" s="44" t="str">
        <f>IF(Calcu!B24=TRUE,"","삭제")</f>
        <v>삭제</v>
      </c>
      <c r="B29" s="43"/>
      <c r="E29" s="187" t="str">
        <f>Calcu!AE24</f>
        <v/>
      </c>
      <c r="F29" s="351" t="e">
        <f ca="1">Calcu!AH24</f>
        <v>#N/A</v>
      </c>
      <c r="G29" s="352"/>
      <c r="H29" s="129" t="e">
        <f ca="1">Calcu!AI24</f>
        <v>#N/A</v>
      </c>
      <c r="I29" s="51"/>
      <c r="J29" s="51"/>
    </row>
    <row r="30" spans="1:10" ht="15" customHeight="1">
      <c r="A30" s="44" t="str">
        <f>IF(Calcu!B25=TRUE,"","삭제")</f>
        <v>삭제</v>
      </c>
      <c r="B30" s="43"/>
      <c r="E30" s="187" t="str">
        <f>Calcu!AE25</f>
        <v/>
      </c>
      <c r="F30" s="351" t="e">
        <f ca="1">Calcu!AH25</f>
        <v>#N/A</v>
      </c>
      <c r="G30" s="352"/>
      <c r="H30" s="129" t="e">
        <f ca="1">Calcu!AI25</f>
        <v>#N/A</v>
      </c>
      <c r="I30" s="51"/>
      <c r="J30" s="51"/>
    </row>
    <row r="31" spans="1:10" ht="15" customHeight="1">
      <c r="A31" s="44" t="str">
        <f>IF(Calcu!B26=TRUE,"","삭제")</f>
        <v>삭제</v>
      </c>
      <c r="B31" s="43"/>
      <c r="E31" s="187" t="str">
        <f>Calcu!AE26</f>
        <v/>
      </c>
      <c r="F31" s="351" t="e">
        <f ca="1">Calcu!AH26</f>
        <v>#N/A</v>
      </c>
      <c r="G31" s="352"/>
      <c r="H31" s="129" t="e">
        <f ca="1">Calcu!AI26</f>
        <v>#N/A</v>
      </c>
      <c r="I31" s="51"/>
      <c r="J31" s="51"/>
    </row>
    <row r="32" spans="1:10" ht="15" customHeight="1">
      <c r="A32" s="44" t="str">
        <f>IF(Calcu!B27=TRUE,"","삭제")</f>
        <v>삭제</v>
      </c>
      <c r="B32" s="43"/>
      <c r="E32" s="187" t="str">
        <f>Calcu!AE27</f>
        <v/>
      </c>
      <c r="F32" s="351" t="e">
        <f ca="1">Calcu!AH27</f>
        <v>#N/A</v>
      </c>
      <c r="G32" s="352"/>
      <c r="H32" s="129" t="e">
        <f ca="1">Calcu!AI27</f>
        <v>#N/A</v>
      </c>
      <c r="I32" s="51"/>
      <c r="J32" s="51"/>
    </row>
    <row r="33" spans="1:10" ht="15" customHeight="1">
      <c r="A33" s="44" t="str">
        <f>IF(Calcu!B28=TRUE,"","삭제")</f>
        <v>삭제</v>
      </c>
      <c r="B33" s="43"/>
      <c r="E33" s="187" t="str">
        <f>Calcu!AE28</f>
        <v/>
      </c>
      <c r="F33" s="351" t="e">
        <f ca="1">Calcu!AH28</f>
        <v>#N/A</v>
      </c>
      <c r="G33" s="352"/>
      <c r="H33" s="129" t="e">
        <f ca="1">Calcu!AI28</f>
        <v>#N/A</v>
      </c>
      <c r="I33" s="51"/>
      <c r="J33" s="51"/>
    </row>
    <row r="34" spans="1:10" ht="15" customHeight="1">
      <c r="A34" s="44"/>
      <c r="E34" s="84"/>
      <c r="F34" s="84"/>
      <c r="G34" s="51"/>
    </row>
    <row r="35" spans="1:10" ht="15" customHeight="1">
      <c r="A35" s="44"/>
      <c r="E35" s="38" t="s">
        <v>369</v>
      </c>
      <c r="F35" s="141" t="e">
        <f ca="1">Calcu!T52</f>
        <v>#N/A</v>
      </c>
      <c r="G35" s="37" t="e">
        <f ca="1">Calcu!U52</f>
        <v>#N/A</v>
      </c>
      <c r="H35" s="140"/>
    </row>
    <row r="36" spans="1:10" ht="15" customHeight="1">
      <c r="A36" s="44"/>
      <c r="E36" s="38"/>
      <c r="F36" s="141" t="e">
        <f ca="1">IF(Calcu!E62="사다리꼴","(신뢰수준 95 %,","(신뢰수준 약 95 %,")</f>
        <v>#N/A</v>
      </c>
      <c r="G36" s="140" t="e">
        <f ca="1">Calcu!E63&amp;IF(Calcu!E62="사다리꼴",", 사다리꼴 확률분포)",")")</f>
        <v>#N/A</v>
      </c>
      <c r="I36" s="140"/>
      <c r="J36" s="140"/>
    </row>
    <row r="37" spans="1:10" ht="15" customHeight="1">
      <c r="E37" s="38" t="s">
        <v>724</v>
      </c>
    </row>
    <row r="38" spans="1:10" ht="15" customHeight="1">
      <c r="E38" s="62"/>
      <c r="F38" s="62"/>
      <c r="G38" s="62"/>
      <c r="H38" s="62"/>
      <c r="I38" s="62"/>
      <c r="J38" s="140"/>
    </row>
  </sheetData>
  <mergeCells count="23">
    <mergeCell ref="F21:G21"/>
    <mergeCell ref="F22:G22"/>
    <mergeCell ref="F16:G16"/>
    <mergeCell ref="F17:G17"/>
    <mergeCell ref="F18:G18"/>
    <mergeCell ref="F19:G19"/>
    <mergeCell ref="F20:G20"/>
    <mergeCell ref="A1:L2"/>
    <mergeCell ref="F12:G12"/>
    <mergeCell ref="F14:G14"/>
    <mergeCell ref="F13:G13"/>
    <mergeCell ref="F15:G15"/>
    <mergeCell ref="F23:G23"/>
    <mergeCell ref="F24:G24"/>
    <mergeCell ref="F25:G25"/>
    <mergeCell ref="F31:G31"/>
    <mergeCell ref="F32:G32"/>
    <mergeCell ref="F33:G33"/>
    <mergeCell ref="F26:G26"/>
    <mergeCell ref="F27:G27"/>
    <mergeCell ref="F28:G28"/>
    <mergeCell ref="F29:G29"/>
    <mergeCell ref="F30:G30"/>
  </mergeCells>
  <phoneticPr fontId="4" type="noConversion"/>
  <printOptions horizontalCentered="1"/>
  <pageMargins left="0" right="0" top="0.35433070866141736" bottom="0.59055118110236227" header="0" footer="0"/>
  <pageSetup paperSize="9" orientation="portrait" horizontalDpi="4294967292" verticalDpi="300" r:id="rId1"/>
  <headerFooter alignWithMargins="0">
    <oddHeader xml:space="preserve">&amp;R&amp;10
 페이지(page)    &amp;P  of   &amp;N         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L39"/>
  <sheetViews>
    <sheetView showGridLines="0" showWhiteSpace="0" zoomScaleNormal="100" zoomScaleSheetLayoutView="100" workbookViewId="0">
      <selection sqref="A1:L2"/>
    </sheetView>
  </sheetViews>
  <sheetFormatPr defaultColWidth="10.77734375" defaultRowHeight="15" customHeight="1"/>
  <cols>
    <col min="1" max="4" width="4.77734375" style="37" customWidth="1"/>
    <col min="5" max="5" width="12.77734375" style="37" customWidth="1"/>
    <col min="6" max="6" width="9.77734375" style="37" customWidth="1"/>
    <col min="7" max="7" width="3.77734375" style="37" customWidth="1"/>
    <col min="8" max="8" width="12.77734375" style="37" customWidth="1"/>
    <col min="9" max="9" width="6.77734375" style="37" customWidth="1"/>
    <col min="10" max="10" width="4.77734375" style="37" customWidth="1"/>
    <col min="11" max="12" width="3.77734375" style="37" customWidth="1"/>
    <col min="13" max="16384" width="10.77734375" style="37"/>
  </cols>
  <sheetData>
    <row r="1" spans="1:12" s="64" customFormat="1" ht="33" customHeight="1">
      <c r="A1" s="358" t="s">
        <v>54</v>
      </c>
      <c r="B1" s="358"/>
      <c r="C1" s="358"/>
      <c r="D1" s="358"/>
      <c r="E1" s="358"/>
      <c r="F1" s="358"/>
      <c r="G1" s="358"/>
      <c r="H1" s="358"/>
      <c r="I1" s="358"/>
      <c r="J1" s="358"/>
      <c r="K1" s="358"/>
      <c r="L1" s="358"/>
    </row>
    <row r="2" spans="1:12" s="64" customFormat="1" ht="33" customHeight="1">
      <c r="A2" s="358"/>
      <c r="B2" s="358"/>
      <c r="C2" s="358"/>
      <c r="D2" s="358"/>
      <c r="E2" s="358"/>
      <c r="F2" s="358"/>
      <c r="G2" s="358"/>
      <c r="H2" s="358"/>
      <c r="I2" s="358"/>
      <c r="J2" s="358"/>
      <c r="K2" s="358"/>
      <c r="L2" s="358"/>
    </row>
    <row r="3" spans="1:12" s="47" customFormat="1" ht="12.75" customHeight="1">
      <c r="A3" s="48" t="s">
        <v>66</v>
      </c>
      <c r="B3" s="48"/>
      <c r="C3" s="21"/>
      <c r="D3" s="21"/>
      <c r="E3" s="21"/>
      <c r="F3" s="21"/>
      <c r="G3" s="21"/>
      <c r="H3" s="21"/>
      <c r="I3" s="21"/>
      <c r="J3" s="21"/>
      <c r="K3" s="21"/>
      <c r="L3" s="21"/>
    </row>
    <row r="4" spans="1:12" s="49" customFormat="1" ht="13.5" customHeight="1">
      <c r="A4" s="74" t="str">
        <f>" 교   정   번   호(Calibration No) : "&amp;기본정보!H3</f>
        <v xml:space="preserve"> 교   정   번   호(Calibration No) : </v>
      </c>
      <c r="B4" s="74"/>
      <c r="C4" s="75"/>
      <c r="D4" s="130"/>
      <c r="E4" s="75"/>
      <c r="F4" s="75"/>
      <c r="G4" s="130"/>
      <c r="H4" s="75"/>
      <c r="I4" s="82"/>
      <c r="J4" s="76"/>
      <c r="K4" s="128"/>
      <c r="L4" s="82"/>
    </row>
    <row r="5" spans="1:12" s="36" customFormat="1" ht="15" customHeight="1"/>
    <row r="6" spans="1:12" ht="15" customHeight="1">
      <c r="E6" s="53" t="str">
        <f>"○ Description : "&amp;기본정보!C$5</f>
        <v xml:space="preserve">○ Description : </v>
      </c>
    </row>
    <row r="7" spans="1:12" ht="15" customHeight="1">
      <c r="E7" s="53" t="str">
        <f>"○ Manufacturer  : "&amp;기본정보!C$6</f>
        <v xml:space="preserve">○ Manufacturer  : </v>
      </c>
    </row>
    <row r="8" spans="1:12" ht="15" customHeight="1">
      <c r="E8" s="53" t="str">
        <f>"○ Model Name : "&amp;기본정보!C$7</f>
        <v xml:space="preserve">○ Model Name : </v>
      </c>
    </row>
    <row r="9" spans="1:12" ht="15" customHeight="1">
      <c r="E9" s="53" t="str">
        <f>"○ Serial Number : "&amp;기본정보!C$8</f>
        <v xml:space="preserve">○ Serial Number : </v>
      </c>
    </row>
    <row r="11" spans="1:12" ht="15" customHeight="1">
      <c r="E11" s="38" t="s">
        <v>133</v>
      </c>
    </row>
    <row r="12" spans="1:12" ht="15" customHeight="1">
      <c r="A12" s="44"/>
      <c r="B12" s="43"/>
      <c r="E12" s="203" t="s">
        <v>96</v>
      </c>
      <c r="F12" s="354" t="s">
        <v>704</v>
      </c>
      <c r="G12" s="359"/>
      <c r="H12" s="286" t="s">
        <v>698</v>
      </c>
    </row>
    <row r="13" spans="1:12" ht="15" customHeight="1">
      <c r="A13" s="44"/>
      <c r="B13" s="43"/>
      <c r="E13" s="139" t="s">
        <v>126</v>
      </c>
      <c r="F13" s="356" t="s">
        <v>699</v>
      </c>
      <c r="G13" s="357"/>
      <c r="H13" s="202" t="s">
        <v>699</v>
      </c>
    </row>
    <row r="14" spans="1:12" ht="15" customHeight="1">
      <c r="A14" s="44" t="str">
        <f>IF(Calcu!B9=TRUE,"","삭제")</f>
        <v>삭제</v>
      </c>
      <c r="B14" s="43"/>
      <c r="E14" s="201" t="str">
        <f>Calcu!AE9</f>
        <v/>
      </c>
      <c r="F14" s="351" t="e">
        <f ca="1">Calcu!AH9</f>
        <v>#N/A</v>
      </c>
      <c r="G14" s="352"/>
      <c r="H14" s="129" t="e">
        <f ca="1">Calcu!AI9</f>
        <v>#N/A</v>
      </c>
    </row>
    <row r="15" spans="1:12" ht="15" customHeight="1">
      <c r="A15" s="44" t="str">
        <f>IF(Calcu!B10=TRUE,"","삭제")</f>
        <v>삭제</v>
      </c>
      <c r="B15" s="43"/>
      <c r="E15" s="201" t="str">
        <f>Calcu!AE10</f>
        <v/>
      </c>
      <c r="F15" s="351" t="e">
        <f ca="1">Calcu!AH10</f>
        <v>#N/A</v>
      </c>
      <c r="G15" s="352"/>
      <c r="H15" s="129" t="e">
        <f ca="1">Calcu!AI10</f>
        <v>#N/A</v>
      </c>
    </row>
    <row r="16" spans="1:12" ht="15" customHeight="1">
      <c r="A16" s="44" t="str">
        <f>IF(Calcu!B11=TRUE,"","삭제")</f>
        <v>삭제</v>
      </c>
      <c r="B16" s="43"/>
      <c r="E16" s="201" t="str">
        <f>Calcu!AE11</f>
        <v/>
      </c>
      <c r="F16" s="351" t="e">
        <f ca="1">Calcu!AH11</f>
        <v>#N/A</v>
      </c>
      <c r="G16" s="352"/>
      <c r="H16" s="129" t="e">
        <f ca="1">Calcu!AI11</f>
        <v>#N/A</v>
      </c>
    </row>
    <row r="17" spans="1:8" ht="15" customHeight="1">
      <c r="A17" s="44" t="str">
        <f>IF(Calcu!B12=TRUE,"","삭제")</f>
        <v>삭제</v>
      </c>
      <c r="B17" s="43"/>
      <c r="E17" s="201" t="str">
        <f>Calcu!AE12</f>
        <v/>
      </c>
      <c r="F17" s="351" t="e">
        <f ca="1">Calcu!AH12</f>
        <v>#N/A</v>
      </c>
      <c r="G17" s="352"/>
      <c r="H17" s="129" t="e">
        <f ca="1">Calcu!AI12</f>
        <v>#N/A</v>
      </c>
    </row>
    <row r="18" spans="1:8" ht="15" customHeight="1">
      <c r="A18" s="44" t="str">
        <f>IF(Calcu!B13=TRUE,"","삭제")</f>
        <v>삭제</v>
      </c>
      <c r="B18" s="43"/>
      <c r="E18" s="201" t="str">
        <f>Calcu!AE13</f>
        <v/>
      </c>
      <c r="F18" s="351" t="e">
        <f ca="1">Calcu!AH13</f>
        <v>#N/A</v>
      </c>
      <c r="G18" s="352"/>
      <c r="H18" s="129" t="e">
        <f ca="1">Calcu!AI13</f>
        <v>#N/A</v>
      </c>
    </row>
    <row r="19" spans="1:8" ht="15" customHeight="1">
      <c r="A19" s="44" t="str">
        <f>IF(Calcu!B14=TRUE,"","삭제")</f>
        <v>삭제</v>
      </c>
      <c r="B19" s="43"/>
      <c r="E19" s="201" t="str">
        <f>Calcu!AE14</f>
        <v/>
      </c>
      <c r="F19" s="351" t="e">
        <f ca="1">Calcu!AH14</f>
        <v>#N/A</v>
      </c>
      <c r="G19" s="352"/>
      <c r="H19" s="129" t="e">
        <f ca="1">Calcu!AI14</f>
        <v>#N/A</v>
      </c>
    </row>
    <row r="20" spans="1:8" ht="15" customHeight="1">
      <c r="A20" s="44" t="str">
        <f>IF(Calcu!B15=TRUE,"","삭제")</f>
        <v>삭제</v>
      </c>
      <c r="B20" s="43"/>
      <c r="E20" s="201" t="str">
        <f>Calcu!AE15</f>
        <v/>
      </c>
      <c r="F20" s="351" t="e">
        <f ca="1">Calcu!AH15</f>
        <v>#N/A</v>
      </c>
      <c r="G20" s="352"/>
      <c r="H20" s="129" t="e">
        <f ca="1">Calcu!AI15</f>
        <v>#N/A</v>
      </c>
    </row>
    <row r="21" spans="1:8" ht="15" customHeight="1">
      <c r="A21" s="44" t="str">
        <f>IF(Calcu!B16=TRUE,"","삭제")</f>
        <v>삭제</v>
      </c>
      <c r="B21" s="43"/>
      <c r="E21" s="201" t="str">
        <f>Calcu!AE16</f>
        <v/>
      </c>
      <c r="F21" s="351" t="e">
        <f ca="1">Calcu!AH16</f>
        <v>#N/A</v>
      </c>
      <c r="G21" s="352"/>
      <c r="H21" s="129" t="e">
        <f ca="1">Calcu!AI16</f>
        <v>#N/A</v>
      </c>
    </row>
    <row r="22" spans="1:8" ht="15" customHeight="1">
      <c r="A22" s="44" t="str">
        <f>IF(Calcu!B17=TRUE,"","삭제")</f>
        <v>삭제</v>
      </c>
      <c r="B22" s="43"/>
      <c r="E22" s="201" t="str">
        <f>Calcu!AE17</f>
        <v/>
      </c>
      <c r="F22" s="351" t="e">
        <f ca="1">Calcu!AH17</f>
        <v>#N/A</v>
      </c>
      <c r="G22" s="352"/>
      <c r="H22" s="129" t="e">
        <f ca="1">Calcu!AI17</f>
        <v>#N/A</v>
      </c>
    </row>
    <row r="23" spans="1:8" ht="15" customHeight="1">
      <c r="A23" s="44" t="str">
        <f>IF(Calcu!B18=TRUE,"","삭제")</f>
        <v>삭제</v>
      </c>
      <c r="B23" s="43"/>
      <c r="E23" s="201" t="str">
        <f>Calcu!AE18</f>
        <v/>
      </c>
      <c r="F23" s="351" t="e">
        <f ca="1">Calcu!AH18</f>
        <v>#N/A</v>
      </c>
      <c r="G23" s="352"/>
      <c r="H23" s="129" t="e">
        <f ca="1">Calcu!AI18</f>
        <v>#N/A</v>
      </c>
    </row>
    <row r="24" spans="1:8" ht="15" customHeight="1">
      <c r="A24" s="44" t="str">
        <f>IF(Calcu!B19=TRUE,"","삭제")</f>
        <v>삭제</v>
      </c>
      <c r="B24" s="43"/>
      <c r="E24" s="201" t="str">
        <f>Calcu!AE19</f>
        <v/>
      </c>
      <c r="F24" s="351" t="e">
        <f ca="1">Calcu!AH19</f>
        <v>#N/A</v>
      </c>
      <c r="G24" s="352"/>
      <c r="H24" s="129" t="e">
        <f ca="1">Calcu!AI19</f>
        <v>#N/A</v>
      </c>
    </row>
    <row r="25" spans="1:8" ht="15" customHeight="1">
      <c r="A25" s="44" t="str">
        <f>IF(Calcu!B20=TRUE,"","삭제")</f>
        <v>삭제</v>
      </c>
      <c r="B25" s="43"/>
      <c r="E25" s="201" t="str">
        <f>Calcu!AE20</f>
        <v/>
      </c>
      <c r="F25" s="351" t="e">
        <f ca="1">Calcu!AH20</f>
        <v>#N/A</v>
      </c>
      <c r="G25" s="352"/>
      <c r="H25" s="129" t="e">
        <f ca="1">Calcu!AI20</f>
        <v>#N/A</v>
      </c>
    </row>
    <row r="26" spans="1:8" ht="15" customHeight="1">
      <c r="A26" s="44" t="str">
        <f>IF(Calcu!B21=TRUE,"","삭제")</f>
        <v>삭제</v>
      </c>
      <c r="B26" s="43"/>
      <c r="E26" s="201" t="str">
        <f>Calcu!AE21</f>
        <v/>
      </c>
      <c r="F26" s="351" t="e">
        <f ca="1">Calcu!AH21</f>
        <v>#N/A</v>
      </c>
      <c r="G26" s="352"/>
      <c r="H26" s="129" t="e">
        <f ca="1">Calcu!AI21</f>
        <v>#N/A</v>
      </c>
    </row>
    <row r="27" spans="1:8" ht="15" customHeight="1">
      <c r="A27" s="44" t="str">
        <f>IF(Calcu!B22=TRUE,"","삭제")</f>
        <v>삭제</v>
      </c>
      <c r="B27" s="43"/>
      <c r="E27" s="201" t="str">
        <f>Calcu!AE22</f>
        <v/>
      </c>
      <c r="F27" s="351" t="e">
        <f ca="1">Calcu!AH22</f>
        <v>#N/A</v>
      </c>
      <c r="G27" s="352"/>
      <c r="H27" s="129" t="e">
        <f ca="1">Calcu!AI22</f>
        <v>#N/A</v>
      </c>
    </row>
    <row r="28" spans="1:8" ht="15" customHeight="1">
      <c r="A28" s="44" t="str">
        <f>IF(Calcu!B23=TRUE,"","삭제")</f>
        <v>삭제</v>
      </c>
      <c r="B28" s="43"/>
      <c r="E28" s="201" t="str">
        <f>Calcu!AE23</f>
        <v/>
      </c>
      <c r="F28" s="351" t="e">
        <f ca="1">Calcu!AH23</f>
        <v>#N/A</v>
      </c>
      <c r="G28" s="352"/>
      <c r="H28" s="129" t="e">
        <f ca="1">Calcu!AI23</f>
        <v>#N/A</v>
      </c>
    </row>
    <row r="29" spans="1:8" ht="15" customHeight="1">
      <c r="A29" s="44" t="str">
        <f>IF(Calcu!B24=TRUE,"","삭제")</f>
        <v>삭제</v>
      </c>
      <c r="B29" s="43"/>
      <c r="E29" s="201" t="str">
        <f>Calcu!AE24</f>
        <v/>
      </c>
      <c r="F29" s="351" t="e">
        <f ca="1">Calcu!AH24</f>
        <v>#N/A</v>
      </c>
      <c r="G29" s="352"/>
      <c r="H29" s="129" t="e">
        <f ca="1">Calcu!AI24</f>
        <v>#N/A</v>
      </c>
    </row>
    <row r="30" spans="1:8" ht="15" customHeight="1">
      <c r="A30" s="44" t="str">
        <f>IF(Calcu!B25=TRUE,"","삭제")</f>
        <v>삭제</v>
      </c>
      <c r="B30" s="43"/>
      <c r="E30" s="201" t="str">
        <f>Calcu!AE25</f>
        <v/>
      </c>
      <c r="F30" s="351" t="e">
        <f ca="1">Calcu!AH25</f>
        <v>#N/A</v>
      </c>
      <c r="G30" s="352"/>
      <c r="H30" s="129" t="e">
        <f ca="1">Calcu!AI25</f>
        <v>#N/A</v>
      </c>
    </row>
    <row r="31" spans="1:8" ht="15" customHeight="1">
      <c r="A31" s="44" t="str">
        <f>IF(Calcu!B26=TRUE,"","삭제")</f>
        <v>삭제</v>
      </c>
      <c r="B31" s="43"/>
      <c r="E31" s="201" t="str">
        <f>Calcu!AE26</f>
        <v/>
      </c>
      <c r="F31" s="351" t="e">
        <f ca="1">Calcu!AH26</f>
        <v>#N/A</v>
      </c>
      <c r="G31" s="352"/>
      <c r="H31" s="129" t="e">
        <f ca="1">Calcu!AI26</f>
        <v>#N/A</v>
      </c>
    </row>
    <row r="32" spans="1:8" ht="15" customHeight="1">
      <c r="A32" s="44" t="str">
        <f>IF(Calcu!B27=TRUE,"","삭제")</f>
        <v>삭제</v>
      </c>
      <c r="B32" s="43"/>
      <c r="E32" s="201" t="str">
        <f>Calcu!AE27</f>
        <v/>
      </c>
      <c r="F32" s="351" t="e">
        <f ca="1">Calcu!AH27</f>
        <v>#N/A</v>
      </c>
      <c r="G32" s="352"/>
      <c r="H32" s="129" t="e">
        <f ca="1">Calcu!AI27</f>
        <v>#N/A</v>
      </c>
    </row>
    <row r="33" spans="1:10" ht="15" customHeight="1">
      <c r="A33" s="44" t="str">
        <f>IF(Calcu!B28=TRUE,"","삭제")</f>
        <v>삭제</v>
      </c>
      <c r="B33" s="43"/>
      <c r="E33" s="201" t="str">
        <f>Calcu!AE28</f>
        <v/>
      </c>
      <c r="F33" s="351" t="e">
        <f ca="1">Calcu!AH28</f>
        <v>#N/A</v>
      </c>
      <c r="G33" s="352"/>
      <c r="H33" s="129" t="e">
        <f ca="1">Calcu!AI28</f>
        <v>#N/A</v>
      </c>
    </row>
    <row r="34" spans="1:10" ht="15" customHeight="1">
      <c r="A34" s="44"/>
      <c r="E34" s="84"/>
      <c r="F34" s="84"/>
      <c r="G34" s="51"/>
    </row>
    <row r="35" spans="1:10" ht="15" customHeight="1">
      <c r="A35" s="44"/>
      <c r="E35" s="38" t="s">
        <v>700</v>
      </c>
      <c r="G35" s="141" t="e">
        <f ca="1">Calcu!T52</f>
        <v>#N/A</v>
      </c>
      <c r="H35" s="140" t="e">
        <f ca="1">Calcu!U52</f>
        <v>#N/A</v>
      </c>
      <c r="I35" s="140"/>
    </row>
    <row r="36" spans="1:10" ht="15" customHeight="1">
      <c r="A36" s="44"/>
      <c r="G36" s="141" t="e">
        <f ca="1">IF(Calcu!E62="사다리꼴","(Confidence level 95 %,","(Confidence level about 95 %,")</f>
        <v>#N/A</v>
      </c>
      <c r="H36" s="140" t="e">
        <f ca="1">Calcu!E63&amp;")"</f>
        <v>#N/A</v>
      </c>
    </row>
    <row r="37" spans="1:10" ht="15" customHeight="1">
      <c r="A37" s="44" t="e">
        <f ca="1">IF(Calcu!E62="사다리꼴","","삭제")</f>
        <v>#N/A</v>
      </c>
      <c r="E37" s="50" t="e">
        <f ca="1">IF(Calcu!E62="사다리꼴","※ Trapezoid probability distribution.","")</f>
        <v>#N/A</v>
      </c>
      <c r="G37" s="132"/>
      <c r="H37" s="50"/>
    </row>
    <row r="38" spans="1:10" ht="15" customHeight="1">
      <c r="A38" s="44"/>
      <c r="E38" s="38" t="s">
        <v>725</v>
      </c>
      <c r="G38" s="132"/>
      <c r="H38" s="50"/>
    </row>
    <row r="39" spans="1:10" ht="15" customHeight="1">
      <c r="E39" s="62"/>
      <c r="F39" s="62"/>
      <c r="G39" s="62"/>
      <c r="H39" s="62"/>
      <c r="I39" s="62"/>
      <c r="J39" s="63"/>
    </row>
  </sheetData>
  <mergeCells count="23">
    <mergeCell ref="F31:G31"/>
    <mergeCell ref="F32:G32"/>
    <mergeCell ref="F33:G33"/>
    <mergeCell ref="F26:G26"/>
    <mergeCell ref="F27:G27"/>
    <mergeCell ref="F28:G28"/>
    <mergeCell ref="F29:G29"/>
    <mergeCell ref="F30:G30"/>
    <mergeCell ref="F21:G21"/>
    <mergeCell ref="F22:G22"/>
    <mergeCell ref="F23:G23"/>
    <mergeCell ref="F24:G24"/>
    <mergeCell ref="F25:G25"/>
    <mergeCell ref="A1:L2"/>
    <mergeCell ref="F17:G17"/>
    <mergeCell ref="F18:G18"/>
    <mergeCell ref="F19:G19"/>
    <mergeCell ref="F20:G20"/>
    <mergeCell ref="F13:G13"/>
    <mergeCell ref="F14:G14"/>
    <mergeCell ref="F15:G15"/>
    <mergeCell ref="F16:G16"/>
    <mergeCell ref="F12:G12"/>
  </mergeCells>
  <phoneticPr fontId="4" type="noConversion"/>
  <printOptions horizontalCentered="1"/>
  <pageMargins left="0" right="0" top="0.35433070866141736" bottom="0.59055118110236227" header="0" footer="0"/>
  <pageSetup paperSize="9" orientation="portrait" horizontalDpi="4294967292" verticalDpi="300" r:id="rId1"/>
  <headerFooter alignWithMargins="0">
    <oddHeader xml:space="preserve">&amp;R&amp;10
 페이지(page)    &amp;P  of   &amp;N         </oddHead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6"/>
  <sheetViews>
    <sheetView showGridLines="0" showWhiteSpace="0" zoomScaleNormal="100" zoomScaleSheetLayoutView="100" workbookViewId="0">
      <selection sqref="A1:Q2"/>
    </sheetView>
  </sheetViews>
  <sheetFormatPr defaultColWidth="8.77734375" defaultRowHeight="15" customHeight="1"/>
  <cols>
    <col min="1" max="1" width="3.77734375" style="37" customWidth="1"/>
    <col min="2" max="4" width="1.77734375" style="37" hidden="1" customWidth="1"/>
    <col min="5" max="5" width="12.88671875" style="37" hidden="1" customWidth="1"/>
    <col min="6" max="6" width="9.21875" style="37" customWidth="1"/>
    <col min="7" max="7" width="4.44140625" style="37" bestFit="1" customWidth="1"/>
    <col min="8" max="8" width="8.77734375" style="37"/>
    <col min="9" max="9" width="1.77734375" style="37" customWidth="1"/>
    <col min="10" max="10" width="7.5546875" style="37" bestFit="1" customWidth="1"/>
    <col min="11" max="11" width="9.109375" style="37" bestFit="1" customWidth="1"/>
    <col min="12" max="12" width="5.21875" style="37" bestFit="1" customWidth="1"/>
    <col min="13" max="13" width="7.5546875" style="37" bestFit="1" customWidth="1"/>
    <col min="14" max="14" width="9.109375" style="37" bestFit="1" customWidth="1"/>
    <col min="15" max="15" width="5.21875" style="37" bestFit="1" customWidth="1"/>
    <col min="16" max="16" width="1.77734375" style="37" customWidth="1"/>
    <col min="17" max="17" width="10.33203125" style="37" customWidth="1"/>
    <col min="18" max="16384" width="8.77734375" style="37"/>
  </cols>
  <sheetData>
    <row r="1" spans="1:17" s="47" customFormat="1" ht="33" customHeight="1">
      <c r="A1" s="353" t="s">
        <v>140</v>
      </c>
      <c r="B1" s="353"/>
      <c r="C1" s="353"/>
      <c r="D1" s="353"/>
      <c r="E1" s="353"/>
      <c r="F1" s="353"/>
      <c r="G1" s="353"/>
      <c r="H1" s="353"/>
      <c r="I1" s="353"/>
      <c r="J1" s="353"/>
      <c r="K1" s="353"/>
      <c r="L1" s="353"/>
      <c r="M1" s="353"/>
      <c r="N1" s="353"/>
      <c r="O1" s="353"/>
      <c r="P1" s="353"/>
      <c r="Q1" s="353"/>
    </row>
    <row r="2" spans="1:17" s="47" customFormat="1" ht="33" customHeight="1">
      <c r="A2" s="353"/>
      <c r="B2" s="353"/>
      <c r="C2" s="353"/>
      <c r="D2" s="353"/>
      <c r="E2" s="353"/>
      <c r="F2" s="353"/>
      <c r="G2" s="353"/>
      <c r="H2" s="353"/>
      <c r="I2" s="353"/>
      <c r="J2" s="353"/>
      <c r="K2" s="353"/>
      <c r="L2" s="353"/>
      <c r="M2" s="353"/>
      <c r="N2" s="353"/>
      <c r="O2" s="353"/>
      <c r="P2" s="353"/>
      <c r="Q2" s="353"/>
    </row>
    <row r="3" spans="1:17" s="47" customFormat="1" ht="12.75" customHeight="1">
      <c r="A3" s="48" t="s">
        <v>141</v>
      </c>
      <c r="B3" s="48"/>
      <c r="C3" s="48"/>
      <c r="D3" s="48"/>
      <c r="E3" s="48"/>
      <c r="F3" s="21"/>
      <c r="G3" s="21"/>
      <c r="H3" s="21"/>
      <c r="I3" s="21"/>
      <c r="J3" s="21"/>
      <c r="K3" s="21"/>
      <c r="L3" s="21"/>
      <c r="M3" s="21"/>
    </row>
    <row r="4" spans="1:17" s="49" customFormat="1" ht="13.5" customHeight="1">
      <c r="A4" s="151" t="str">
        <f>" 교   정   번   호(Calibration No) : "&amp;기본정보!H3</f>
        <v xml:space="preserve"> 교   정   번   호(Calibration No) : </v>
      </c>
      <c r="B4" s="151"/>
      <c r="C4" s="151"/>
      <c r="D4" s="151"/>
      <c r="E4" s="151"/>
      <c r="F4" s="130"/>
      <c r="G4" s="130"/>
      <c r="H4" s="130"/>
      <c r="I4" s="130"/>
      <c r="J4" s="130"/>
      <c r="K4" s="152"/>
      <c r="L4" s="128"/>
      <c r="M4" s="153"/>
      <c r="N4" s="153"/>
      <c r="O4" s="153"/>
      <c r="P4" s="153"/>
      <c r="Q4" s="153"/>
    </row>
    <row r="5" spans="1:17" s="36" customFormat="1" ht="15" customHeight="1"/>
    <row r="6" spans="1:17" ht="15" customHeight="1">
      <c r="F6" s="53" t="str">
        <f>"○ 품명 : "&amp;기본정보!C$5</f>
        <v xml:space="preserve">○ 품명 : </v>
      </c>
      <c r="G6" s="53"/>
    </row>
    <row r="7" spans="1:17" ht="15" customHeight="1">
      <c r="F7" s="53" t="str">
        <f>"○ 제작회사 : "&amp;기본정보!C$6</f>
        <v xml:space="preserve">○ 제작회사 : </v>
      </c>
      <c r="G7" s="53"/>
    </row>
    <row r="8" spans="1:17" ht="15" customHeight="1">
      <c r="F8" s="53" t="str">
        <f>"○ 형식 : "&amp;기본정보!C$7</f>
        <v xml:space="preserve">○ 형식 : </v>
      </c>
      <c r="G8" s="53"/>
    </row>
    <row r="9" spans="1:17" ht="15" customHeight="1">
      <c r="F9" s="53" t="str">
        <f>"○ 기기번호 : "&amp;기본정보!C$8</f>
        <v xml:space="preserve">○ 기기번호 : </v>
      </c>
      <c r="G9" s="53"/>
    </row>
    <row r="11" spans="1:17" ht="15" customHeight="1">
      <c r="F11" s="38" t="s">
        <v>142</v>
      </c>
      <c r="G11" s="38"/>
    </row>
    <row r="12" spans="1:17" ht="15" customHeight="1">
      <c r="E12" s="38"/>
      <c r="G12" s="38"/>
    </row>
    <row r="13" spans="1:17" s="154" customFormat="1" ht="15" customHeight="1">
      <c r="B13" s="367"/>
      <c r="C13" s="367"/>
      <c r="D13" s="367"/>
      <c r="E13" s="365"/>
      <c r="F13" s="369" t="s">
        <v>701</v>
      </c>
      <c r="G13" s="371" t="s">
        <v>143</v>
      </c>
      <c r="H13" s="373" t="s">
        <v>144</v>
      </c>
      <c r="I13" s="375"/>
      <c r="J13" s="376" t="s">
        <v>145</v>
      </c>
      <c r="K13" s="376"/>
      <c r="L13" s="376"/>
      <c r="M13" s="360" t="s">
        <v>146</v>
      </c>
      <c r="N13" s="360"/>
      <c r="O13" s="360"/>
      <c r="P13" s="361"/>
      <c r="Q13" s="363" t="s">
        <v>147</v>
      </c>
    </row>
    <row r="14" spans="1:17" s="155" customFormat="1" ht="22.5">
      <c r="B14" s="368"/>
      <c r="C14" s="368"/>
      <c r="D14" s="368"/>
      <c r="E14" s="366"/>
      <c r="F14" s="370"/>
      <c r="G14" s="372"/>
      <c r="H14" s="374"/>
      <c r="I14" s="368"/>
      <c r="J14" s="157" t="s">
        <v>157</v>
      </c>
      <c r="K14" s="158" t="s">
        <v>158</v>
      </c>
      <c r="L14" s="158" t="s">
        <v>159</v>
      </c>
      <c r="M14" s="157" t="s">
        <v>157</v>
      </c>
      <c r="N14" s="158" t="s">
        <v>158</v>
      </c>
      <c r="O14" s="158" t="s">
        <v>159</v>
      </c>
      <c r="P14" s="362"/>
      <c r="Q14" s="364"/>
    </row>
    <row r="15" spans="1:17" ht="15" customHeight="1">
      <c r="A15" s="44" t="str">
        <f>IF(Calcu!B9=TRUE,"","삭제")</f>
        <v>삭제</v>
      </c>
      <c r="C15" s="43"/>
      <c r="D15" s="43"/>
      <c r="F15" s="51" t="str">
        <f>Calcu!AE9</f>
        <v/>
      </c>
      <c r="G15" s="51" t="s">
        <v>130</v>
      </c>
      <c r="H15" s="51" t="e">
        <f ca="1">Calcu!AJ9</f>
        <v>#N/A</v>
      </c>
      <c r="J15" s="37" t="e">
        <f ca="1">Calcu!AF9</f>
        <v>#N/A</v>
      </c>
      <c r="K15" s="37" t="e">
        <f ca="1">Calcu!AG9</f>
        <v>#VALUE!</v>
      </c>
      <c r="L15" s="37" t="str">
        <f>LEFT(Calcu!AK9,1)</f>
        <v/>
      </c>
      <c r="M15" s="37" t="s">
        <v>148</v>
      </c>
      <c r="N15" s="37" t="s">
        <v>148</v>
      </c>
      <c r="O15" s="37" t="s">
        <v>149</v>
      </c>
      <c r="Q15" s="37" t="e">
        <f ca="1">Calcu!AL9</f>
        <v>#N/A</v>
      </c>
    </row>
    <row r="16" spans="1:17" ht="15" customHeight="1">
      <c r="A16" s="44" t="str">
        <f>IF(Calcu!B10=TRUE,"","삭제")</f>
        <v>삭제</v>
      </c>
      <c r="C16" s="43"/>
      <c r="D16" s="43"/>
      <c r="F16" s="51" t="str">
        <f>Calcu!AE10</f>
        <v/>
      </c>
      <c r="G16" s="51" t="s">
        <v>130</v>
      </c>
      <c r="H16" s="51" t="e">
        <f ca="1">Calcu!AJ10</f>
        <v>#N/A</v>
      </c>
      <c r="J16" s="37" t="e">
        <f ca="1">Calcu!AF10</f>
        <v>#N/A</v>
      </c>
      <c r="K16" s="37" t="e">
        <f ca="1">Calcu!AG10</f>
        <v>#VALUE!</v>
      </c>
      <c r="L16" s="37" t="str">
        <f>LEFT(Calcu!AK10,1)</f>
        <v/>
      </c>
      <c r="M16" s="37" t="s">
        <v>149</v>
      </c>
      <c r="N16" s="37" t="s">
        <v>149</v>
      </c>
      <c r="O16" s="37" t="s">
        <v>149</v>
      </c>
      <c r="Q16" s="37" t="e">
        <f ca="1">Calcu!AL10</f>
        <v>#N/A</v>
      </c>
    </row>
    <row r="17" spans="1:17" ht="15" customHeight="1">
      <c r="A17" s="44" t="str">
        <f>IF(Calcu!B11=TRUE,"","삭제")</f>
        <v>삭제</v>
      </c>
      <c r="C17" s="43"/>
      <c r="D17" s="43"/>
      <c r="F17" s="51" t="str">
        <f>Calcu!AE11</f>
        <v/>
      </c>
      <c r="G17" s="51" t="s">
        <v>130</v>
      </c>
      <c r="H17" s="51" t="e">
        <f ca="1">Calcu!AJ11</f>
        <v>#N/A</v>
      </c>
      <c r="J17" s="37" t="e">
        <f ca="1">Calcu!AF11</f>
        <v>#N/A</v>
      </c>
      <c r="K17" s="37" t="e">
        <f ca="1">Calcu!AG11</f>
        <v>#VALUE!</v>
      </c>
      <c r="L17" s="37" t="str">
        <f>LEFT(Calcu!AK11,1)</f>
        <v/>
      </c>
      <c r="M17" s="37" t="s">
        <v>150</v>
      </c>
      <c r="N17" s="37" t="s">
        <v>150</v>
      </c>
      <c r="O17" s="37" t="s">
        <v>149</v>
      </c>
      <c r="Q17" s="37" t="e">
        <f ca="1">Calcu!AL11</f>
        <v>#N/A</v>
      </c>
    </row>
    <row r="18" spans="1:17" ht="15" customHeight="1">
      <c r="A18" s="44" t="str">
        <f>IF(Calcu!B12=TRUE,"","삭제")</f>
        <v>삭제</v>
      </c>
      <c r="C18" s="43"/>
      <c r="D18" s="43"/>
      <c r="F18" s="51" t="str">
        <f>Calcu!AE12</f>
        <v/>
      </c>
      <c r="G18" s="51" t="s">
        <v>130</v>
      </c>
      <c r="H18" s="51" t="e">
        <f ca="1">Calcu!AJ12</f>
        <v>#N/A</v>
      </c>
      <c r="J18" s="37" t="e">
        <f ca="1">Calcu!AF12</f>
        <v>#N/A</v>
      </c>
      <c r="K18" s="37" t="e">
        <f ca="1">Calcu!AG12</f>
        <v>#VALUE!</v>
      </c>
      <c r="L18" s="37" t="str">
        <f>LEFT(Calcu!AK12,1)</f>
        <v/>
      </c>
      <c r="M18" s="37" t="s">
        <v>149</v>
      </c>
      <c r="N18" s="37" t="s">
        <v>149</v>
      </c>
      <c r="O18" s="37" t="s">
        <v>149</v>
      </c>
      <c r="Q18" s="37" t="e">
        <f ca="1">Calcu!AL12</f>
        <v>#N/A</v>
      </c>
    </row>
    <row r="19" spans="1:17" ht="15" customHeight="1">
      <c r="A19" s="44" t="str">
        <f>IF(Calcu!B13=TRUE,"","삭제")</f>
        <v>삭제</v>
      </c>
      <c r="C19" s="43"/>
      <c r="D19" s="43"/>
      <c r="F19" s="51" t="str">
        <f>Calcu!AE13</f>
        <v/>
      </c>
      <c r="G19" s="51" t="s">
        <v>130</v>
      </c>
      <c r="H19" s="51" t="e">
        <f ca="1">Calcu!AJ13</f>
        <v>#N/A</v>
      </c>
      <c r="J19" s="37" t="e">
        <f ca="1">Calcu!AF13</f>
        <v>#N/A</v>
      </c>
      <c r="K19" s="37" t="e">
        <f ca="1">Calcu!AG13</f>
        <v>#VALUE!</v>
      </c>
      <c r="L19" s="37" t="str">
        <f>LEFT(Calcu!AK13,1)</f>
        <v/>
      </c>
      <c r="M19" s="37" t="s">
        <v>148</v>
      </c>
      <c r="N19" s="37" t="s">
        <v>149</v>
      </c>
      <c r="O19" s="37" t="s">
        <v>148</v>
      </c>
      <c r="Q19" s="37" t="e">
        <f ca="1">Calcu!AL13</f>
        <v>#N/A</v>
      </c>
    </row>
    <row r="20" spans="1:17" ht="15" customHeight="1">
      <c r="A20" s="44" t="str">
        <f>IF(Calcu!B14=TRUE,"","삭제")</f>
        <v>삭제</v>
      </c>
      <c r="C20" s="43"/>
      <c r="D20" s="43"/>
      <c r="F20" s="51" t="str">
        <f>Calcu!AE14</f>
        <v/>
      </c>
      <c r="G20" s="51" t="s">
        <v>130</v>
      </c>
      <c r="H20" s="51" t="e">
        <f ca="1">Calcu!AJ14</f>
        <v>#N/A</v>
      </c>
      <c r="J20" s="37" t="e">
        <f ca="1">Calcu!AF14</f>
        <v>#N/A</v>
      </c>
      <c r="K20" s="37" t="e">
        <f ca="1">Calcu!AG14</f>
        <v>#VALUE!</v>
      </c>
      <c r="L20" s="37" t="str">
        <f>LEFT(Calcu!AK14,1)</f>
        <v/>
      </c>
      <c r="M20" s="37" t="s">
        <v>149</v>
      </c>
      <c r="N20" s="37" t="s">
        <v>148</v>
      </c>
      <c r="O20" s="37" t="s">
        <v>149</v>
      </c>
      <c r="Q20" s="37" t="e">
        <f ca="1">Calcu!AL14</f>
        <v>#N/A</v>
      </c>
    </row>
    <row r="21" spans="1:17" ht="15" customHeight="1">
      <c r="A21" s="44" t="str">
        <f>IF(Calcu!B15=TRUE,"","삭제")</f>
        <v>삭제</v>
      </c>
      <c r="C21" s="43"/>
      <c r="D21" s="43"/>
      <c r="F21" s="51" t="str">
        <f>Calcu!AE15</f>
        <v/>
      </c>
      <c r="G21" s="51" t="s">
        <v>130</v>
      </c>
      <c r="H21" s="51" t="e">
        <f ca="1">Calcu!AJ15</f>
        <v>#N/A</v>
      </c>
      <c r="J21" s="37" t="e">
        <f ca="1">Calcu!AF15</f>
        <v>#N/A</v>
      </c>
      <c r="K21" s="37" t="e">
        <f ca="1">Calcu!AG15</f>
        <v>#VALUE!</v>
      </c>
      <c r="L21" s="37" t="str">
        <f>LEFT(Calcu!AK15,1)</f>
        <v/>
      </c>
      <c r="M21" s="37" t="s">
        <v>149</v>
      </c>
      <c r="N21" s="37" t="s">
        <v>150</v>
      </c>
      <c r="O21" s="37" t="s">
        <v>151</v>
      </c>
      <c r="Q21" s="37" t="e">
        <f ca="1">Calcu!AL15</f>
        <v>#N/A</v>
      </c>
    </row>
    <row r="22" spans="1:17" ht="15" customHeight="1">
      <c r="A22" s="44" t="str">
        <f>IF(Calcu!B16=TRUE,"","삭제")</f>
        <v>삭제</v>
      </c>
      <c r="C22" s="43"/>
      <c r="D22" s="43"/>
      <c r="F22" s="51" t="str">
        <f>Calcu!AE16</f>
        <v/>
      </c>
      <c r="G22" s="51" t="s">
        <v>130</v>
      </c>
      <c r="H22" s="51" t="e">
        <f ca="1">Calcu!AJ16</f>
        <v>#N/A</v>
      </c>
      <c r="J22" s="37" t="e">
        <f ca="1">Calcu!AF16</f>
        <v>#N/A</v>
      </c>
      <c r="K22" s="37" t="e">
        <f ca="1">Calcu!AG16</f>
        <v>#VALUE!</v>
      </c>
      <c r="L22" s="37" t="str">
        <f>LEFT(Calcu!AK16,1)</f>
        <v/>
      </c>
      <c r="M22" s="37" t="s">
        <v>148</v>
      </c>
      <c r="N22" s="37" t="s">
        <v>149</v>
      </c>
      <c r="O22" s="37" t="s">
        <v>148</v>
      </c>
      <c r="Q22" s="37" t="e">
        <f ca="1">Calcu!AL16</f>
        <v>#N/A</v>
      </c>
    </row>
    <row r="23" spans="1:17" ht="15" customHeight="1">
      <c r="A23" s="44" t="str">
        <f>IF(Calcu!B17=TRUE,"","삭제")</f>
        <v>삭제</v>
      </c>
      <c r="C23" s="43"/>
      <c r="D23" s="43"/>
      <c r="F23" s="51" t="str">
        <f>Calcu!AE17</f>
        <v/>
      </c>
      <c r="G23" s="51" t="s">
        <v>130</v>
      </c>
      <c r="H23" s="51" t="e">
        <f ca="1">Calcu!AJ17</f>
        <v>#N/A</v>
      </c>
      <c r="J23" s="37" t="e">
        <f ca="1">Calcu!AF17</f>
        <v>#N/A</v>
      </c>
      <c r="K23" s="37" t="e">
        <f ca="1">Calcu!AG17</f>
        <v>#VALUE!</v>
      </c>
      <c r="L23" s="37" t="str">
        <f>LEFT(Calcu!AK17,1)</f>
        <v/>
      </c>
      <c r="M23" s="37" t="s">
        <v>152</v>
      </c>
      <c r="N23" s="37" t="s">
        <v>153</v>
      </c>
      <c r="O23" s="37" t="s">
        <v>152</v>
      </c>
      <c r="Q23" s="37" t="e">
        <f ca="1">Calcu!AL17</f>
        <v>#N/A</v>
      </c>
    </row>
    <row r="24" spans="1:17" ht="15" customHeight="1">
      <c r="A24" s="44" t="str">
        <f>IF(Calcu!B18=TRUE,"","삭제")</f>
        <v>삭제</v>
      </c>
      <c r="C24" s="43"/>
      <c r="D24" s="43"/>
      <c r="F24" s="51" t="str">
        <f>Calcu!AE18</f>
        <v/>
      </c>
      <c r="G24" s="51" t="s">
        <v>130</v>
      </c>
      <c r="H24" s="51" t="e">
        <f ca="1">Calcu!AJ18</f>
        <v>#N/A</v>
      </c>
      <c r="J24" s="37" t="e">
        <f ca="1">Calcu!AF18</f>
        <v>#N/A</v>
      </c>
      <c r="K24" s="37" t="e">
        <f ca="1">Calcu!AG18</f>
        <v>#VALUE!</v>
      </c>
      <c r="L24" s="37" t="str">
        <f>LEFT(Calcu!AK18,1)</f>
        <v/>
      </c>
      <c r="M24" s="37" t="s">
        <v>154</v>
      </c>
      <c r="N24" s="37" t="s">
        <v>155</v>
      </c>
      <c r="O24" s="37" t="s">
        <v>148</v>
      </c>
      <c r="Q24" s="37" t="e">
        <f ca="1">Calcu!AL18</f>
        <v>#N/A</v>
      </c>
    </row>
    <row r="25" spans="1:17" ht="15" customHeight="1">
      <c r="A25" s="44" t="str">
        <f>IF(Calcu!B19=TRUE,"","삭제")</f>
        <v>삭제</v>
      </c>
      <c r="C25" s="43"/>
      <c r="D25" s="43"/>
      <c r="F25" s="51" t="str">
        <f>Calcu!AE19</f>
        <v/>
      </c>
      <c r="G25" s="51" t="s">
        <v>130</v>
      </c>
      <c r="H25" s="51" t="e">
        <f ca="1">Calcu!AJ19</f>
        <v>#N/A</v>
      </c>
      <c r="J25" s="37" t="e">
        <f ca="1">Calcu!AF19</f>
        <v>#N/A</v>
      </c>
      <c r="K25" s="37" t="e">
        <f ca="1">Calcu!AG19</f>
        <v>#VALUE!</v>
      </c>
      <c r="L25" s="37" t="str">
        <f>LEFT(Calcu!AK19,1)</f>
        <v/>
      </c>
      <c r="M25" s="37" t="s">
        <v>156</v>
      </c>
      <c r="N25" s="37" t="s">
        <v>156</v>
      </c>
      <c r="O25" s="37" t="s">
        <v>156</v>
      </c>
      <c r="Q25" s="37" t="e">
        <f ca="1">Calcu!AL19</f>
        <v>#N/A</v>
      </c>
    </row>
    <row r="26" spans="1:17" ht="15" customHeight="1">
      <c r="A26" s="44" t="str">
        <f>IF(Calcu!B20=TRUE,"","삭제")</f>
        <v>삭제</v>
      </c>
      <c r="C26" s="43"/>
      <c r="D26" s="43"/>
      <c r="F26" s="51" t="str">
        <f>Calcu!AE20</f>
        <v/>
      </c>
      <c r="G26" s="51" t="s">
        <v>130</v>
      </c>
      <c r="H26" s="51" t="e">
        <f ca="1">Calcu!AJ20</f>
        <v>#N/A</v>
      </c>
      <c r="J26" s="37" t="e">
        <f ca="1">Calcu!AF20</f>
        <v>#N/A</v>
      </c>
      <c r="K26" s="37" t="e">
        <f ca="1">Calcu!AG20</f>
        <v>#VALUE!</v>
      </c>
      <c r="L26" s="37" t="str">
        <f>LEFT(Calcu!AK20,1)</f>
        <v/>
      </c>
      <c r="M26" s="37" t="s">
        <v>156</v>
      </c>
      <c r="N26" s="37" t="s">
        <v>156</v>
      </c>
      <c r="O26" s="37" t="s">
        <v>156</v>
      </c>
      <c r="Q26" s="37" t="e">
        <f ca="1">Calcu!AL20</f>
        <v>#N/A</v>
      </c>
    </row>
    <row r="27" spans="1:17" ht="15" customHeight="1">
      <c r="A27" s="44" t="str">
        <f>IF(Calcu!B21=TRUE,"","삭제")</f>
        <v>삭제</v>
      </c>
      <c r="C27" s="43"/>
      <c r="D27" s="43"/>
      <c r="F27" s="51" t="str">
        <f>Calcu!AE21</f>
        <v/>
      </c>
      <c r="G27" s="51" t="s">
        <v>130</v>
      </c>
      <c r="H27" s="51" t="e">
        <f ca="1">Calcu!AJ21</f>
        <v>#N/A</v>
      </c>
      <c r="J27" s="37" t="e">
        <f ca="1">Calcu!AF21</f>
        <v>#N/A</v>
      </c>
      <c r="K27" s="37" t="e">
        <f ca="1">Calcu!AG21</f>
        <v>#VALUE!</v>
      </c>
      <c r="L27" s="37" t="str">
        <f>LEFT(Calcu!AK21,1)</f>
        <v/>
      </c>
      <c r="M27" s="37" t="s">
        <v>156</v>
      </c>
      <c r="N27" s="37" t="s">
        <v>156</v>
      </c>
      <c r="O27" s="37" t="s">
        <v>156</v>
      </c>
      <c r="Q27" s="37" t="e">
        <f ca="1">Calcu!AL21</f>
        <v>#N/A</v>
      </c>
    </row>
    <row r="28" spans="1:17" ht="15" customHeight="1">
      <c r="A28" s="44" t="str">
        <f>IF(Calcu!B22=TRUE,"","삭제")</f>
        <v>삭제</v>
      </c>
      <c r="C28" s="43"/>
      <c r="D28" s="43"/>
      <c r="F28" s="51" t="str">
        <f>Calcu!AE22</f>
        <v/>
      </c>
      <c r="G28" s="51" t="s">
        <v>130</v>
      </c>
      <c r="H28" s="51" t="e">
        <f ca="1">Calcu!AJ22</f>
        <v>#N/A</v>
      </c>
      <c r="J28" s="37" t="e">
        <f ca="1">Calcu!AF22</f>
        <v>#N/A</v>
      </c>
      <c r="K28" s="37" t="e">
        <f ca="1">Calcu!AG22</f>
        <v>#VALUE!</v>
      </c>
      <c r="L28" s="37" t="str">
        <f>LEFT(Calcu!AK22,1)</f>
        <v/>
      </c>
      <c r="M28" s="37" t="s">
        <v>148</v>
      </c>
      <c r="N28" s="37" t="s">
        <v>156</v>
      </c>
      <c r="O28" s="37" t="s">
        <v>156</v>
      </c>
      <c r="Q28" s="37" t="e">
        <f ca="1">Calcu!AL22</f>
        <v>#N/A</v>
      </c>
    </row>
    <row r="29" spans="1:17" ht="15" customHeight="1">
      <c r="A29" s="44" t="str">
        <f>IF(Calcu!B23=TRUE,"","삭제")</f>
        <v>삭제</v>
      </c>
      <c r="C29" s="43"/>
      <c r="D29" s="43"/>
      <c r="F29" s="51" t="str">
        <f>Calcu!AE23</f>
        <v/>
      </c>
      <c r="G29" s="51" t="s">
        <v>130</v>
      </c>
      <c r="H29" s="51" t="e">
        <f ca="1">Calcu!AJ23</f>
        <v>#N/A</v>
      </c>
      <c r="J29" s="37" t="e">
        <f ca="1">Calcu!AF23</f>
        <v>#N/A</v>
      </c>
      <c r="K29" s="37" t="e">
        <f ca="1">Calcu!AG23</f>
        <v>#VALUE!</v>
      </c>
      <c r="L29" s="37" t="str">
        <f>LEFT(Calcu!AK23,1)</f>
        <v/>
      </c>
      <c r="M29" s="37" t="s">
        <v>156</v>
      </c>
      <c r="N29" s="37" t="s">
        <v>156</v>
      </c>
      <c r="O29" s="37" t="s">
        <v>156</v>
      </c>
      <c r="Q29" s="37" t="e">
        <f ca="1">Calcu!AL23</f>
        <v>#N/A</v>
      </c>
    </row>
    <row r="30" spans="1:17" ht="15" customHeight="1">
      <c r="A30" s="44" t="str">
        <f>IF(Calcu!B24=TRUE,"","삭제")</f>
        <v>삭제</v>
      </c>
      <c r="C30" s="43"/>
      <c r="D30" s="43"/>
      <c r="F30" s="51" t="str">
        <f>Calcu!AE24</f>
        <v/>
      </c>
      <c r="G30" s="51" t="s">
        <v>130</v>
      </c>
      <c r="H30" s="51" t="e">
        <f ca="1">Calcu!AJ24</f>
        <v>#N/A</v>
      </c>
      <c r="J30" s="37" t="e">
        <f ca="1">Calcu!AF24</f>
        <v>#N/A</v>
      </c>
      <c r="K30" s="37" t="e">
        <f ca="1">Calcu!AG24</f>
        <v>#VALUE!</v>
      </c>
      <c r="L30" s="37" t="str">
        <f>LEFT(Calcu!AK24,1)</f>
        <v/>
      </c>
      <c r="M30" s="37" t="s">
        <v>156</v>
      </c>
      <c r="N30" s="37" t="s">
        <v>150</v>
      </c>
      <c r="O30" s="37" t="s">
        <v>150</v>
      </c>
      <c r="Q30" s="37" t="e">
        <f ca="1">Calcu!AL24</f>
        <v>#N/A</v>
      </c>
    </row>
    <row r="31" spans="1:17" ht="15" customHeight="1">
      <c r="A31" s="44" t="str">
        <f>IF(Calcu!B25=TRUE,"","삭제")</f>
        <v>삭제</v>
      </c>
      <c r="C31" s="43"/>
      <c r="D31" s="43"/>
      <c r="F31" s="51" t="str">
        <f>Calcu!AE25</f>
        <v/>
      </c>
      <c r="G31" s="51" t="s">
        <v>130</v>
      </c>
      <c r="H31" s="51" t="e">
        <f ca="1">Calcu!AJ25</f>
        <v>#N/A</v>
      </c>
      <c r="J31" s="37" t="e">
        <f ca="1">Calcu!AF25</f>
        <v>#N/A</v>
      </c>
      <c r="K31" s="37" t="e">
        <f ca="1">Calcu!AG25</f>
        <v>#VALUE!</v>
      </c>
      <c r="L31" s="37" t="str">
        <f>LEFT(Calcu!AK25,1)</f>
        <v/>
      </c>
      <c r="M31" s="37" t="s">
        <v>150</v>
      </c>
      <c r="N31" s="37" t="s">
        <v>156</v>
      </c>
      <c r="O31" s="37" t="s">
        <v>150</v>
      </c>
      <c r="Q31" s="37" t="e">
        <f ca="1">Calcu!AL25</f>
        <v>#N/A</v>
      </c>
    </row>
    <row r="32" spans="1:17" ht="15" customHeight="1">
      <c r="A32" s="44" t="str">
        <f>IF(Calcu!B26=TRUE,"","삭제")</f>
        <v>삭제</v>
      </c>
      <c r="C32" s="43"/>
      <c r="D32" s="43"/>
      <c r="F32" s="51" t="str">
        <f>Calcu!AE26</f>
        <v/>
      </c>
      <c r="G32" s="51" t="s">
        <v>130</v>
      </c>
      <c r="H32" s="51" t="e">
        <f ca="1">Calcu!AJ26</f>
        <v>#N/A</v>
      </c>
      <c r="J32" s="37" t="e">
        <f ca="1">Calcu!AF26</f>
        <v>#N/A</v>
      </c>
      <c r="K32" s="37" t="e">
        <f ca="1">Calcu!AG26</f>
        <v>#VALUE!</v>
      </c>
      <c r="L32" s="37" t="str">
        <f>LEFT(Calcu!AK26,1)</f>
        <v/>
      </c>
      <c r="M32" s="37" t="s">
        <v>156</v>
      </c>
      <c r="N32" s="37" t="s">
        <v>156</v>
      </c>
      <c r="O32" s="37" t="s">
        <v>156</v>
      </c>
      <c r="Q32" s="37" t="e">
        <f ca="1">Calcu!AL26</f>
        <v>#N/A</v>
      </c>
    </row>
    <row r="33" spans="1:17" ht="15" customHeight="1">
      <c r="A33" s="44" t="str">
        <f>IF(Calcu!B27=TRUE,"","삭제")</f>
        <v>삭제</v>
      </c>
      <c r="C33" s="43"/>
      <c r="D33" s="43"/>
      <c r="F33" s="51" t="str">
        <f>Calcu!AE27</f>
        <v/>
      </c>
      <c r="G33" s="51" t="s">
        <v>130</v>
      </c>
      <c r="H33" s="51" t="e">
        <f ca="1">Calcu!AJ27</f>
        <v>#N/A</v>
      </c>
      <c r="J33" s="37" t="e">
        <f ca="1">Calcu!AF27</f>
        <v>#N/A</v>
      </c>
      <c r="K33" s="37" t="e">
        <f ca="1">Calcu!AG27</f>
        <v>#VALUE!</v>
      </c>
      <c r="L33" s="37" t="str">
        <f>LEFT(Calcu!AK27,1)</f>
        <v/>
      </c>
      <c r="M33" s="37" t="s">
        <v>156</v>
      </c>
      <c r="N33" s="37" t="s">
        <v>150</v>
      </c>
      <c r="O33" s="37" t="s">
        <v>150</v>
      </c>
      <c r="Q33" s="37" t="e">
        <f ca="1">Calcu!AL27</f>
        <v>#N/A</v>
      </c>
    </row>
    <row r="34" spans="1:17" ht="15" customHeight="1">
      <c r="A34" s="44" t="str">
        <f>IF(Calcu!B28=TRUE,"","삭제")</f>
        <v>삭제</v>
      </c>
      <c r="C34" s="43"/>
      <c r="D34" s="43"/>
      <c r="F34" s="51" t="str">
        <f>Calcu!AE28</f>
        <v/>
      </c>
      <c r="G34" s="51" t="s">
        <v>130</v>
      </c>
      <c r="H34" s="51" t="e">
        <f ca="1">Calcu!AJ28</f>
        <v>#N/A</v>
      </c>
      <c r="J34" s="37" t="e">
        <f ca="1">Calcu!AF28</f>
        <v>#N/A</v>
      </c>
      <c r="K34" s="37" t="e">
        <f ca="1">Calcu!AG28</f>
        <v>#VALUE!</v>
      </c>
      <c r="L34" s="37" t="str">
        <f>LEFT(Calcu!AK28,1)</f>
        <v/>
      </c>
      <c r="M34" s="37" t="s">
        <v>156</v>
      </c>
      <c r="N34" s="37" t="s">
        <v>150</v>
      </c>
      <c r="O34" s="37" t="s">
        <v>150</v>
      </c>
      <c r="Q34" s="37" t="e">
        <f ca="1">Calcu!AL28</f>
        <v>#N/A</v>
      </c>
    </row>
    <row r="35" spans="1:17" ht="15" customHeight="1">
      <c r="A35" s="44"/>
      <c r="C35" s="43"/>
      <c r="D35" s="43"/>
      <c r="G35" s="141" t="e">
        <f ca="1">IF(Calcu!E62="사다리꼴","※ 신뢰수준 95 %,","※ 신뢰수준 약 95 %,")</f>
        <v>#N/A</v>
      </c>
      <c r="H35" s="140" t="e">
        <f ca="1">Calcu!E63&amp;IF(Calcu!E62="사다리꼴",", 사다리꼴 확률분포","")</f>
        <v>#N/A</v>
      </c>
    </row>
    <row r="36" spans="1:17" ht="15" customHeight="1">
      <c r="B36" s="62"/>
      <c r="C36" s="62"/>
      <c r="D36" s="62"/>
      <c r="E36" s="62"/>
      <c r="F36" s="62"/>
      <c r="G36" s="62"/>
      <c r="H36" s="62"/>
      <c r="I36" s="62"/>
      <c r="J36" s="62"/>
      <c r="K36" s="62"/>
      <c r="L36" s="62"/>
      <c r="M36" s="62"/>
      <c r="N36" s="62"/>
      <c r="O36" s="62"/>
      <c r="P36" s="62"/>
      <c r="Q36" s="63"/>
    </row>
  </sheetData>
  <mergeCells count="13">
    <mergeCell ref="M13:O13"/>
    <mergeCell ref="P13:P14"/>
    <mergeCell ref="Q13:Q14"/>
    <mergeCell ref="A1:Q2"/>
    <mergeCell ref="E13:E14"/>
    <mergeCell ref="C13:C14"/>
    <mergeCell ref="D13:D14"/>
    <mergeCell ref="F13:F14"/>
    <mergeCell ref="G13:G14"/>
    <mergeCell ref="H13:H14"/>
    <mergeCell ref="I13:I14"/>
    <mergeCell ref="J13:L13"/>
    <mergeCell ref="B13:B14"/>
  </mergeCells>
  <phoneticPr fontId="4" type="noConversion"/>
  <printOptions horizontalCentered="1"/>
  <pageMargins left="0" right="0" top="0.35433070866141736" bottom="0.59055118110236227" header="0" footer="0"/>
  <pageSetup paperSize="9" scale="90" fitToHeight="0" orientation="portrait" horizontalDpi="4294967292" verticalDpi="300" r:id="rId1"/>
  <headerFooter alignWithMargins="0">
    <oddHeader xml:space="preserve">&amp;R&amp;10
 페이지(page)    &amp;P  of   &amp;N         </oddHead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L29"/>
  <sheetViews>
    <sheetView showGridLines="0" showWhiteSpace="0" zoomScaleNormal="100" zoomScaleSheetLayoutView="100" workbookViewId="0">
      <selection sqref="A1:K2"/>
    </sheetView>
  </sheetViews>
  <sheetFormatPr defaultColWidth="10.77734375" defaultRowHeight="15" customHeight="1"/>
  <cols>
    <col min="1" max="3" width="4.77734375" style="37" customWidth="1"/>
    <col min="4" max="7" width="12.77734375" style="37" customWidth="1"/>
    <col min="8" max="10" width="3.77734375" style="37" customWidth="1"/>
    <col min="11" max="11" width="3.77734375" style="77" customWidth="1"/>
    <col min="12" max="12" width="6.77734375" style="88" customWidth="1"/>
    <col min="13" max="16384" width="10.77734375" style="77"/>
  </cols>
  <sheetData>
    <row r="1" spans="1:12" s="64" customFormat="1" ht="33" customHeight="1">
      <c r="A1" s="379" t="s">
        <v>63</v>
      </c>
      <c r="B1" s="379"/>
      <c r="C1" s="379"/>
      <c r="D1" s="379"/>
      <c r="E1" s="379"/>
      <c r="F1" s="379"/>
      <c r="G1" s="379"/>
      <c r="H1" s="379"/>
      <c r="I1" s="379"/>
      <c r="J1" s="379"/>
      <c r="K1" s="379"/>
      <c r="L1" s="66"/>
    </row>
    <row r="2" spans="1:12" s="64" customFormat="1" ht="33" customHeight="1">
      <c r="A2" s="379"/>
      <c r="B2" s="379"/>
      <c r="C2" s="379"/>
      <c r="D2" s="379"/>
      <c r="E2" s="379"/>
      <c r="F2" s="379"/>
      <c r="G2" s="379"/>
      <c r="H2" s="379"/>
      <c r="I2" s="379"/>
      <c r="J2" s="379"/>
      <c r="K2" s="379"/>
      <c r="L2" s="66"/>
    </row>
    <row r="3" spans="1:12" s="64" customFormat="1" ht="12.75" customHeight="1">
      <c r="A3" s="48"/>
      <c r="B3" s="48"/>
      <c r="C3" s="21"/>
      <c r="D3" s="21"/>
      <c r="E3" s="21"/>
      <c r="F3" s="21"/>
      <c r="G3" s="21"/>
      <c r="H3" s="21"/>
      <c r="I3" s="21"/>
      <c r="J3" s="21"/>
      <c r="K3" s="65"/>
      <c r="L3" s="87"/>
    </row>
    <row r="4" spans="1:12" s="66" customFormat="1" ht="13.5" customHeight="1">
      <c r="A4" s="74"/>
      <c r="B4" s="74"/>
      <c r="C4" s="75"/>
      <c r="D4" s="130"/>
      <c r="E4" s="75"/>
      <c r="F4" s="82"/>
      <c r="G4" s="75"/>
      <c r="H4" s="75"/>
      <c r="I4" s="76"/>
      <c r="J4" s="82"/>
      <c r="K4" s="74"/>
      <c r="L4" s="36"/>
    </row>
    <row r="5" spans="1:12" s="67" customFormat="1" ht="15" customHeight="1">
      <c r="A5" s="36"/>
      <c r="B5" s="36"/>
      <c r="C5" s="36"/>
      <c r="D5" s="36"/>
      <c r="E5" s="36"/>
      <c r="F5" s="36"/>
      <c r="G5" s="36"/>
      <c r="H5" s="36"/>
      <c r="I5" s="36"/>
      <c r="J5" s="36"/>
    </row>
    <row r="6" spans="1:12" s="69" customFormat="1" ht="15" customHeight="1">
      <c r="A6" s="43"/>
      <c r="C6" s="43"/>
      <c r="D6" s="38" t="s">
        <v>97</v>
      </c>
      <c r="F6" s="37"/>
      <c r="G6" s="52"/>
      <c r="H6" s="52"/>
      <c r="I6" s="51"/>
      <c r="J6" s="37"/>
      <c r="K6" s="78"/>
    </row>
    <row r="7" spans="1:12" s="69" customFormat="1" ht="15" customHeight="1">
      <c r="A7" s="43"/>
      <c r="C7" s="43"/>
      <c r="D7" s="123" t="s">
        <v>90</v>
      </c>
      <c r="E7" s="123" t="s">
        <v>68</v>
      </c>
      <c r="F7" s="122" t="s">
        <v>67</v>
      </c>
      <c r="G7" s="377" t="s">
        <v>69</v>
      </c>
    </row>
    <row r="8" spans="1:12" s="69" customFormat="1" ht="15" customHeight="1">
      <c r="A8" s="43"/>
      <c r="C8" s="43"/>
      <c r="D8" s="124" t="s">
        <v>126</v>
      </c>
      <c r="E8" s="124" t="s">
        <v>126</v>
      </c>
      <c r="F8" s="124" t="s">
        <v>126</v>
      </c>
      <c r="G8" s="378"/>
    </row>
    <row r="9" spans="1:12" s="69" customFormat="1" ht="15" customHeight="1">
      <c r="A9" s="43" t="str">
        <f>IF(Calcu!B9=TRUE,"","삭제")</f>
        <v>삭제</v>
      </c>
      <c r="C9" s="43"/>
      <c r="D9" s="112" t="str">
        <f>Calcu!AE9</f>
        <v/>
      </c>
      <c r="E9" s="112" t="e">
        <f ca="1">Calcu!AF9</f>
        <v>#N/A</v>
      </c>
      <c r="F9" s="112" t="e">
        <f ca="1">Calcu!AJ9</f>
        <v>#N/A</v>
      </c>
      <c r="G9" s="112" t="str">
        <f>Calcu!AK9</f>
        <v/>
      </c>
    </row>
    <row r="10" spans="1:12" s="69" customFormat="1" ht="15" customHeight="1">
      <c r="A10" s="43" t="str">
        <f>IF(Calcu!B10=TRUE,"","삭제")</f>
        <v>삭제</v>
      </c>
      <c r="C10" s="43"/>
      <c r="D10" s="112" t="str">
        <f>Calcu!AE10</f>
        <v/>
      </c>
      <c r="E10" s="112" t="e">
        <f ca="1">Calcu!AF10</f>
        <v>#N/A</v>
      </c>
      <c r="F10" s="112" t="e">
        <f ca="1">Calcu!AJ10</f>
        <v>#N/A</v>
      </c>
      <c r="G10" s="112" t="str">
        <f>Calcu!AK10</f>
        <v/>
      </c>
    </row>
    <row r="11" spans="1:12" s="69" customFormat="1" ht="15" customHeight="1">
      <c r="A11" s="43" t="str">
        <f>IF(Calcu!B11=TRUE,"","삭제")</f>
        <v>삭제</v>
      </c>
      <c r="C11" s="43"/>
      <c r="D11" s="112" t="str">
        <f>Calcu!AE11</f>
        <v/>
      </c>
      <c r="E11" s="112" t="e">
        <f ca="1">Calcu!AF11</f>
        <v>#N/A</v>
      </c>
      <c r="F11" s="112" t="e">
        <f ca="1">Calcu!AJ11</f>
        <v>#N/A</v>
      </c>
      <c r="G11" s="112" t="str">
        <f>Calcu!AK11</f>
        <v/>
      </c>
    </row>
    <row r="12" spans="1:12" s="69" customFormat="1" ht="15" customHeight="1">
      <c r="A12" s="43" t="str">
        <f>IF(Calcu!B12=TRUE,"","삭제")</f>
        <v>삭제</v>
      </c>
      <c r="C12" s="43"/>
      <c r="D12" s="112" t="str">
        <f>Calcu!AE12</f>
        <v/>
      </c>
      <c r="E12" s="112" t="e">
        <f ca="1">Calcu!AF12</f>
        <v>#N/A</v>
      </c>
      <c r="F12" s="112" t="e">
        <f ca="1">Calcu!AJ12</f>
        <v>#N/A</v>
      </c>
      <c r="G12" s="112" t="str">
        <f>Calcu!AK12</f>
        <v/>
      </c>
    </row>
    <row r="13" spans="1:12" s="69" customFormat="1" ht="15" customHeight="1">
      <c r="A13" s="43" t="str">
        <f>IF(Calcu!B13=TRUE,"","삭제")</f>
        <v>삭제</v>
      </c>
      <c r="C13" s="43"/>
      <c r="D13" s="112" t="str">
        <f>Calcu!AE13</f>
        <v/>
      </c>
      <c r="E13" s="112" t="e">
        <f ca="1">Calcu!AF13</f>
        <v>#N/A</v>
      </c>
      <c r="F13" s="112" t="e">
        <f ca="1">Calcu!AJ13</f>
        <v>#N/A</v>
      </c>
      <c r="G13" s="112" t="str">
        <f>Calcu!AK13</f>
        <v/>
      </c>
    </row>
    <row r="14" spans="1:12" s="69" customFormat="1" ht="15" customHeight="1">
      <c r="A14" s="43" t="str">
        <f>IF(Calcu!B14=TRUE,"","삭제")</f>
        <v>삭제</v>
      </c>
      <c r="C14" s="43"/>
      <c r="D14" s="112" t="str">
        <f>Calcu!AE14</f>
        <v/>
      </c>
      <c r="E14" s="112" t="e">
        <f ca="1">Calcu!AF14</f>
        <v>#N/A</v>
      </c>
      <c r="F14" s="112" t="e">
        <f ca="1">Calcu!AJ14</f>
        <v>#N/A</v>
      </c>
      <c r="G14" s="112" t="str">
        <f>Calcu!AK14</f>
        <v/>
      </c>
    </row>
    <row r="15" spans="1:12" s="69" customFormat="1" ht="15" customHeight="1">
      <c r="A15" s="43" t="str">
        <f>IF(Calcu!B15=TRUE,"","삭제")</f>
        <v>삭제</v>
      </c>
      <c r="C15" s="43"/>
      <c r="D15" s="112" t="str">
        <f>Calcu!AE15</f>
        <v/>
      </c>
      <c r="E15" s="112" t="e">
        <f ca="1">Calcu!AF15</f>
        <v>#N/A</v>
      </c>
      <c r="F15" s="112" t="e">
        <f ca="1">Calcu!AJ15</f>
        <v>#N/A</v>
      </c>
      <c r="G15" s="112" t="str">
        <f>Calcu!AK15</f>
        <v/>
      </c>
    </row>
    <row r="16" spans="1:12" s="69" customFormat="1" ht="15" customHeight="1">
      <c r="A16" s="43" t="str">
        <f>IF(Calcu!B16=TRUE,"","삭제")</f>
        <v>삭제</v>
      </c>
      <c r="C16" s="43"/>
      <c r="D16" s="112" t="str">
        <f>Calcu!AE16</f>
        <v/>
      </c>
      <c r="E16" s="112" t="e">
        <f ca="1">Calcu!AF16</f>
        <v>#N/A</v>
      </c>
      <c r="F16" s="112" t="e">
        <f ca="1">Calcu!AJ16</f>
        <v>#N/A</v>
      </c>
      <c r="G16" s="112" t="str">
        <f>Calcu!AK16</f>
        <v/>
      </c>
    </row>
    <row r="17" spans="1:12" s="69" customFormat="1" ht="15" customHeight="1">
      <c r="A17" s="43" t="str">
        <f>IF(Calcu!B17=TRUE,"","삭제")</f>
        <v>삭제</v>
      </c>
      <c r="C17" s="43"/>
      <c r="D17" s="112" t="str">
        <f>Calcu!AE17</f>
        <v/>
      </c>
      <c r="E17" s="112" t="e">
        <f ca="1">Calcu!AF17</f>
        <v>#N/A</v>
      </c>
      <c r="F17" s="112" t="e">
        <f ca="1">Calcu!AJ17</f>
        <v>#N/A</v>
      </c>
      <c r="G17" s="112" t="str">
        <f>Calcu!AK17</f>
        <v/>
      </c>
    </row>
    <row r="18" spans="1:12" s="69" customFormat="1" ht="15" customHeight="1">
      <c r="A18" s="43" t="str">
        <f>IF(Calcu!B18=TRUE,"","삭제")</f>
        <v>삭제</v>
      </c>
      <c r="C18" s="43"/>
      <c r="D18" s="112" t="str">
        <f>Calcu!AE18</f>
        <v/>
      </c>
      <c r="E18" s="112" t="e">
        <f ca="1">Calcu!AF18</f>
        <v>#N/A</v>
      </c>
      <c r="F18" s="112" t="e">
        <f ca="1">Calcu!AJ18</f>
        <v>#N/A</v>
      </c>
      <c r="G18" s="112" t="str">
        <f>Calcu!AK18</f>
        <v/>
      </c>
    </row>
    <row r="19" spans="1:12" s="69" customFormat="1" ht="15" customHeight="1">
      <c r="A19" s="43" t="str">
        <f>IF(Calcu!B19=TRUE,"","삭제")</f>
        <v>삭제</v>
      </c>
      <c r="C19" s="43"/>
      <c r="D19" s="112" t="str">
        <f>Calcu!AE19</f>
        <v/>
      </c>
      <c r="E19" s="112" t="e">
        <f ca="1">Calcu!AF19</f>
        <v>#N/A</v>
      </c>
      <c r="F19" s="112" t="e">
        <f ca="1">Calcu!AJ19</f>
        <v>#N/A</v>
      </c>
      <c r="G19" s="112" t="str">
        <f>Calcu!AK19</f>
        <v/>
      </c>
    </row>
    <row r="20" spans="1:12" s="69" customFormat="1" ht="15" customHeight="1">
      <c r="A20" s="43" t="str">
        <f>IF(Calcu!B20=TRUE,"","삭제")</f>
        <v>삭제</v>
      </c>
      <c r="C20" s="43"/>
      <c r="D20" s="112" t="str">
        <f>Calcu!AE20</f>
        <v/>
      </c>
      <c r="E20" s="112" t="e">
        <f ca="1">Calcu!AF20</f>
        <v>#N/A</v>
      </c>
      <c r="F20" s="112" t="e">
        <f ca="1">Calcu!AJ20</f>
        <v>#N/A</v>
      </c>
      <c r="G20" s="112" t="str">
        <f>Calcu!AK20</f>
        <v/>
      </c>
    </row>
    <row r="21" spans="1:12" s="69" customFormat="1" ht="15" customHeight="1">
      <c r="A21" s="43" t="str">
        <f>IF(Calcu!B21=TRUE,"","삭제")</f>
        <v>삭제</v>
      </c>
      <c r="C21" s="43"/>
      <c r="D21" s="112" t="str">
        <f>Calcu!AE21</f>
        <v/>
      </c>
      <c r="E21" s="112" t="e">
        <f ca="1">Calcu!AF21</f>
        <v>#N/A</v>
      </c>
      <c r="F21" s="112" t="e">
        <f ca="1">Calcu!AJ21</f>
        <v>#N/A</v>
      </c>
      <c r="G21" s="112" t="str">
        <f>Calcu!AK21</f>
        <v/>
      </c>
    </row>
    <row r="22" spans="1:12" s="69" customFormat="1" ht="15" customHeight="1">
      <c r="A22" s="43" t="str">
        <f>IF(Calcu!B22=TRUE,"","삭제")</f>
        <v>삭제</v>
      </c>
      <c r="C22" s="43"/>
      <c r="D22" s="112" t="str">
        <f>Calcu!AE22</f>
        <v/>
      </c>
      <c r="E22" s="112" t="e">
        <f ca="1">Calcu!AF22</f>
        <v>#N/A</v>
      </c>
      <c r="F22" s="112" t="e">
        <f ca="1">Calcu!AJ22</f>
        <v>#N/A</v>
      </c>
      <c r="G22" s="112" t="str">
        <f>Calcu!AK22</f>
        <v/>
      </c>
    </row>
    <row r="23" spans="1:12" s="69" customFormat="1" ht="15" customHeight="1">
      <c r="A23" s="43" t="str">
        <f>IF(Calcu!B23=TRUE,"","삭제")</f>
        <v>삭제</v>
      </c>
      <c r="C23" s="43"/>
      <c r="D23" s="112" t="str">
        <f>Calcu!AE23</f>
        <v/>
      </c>
      <c r="E23" s="112" t="e">
        <f ca="1">Calcu!AF23</f>
        <v>#N/A</v>
      </c>
      <c r="F23" s="112" t="e">
        <f ca="1">Calcu!AJ23</f>
        <v>#N/A</v>
      </c>
      <c r="G23" s="112" t="str">
        <f>Calcu!AK23</f>
        <v/>
      </c>
    </row>
    <row r="24" spans="1:12" s="69" customFormat="1" ht="15" customHeight="1">
      <c r="A24" s="43" t="str">
        <f>IF(Calcu!B24=TRUE,"","삭제")</f>
        <v>삭제</v>
      </c>
      <c r="C24" s="43"/>
      <c r="D24" s="112" t="str">
        <f>Calcu!AE24</f>
        <v/>
      </c>
      <c r="E24" s="112" t="e">
        <f ca="1">Calcu!AF24</f>
        <v>#N/A</v>
      </c>
      <c r="F24" s="112" t="e">
        <f ca="1">Calcu!AJ24</f>
        <v>#N/A</v>
      </c>
      <c r="G24" s="112" t="str">
        <f>Calcu!AK24</f>
        <v/>
      </c>
    </row>
    <row r="25" spans="1:12" s="69" customFormat="1" ht="15" customHeight="1">
      <c r="A25" s="43" t="str">
        <f>IF(Calcu!B25=TRUE,"","삭제")</f>
        <v>삭제</v>
      </c>
      <c r="C25" s="43"/>
      <c r="D25" s="112" t="str">
        <f>Calcu!AE25</f>
        <v/>
      </c>
      <c r="E25" s="112" t="e">
        <f ca="1">Calcu!AF25</f>
        <v>#N/A</v>
      </c>
      <c r="F25" s="112" t="e">
        <f ca="1">Calcu!AJ25</f>
        <v>#N/A</v>
      </c>
      <c r="G25" s="112" t="str">
        <f>Calcu!AK25</f>
        <v/>
      </c>
    </row>
    <row r="26" spans="1:12" s="69" customFormat="1" ht="15" customHeight="1">
      <c r="A26" s="43" t="str">
        <f>IF(Calcu!B26=TRUE,"","삭제")</f>
        <v>삭제</v>
      </c>
      <c r="C26" s="43"/>
      <c r="D26" s="112" t="str">
        <f>Calcu!AE26</f>
        <v/>
      </c>
      <c r="E26" s="112" t="e">
        <f ca="1">Calcu!AF26</f>
        <v>#N/A</v>
      </c>
      <c r="F26" s="112" t="e">
        <f ca="1">Calcu!AJ26</f>
        <v>#N/A</v>
      </c>
      <c r="G26" s="112" t="str">
        <f>Calcu!AK26</f>
        <v/>
      </c>
    </row>
    <row r="27" spans="1:12" s="69" customFormat="1" ht="15" customHeight="1">
      <c r="A27" s="43" t="str">
        <f>IF(Calcu!B27=TRUE,"","삭제")</f>
        <v>삭제</v>
      </c>
      <c r="C27" s="43"/>
      <c r="D27" s="112" t="str">
        <f>Calcu!AE27</f>
        <v/>
      </c>
      <c r="E27" s="112" t="e">
        <f ca="1">Calcu!AF27</f>
        <v>#N/A</v>
      </c>
      <c r="F27" s="112" t="e">
        <f ca="1">Calcu!AJ27</f>
        <v>#N/A</v>
      </c>
      <c r="G27" s="112" t="str">
        <f>Calcu!AK27</f>
        <v/>
      </c>
    </row>
    <row r="28" spans="1:12" s="69" customFormat="1" ht="15" customHeight="1">
      <c r="A28" s="43" t="str">
        <f>IF(Calcu!B28=TRUE,"","삭제")</f>
        <v>삭제</v>
      </c>
      <c r="C28" s="43"/>
      <c r="D28" s="112" t="str">
        <f>Calcu!AE28</f>
        <v/>
      </c>
      <c r="E28" s="112" t="e">
        <f ca="1">Calcu!AF28</f>
        <v>#N/A</v>
      </c>
      <c r="F28" s="112" t="e">
        <f ca="1">Calcu!AJ28</f>
        <v>#N/A</v>
      </c>
      <c r="G28" s="112" t="str">
        <f>Calcu!AK28</f>
        <v/>
      </c>
    </row>
    <row r="29" spans="1:12" ht="15" customHeight="1">
      <c r="C29" s="62"/>
      <c r="D29" s="125"/>
      <c r="E29" s="125"/>
      <c r="F29" s="125"/>
      <c r="G29" s="125"/>
      <c r="H29" s="62"/>
      <c r="J29" s="77"/>
      <c r="K29" s="88"/>
      <c r="L29" s="77"/>
    </row>
  </sheetData>
  <mergeCells count="2">
    <mergeCell ref="G7:G8"/>
    <mergeCell ref="A1:K2"/>
  </mergeCells>
  <phoneticPr fontId="4" type="noConversion"/>
  <printOptions horizontalCentered="1"/>
  <pageMargins left="0" right="0" top="0.35433070866141736" bottom="0.59055118110236227" header="0" footer="0"/>
  <pageSetup paperSize="9" orientation="portrait" horizontalDpi="4294967292" verticalDpi="300" r:id="rId1"/>
  <headerFooter alignWithMargins="0">
    <oddHeader xml:space="preserve">&amp;R&amp;10
 페이지(page)    &amp;P  of   &amp;N         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L11"/>
  <sheetViews>
    <sheetView showGridLines="0" showWhiteSpace="0" zoomScaleSheetLayoutView="100" workbookViewId="0">
      <selection sqref="A1:L2"/>
    </sheetView>
  </sheetViews>
  <sheetFormatPr defaultColWidth="10.77734375" defaultRowHeight="15" customHeight="1"/>
  <cols>
    <col min="1" max="2" width="5" style="37" customWidth="1"/>
    <col min="3" max="10" width="7.5546875" style="37" customWidth="1"/>
    <col min="11" max="11" width="5" style="37" customWidth="1"/>
    <col min="12" max="12" width="5" style="77" customWidth="1"/>
    <col min="13" max="16384" width="10.77734375" style="69"/>
  </cols>
  <sheetData>
    <row r="1" spans="1:12" s="64" customFormat="1" ht="33" customHeight="1">
      <c r="A1" s="379" t="s">
        <v>55</v>
      </c>
      <c r="B1" s="379"/>
      <c r="C1" s="379"/>
      <c r="D1" s="379"/>
      <c r="E1" s="379"/>
      <c r="F1" s="379"/>
      <c r="G1" s="379"/>
      <c r="H1" s="379"/>
      <c r="I1" s="379"/>
      <c r="J1" s="379"/>
      <c r="K1" s="379"/>
      <c r="L1" s="379"/>
    </row>
    <row r="2" spans="1:12" s="64" customFormat="1" ht="33" customHeight="1">
      <c r="A2" s="379"/>
      <c r="B2" s="379"/>
      <c r="C2" s="379"/>
      <c r="D2" s="379"/>
      <c r="E2" s="379"/>
      <c r="F2" s="379"/>
      <c r="G2" s="379"/>
      <c r="H2" s="379"/>
      <c r="I2" s="379"/>
      <c r="J2" s="379"/>
      <c r="K2" s="379"/>
      <c r="L2" s="379"/>
    </row>
    <row r="3" spans="1:12" s="64" customFormat="1" ht="12.75" customHeight="1">
      <c r="A3" s="48"/>
      <c r="B3" s="48"/>
      <c r="C3" s="21"/>
      <c r="D3" s="21"/>
      <c r="E3" s="21"/>
      <c r="F3" s="21"/>
      <c r="G3" s="21"/>
      <c r="H3" s="21"/>
      <c r="I3" s="21"/>
      <c r="J3" s="21"/>
      <c r="K3" s="21"/>
      <c r="L3" s="65"/>
    </row>
    <row r="4" spans="1:12" s="66" customFormat="1" ht="13.5" customHeight="1">
      <c r="A4" s="74"/>
      <c r="B4" s="74"/>
      <c r="C4" s="75"/>
      <c r="D4" s="75"/>
      <c r="E4" s="82"/>
      <c r="F4" s="75"/>
      <c r="G4" s="75"/>
      <c r="H4" s="83"/>
      <c r="I4" s="76"/>
      <c r="J4" s="82"/>
      <c r="K4" s="82"/>
      <c r="L4" s="74"/>
    </row>
    <row r="5" spans="1:12" s="68" customFormat="1" ht="15" customHeight="1">
      <c r="A5" s="36"/>
      <c r="B5" s="36"/>
      <c r="C5" s="36"/>
      <c r="D5" s="36"/>
      <c r="E5" s="36"/>
      <c r="F5" s="36"/>
      <c r="G5" s="36"/>
      <c r="H5" s="36"/>
      <c r="I5" s="36"/>
      <c r="J5" s="36"/>
      <c r="K5" s="36"/>
      <c r="L5" s="67"/>
    </row>
    <row r="6" spans="1:12" s="37" customFormat="1" ht="15" customHeight="1">
      <c r="C6" s="53" t="str">
        <f>"○ 품명 : "&amp;기본정보!C$5</f>
        <v xml:space="preserve">○ 품명 : </v>
      </c>
      <c r="L6" s="77"/>
    </row>
    <row r="7" spans="1:12" s="37" customFormat="1" ht="15" customHeight="1">
      <c r="C7" s="53" t="str">
        <f>"○ 제작회사 : "&amp;기본정보!C$6</f>
        <v xml:space="preserve">○ 제작회사 : </v>
      </c>
      <c r="L7" s="77"/>
    </row>
    <row r="8" spans="1:12" s="37" customFormat="1" ht="15" customHeight="1">
      <c r="C8" s="53" t="str">
        <f>"○ 형식 : "&amp;기본정보!C$7</f>
        <v xml:space="preserve">○ 형식 : </v>
      </c>
      <c r="L8" s="77"/>
    </row>
    <row r="9" spans="1:12" s="37" customFormat="1" ht="15" customHeight="1">
      <c r="C9" s="53" t="str">
        <f>"○ 기기번호 : "&amp;기본정보!C$8</f>
        <v xml:space="preserve">○ 기기번호 : </v>
      </c>
      <c r="L9" s="77"/>
    </row>
    <row r="10" spans="1:12" s="37" customFormat="1" ht="15" customHeight="1">
      <c r="L10" s="77"/>
    </row>
    <row r="11" spans="1:12" ht="15" customHeight="1">
      <c r="B11" s="62"/>
      <c r="C11" s="89"/>
      <c r="D11" s="89"/>
      <c r="E11" s="89"/>
      <c r="F11" s="89"/>
      <c r="G11" s="89"/>
      <c r="H11" s="90"/>
      <c r="I11" s="90"/>
      <c r="J11" s="89"/>
      <c r="K11" s="62"/>
    </row>
  </sheetData>
  <mergeCells count="1">
    <mergeCell ref="A1:L2"/>
  </mergeCells>
  <phoneticPr fontId="4" type="noConversion"/>
  <printOptions horizontalCentered="1"/>
  <pageMargins left="0" right="0" top="0.35433070866141736" bottom="0.59055118110236227" header="0" footer="0"/>
  <pageSetup paperSize="9" orientation="portrait" horizontalDpi="4294967292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A29"/>
  <sheetViews>
    <sheetView showGridLines="0" zoomScaleNormal="100" workbookViewId="0"/>
  </sheetViews>
  <sheetFormatPr defaultColWidth="8.88671875" defaultRowHeight="13.5" customHeight="1"/>
  <cols>
    <col min="1" max="1" width="3.77734375" style="29" customWidth="1"/>
    <col min="2" max="2" width="8.77734375" style="29" customWidth="1"/>
    <col min="3" max="3" width="11.21875" style="30" bestFit="1" customWidth="1"/>
    <col min="4" max="4" width="8.77734375" style="30" customWidth="1"/>
    <col min="5" max="5" width="8.77734375" style="25" customWidth="1"/>
    <col min="6" max="8" width="8.77734375" style="26" customWidth="1"/>
    <col min="9" max="9" width="1.77734375" style="26" customWidth="1"/>
    <col min="10" max="11" width="12.77734375" style="45" customWidth="1"/>
    <col min="12" max="13" width="8.88671875" style="45" customWidth="1"/>
    <col min="14" max="16" width="8.88671875" style="45"/>
    <col min="17" max="16361" width="8.88671875" style="28"/>
    <col min="16362" max="16362" width="8.88671875" style="28" customWidth="1"/>
    <col min="16363" max="16384" width="8.88671875" style="28"/>
  </cols>
  <sheetData>
    <row r="1" spans="1:27" s="60" customFormat="1" ht="25.5">
      <c r="A1" s="56" t="s">
        <v>370</v>
      </c>
      <c r="B1" s="30"/>
      <c r="C1" s="30"/>
      <c r="D1" s="30"/>
      <c r="E1" s="57"/>
      <c r="F1" s="26"/>
      <c r="G1" s="26"/>
      <c r="H1" s="26"/>
      <c r="I1" s="26"/>
      <c r="J1" s="26"/>
      <c r="K1" s="58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  <c r="AA1" s="59"/>
    </row>
    <row r="2" spans="1:27" s="27" customFormat="1" ht="15" customHeight="1">
      <c r="A2" s="24"/>
      <c r="B2" s="24"/>
      <c r="C2" s="24"/>
      <c r="D2" s="24"/>
      <c r="E2" s="24"/>
      <c r="F2" s="24"/>
      <c r="G2" s="24"/>
      <c r="H2" s="24"/>
      <c r="I2" s="24"/>
    </row>
    <row r="3" spans="1:27" s="27" customFormat="1" ht="15" customHeight="1">
      <c r="A3" s="46"/>
      <c r="B3" s="126" t="s">
        <v>371</v>
      </c>
      <c r="C3" s="205">
        <f>기본정보!C3</f>
        <v>0</v>
      </c>
      <c r="D3" s="126" t="s">
        <v>372</v>
      </c>
      <c r="E3" s="386">
        <f>기본정보!H3</f>
        <v>0</v>
      </c>
      <c r="F3" s="387"/>
      <c r="G3" s="126" t="s">
        <v>373</v>
      </c>
      <c r="H3" s="206">
        <f>기본정보!H8</f>
        <v>0</v>
      </c>
      <c r="I3" s="24"/>
    </row>
    <row r="4" spans="1:27" s="27" customFormat="1" ht="15" customHeight="1">
      <c r="A4" s="46"/>
      <c r="B4" s="126" t="s">
        <v>374</v>
      </c>
      <c r="C4" s="207">
        <f>기본정보!C8</f>
        <v>0</v>
      </c>
      <c r="D4" s="126" t="s">
        <v>375</v>
      </c>
      <c r="E4" s="382">
        <f>기본정보!H4</f>
        <v>0</v>
      </c>
      <c r="F4" s="383"/>
      <c r="G4" s="126" t="s">
        <v>376</v>
      </c>
      <c r="H4" s="206">
        <f>기본정보!H9</f>
        <v>0</v>
      </c>
      <c r="I4" s="24"/>
    </row>
    <row r="5" spans="1:27" s="27" customFormat="1" ht="15" customHeight="1">
      <c r="A5" s="46"/>
      <c r="D5" s="24"/>
      <c r="E5" s="24"/>
      <c r="F5" s="24"/>
      <c r="G5" s="24"/>
      <c r="H5" s="24"/>
      <c r="I5" s="24"/>
    </row>
    <row r="6" spans="1:27" s="27" customFormat="1" ht="15" customHeight="1">
      <c r="A6" s="46"/>
      <c r="B6" s="85" t="s">
        <v>377</v>
      </c>
      <c r="C6" s="24"/>
      <c r="D6" s="24"/>
      <c r="E6" s="24"/>
      <c r="F6" s="24"/>
      <c r="G6" s="24"/>
      <c r="H6" s="24"/>
      <c r="I6" s="24"/>
    </row>
    <row r="7" spans="1:27" ht="15" customHeight="1">
      <c r="A7" s="28"/>
      <c r="B7" s="86" t="s">
        <v>378</v>
      </c>
      <c r="F7" s="24"/>
      <c r="G7" s="24"/>
      <c r="H7" s="24"/>
      <c r="I7" s="24"/>
      <c r="J7" s="86" t="s">
        <v>379</v>
      </c>
      <c r="K7" s="27"/>
    </row>
    <row r="8" spans="1:27" ht="15" customHeight="1">
      <c r="B8" s="380" t="s">
        <v>380</v>
      </c>
      <c r="C8" s="380" t="s">
        <v>381</v>
      </c>
      <c r="D8" s="384" t="s">
        <v>382</v>
      </c>
      <c r="E8" s="385"/>
      <c r="F8" s="385"/>
      <c r="G8" s="385"/>
      <c r="H8" s="388"/>
      <c r="I8" s="27"/>
      <c r="J8" s="384" t="s">
        <v>382</v>
      </c>
      <c r="K8" s="385"/>
      <c r="M8" s="28"/>
      <c r="N8" s="28"/>
      <c r="O8" s="28"/>
      <c r="P8" s="28"/>
    </row>
    <row r="9" spans="1:27" ht="15" customHeight="1">
      <c r="B9" s="381"/>
      <c r="C9" s="381"/>
      <c r="D9" s="126" t="s">
        <v>383</v>
      </c>
      <c r="E9" s="126" t="s">
        <v>64</v>
      </c>
      <c r="F9" s="126" t="s">
        <v>65</v>
      </c>
      <c r="G9" s="126" t="s">
        <v>83</v>
      </c>
      <c r="H9" s="126" t="s">
        <v>84</v>
      </c>
      <c r="I9" s="27"/>
      <c r="J9" s="126" t="s">
        <v>702</v>
      </c>
      <c r="K9" s="126" t="s">
        <v>703</v>
      </c>
      <c r="L9" s="28"/>
      <c r="M9" s="28"/>
      <c r="N9" s="28"/>
      <c r="O9" s="28"/>
      <c r="P9" s="28"/>
    </row>
    <row r="10" spans="1:27" ht="15" customHeight="1">
      <c r="B10" s="205" t="str">
        <f>Calcu!C9</f>
        <v/>
      </c>
      <c r="C10" s="205" t="str">
        <f>Calcu!D9</f>
        <v/>
      </c>
      <c r="D10" s="205" t="str">
        <f ca="1">TEXT(Calcu!E9,Calcu!$Q$52)</f>
        <v/>
      </c>
      <c r="E10" s="205" t="str">
        <f ca="1">TEXT(Calcu!F9,Calcu!$Q$52)</f>
        <v/>
      </c>
      <c r="F10" s="205" t="str">
        <f ca="1">TEXT(Calcu!G9,Calcu!$Q$52)</f>
        <v/>
      </c>
      <c r="G10" s="205" t="str">
        <f ca="1">TEXT(Calcu!H9,Calcu!$Q$52)</f>
        <v/>
      </c>
      <c r="H10" s="205" t="str">
        <f ca="1">TEXT(Calcu!I9,Calcu!$Q$52)</f>
        <v/>
      </c>
      <c r="I10" s="27"/>
      <c r="J10" s="205" t="str">
        <f ca="1">TEXT(Calcu!K9,Calcu!$Q$52)</f>
        <v/>
      </c>
      <c r="K10" s="205" t="str">
        <f ca="1">TEXT(Calcu!L9,Calcu!$Q$52)</f>
        <v/>
      </c>
      <c r="L10" s="28"/>
      <c r="M10" s="28"/>
      <c r="N10" s="28"/>
      <c r="O10" s="28"/>
      <c r="P10" s="28"/>
    </row>
    <row r="11" spans="1:27" ht="13.5" customHeight="1">
      <c r="B11" s="205" t="str">
        <f>Calcu!C10</f>
        <v/>
      </c>
      <c r="C11" s="205" t="str">
        <f>Calcu!D10</f>
        <v/>
      </c>
      <c r="D11" s="205" t="str">
        <f ca="1">TEXT(Calcu!E10,Calcu!$Q$52)</f>
        <v/>
      </c>
      <c r="E11" s="205" t="str">
        <f ca="1">TEXT(Calcu!F10,Calcu!$Q$52)</f>
        <v/>
      </c>
      <c r="F11" s="205" t="str">
        <f ca="1">TEXT(Calcu!G10,Calcu!$Q$52)</f>
        <v/>
      </c>
      <c r="G11" s="205" t="str">
        <f ca="1">TEXT(Calcu!H10,Calcu!$Q$52)</f>
        <v/>
      </c>
      <c r="H11" s="205" t="str">
        <f ca="1">TEXT(Calcu!I10,Calcu!$Q$52)</f>
        <v/>
      </c>
      <c r="I11" s="27"/>
      <c r="J11" s="205" t="str">
        <f ca="1">TEXT(Calcu!K10,Calcu!$Q$52)</f>
        <v/>
      </c>
      <c r="K11" s="205" t="str">
        <f ca="1">TEXT(Calcu!L10,Calcu!$Q$52)</f>
        <v/>
      </c>
      <c r="L11" s="28"/>
      <c r="M11" s="28"/>
      <c r="N11" s="28"/>
      <c r="O11" s="28"/>
      <c r="P11" s="28"/>
    </row>
    <row r="12" spans="1:27" ht="13.5" customHeight="1">
      <c r="B12" s="205" t="str">
        <f>Calcu!C11</f>
        <v/>
      </c>
      <c r="C12" s="205" t="str">
        <f>Calcu!D11</f>
        <v/>
      </c>
      <c r="D12" s="205" t="str">
        <f ca="1">TEXT(Calcu!E11,Calcu!$Q$52)</f>
        <v/>
      </c>
      <c r="E12" s="205" t="str">
        <f ca="1">TEXT(Calcu!F11,Calcu!$Q$52)</f>
        <v/>
      </c>
      <c r="F12" s="205" t="str">
        <f ca="1">TEXT(Calcu!G11,Calcu!$Q$52)</f>
        <v/>
      </c>
      <c r="G12" s="205" t="str">
        <f ca="1">TEXT(Calcu!H11,Calcu!$Q$52)</f>
        <v/>
      </c>
      <c r="H12" s="205" t="str">
        <f ca="1">TEXT(Calcu!I11,Calcu!$Q$52)</f>
        <v/>
      </c>
      <c r="I12" s="27"/>
      <c r="J12" s="205" t="str">
        <f ca="1">TEXT(Calcu!K11,Calcu!$Q$52)</f>
        <v/>
      </c>
      <c r="K12" s="205" t="str">
        <f ca="1">TEXT(Calcu!L11,Calcu!$Q$52)</f>
        <v/>
      </c>
      <c r="L12" s="28"/>
      <c r="M12" s="28"/>
      <c r="N12" s="28"/>
      <c r="O12" s="28"/>
      <c r="P12" s="28"/>
    </row>
    <row r="13" spans="1:27" ht="13.5" customHeight="1">
      <c r="B13" s="205" t="str">
        <f>Calcu!C12</f>
        <v/>
      </c>
      <c r="C13" s="205" t="str">
        <f>Calcu!D12</f>
        <v/>
      </c>
      <c r="D13" s="205" t="str">
        <f ca="1">TEXT(Calcu!E12,Calcu!$Q$52)</f>
        <v/>
      </c>
      <c r="E13" s="205" t="str">
        <f ca="1">TEXT(Calcu!F12,Calcu!$Q$52)</f>
        <v/>
      </c>
      <c r="F13" s="205" t="str">
        <f ca="1">TEXT(Calcu!G12,Calcu!$Q$52)</f>
        <v/>
      </c>
      <c r="G13" s="205" t="str">
        <f ca="1">TEXT(Calcu!H12,Calcu!$Q$52)</f>
        <v/>
      </c>
      <c r="H13" s="205" t="str">
        <f ca="1">TEXT(Calcu!I12,Calcu!$Q$52)</f>
        <v/>
      </c>
      <c r="I13" s="27"/>
      <c r="J13" s="205" t="str">
        <f ca="1">TEXT(Calcu!K12,Calcu!$Q$52)</f>
        <v/>
      </c>
      <c r="K13" s="205" t="str">
        <f ca="1">TEXT(Calcu!L12,Calcu!$Q$52)</f>
        <v/>
      </c>
      <c r="L13" s="28"/>
      <c r="M13" s="28"/>
      <c r="N13" s="28"/>
      <c r="O13" s="28"/>
      <c r="P13" s="28"/>
    </row>
    <row r="14" spans="1:27" ht="13.5" customHeight="1">
      <c r="B14" s="205" t="str">
        <f>Calcu!C13</f>
        <v/>
      </c>
      <c r="C14" s="205" t="str">
        <f>Calcu!D13</f>
        <v/>
      </c>
      <c r="D14" s="205" t="str">
        <f ca="1">TEXT(Calcu!E13,Calcu!$Q$52)</f>
        <v/>
      </c>
      <c r="E14" s="205" t="str">
        <f ca="1">TEXT(Calcu!F13,Calcu!$Q$52)</f>
        <v/>
      </c>
      <c r="F14" s="205" t="str">
        <f ca="1">TEXT(Calcu!G13,Calcu!$Q$52)</f>
        <v/>
      </c>
      <c r="G14" s="205" t="str">
        <f ca="1">TEXT(Calcu!H13,Calcu!$Q$52)</f>
        <v/>
      </c>
      <c r="H14" s="205" t="str">
        <f ca="1">TEXT(Calcu!I13,Calcu!$Q$52)</f>
        <v/>
      </c>
      <c r="I14" s="27"/>
      <c r="J14" s="205" t="str">
        <f ca="1">TEXT(Calcu!K13,Calcu!$Q$52)</f>
        <v/>
      </c>
      <c r="K14" s="205" t="str">
        <f ca="1">TEXT(Calcu!L13,Calcu!$Q$52)</f>
        <v/>
      </c>
      <c r="L14" s="28"/>
      <c r="M14" s="28"/>
      <c r="N14" s="28"/>
      <c r="O14" s="28"/>
      <c r="P14" s="28"/>
    </row>
    <row r="15" spans="1:27" ht="13.5" customHeight="1">
      <c r="B15" s="205" t="str">
        <f>Calcu!C14</f>
        <v/>
      </c>
      <c r="C15" s="205" t="str">
        <f>Calcu!D14</f>
        <v/>
      </c>
      <c r="D15" s="205" t="str">
        <f ca="1">TEXT(Calcu!E14,Calcu!$Q$52)</f>
        <v/>
      </c>
      <c r="E15" s="205" t="str">
        <f ca="1">TEXT(Calcu!F14,Calcu!$Q$52)</f>
        <v/>
      </c>
      <c r="F15" s="205" t="str">
        <f ca="1">TEXT(Calcu!G14,Calcu!$Q$52)</f>
        <v/>
      </c>
      <c r="G15" s="205" t="str">
        <f ca="1">TEXT(Calcu!H14,Calcu!$Q$52)</f>
        <v/>
      </c>
      <c r="H15" s="205" t="str">
        <f ca="1">TEXT(Calcu!I14,Calcu!$Q$52)</f>
        <v/>
      </c>
      <c r="I15" s="27"/>
      <c r="J15" s="205" t="str">
        <f ca="1">TEXT(Calcu!K14,Calcu!$Q$52)</f>
        <v/>
      </c>
      <c r="K15" s="205" t="str">
        <f ca="1">TEXT(Calcu!L14,Calcu!$Q$52)</f>
        <v/>
      </c>
      <c r="L15" s="28"/>
      <c r="M15" s="28"/>
      <c r="N15" s="28"/>
      <c r="O15" s="28"/>
      <c r="P15" s="28"/>
    </row>
    <row r="16" spans="1:27" ht="13.5" customHeight="1">
      <c r="B16" s="205" t="str">
        <f>Calcu!C15</f>
        <v/>
      </c>
      <c r="C16" s="205" t="str">
        <f>Calcu!D15</f>
        <v/>
      </c>
      <c r="D16" s="205" t="str">
        <f ca="1">TEXT(Calcu!E15,Calcu!$Q$52)</f>
        <v/>
      </c>
      <c r="E16" s="205" t="str">
        <f ca="1">TEXT(Calcu!F15,Calcu!$Q$52)</f>
        <v/>
      </c>
      <c r="F16" s="205" t="str">
        <f ca="1">TEXT(Calcu!G15,Calcu!$Q$52)</f>
        <v/>
      </c>
      <c r="G16" s="205" t="str">
        <f ca="1">TEXT(Calcu!H15,Calcu!$Q$52)</f>
        <v/>
      </c>
      <c r="H16" s="205" t="str">
        <f ca="1">TEXT(Calcu!I15,Calcu!$Q$52)</f>
        <v/>
      </c>
      <c r="I16" s="45"/>
      <c r="J16" s="205" t="str">
        <f ca="1">TEXT(Calcu!K15,Calcu!$Q$52)</f>
        <v/>
      </c>
      <c r="K16" s="205" t="str">
        <f ca="1">TEXT(Calcu!L15,Calcu!$Q$52)</f>
        <v/>
      </c>
      <c r="L16" s="28"/>
      <c r="M16" s="28"/>
      <c r="N16" s="28"/>
      <c r="O16" s="28"/>
      <c r="P16" s="28"/>
    </row>
    <row r="17" spans="2:16" ht="13.5" customHeight="1">
      <c r="B17" s="205" t="str">
        <f>Calcu!C16</f>
        <v/>
      </c>
      <c r="C17" s="205" t="str">
        <f>Calcu!D16</f>
        <v/>
      </c>
      <c r="D17" s="205" t="str">
        <f ca="1">TEXT(Calcu!E16,Calcu!$Q$52)</f>
        <v/>
      </c>
      <c r="E17" s="205" t="str">
        <f ca="1">TEXT(Calcu!F16,Calcu!$Q$52)</f>
        <v/>
      </c>
      <c r="F17" s="205" t="str">
        <f ca="1">TEXT(Calcu!G16,Calcu!$Q$52)</f>
        <v/>
      </c>
      <c r="G17" s="205" t="str">
        <f ca="1">TEXT(Calcu!H16,Calcu!$Q$52)</f>
        <v/>
      </c>
      <c r="H17" s="205" t="str">
        <f ca="1">TEXT(Calcu!I16,Calcu!$Q$52)</f>
        <v/>
      </c>
      <c r="I17" s="45"/>
      <c r="J17" s="205" t="str">
        <f ca="1">TEXT(Calcu!K16,Calcu!$Q$52)</f>
        <v/>
      </c>
      <c r="K17" s="205" t="str">
        <f ca="1">TEXT(Calcu!L16,Calcu!$Q$52)</f>
        <v/>
      </c>
      <c r="L17" s="28"/>
      <c r="M17" s="28"/>
      <c r="N17" s="28"/>
      <c r="O17" s="28"/>
      <c r="P17" s="28"/>
    </row>
    <row r="18" spans="2:16" ht="13.5" customHeight="1">
      <c r="B18" s="205" t="str">
        <f>Calcu!C17</f>
        <v/>
      </c>
      <c r="C18" s="205" t="str">
        <f>Calcu!D17</f>
        <v/>
      </c>
      <c r="D18" s="205" t="str">
        <f ca="1">TEXT(Calcu!E17,Calcu!$Q$52)</f>
        <v/>
      </c>
      <c r="E18" s="205" t="str">
        <f ca="1">TEXT(Calcu!F17,Calcu!$Q$52)</f>
        <v/>
      </c>
      <c r="F18" s="205" t="str">
        <f ca="1">TEXT(Calcu!G17,Calcu!$Q$52)</f>
        <v/>
      </c>
      <c r="G18" s="205" t="str">
        <f ca="1">TEXT(Calcu!H17,Calcu!$Q$52)</f>
        <v/>
      </c>
      <c r="H18" s="205" t="str">
        <f ca="1">TEXT(Calcu!I17,Calcu!$Q$52)</f>
        <v/>
      </c>
      <c r="I18" s="45"/>
      <c r="J18" s="205" t="str">
        <f ca="1">TEXT(Calcu!K17,Calcu!$Q$52)</f>
        <v/>
      </c>
      <c r="K18" s="205" t="str">
        <f ca="1">TEXT(Calcu!L17,Calcu!$Q$52)</f>
        <v/>
      </c>
      <c r="L18" s="28"/>
      <c r="M18" s="28"/>
      <c r="N18" s="28"/>
      <c r="O18" s="28"/>
      <c r="P18" s="28"/>
    </row>
    <row r="19" spans="2:16" ht="13.5" customHeight="1">
      <c r="B19" s="205" t="str">
        <f>Calcu!C18</f>
        <v/>
      </c>
      <c r="C19" s="205" t="str">
        <f>Calcu!D18</f>
        <v/>
      </c>
      <c r="D19" s="205" t="str">
        <f ca="1">TEXT(Calcu!E18,Calcu!$Q$52)</f>
        <v/>
      </c>
      <c r="E19" s="205" t="str">
        <f ca="1">TEXT(Calcu!F18,Calcu!$Q$52)</f>
        <v/>
      </c>
      <c r="F19" s="205" t="str">
        <f ca="1">TEXT(Calcu!G18,Calcu!$Q$52)</f>
        <v/>
      </c>
      <c r="G19" s="205" t="str">
        <f ca="1">TEXT(Calcu!H18,Calcu!$Q$52)</f>
        <v/>
      </c>
      <c r="H19" s="205" t="str">
        <f ca="1">TEXT(Calcu!I18,Calcu!$Q$52)</f>
        <v/>
      </c>
      <c r="I19" s="45"/>
      <c r="J19" s="205" t="str">
        <f ca="1">TEXT(Calcu!K18,Calcu!$Q$52)</f>
        <v/>
      </c>
      <c r="K19" s="205" t="str">
        <f ca="1">TEXT(Calcu!L18,Calcu!$Q$52)</f>
        <v/>
      </c>
      <c r="L19" s="28"/>
      <c r="M19" s="28"/>
      <c r="N19" s="28"/>
      <c r="O19" s="28"/>
      <c r="P19" s="28"/>
    </row>
    <row r="20" spans="2:16" ht="13.5" customHeight="1">
      <c r="B20" s="205" t="str">
        <f>Calcu!C19</f>
        <v/>
      </c>
      <c r="C20" s="205" t="str">
        <f>Calcu!D19</f>
        <v/>
      </c>
      <c r="D20" s="205" t="str">
        <f ca="1">TEXT(Calcu!E19,Calcu!$Q$52)</f>
        <v/>
      </c>
      <c r="E20" s="205" t="str">
        <f ca="1">TEXT(Calcu!F19,Calcu!$Q$52)</f>
        <v/>
      </c>
      <c r="F20" s="205" t="str">
        <f ca="1">TEXT(Calcu!G19,Calcu!$Q$52)</f>
        <v/>
      </c>
      <c r="G20" s="205" t="str">
        <f ca="1">TEXT(Calcu!H19,Calcu!$Q$52)</f>
        <v/>
      </c>
      <c r="H20" s="205" t="str">
        <f ca="1">TEXT(Calcu!I19,Calcu!$Q$52)</f>
        <v/>
      </c>
      <c r="I20" s="45"/>
      <c r="J20" s="205" t="str">
        <f ca="1">TEXT(Calcu!K19,Calcu!$Q$52)</f>
        <v/>
      </c>
      <c r="K20" s="205" t="str">
        <f ca="1">TEXT(Calcu!L19,Calcu!$Q$52)</f>
        <v/>
      </c>
      <c r="L20" s="28"/>
      <c r="M20" s="28"/>
      <c r="N20" s="28"/>
      <c r="O20" s="28"/>
      <c r="P20" s="28"/>
    </row>
    <row r="21" spans="2:16" ht="13.5" customHeight="1">
      <c r="B21" s="205" t="str">
        <f>Calcu!C20</f>
        <v/>
      </c>
      <c r="C21" s="205" t="str">
        <f>Calcu!D20</f>
        <v/>
      </c>
      <c r="D21" s="205" t="str">
        <f ca="1">TEXT(Calcu!E20,Calcu!$Q$52)</f>
        <v/>
      </c>
      <c r="E21" s="205" t="str">
        <f ca="1">TEXT(Calcu!F20,Calcu!$Q$52)</f>
        <v/>
      </c>
      <c r="F21" s="205" t="str">
        <f ca="1">TEXT(Calcu!G20,Calcu!$Q$52)</f>
        <v/>
      </c>
      <c r="G21" s="205" t="str">
        <f ca="1">TEXT(Calcu!H20,Calcu!$Q$52)</f>
        <v/>
      </c>
      <c r="H21" s="205" t="str">
        <f ca="1">TEXT(Calcu!I20,Calcu!$Q$52)</f>
        <v/>
      </c>
      <c r="I21" s="45"/>
      <c r="J21" s="205" t="str">
        <f ca="1">TEXT(Calcu!K20,Calcu!$Q$52)</f>
        <v/>
      </c>
      <c r="K21" s="205" t="str">
        <f ca="1">TEXT(Calcu!L20,Calcu!$Q$52)</f>
        <v/>
      </c>
      <c r="L21" s="28"/>
      <c r="M21" s="28"/>
      <c r="N21" s="28"/>
      <c r="O21" s="28"/>
      <c r="P21" s="28"/>
    </row>
    <row r="22" spans="2:16" ht="13.5" customHeight="1">
      <c r="B22" s="205" t="str">
        <f>Calcu!C21</f>
        <v/>
      </c>
      <c r="C22" s="205" t="str">
        <f>Calcu!D21</f>
        <v/>
      </c>
      <c r="D22" s="205" t="str">
        <f ca="1">TEXT(Calcu!E21,Calcu!$Q$52)</f>
        <v/>
      </c>
      <c r="E22" s="205" t="str">
        <f ca="1">TEXT(Calcu!F21,Calcu!$Q$52)</f>
        <v/>
      </c>
      <c r="F22" s="205" t="str">
        <f ca="1">TEXT(Calcu!G21,Calcu!$Q$52)</f>
        <v/>
      </c>
      <c r="G22" s="205" t="str">
        <f ca="1">TEXT(Calcu!H21,Calcu!$Q$52)</f>
        <v/>
      </c>
      <c r="H22" s="205" t="str">
        <f ca="1">TEXT(Calcu!I21,Calcu!$Q$52)</f>
        <v/>
      </c>
      <c r="I22" s="45"/>
      <c r="J22" s="205" t="str">
        <f ca="1">TEXT(Calcu!K21,Calcu!$Q$52)</f>
        <v/>
      </c>
      <c r="K22" s="205" t="str">
        <f ca="1">TEXT(Calcu!L21,Calcu!$Q$52)</f>
        <v/>
      </c>
      <c r="L22" s="28"/>
      <c r="M22" s="28"/>
      <c r="N22" s="28"/>
      <c r="O22" s="28"/>
      <c r="P22" s="28"/>
    </row>
    <row r="23" spans="2:16" ht="13.5" customHeight="1">
      <c r="B23" s="205" t="str">
        <f>Calcu!C22</f>
        <v/>
      </c>
      <c r="C23" s="205" t="str">
        <f>Calcu!D22</f>
        <v/>
      </c>
      <c r="D23" s="205" t="str">
        <f ca="1">TEXT(Calcu!E22,Calcu!$Q$52)</f>
        <v/>
      </c>
      <c r="E23" s="205" t="str">
        <f ca="1">TEXT(Calcu!F22,Calcu!$Q$52)</f>
        <v/>
      </c>
      <c r="F23" s="205" t="str">
        <f ca="1">TEXT(Calcu!G22,Calcu!$Q$52)</f>
        <v/>
      </c>
      <c r="G23" s="205" t="str">
        <f ca="1">TEXT(Calcu!H22,Calcu!$Q$52)</f>
        <v/>
      </c>
      <c r="H23" s="205" t="str">
        <f ca="1">TEXT(Calcu!I22,Calcu!$Q$52)</f>
        <v/>
      </c>
      <c r="I23" s="45"/>
      <c r="J23" s="205" t="str">
        <f ca="1">TEXT(Calcu!K22,Calcu!$Q$52)</f>
        <v/>
      </c>
      <c r="K23" s="205" t="str">
        <f ca="1">TEXT(Calcu!L22,Calcu!$Q$52)</f>
        <v/>
      </c>
      <c r="L23" s="28"/>
      <c r="M23" s="28"/>
      <c r="N23" s="28"/>
      <c r="O23" s="28"/>
      <c r="P23" s="28"/>
    </row>
    <row r="24" spans="2:16" ht="13.5" customHeight="1">
      <c r="B24" s="205" t="str">
        <f>Calcu!C23</f>
        <v/>
      </c>
      <c r="C24" s="205" t="str">
        <f>Calcu!D23</f>
        <v/>
      </c>
      <c r="D24" s="205" t="str">
        <f ca="1">TEXT(Calcu!E23,Calcu!$Q$52)</f>
        <v/>
      </c>
      <c r="E24" s="205" t="str">
        <f ca="1">TEXT(Calcu!F23,Calcu!$Q$52)</f>
        <v/>
      </c>
      <c r="F24" s="205" t="str">
        <f ca="1">TEXT(Calcu!G23,Calcu!$Q$52)</f>
        <v/>
      </c>
      <c r="G24" s="205" t="str">
        <f ca="1">TEXT(Calcu!H23,Calcu!$Q$52)</f>
        <v/>
      </c>
      <c r="H24" s="205" t="str">
        <f ca="1">TEXT(Calcu!I23,Calcu!$Q$52)</f>
        <v/>
      </c>
      <c r="I24" s="45"/>
      <c r="J24" s="205" t="str">
        <f ca="1">TEXT(Calcu!K23,Calcu!$Q$52)</f>
        <v/>
      </c>
      <c r="K24" s="205" t="str">
        <f ca="1">TEXT(Calcu!L23,Calcu!$Q$52)</f>
        <v/>
      </c>
      <c r="L24" s="28"/>
      <c r="M24" s="28"/>
      <c r="N24" s="28"/>
      <c r="O24" s="28"/>
      <c r="P24" s="28"/>
    </row>
    <row r="25" spans="2:16" ht="13.5" customHeight="1">
      <c r="B25" s="205" t="str">
        <f>Calcu!C24</f>
        <v/>
      </c>
      <c r="C25" s="205" t="str">
        <f>Calcu!D24</f>
        <v/>
      </c>
      <c r="D25" s="205" t="str">
        <f ca="1">TEXT(Calcu!E24,Calcu!$Q$52)</f>
        <v/>
      </c>
      <c r="E25" s="205" t="str">
        <f ca="1">TEXT(Calcu!F24,Calcu!$Q$52)</f>
        <v/>
      </c>
      <c r="F25" s="205" t="str">
        <f ca="1">TEXT(Calcu!G24,Calcu!$Q$52)</f>
        <v/>
      </c>
      <c r="G25" s="205" t="str">
        <f ca="1">TEXT(Calcu!H24,Calcu!$Q$52)</f>
        <v/>
      </c>
      <c r="H25" s="205" t="str">
        <f ca="1">TEXT(Calcu!I24,Calcu!$Q$52)</f>
        <v/>
      </c>
      <c r="I25" s="45"/>
      <c r="J25" s="205" t="str">
        <f ca="1">TEXT(Calcu!K24,Calcu!$Q$52)</f>
        <v/>
      </c>
      <c r="K25" s="205" t="str">
        <f ca="1">TEXT(Calcu!L24,Calcu!$Q$52)</f>
        <v/>
      </c>
      <c r="L25" s="28"/>
      <c r="M25" s="28"/>
      <c r="N25" s="28"/>
      <c r="O25" s="28"/>
      <c r="P25" s="28"/>
    </row>
    <row r="26" spans="2:16" ht="13.5" customHeight="1">
      <c r="B26" s="205" t="str">
        <f>Calcu!C25</f>
        <v/>
      </c>
      <c r="C26" s="205" t="str">
        <f>Calcu!D25</f>
        <v/>
      </c>
      <c r="D26" s="205" t="str">
        <f ca="1">TEXT(Calcu!E25,Calcu!$Q$52)</f>
        <v/>
      </c>
      <c r="E26" s="205" t="str">
        <f ca="1">TEXT(Calcu!F25,Calcu!$Q$52)</f>
        <v/>
      </c>
      <c r="F26" s="205" t="str">
        <f ca="1">TEXT(Calcu!G25,Calcu!$Q$52)</f>
        <v/>
      </c>
      <c r="G26" s="205" t="str">
        <f ca="1">TEXT(Calcu!H25,Calcu!$Q$52)</f>
        <v/>
      </c>
      <c r="H26" s="205" t="str">
        <f ca="1">TEXT(Calcu!I25,Calcu!$Q$52)</f>
        <v/>
      </c>
      <c r="I26" s="45"/>
      <c r="J26" s="205" t="str">
        <f ca="1">TEXT(Calcu!K25,Calcu!$Q$52)</f>
        <v/>
      </c>
      <c r="K26" s="205" t="str">
        <f ca="1">TEXT(Calcu!L25,Calcu!$Q$52)</f>
        <v/>
      </c>
      <c r="L26" s="28"/>
      <c r="M26" s="28"/>
      <c r="N26" s="28"/>
      <c r="O26" s="28"/>
      <c r="P26" s="28"/>
    </row>
    <row r="27" spans="2:16" ht="13.5" customHeight="1">
      <c r="B27" s="205" t="str">
        <f>Calcu!C26</f>
        <v/>
      </c>
      <c r="C27" s="205" t="str">
        <f>Calcu!D26</f>
        <v/>
      </c>
      <c r="D27" s="205" t="str">
        <f ca="1">TEXT(Calcu!E26,Calcu!$Q$52)</f>
        <v/>
      </c>
      <c r="E27" s="205" t="str">
        <f ca="1">TEXT(Calcu!F26,Calcu!$Q$52)</f>
        <v/>
      </c>
      <c r="F27" s="205" t="str">
        <f ca="1">TEXT(Calcu!G26,Calcu!$Q$52)</f>
        <v/>
      </c>
      <c r="G27" s="205" t="str">
        <f ca="1">TEXT(Calcu!H26,Calcu!$Q$52)</f>
        <v/>
      </c>
      <c r="H27" s="205" t="str">
        <f ca="1">TEXT(Calcu!I26,Calcu!$Q$52)</f>
        <v/>
      </c>
      <c r="I27" s="45"/>
      <c r="J27" s="205" t="str">
        <f ca="1">TEXT(Calcu!K26,Calcu!$Q$52)</f>
        <v/>
      </c>
      <c r="K27" s="205" t="str">
        <f ca="1">TEXT(Calcu!L26,Calcu!$Q$52)</f>
        <v/>
      </c>
      <c r="L27" s="28"/>
      <c r="M27" s="28"/>
      <c r="N27" s="28"/>
      <c r="O27" s="28"/>
      <c r="P27" s="28"/>
    </row>
    <row r="28" spans="2:16" ht="13.5" customHeight="1">
      <c r="B28" s="205" t="str">
        <f>Calcu!C27</f>
        <v/>
      </c>
      <c r="C28" s="205" t="str">
        <f>Calcu!D27</f>
        <v/>
      </c>
      <c r="D28" s="205" t="str">
        <f ca="1">TEXT(Calcu!E27,Calcu!$Q$52)</f>
        <v/>
      </c>
      <c r="E28" s="205" t="str">
        <f ca="1">TEXT(Calcu!F27,Calcu!$Q$52)</f>
        <v/>
      </c>
      <c r="F28" s="205" t="str">
        <f ca="1">TEXT(Calcu!G27,Calcu!$Q$52)</f>
        <v/>
      </c>
      <c r="G28" s="205" t="str">
        <f ca="1">TEXT(Calcu!H27,Calcu!$Q$52)</f>
        <v/>
      </c>
      <c r="H28" s="205" t="str">
        <f ca="1">TEXT(Calcu!I27,Calcu!$Q$52)</f>
        <v/>
      </c>
      <c r="I28" s="45"/>
      <c r="J28" s="205" t="str">
        <f ca="1">TEXT(Calcu!K27,Calcu!$Q$52)</f>
        <v/>
      </c>
      <c r="K28" s="205" t="str">
        <f ca="1">TEXT(Calcu!L27,Calcu!$Q$52)</f>
        <v/>
      </c>
      <c r="L28" s="28"/>
      <c r="M28" s="28"/>
      <c r="N28" s="28"/>
      <c r="O28" s="28"/>
      <c r="P28" s="28"/>
    </row>
    <row r="29" spans="2:16" ht="13.5" customHeight="1">
      <c r="B29" s="205" t="str">
        <f>Calcu!C28</f>
        <v/>
      </c>
      <c r="C29" s="205" t="str">
        <f>Calcu!D28</f>
        <v/>
      </c>
      <c r="D29" s="205" t="str">
        <f ca="1">TEXT(Calcu!E28,Calcu!$Q$52)</f>
        <v/>
      </c>
      <c r="E29" s="205" t="str">
        <f ca="1">TEXT(Calcu!F28,Calcu!$Q$52)</f>
        <v/>
      </c>
      <c r="F29" s="205" t="str">
        <f ca="1">TEXT(Calcu!G28,Calcu!$Q$52)</f>
        <v/>
      </c>
      <c r="G29" s="205" t="str">
        <f ca="1">TEXT(Calcu!H28,Calcu!$Q$52)</f>
        <v/>
      </c>
      <c r="H29" s="205" t="str">
        <f ca="1">TEXT(Calcu!I28,Calcu!$Q$52)</f>
        <v/>
      </c>
      <c r="I29" s="45"/>
      <c r="J29" s="205" t="str">
        <f ca="1">TEXT(Calcu!K28,Calcu!$Q$52)</f>
        <v/>
      </c>
      <c r="K29" s="205" t="str">
        <f ca="1">TEXT(Calcu!L28,Calcu!$Q$52)</f>
        <v/>
      </c>
      <c r="L29" s="28"/>
      <c r="M29" s="28"/>
      <c r="N29" s="28"/>
      <c r="O29" s="28"/>
      <c r="P29" s="28"/>
    </row>
  </sheetData>
  <sortState ref="O5:P14">
    <sortCondition descending="1" ref="O5"/>
  </sortState>
  <mergeCells count="6">
    <mergeCell ref="B8:B9"/>
    <mergeCell ref="E4:F4"/>
    <mergeCell ref="J8:K8"/>
    <mergeCell ref="E3:F3"/>
    <mergeCell ref="C8:C9"/>
    <mergeCell ref="D8:H8"/>
  </mergeCells>
  <phoneticPr fontId="4" type="noConversion"/>
  <pageMargins left="0.39370078740157483" right="0.39370078740157483" top="0.39370078740157483" bottom="0.39370078740157483" header="0.19685039370078741" footer="0.19685039370078741"/>
  <pageSetup paperSize="9" orientation="portrait" r:id="rId1"/>
  <headerFooter alignWithMargins="0">
    <oddFooter xml:space="preserve">&amp;L&amp;"Tahoma,보통"&amp;9F-02P-02-001 (Rev.01)&amp;C&amp;9&amp;P of &amp;N&amp;R&amp;"돋움,굵게"&amp;9(주)에이치시티 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CE327"/>
  <sheetViews>
    <sheetView showGridLines="0" zoomScaleNormal="100" zoomScaleSheetLayoutView="100" workbookViewId="0"/>
  </sheetViews>
  <sheetFormatPr defaultColWidth="1.77734375" defaultRowHeight="18.75" customHeight="1"/>
  <cols>
    <col min="1" max="2" width="1.77734375" style="55"/>
    <col min="3" max="3" width="1.77734375" style="55" customWidth="1"/>
    <col min="4" max="4" width="2.109375" style="55" bestFit="1" customWidth="1"/>
    <col min="5" max="6" width="1.77734375" style="55"/>
    <col min="7" max="7" width="1.77734375" style="55" customWidth="1"/>
    <col min="8" max="11" width="1.77734375" style="55"/>
    <col min="12" max="12" width="1.77734375" style="55" customWidth="1"/>
    <col min="13" max="23" width="1.77734375" style="55"/>
    <col min="24" max="24" width="1.77734375" style="55" customWidth="1"/>
    <col min="25" max="26" width="1.77734375" style="55"/>
    <col min="27" max="27" width="1.77734375" style="55" customWidth="1"/>
    <col min="28" max="28" width="1.77734375" style="55"/>
    <col min="29" max="29" width="1.77734375" style="55" customWidth="1"/>
    <col min="30" max="16384" width="1.77734375" style="55"/>
  </cols>
  <sheetData>
    <row r="1" spans="1:56" s="209" customFormat="1" ht="31.5">
      <c r="A1" s="208" t="s">
        <v>385</v>
      </c>
    </row>
    <row r="2" spans="1:56" s="209" customFormat="1" ht="18.75" customHeight="1">
      <c r="A2" s="210" t="s">
        <v>386</v>
      </c>
    </row>
    <row r="3" spans="1:56" s="209" customFormat="1" ht="18.75" customHeight="1">
      <c r="B3" s="519" t="s">
        <v>387</v>
      </c>
      <c r="C3" s="519"/>
      <c r="D3" s="519"/>
      <c r="E3" s="519"/>
      <c r="F3" s="519"/>
      <c r="G3" s="519"/>
      <c r="H3" s="519" t="s">
        <v>388</v>
      </c>
      <c r="I3" s="519"/>
      <c r="J3" s="519"/>
      <c r="K3" s="519"/>
      <c r="L3" s="519"/>
      <c r="M3" s="519"/>
      <c r="N3" s="519" t="s">
        <v>389</v>
      </c>
      <c r="O3" s="519"/>
      <c r="P3" s="519"/>
      <c r="Q3" s="519"/>
      <c r="R3" s="519"/>
      <c r="S3" s="519"/>
    </row>
    <row r="4" spans="1:56" s="209" customFormat="1" ht="18.75" customHeight="1">
      <c r="B4" s="520" t="s">
        <v>390</v>
      </c>
      <c r="C4" s="520"/>
      <c r="D4" s="520"/>
      <c r="E4" s="520"/>
      <c r="F4" s="520"/>
      <c r="G4" s="520"/>
      <c r="H4" s="520" t="s">
        <v>391</v>
      </c>
      <c r="I4" s="520"/>
      <c r="J4" s="520"/>
      <c r="K4" s="520"/>
      <c r="L4" s="520"/>
      <c r="M4" s="520"/>
      <c r="N4" s="520" t="s">
        <v>392</v>
      </c>
      <c r="O4" s="520"/>
      <c r="P4" s="520"/>
      <c r="Q4" s="520"/>
      <c r="R4" s="520"/>
      <c r="S4" s="520"/>
    </row>
    <row r="5" spans="1:56" s="209" customFormat="1" ht="18.75" customHeight="1">
      <c r="A5" s="208"/>
    </row>
    <row r="6" spans="1:56" ht="18.75" customHeight="1">
      <c r="A6" s="211" t="s">
        <v>393</v>
      </c>
      <c r="B6" s="212"/>
      <c r="C6" s="212"/>
      <c r="D6" s="212"/>
      <c r="E6" s="212"/>
      <c r="F6" s="212"/>
      <c r="G6" s="212"/>
      <c r="H6" s="212"/>
      <c r="I6" s="212"/>
      <c r="J6" s="212"/>
      <c r="K6" s="212"/>
      <c r="L6" s="212"/>
      <c r="M6" s="212"/>
      <c r="N6" s="212"/>
      <c r="O6" s="212"/>
      <c r="P6" s="212"/>
      <c r="Q6" s="212"/>
      <c r="R6" s="212"/>
      <c r="S6" s="212"/>
      <c r="T6" s="212"/>
      <c r="U6" s="212"/>
      <c r="V6" s="212"/>
      <c r="W6" s="212"/>
      <c r="X6" s="212"/>
      <c r="Y6" s="212"/>
      <c r="Z6" s="212"/>
      <c r="AA6" s="212"/>
      <c r="AB6" s="212"/>
      <c r="AC6" s="212"/>
      <c r="AD6" s="212"/>
      <c r="AE6" s="212"/>
      <c r="AF6" s="212"/>
      <c r="AG6" s="212"/>
      <c r="AH6" s="212"/>
      <c r="AI6" s="212"/>
      <c r="AJ6" s="212"/>
      <c r="AK6" s="212"/>
      <c r="AL6" s="212"/>
      <c r="AM6" s="212"/>
      <c r="AN6" s="212"/>
      <c r="AO6" s="212"/>
      <c r="AP6" s="212"/>
      <c r="AQ6" s="212"/>
      <c r="AR6" s="212"/>
    </row>
    <row r="7" spans="1:56" ht="18.75" customHeight="1">
      <c r="A7" s="211"/>
      <c r="B7" s="506" t="s">
        <v>394</v>
      </c>
      <c r="C7" s="507"/>
      <c r="D7" s="507"/>
      <c r="E7" s="507"/>
      <c r="F7" s="508"/>
      <c r="G7" s="512" t="s">
        <v>395</v>
      </c>
      <c r="H7" s="513"/>
      <c r="I7" s="513"/>
      <c r="J7" s="513"/>
      <c r="K7" s="513"/>
      <c r="L7" s="513"/>
      <c r="M7" s="513"/>
      <c r="N7" s="513"/>
      <c r="O7" s="513"/>
      <c r="P7" s="513"/>
      <c r="Q7" s="513"/>
      <c r="R7" s="513"/>
      <c r="S7" s="513"/>
      <c r="T7" s="513"/>
      <c r="U7" s="513"/>
      <c r="V7" s="513"/>
      <c r="W7" s="513"/>
      <c r="X7" s="513"/>
      <c r="Y7" s="513"/>
      <c r="Z7" s="513"/>
      <c r="AA7" s="513"/>
      <c r="AB7" s="513"/>
      <c r="AC7" s="513"/>
      <c r="AD7" s="513"/>
      <c r="AE7" s="514"/>
      <c r="AF7" s="506" t="s">
        <v>396</v>
      </c>
      <c r="AG7" s="507"/>
      <c r="AH7" s="507"/>
      <c r="AI7" s="507"/>
      <c r="AJ7" s="508"/>
      <c r="AK7" s="506" t="s">
        <v>397</v>
      </c>
      <c r="AL7" s="507"/>
      <c r="AM7" s="507"/>
      <c r="AN7" s="507"/>
      <c r="AO7" s="508"/>
      <c r="AP7" s="506" t="s">
        <v>398</v>
      </c>
      <c r="AQ7" s="507"/>
      <c r="AR7" s="507"/>
      <c r="AS7" s="507"/>
      <c r="AT7" s="508"/>
      <c r="AU7" s="506" t="s">
        <v>399</v>
      </c>
      <c r="AV7" s="507"/>
      <c r="AW7" s="507"/>
      <c r="AX7" s="507"/>
      <c r="AY7" s="508"/>
      <c r="AZ7" s="506" t="s">
        <v>400</v>
      </c>
      <c r="BA7" s="507"/>
      <c r="BB7" s="507"/>
      <c r="BC7" s="507"/>
      <c r="BD7" s="508"/>
    </row>
    <row r="8" spans="1:56" ht="18.75" customHeight="1">
      <c r="A8" s="211"/>
      <c r="B8" s="509"/>
      <c r="C8" s="510"/>
      <c r="D8" s="510"/>
      <c r="E8" s="510"/>
      <c r="F8" s="511"/>
      <c r="G8" s="512" t="s">
        <v>401</v>
      </c>
      <c r="H8" s="513"/>
      <c r="I8" s="513"/>
      <c r="J8" s="513"/>
      <c r="K8" s="514"/>
      <c r="L8" s="512" t="s">
        <v>402</v>
      </c>
      <c r="M8" s="513"/>
      <c r="N8" s="513"/>
      <c r="O8" s="513"/>
      <c r="P8" s="514"/>
      <c r="Q8" s="512" t="s">
        <v>403</v>
      </c>
      <c r="R8" s="513"/>
      <c r="S8" s="513"/>
      <c r="T8" s="513"/>
      <c r="U8" s="514"/>
      <c r="V8" s="512" t="s">
        <v>404</v>
      </c>
      <c r="W8" s="513"/>
      <c r="X8" s="513"/>
      <c r="Y8" s="513"/>
      <c r="Z8" s="514"/>
      <c r="AA8" s="512" t="s">
        <v>405</v>
      </c>
      <c r="AB8" s="513"/>
      <c r="AC8" s="513"/>
      <c r="AD8" s="513"/>
      <c r="AE8" s="514"/>
      <c r="AF8" s="509"/>
      <c r="AG8" s="510"/>
      <c r="AH8" s="510"/>
      <c r="AI8" s="510"/>
      <c r="AJ8" s="511"/>
      <c r="AK8" s="509"/>
      <c r="AL8" s="510"/>
      <c r="AM8" s="510"/>
      <c r="AN8" s="510"/>
      <c r="AO8" s="511"/>
      <c r="AP8" s="509"/>
      <c r="AQ8" s="510"/>
      <c r="AR8" s="510"/>
      <c r="AS8" s="510"/>
      <c r="AT8" s="511"/>
      <c r="AU8" s="509"/>
      <c r="AV8" s="510"/>
      <c r="AW8" s="510"/>
      <c r="AX8" s="510"/>
      <c r="AY8" s="511"/>
      <c r="AZ8" s="509"/>
      <c r="BA8" s="510"/>
      <c r="BB8" s="510"/>
      <c r="BC8" s="510"/>
      <c r="BD8" s="511"/>
    </row>
    <row r="9" spans="1:56" ht="18.75" customHeight="1">
      <c r="A9" s="211"/>
      <c r="B9" s="502" t="str">
        <f>Calcu!C9</f>
        <v/>
      </c>
      <c r="C9" s="503"/>
      <c r="D9" s="503"/>
      <c r="E9" s="503"/>
      <c r="F9" s="504"/>
      <c r="G9" s="475" t="str">
        <f>Calcu!E9</f>
        <v/>
      </c>
      <c r="H9" s="454"/>
      <c r="I9" s="454"/>
      <c r="J9" s="454"/>
      <c r="K9" s="476"/>
      <c r="L9" s="475" t="str">
        <f>Calcu!F9</f>
        <v/>
      </c>
      <c r="M9" s="454"/>
      <c r="N9" s="454"/>
      <c r="O9" s="454"/>
      <c r="P9" s="476"/>
      <c r="Q9" s="475" t="str">
        <f>Calcu!G9</f>
        <v/>
      </c>
      <c r="R9" s="454"/>
      <c r="S9" s="454"/>
      <c r="T9" s="454"/>
      <c r="U9" s="476"/>
      <c r="V9" s="475" t="str">
        <f>Calcu!H9</f>
        <v/>
      </c>
      <c r="W9" s="454"/>
      <c r="X9" s="454"/>
      <c r="Y9" s="454"/>
      <c r="Z9" s="476"/>
      <c r="AA9" s="475" t="str">
        <f>Calcu!I9</f>
        <v/>
      </c>
      <c r="AB9" s="454"/>
      <c r="AC9" s="454"/>
      <c r="AD9" s="454"/>
      <c r="AE9" s="476"/>
      <c r="AF9" s="475" t="str">
        <f>Calcu!J9</f>
        <v/>
      </c>
      <c r="AG9" s="454"/>
      <c r="AH9" s="454"/>
      <c r="AI9" s="454"/>
      <c r="AJ9" s="476"/>
      <c r="AK9" s="516">
        <f>Calcu!$B$4</f>
        <v>0</v>
      </c>
      <c r="AL9" s="517"/>
      <c r="AM9" s="517"/>
      <c r="AN9" s="517"/>
      <c r="AO9" s="518"/>
      <c r="AP9" s="475" t="str">
        <f>Calcu!O9</f>
        <v/>
      </c>
      <c r="AQ9" s="454"/>
      <c r="AR9" s="454"/>
      <c r="AS9" s="454"/>
      <c r="AT9" s="476"/>
      <c r="AU9" s="475" t="str">
        <f>Calcu!W9</f>
        <v/>
      </c>
      <c r="AV9" s="454"/>
      <c r="AW9" s="454"/>
      <c r="AX9" s="454"/>
      <c r="AY9" s="476"/>
      <c r="AZ9" s="475" t="str">
        <f>Calcu!X9</f>
        <v/>
      </c>
      <c r="BA9" s="454"/>
      <c r="BB9" s="454"/>
      <c r="BC9" s="454"/>
      <c r="BD9" s="476"/>
    </row>
    <row r="10" spans="1:56" ht="18.75" customHeight="1">
      <c r="A10" s="211"/>
      <c r="B10" s="502" t="str">
        <f>Calcu!C10</f>
        <v/>
      </c>
      <c r="C10" s="503"/>
      <c r="D10" s="503"/>
      <c r="E10" s="503"/>
      <c r="F10" s="504"/>
      <c r="G10" s="475" t="str">
        <f>Calcu!E10</f>
        <v/>
      </c>
      <c r="H10" s="454"/>
      <c r="I10" s="454"/>
      <c r="J10" s="454"/>
      <c r="K10" s="476"/>
      <c r="L10" s="475" t="str">
        <f>Calcu!F10</f>
        <v/>
      </c>
      <c r="M10" s="454"/>
      <c r="N10" s="454"/>
      <c r="O10" s="454"/>
      <c r="P10" s="476"/>
      <c r="Q10" s="475" t="str">
        <f>Calcu!G10</f>
        <v/>
      </c>
      <c r="R10" s="454"/>
      <c r="S10" s="454"/>
      <c r="T10" s="454"/>
      <c r="U10" s="476"/>
      <c r="V10" s="475" t="str">
        <f>Calcu!H10</f>
        <v/>
      </c>
      <c r="W10" s="454"/>
      <c r="X10" s="454"/>
      <c r="Y10" s="454"/>
      <c r="Z10" s="476"/>
      <c r="AA10" s="475" t="str">
        <f>Calcu!I10</f>
        <v/>
      </c>
      <c r="AB10" s="454"/>
      <c r="AC10" s="454"/>
      <c r="AD10" s="454"/>
      <c r="AE10" s="476"/>
      <c r="AF10" s="475" t="str">
        <f>Calcu!J10</f>
        <v/>
      </c>
      <c r="AG10" s="454"/>
      <c r="AH10" s="454"/>
      <c r="AI10" s="454"/>
      <c r="AJ10" s="476"/>
      <c r="AK10" s="516" t="str">
        <f>Calcu!N10</f>
        <v/>
      </c>
      <c r="AL10" s="517"/>
      <c r="AM10" s="517"/>
      <c r="AN10" s="517"/>
      <c r="AO10" s="518"/>
      <c r="AP10" s="475" t="str">
        <f>Calcu!O10</f>
        <v/>
      </c>
      <c r="AQ10" s="454"/>
      <c r="AR10" s="454"/>
      <c r="AS10" s="454"/>
      <c r="AT10" s="476"/>
      <c r="AU10" s="475" t="str">
        <f>Calcu!W10</f>
        <v/>
      </c>
      <c r="AV10" s="454"/>
      <c r="AW10" s="454"/>
      <c r="AX10" s="454"/>
      <c r="AY10" s="476"/>
      <c r="AZ10" s="475" t="str">
        <f>Calcu!X10</f>
        <v/>
      </c>
      <c r="BA10" s="454"/>
      <c r="BB10" s="454"/>
      <c r="BC10" s="454"/>
      <c r="BD10" s="476"/>
    </row>
    <row r="11" spans="1:56" ht="18.75" customHeight="1">
      <c r="A11" s="211"/>
      <c r="B11" s="502" t="str">
        <f>Calcu!C11</f>
        <v/>
      </c>
      <c r="C11" s="503"/>
      <c r="D11" s="503"/>
      <c r="E11" s="503"/>
      <c r="F11" s="504"/>
      <c r="G11" s="475" t="str">
        <f>Calcu!E11</f>
        <v/>
      </c>
      <c r="H11" s="454"/>
      <c r="I11" s="454"/>
      <c r="J11" s="454"/>
      <c r="K11" s="476"/>
      <c r="L11" s="475" t="str">
        <f>Calcu!F11</f>
        <v/>
      </c>
      <c r="M11" s="454"/>
      <c r="N11" s="454"/>
      <c r="O11" s="454"/>
      <c r="P11" s="476"/>
      <c r="Q11" s="475" t="str">
        <f>Calcu!G11</f>
        <v/>
      </c>
      <c r="R11" s="454"/>
      <c r="S11" s="454"/>
      <c r="T11" s="454"/>
      <c r="U11" s="476"/>
      <c r="V11" s="475" t="str">
        <f>Calcu!H11</f>
        <v/>
      </c>
      <c r="W11" s="454"/>
      <c r="X11" s="454"/>
      <c r="Y11" s="454"/>
      <c r="Z11" s="476"/>
      <c r="AA11" s="475" t="str">
        <f>Calcu!I11</f>
        <v/>
      </c>
      <c r="AB11" s="454"/>
      <c r="AC11" s="454"/>
      <c r="AD11" s="454"/>
      <c r="AE11" s="476"/>
      <c r="AF11" s="475" t="str">
        <f>Calcu!J11</f>
        <v/>
      </c>
      <c r="AG11" s="454"/>
      <c r="AH11" s="454"/>
      <c r="AI11" s="454"/>
      <c r="AJ11" s="476"/>
      <c r="AK11" s="516" t="str">
        <f>Calcu!N11</f>
        <v/>
      </c>
      <c r="AL11" s="517"/>
      <c r="AM11" s="517"/>
      <c r="AN11" s="517"/>
      <c r="AO11" s="518"/>
      <c r="AP11" s="475" t="str">
        <f>Calcu!O11</f>
        <v/>
      </c>
      <c r="AQ11" s="454"/>
      <c r="AR11" s="454"/>
      <c r="AS11" s="454"/>
      <c r="AT11" s="476"/>
      <c r="AU11" s="475" t="str">
        <f>Calcu!W11</f>
        <v/>
      </c>
      <c r="AV11" s="454"/>
      <c r="AW11" s="454"/>
      <c r="AX11" s="454"/>
      <c r="AY11" s="476"/>
      <c r="AZ11" s="475" t="str">
        <f>Calcu!X11</f>
        <v/>
      </c>
      <c r="BA11" s="454"/>
      <c r="BB11" s="454"/>
      <c r="BC11" s="454"/>
      <c r="BD11" s="476"/>
    </row>
    <row r="12" spans="1:56" ht="18.75" customHeight="1">
      <c r="A12" s="211"/>
      <c r="B12" s="502" t="str">
        <f>Calcu!C12</f>
        <v/>
      </c>
      <c r="C12" s="503"/>
      <c r="D12" s="503"/>
      <c r="E12" s="503"/>
      <c r="F12" s="504"/>
      <c r="G12" s="475" t="str">
        <f>Calcu!E12</f>
        <v/>
      </c>
      <c r="H12" s="454"/>
      <c r="I12" s="454"/>
      <c r="J12" s="454"/>
      <c r="K12" s="476"/>
      <c r="L12" s="475" t="str">
        <f>Calcu!F12</f>
        <v/>
      </c>
      <c r="M12" s="454"/>
      <c r="N12" s="454"/>
      <c r="O12" s="454"/>
      <c r="P12" s="476"/>
      <c r="Q12" s="475" t="str">
        <f>Calcu!G12</f>
        <v/>
      </c>
      <c r="R12" s="454"/>
      <c r="S12" s="454"/>
      <c r="T12" s="454"/>
      <c r="U12" s="476"/>
      <c r="V12" s="475" t="str">
        <f>Calcu!H12</f>
        <v/>
      </c>
      <c r="W12" s="454"/>
      <c r="X12" s="454"/>
      <c r="Y12" s="454"/>
      <c r="Z12" s="476"/>
      <c r="AA12" s="475" t="str">
        <f>Calcu!I12</f>
        <v/>
      </c>
      <c r="AB12" s="454"/>
      <c r="AC12" s="454"/>
      <c r="AD12" s="454"/>
      <c r="AE12" s="476"/>
      <c r="AF12" s="475" t="str">
        <f>Calcu!J12</f>
        <v/>
      </c>
      <c r="AG12" s="454"/>
      <c r="AH12" s="454"/>
      <c r="AI12" s="454"/>
      <c r="AJ12" s="476"/>
      <c r="AK12" s="516" t="str">
        <f>Calcu!N12</f>
        <v/>
      </c>
      <c r="AL12" s="517"/>
      <c r="AM12" s="517"/>
      <c r="AN12" s="517"/>
      <c r="AO12" s="518"/>
      <c r="AP12" s="475" t="str">
        <f>Calcu!O12</f>
        <v/>
      </c>
      <c r="AQ12" s="454"/>
      <c r="AR12" s="454"/>
      <c r="AS12" s="454"/>
      <c r="AT12" s="476"/>
      <c r="AU12" s="475" t="str">
        <f>Calcu!W12</f>
        <v/>
      </c>
      <c r="AV12" s="454"/>
      <c r="AW12" s="454"/>
      <c r="AX12" s="454"/>
      <c r="AY12" s="476"/>
      <c r="AZ12" s="475" t="str">
        <f>Calcu!X12</f>
        <v/>
      </c>
      <c r="BA12" s="454"/>
      <c r="BB12" s="454"/>
      <c r="BC12" s="454"/>
      <c r="BD12" s="476"/>
    </row>
    <row r="13" spans="1:56" ht="18.75" customHeight="1">
      <c r="A13" s="211"/>
      <c r="B13" s="502" t="str">
        <f>Calcu!C13</f>
        <v/>
      </c>
      <c r="C13" s="503"/>
      <c r="D13" s="503"/>
      <c r="E13" s="503"/>
      <c r="F13" s="504"/>
      <c r="G13" s="475" t="str">
        <f>Calcu!E13</f>
        <v/>
      </c>
      <c r="H13" s="454"/>
      <c r="I13" s="454"/>
      <c r="J13" s="454"/>
      <c r="K13" s="476"/>
      <c r="L13" s="475" t="str">
        <f>Calcu!F13</f>
        <v/>
      </c>
      <c r="M13" s="454"/>
      <c r="N13" s="454"/>
      <c r="O13" s="454"/>
      <c r="P13" s="476"/>
      <c r="Q13" s="475" t="str">
        <f>Calcu!G13</f>
        <v/>
      </c>
      <c r="R13" s="454"/>
      <c r="S13" s="454"/>
      <c r="T13" s="454"/>
      <c r="U13" s="476"/>
      <c r="V13" s="475" t="str">
        <f>Calcu!H13</f>
        <v/>
      </c>
      <c r="W13" s="454"/>
      <c r="X13" s="454"/>
      <c r="Y13" s="454"/>
      <c r="Z13" s="476"/>
      <c r="AA13" s="475" t="str">
        <f>Calcu!I13</f>
        <v/>
      </c>
      <c r="AB13" s="454"/>
      <c r="AC13" s="454"/>
      <c r="AD13" s="454"/>
      <c r="AE13" s="476"/>
      <c r="AF13" s="475" t="str">
        <f>Calcu!J13</f>
        <v/>
      </c>
      <c r="AG13" s="454"/>
      <c r="AH13" s="454"/>
      <c r="AI13" s="454"/>
      <c r="AJ13" s="476"/>
      <c r="AK13" s="516" t="str">
        <f>Calcu!N13</f>
        <v/>
      </c>
      <c r="AL13" s="517"/>
      <c r="AM13" s="517"/>
      <c r="AN13" s="517"/>
      <c r="AO13" s="518"/>
      <c r="AP13" s="475" t="str">
        <f>Calcu!O13</f>
        <v/>
      </c>
      <c r="AQ13" s="454"/>
      <c r="AR13" s="454"/>
      <c r="AS13" s="454"/>
      <c r="AT13" s="476"/>
      <c r="AU13" s="475" t="str">
        <f>Calcu!W13</f>
        <v/>
      </c>
      <c r="AV13" s="454"/>
      <c r="AW13" s="454"/>
      <c r="AX13" s="454"/>
      <c r="AY13" s="476"/>
      <c r="AZ13" s="475" t="str">
        <f>Calcu!X13</f>
        <v/>
      </c>
      <c r="BA13" s="454"/>
      <c r="BB13" s="454"/>
      <c r="BC13" s="454"/>
      <c r="BD13" s="476"/>
    </row>
    <row r="14" spans="1:56" ht="18.75" customHeight="1">
      <c r="A14" s="211"/>
      <c r="B14" s="502" t="str">
        <f>Calcu!C14</f>
        <v/>
      </c>
      <c r="C14" s="503"/>
      <c r="D14" s="503"/>
      <c r="E14" s="503"/>
      <c r="F14" s="504"/>
      <c r="G14" s="475" t="str">
        <f>Calcu!E14</f>
        <v/>
      </c>
      <c r="H14" s="454"/>
      <c r="I14" s="454"/>
      <c r="J14" s="454"/>
      <c r="K14" s="476"/>
      <c r="L14" s="475" t="str">
        <f>Calcu!F14</f>
        <v/>
      </c>
      <c r="M14" s="454"/>
      <c r="N14" s="454"/>
      <c r="O14" s="454"/>
      <c r="P14" s="476"/>
      <c r="Q14" s="475" t="str">
        <f>Calcu!G14</f>
        <v/>
      </c>
      <c r="R14" s="454"/>
      <c r="S14" s="454"/>
      <c r="T14" s="454"/>
      <c r="U14" s="476"/>
      <c r="V14" s="475" t="str">
        <f>Calcu!H14</f>
        <v/>
      </c>
      <c r="W14" s="454"/>
      <c r="X14" s="454"/>
      <c r="Y14" s="454"/>
      <c r="Z14" s="476"/>
      <c r="AA14" s="475" t="str">
        <f>Calcu!I14</f>
        <v/>
      </c>
      <c r="AB14" s="454"/>
      <c r="AC14" s="454"/>
      <c r="AD14" s="454"/>
      <c r="AE14" s="476"/>
      <c r="AF14" s="475" t="str">
        <f>Calcu!J14</f>
        <v/>
      </c>
      <c r="AG14" s="454"/>
      <c r="AH14" s="454"/>
      <c r="AI14" s="454"/>
      <c r="AJ14" s="476"/>
      <c r="AK14" s="516" t="str">
        <f>Calcu!N14</f>
        <v/>
      </c>
      <c r="AL14" s="517"/>
      <c r="AM14" s="517"/>
      <c r="AN14" s="517"/>
      <c r="AO14" s="518"/>
      <c r="AP14" s="475" t="str">
        <f>Calcu!O14</f>
        <v/>
      </c>
      <c r="AQ14" s="454"/>
      <c r="AR14" s="454"/>
      <c r="AS14" s="454"/>
      <c r="AT14" s="476"/>
      <c r="AU14" s="475" t="str">
        <f>Calcu!W14</f>
        <v/>
      </c>
      <c r="AV14" s="454"/>
      <c r="AW14" s="454"/>
      <c r="AX14" s="454"/>
      <c r="AY14" s="476"/>
      <c r="AZ14" s="475" t="str">
        <f>Calcu!X14</f>
        <v/>
      </c>
      <c r="BA14" s="454"/>
      <c r="BB14" s="454"/>
      <c r="BC14" s="454"/>
      <c r="BD14" s="476"/>
    </row>
    <row r="15" spans="1:56" ht="18.75" customHeight="1">
      <c r="A15" s="211"/>
      <c r="B15" s="502" t="str">
        <f>Calcu!C15</f>
        <v/>
      </c>
      <c r="C15" s="503"/>
      <c r="D15" s="503"/>
      <c r="E15" s="503"/>
      <c r="F15" s="504"/>
      <c r="G15" s="475" t="str">
        <f>Calcu!E15</f>
        <v/>
      </c>
      <c r="H15" s="454"/>
      <c r="I15" s="454"/>
      <c r="J15" s="454"/>
      <c r="K15" s="476"/>
      <c r="L15" s="475" t="str">
        <f>Calcu!F15</f>
        <v/>
      </c>
      <c r="M15" s="454"/>
      <c r="N15" s="454"/>
      <c r="O15" s="454"/>
      <c r="P15" s="476"/>
      <c r="Q15" s="475" t="str">
        <f>Calcu!G15</f>
        <v/>
      </c>
      <c r="R15" s="454"/>
      <c r="S15" s="454"/>
      <c r="T15" s="454"/>
      <c r="U15" s="476"/>
      <c r="V15" s="475" t="str">
        <f>Calcu!H15</f>
        <v/>
      </c>
      <c r="W15" s="454"/>
      <c r="X15" s="454"/>
      <c r="Y15" s="454"/>
      <c r="Z15" s="476"/>
      <c r="AA15" s="475" t="str">
        <f>Calcu!I15</f>
        <v/>
      </c>
      <c r="AB15" s="454"/>
      <c r="AC15" s="454"/>
      <c r="AD15" s="454"/>
      <c r="AE15" s="476"/>
      <c r="AF15" s="475" t="str">
        <f>Calcu!J15</f>
        <v/>
      </c>
      <c r="AG15" s="454"/>
      <c r="AH15" s="454"/>
      <c r="AI15" s="454"/>
      <c r="AJ15" s="476"/>
      <c r="AK15" s="516" t="str">
        <f>Calcu!N15</f>
        <v/>
      </c>
      <c r="AL15" s="517"/>
      <c r="AM15" s="517"/>
      <c r="AN15" s="517"/>
      <c r="AO15" s="518"/>
      <c r="AP15" s="475" t="str">
        <f>Calcu!O15</f>
        <v/>
      </c>
      <c r="AQ15" s="454"/>
      <c r="AR15" s="454"/>
      <c r="AS15" s="454"/>
      <c r="AT15" s="476"/>
      <c r="AU15" s="475" t="str">
        <f>Calcu!W15</f>
        <v/>
      </c>
      <c r="AV15" s="454"/>
      <c r="AW15" s="454"/>
      <c r="AX15" s="454"/>
      <c r="AY15" s="476"/>
      <c r="AZ15" s="475" t="str">
        <f>Calcu!X15</f>
        <v/>
      </c>
      <c r="BA15" s="454"/>
      <c r="BB15" s="454"/>
      <c r="BC15" s="454"/>
      <c r="BD15" s="476"/>
    </row>
    <row r="16" spans="1:56" ht="18.75" customHeight="1">
      <c r="A16" s="211"/>
      <c r="B16" s="502" t="str">
        <f>Calcu!C16</f>
        <v/>
      </c>
      <c r="C16" s="503"/>
      <c r="D16" s="503"/>
      <c r="E16" s="503"/>
      <c r="F16" s="504"/>
      <c r="G16" s="475" t="str">
        <f>Calcu!E16</f>
        <v/>
      </c>
      <c r="H16" s="454"/>
      <c r="I16" s="454"/>
      <c r="J16" s="454"/>
      <c r="K16" s="476"/>
      <c r="L16" s="475" t="str">
        <f>Calcu!F16</f>
        <v/>
      </c>
      <c r="M16" s="454"/>
      <c r="N16" s="454"/>
      <c r="O16" s="454"/>
      <c r="P16" s="476"/>
      <c r="Q16" s="475" t="str">
        <f>Calcu!G16</f>
        <v/>
      </c>
      <c r="R16" s="454"/>
      <c r="S16" s="454"/>
      <c r="T16" s="454"/>
      <c r="U16" s="476"/>
      <c r="V16" s="475" t="str">
        <f>Calcu!H16</f>
        <v/>
      </c>
      <c r="W16" s="454"/>
      <c r="X16" s="454"/>
      <c r="Y16" s="454"/>
      <c r="Z16" s="476"/>
      <c r="AA16" s="475" t="str">
        <f>Calcu!I16</f>
        <v/>
      </c>
      <c r="AB16" s="454"/>
      <c r="AC16" s="454"/>
      <c r="AD16" s="454"/>
      <c r="AE16" s="476"/>
      <c r="AF16" s="475" t="str">
        <f>Calcu!J16</f>
        <v/>
      </c>
      <c r="AG16" s="454"/>
      <c r="AH16" s="454"/>
      <c r="AI16" s="454"/>
      <c r="AJ16" s="476"/>
      <c r="AK16" s="516" t="str">
        <f>Calcu!N16</f>
        <v/>
      </c>
      <c r="AL16" s="517"/>
      <c r="AM16" s="517"/>
      <c r="AN16" s="517"/>
      <c r="AO16" s="518"/>
      <c r="AP16" s="475" t="str">
        <f>Calcu!O16</f>
        <v/>
      </c>
      <c r="AQ16" s="454"/>
      <c r="AR16" s="454"/>
      <c r="AS16" s="454"/>
      <c r="AT16" s="476"/>
      <c r="AU16" s="475" t="str">
        <f>Calcu!W16</f>
        <v/>
      </c>
      <c r="AV16" s="454"/>
      <c r="AW16" s="454"/>
      <c r="AX16" s="454"/>
      <c r="AY16" s="476"/>
      <c r="AZ16" s="475" t="str">
        <f>Calcu!X16</f>
        <v/>
      </c>
      <c r="BA16" s="454"/>
      <c r="BB16" s="454"/>
      <c r="BC16" s="454"/>
      <c r="BD16" s="476"/>
    </row>
    <row r="17" spans="1:56" ht="18.75" customHeight="1">
      <c r="A17" s="211"/>
      <c r="B17" s="502" t="str">
        <f>Calcu!C17</f>
        <v/>
      </c>
      <c r="C17" s="503"/>
      <c r="D17" s="503"/>
      <c r="E17" s="503"/>
      <c r="F17" s="504"/>
      <c r="G17" s="475" t="str">
        <f>Calcu!E17</f>
        <v/>
      </c>
      <c r="H17" s="454"/>
      <c r="I17" s="454"/>
      <c r="J17" s="454"/>
      <c r="K17" s="476"/>
      <c r="L17" s="475" t="str">
        <f>Calcu!F17</f>
        <v/>
      </c>
      <c r="M17" s="454"/>
      <c r="N17" s="454"/>
      <c r="O17" s="454"/>
      <c r="P17" s="476"/>
      <c r="Q17" s="475" t="str">
        <f>Calcu!G17</f>
        <v/>
      </c>
      <c r="R17" s="454"/>
      <c r="S17" s="454"/>
      <c r="T17" s="454"/>
      <c r="U17" s="476"/>
      <c r="V17" s="475" t="str">
        <f>Calcu!H17</f>
        <v/>
      </c>
      <c r="W17" s="454"/>
      <c r="X17" s="454"/>
      <c r="Y17" s="454"/>
      <c r="Z17" s="476"/>
      <c r="AA17" s="475" t="str">
        <f>Calcu!I17</f>
        <v/>
      </c>
      <c r="AB17" s="454"/>
      <c r="AC17" s="454"/>
      <c r="AD17" s="454"/>
      <c r="AE17" s="476"/>
      <c r="AF17" s="475" t="str">
        <f>Calcu!J17</f>
        <v/>
      </c>
      <c r="AG17" s="454"/>
      <c r="AH17" s="454"/>
      <c r="AI17" s="454"/>
      <c r="AJ17" s="476"/>
      <c r="AK17" s="516" t="str">
        <f>Calcu!N17</f>
        <v/>
      </c>
      <c r="AL17" s="517"/>
      <c r="AM17" s="517"/>
      <c r="AN17" s="517"/>
      <c r="AO17" s="518"/>
      <c r="AP17" s="475" t="str">
        <f>Calcu!O17</f>
        <v/>
      </c>
      <c r="AQ17" s="454"/>
      <c r="AR17" s="454"/>
      <c r="AS17" s="454"/>
      <c r="AT17" s="476"/>
      <c r="AU17" s="475" t="str">
        <f>Calcu!W17</f>
        <v/>
      </c>
      <c r="AV17" s="454"/>
      <c r="AW17" s="454"/>
      <c r="AX17" s="454"/>
      <c r="AY17" s="476"/>
      <c r="AZ17" s="475" t="str">
        <f>Calcu!X17</f>
        <v/>
      </c>
      <c r="BA17" s="454"/>
      <c r="BB17" s="454"/>
      <c r="BC17" s="454"/>
      <c r="BD17" s="476"/>
    </row>
    <row r="18" spans="1:56" ht="18.75" customHeight="1">
      <c r="A18" s="211"/>
      <c r="B18" s="502" t="str">
        <f>Calcu!C18</f>
        <v/>
      </c>
      <c r="C18" s="503"/>
      <c r="D18" s="503"/>
      <c r="E18" s="503"/>
      <c r="F18" s="504"/>
      <c r="G18" s="475" t="str">
        <f>Calcu!E18</f>
        <v/>
      </c>
      <c r="H18" s="454"/>
      <c r="I18" s="454"/>
      <c r="J18" s="454"/>
      <c r="K18" s="476"/>
      <c r="L18" s="475" t="str">
        <f>Calcu!F18</f>
        <v/>
      </c>
      <c r="M18" s="454"/>
      <c r="N18" s="454"/>
      <c r="O18" s="454"/>
      <c r="P18" s="476"/>
      <c r="Q18" s="475" t="str">
        <f>Calcu!G18</f>
        <v/>
      </c>
      <c r="R18" s="454"/>
      <c r="S18" s="454"/>
      <c r="T18" s="454"/>
      <c r="U18" s="476"/>
      <c r="V18" s="475" t="str">
        <f>Calcu!H18</f>
        <v/>
      </c>
      <c r="W18" s="454"/>
      <c r="X18" s="454"/>
      <c r="Y18" s="454"/>
      <c r="Z18" s="476"/>
      <c r="AA18" s="475" t="str">
        <f>Calcu!I18</f>
        <v/>
      </c>
      <c r="AB18" s="454"/>
      <c r="AC18" s="454"/>
      <c r="AD18" s="454"/>
      <c r="AE18" s="476"/>
      <c r="AF18" s="475" t="str">
        <f>Calcu!J18</f>
        <v/>
      </c>
      <c r="AG18" s="454"/>
      <c r="AH18" s="454"/>
      <c r="AI18" s="454"/>
      <c r="AJ18" s="476"/>
      <c r="AK18" s="516" t="str">
        <f>Calcu!N18</f>
        <v/>
      </c>
      <c r="AL18" s="517"/>
      <c r="AM18" s="517"/>
      <c r="AN18" s="517"/>
      <c r="AO18" s="518"/>
      <c r="AP18" s="475" t="str">
        <f>Calcu!O18</f>
        <v/>
      </c>
      <c r="AQ18" s="454"/>
      <c r="AR18" s="454"/>
      <c r="AS18" s="454"/>
      <c r="AT18" s="476"/>
      <c r="AU18" s="475" t="str">
        <f>Calcu!W18</f>
        <v/>
      </c>
      <c r="AV18" s="454"/>
      <c r="AW18" s="454"/>
      <c r="AX18" s="454"/>
      <c r="AY18" s="476"/>
      <c r="AZ18" s="475" t="str">
        <f>Calcu!X18</f>
        <v/>
      </c>
      <c r="BA18" s="454"/>
      <c r="BB18" s="454"/>
      <c r="BC18" s="454"/>
      <c r="BD18" s="476"/>
    </row>
    <row r="19" spans="1:56" ht="18.75" customHeight="1">
      <c r="A19" s="211"/>
      <c r="B19" s="502" t="str">
        <f>Calcu!C19</f>
        <v/>
      </c>
      <c r="C19" s="503"/>
      <c r="D19" s="503"/>
      <c r="E19" s="503"/>
      <c r="F19" s="504"/>
      <c r="G19" s="475" t="str">
        <f>Calcu!E19</f>
        <v/>
      </c>
      <c r="H19" s="454"/>
      <c r="I19" s="454"/>
      <c r="J19" s="454"/>
      <c r="K19" s="476"/>
      <c r="L19" s="475" t="str">
        <f>Calcu!F19</f>
        <v/>
      </c>
      <c r="M19" s="454"/>
      <c r="N19" s="454"/>
      <c r="O19" s="454"/>
      <c r="P19" s="476"/>
      <c r="Q19" s="475" t="str">
        <f>Calcu!G19</f>
        <v/>
      </c>
      <c r="R19" s="454"/>
      <c r="S19" s="454"/>
      <c r="T19" s="454"/>
      <c r="U19" s="476"/>
      <c r="V19" s="475" t="str">
        <f>Calcu!H19</f>
        <v/>
      </c>
      <c r="W19" s="454"/>
      <c r="X19" s="454"/>
      <c r="Y19" s="454"/>
      <c r="Z19" s="476"/>
      <c r="AA19" s="475" t="str">
        <f>Calcu!I19</f>
        <v/>
      </c>
      <c r="AB19" s="454"/>
      <c r="AC19" s="454"/>
      <c r="AD19" s="454"/>
      <c r="AE19" s="476"/>
      <c r="AF19" s="475" t="str">
        <f>Calcu!J19</f>
        <v/>
      </c>
      <c r="AG19" s="454"/>
      <c r="AH19" s="454"/>
      <c r="AI19" s="454"/>
      <c r="AJ19" s="476"/>
      <c r="AK19" s="516" t="str">
        <f>Calcu!N19</f>
        <v/>
      </c>
      <c r="AL19" s="517"/>
      <c r="AM19" s="517"/>
      <c r="AN19" s="517"/>
      <c r="AO19" s="518"/>
      <c r="AP19" s="475" t="str">
        <f>Calcu!O19</f>
        <v/>
      </c>
      <c r="AQ19" s="454"/>
      <c r="AR19" s="454"/>
      <c r="AS19" s="454"/>
      <c r="AT19" s="476"/>
      <c r="AU19" s="475" t="str">
        <f>Calcu!W19</f>
        <v/>
      </c>
      <c r="AV19" s="454"/>
      <c r="AW19" s="454"/>
      <c r="AX19" s="454"/>
      <c r="AY19" s="476"/>
      <c r="AZ19" s="475" t="str">
        <f>Calcu!X19</f>
        <v/>
      </c>
      <c r="BA19" s="454"/>
      <c r="BB19" s="454"/>
      <c r="BC19" s="454"/>
      <c r="BD19" s="476"/>
    </row>
    <row r="20" spans="1:56" ht="18.75" customHeight="1">
      <c r="A20" s="211"/>
      <c r="B20" s="502" t="str">
        <f>Calcu!C20</f>
        <v/>
      </c>
      <c r="C20" s="503"/>
      <c r="D20" s="503"/>
      <c r="E20" s="503"/>
      <c r="F20" s="504"/>
      <c r="G20" s="475" t="str">
        <f>Calcu!E20</f>
        <v/>
      </c>
      <c r="H20" s="454"/>
      <c r="I20" s="454"/>
      <c r="J20" s="454"/>
      <c r="K20" s="476"/>
      <c r="L20" s="475" t="str">
        <f>Calcu!F20</f>
        <v/>
      </c>
      <c r="M20" s="454"/>
      <c r="N20" s="454"/>
      <c r="O20" s="454"/>
      <c r="P20" s="476"/>
      <c r="Q20" s="475" t="str">
        <f>Calcu!G20</f>
        <v/>
      </c>
      <c r="R20" s="454"/>
      <c r="S20" s="454"/>
      <c r="T20" s="454"/>
      <c r="U20" s="476"/>
      <c r="V20" s="475" t="str">
        <f>Calcu!H20</f>
        <v/>
      </c>
      <c r="W20" s="454"/>
      <c r="X20" s="454"/>
      <c r="Y20" s="454"/>
      <c r="Z20" s="476"/>
      <c r="AA20" s="475" t="str">
        <f>Calcu!I20</f>
        <v/>
      </c>
      <c r="AB20" s="454"/>
      <c r="AC20" s="454"/>
      <c r="AD20" s="454"/>
      <c r="AE20" s="476"/>
      <c r="AF20" s="475" t="str">
        <f>Calcu!J20</f>
        <v/>
      </c>
      <c r="AG20" s="454"/>
      <c r="AH20" s="454"/>
      <c r="AI20" s="454"/>
      <c r="AJ20" s="476"/>
      <c r="AK20" s="516" t="str">
        <f>Calcu!N20</f>
        <v/>
      </c>
      <c r="AL20" s="517"/>
      <c r="AM20" s="517"/>
      <c r="AN20" s="517"/>
      <c r="AO20" s="518"/>
      <c r="AP20" s="475" t="str">
        <f>Calcu!O20</f>
        <v/>
      </c>
      <c r="AQ20" s="454"/>
      <c r="AR20" s="454"/>
      <c r="AS20" s="454"/>
      <c r="AT20" s="476"/>
      <c r="AU20" s="475" t="str">
        <f>Calcu!W20</f>
        <v/>
      </c>
      <c r="AV20" s="454"/>
      <c r="AW20" s="454"/>
      <c r="AX20" s="454"/>
      <c r="AY20" s="476"/>
      <c r="AZ20" s="475" t="str">
        <f>Calcu!X20</f>
        <v/>
      </c>
      <c r="BA20" s="454"/>
      <c r="BB20" s="454"/>
      <c r="BC20" s="454"/>
      <c r="BD20" s="476"/>
    </row>
    <row r="21" spans="1:56" ht="18.75" customHeight="1">
      <c r="A21" s="211"/>
      <c r="B21" s="502" t="str">
        <f>Calcu!C21</f>
        <v/>
      </c>
      <c r="C21" s="503"/>
      <c r="D21" s="503"/>
      <c r="E21" s="503"/>
      <c r="F21" s="504"/>
      <c r="G21" s="475" t="str">
        <f>Calcu!E21</f>
        <v/>
      </c>
      <c r="H21" s="454"/>
      <c r="I21" s="454"/>
      <c r="J21" s="454"/>
      <c r="K21" s="476"/>
      <c r="L21" s="475" t="str">
        <f>Calcu!F21</f>
        <v/>
      </c>
      <c r="M21" s="454"/>
      <c r="N21" s="454"/>
      <c r="O21" s="454"/>
      <c r="P21" s="476"/>
      <c r="Q21" s="475" t="str">
        <f>Calcu!G21</f>
        <v/>
      </c>
      <c r="R21" s="454"/>
      <c r="S21" s="454"/>
      <c r="T21" s="454"/>
      <c r="U21" s="476"/>
      <c r="V21" s="475" t="str">
        <f>Calcu!H21</f>
        <v/>
      </c>
      <c r="W21" s="454"/>
      <c r="X21" s="454"/>
      <c r="Y21" s="454"/>
      <c r="Z21" s="476"/>
      <c r="AA21" s="475" t="str">
        <f>Calcu!I21</f>
        <v/>
      </c>
      <c r="AB21" s="454"/>
      <c r="AC21" s="454"/>
      <c r="AD21" s="454"/>
      <c r="AE21" s="476"/>
      <c r="AF21" s="475" t="str">
        <f>Calcu!J21</f>
        <v/>
      </c>
      <c r="AG21" s="454"/>
      <c r="AH21" s="454"/>
      <c r="AI21" s="454"/>
      <c r="AJ21" s="476"/>
      <c r="AK21" s="516" t="str">
        <f>Calcu!N21</f>
        <v/>
      </c>
      <c r="AL21" s="517"/>
      <c r="AM21" s="517"/>
      <c r="AN21" s="517"/>
      <c r="AO21" s="518"/>
      <c r="AP21" s="475" t="str">
        <f>Calcu!O21</f>
        <v/>
      </c>
      <c r="AQ21" s="454"/>
      <c r="AR21" s="454"/>
      <c r="AS21" s="454"/>
      <c r="AT21" s="476"/>
      <c r="AU21" s="475" t="str">
        <f>Calcu!W21</f>
        <v/>
      </c>
      <c r="AV21" s="454"/>
      <c r="AW21" s="454"/>
      <c r="AX21" s="454"/>
      <c r="AY21" s="476"/>
      <c r="AZ21" s="475" t="str">
        <f>Calcu!X21</f>
        <v/>
      </c>
      <c r="BA21" s="454"/>
      <c r="BB21" s="454"/>
      <c r="BC21" s="454"/>
      <c r="BD21" s="476"/>
    </row>
    <row r="22" spans="1:56" ht="18.75" customHeight="1">
      <c r="A22" s="211"/>
      <c r="B22" s="502" t="str">
        <f>Calcu!C22</f>
        <v/>
      </c>
      <c r="C22" s="503"/>
      <c r="D22" s="503"/>
      <c r="E22" s="503"/>
      <c r="F22" s="504"/>
      <c r="G22" s="475" t="str">
        <f>Calcu!E22</f>
        <v/>
      </c>
      <c r="H22" s="454"/>
      <c r="I22" s="454"/>
      <c r="J22" s="454"/>
      <c r="K22" s="476"/>
      <c r="L22" s="475" t="str">
        <f>Calcu!F22</f>
        <v/>
      </c>
      <c r="M22" s="454"/>
      <c r="N22" s="454"/>
      <c r="O22" s="454"/>
      <c r="P22" s="476"/>
      <c r="Q22" s="475" t="str">
        <f>Calcu!G22</f>
        <v/>
      </c>
      <c r="R22" s="454"/>
      <c r="S22" s="454"/>
      <c r="T22" s="454"/>
      <c r="U22" s="476"/>
      <c r="V22" s="475" t="str">
        <f>Calcu!H22</f>
        <v/>
      </c>
      <c r="W22" s="454"/>
      <c r="X22" s="454"/>
      <c r="Y22" s="454"/>
      <c r="Z22" s="476"/>
      <c r="AA22" s="475" t="str">
        <f>Calcu!I22</f>
        <v/>
      </c>
      <c r="AB22" s="454"/>
      <c r="AC22" s="454"/>
      <c r="AD22" s="454"/>
      <c r="AE22" s="476"/>
      <c r="AF22" s="475" t="str">
        <f>Calcu!J22</f>
        <v/>
      </c>
      <c r="AG22" s="454"/>
      <c r="AH22" s="454"/>
      <c r="AI22" s="454"/>
      <c r="AJ22" s="476"/>
      <c r="AK22" s="516" t="str">
        <f>Calcu!N22</f>
        <v/>
      </c>
      <c r="AL22" s="517"/>
      <c r="AM22" s="517"/>
      <c r="AN22" s="517"/>
      <c r="AO22" s="518"/>
      <c r="AP22" s="475" t="str">
        <f>Calcu!O22</f>
        <v/>
      </c>
      <c r="AQ22" s="454"/>
      <c r="AR22" s="454"/>
      <c r="AS22" s="454"/>
      <c r="AT22" s="476"/>
      <c r="AU22" s="475" t="str">
        <f>Calcu!W22</f>
        <v/>
      </c>
      <c r="AV22" s="454"/>
      <c r="AW22" s="454"/>
      <c r="AX22" s="454"/>
      <c r="AY22" s="476"/>
      <c r="AZ22" s="475" t="str">
        <f>Calcu!X22</f>
        <v/>
      </c>
      <c r="BA22" s="454"/>
      <c r="BB22" s="454"/>
      <c r="BC22" s="454"/>
      <c r="BD22" s="476"/>
    </row>
    <row r="23" spans="1:56" ht="18.75" customHeight="1">
      <c r="A23" s="211"/>
      <c r="B23" s="502" t="str">
        <f>Calcu!C23</f>
        <v/>
      </c>
      <c r="C23" s="503"/>
      <c r="D23" s="503"/>
      <c r="E23" s="503"/>
      <c r="F23" s="504"/>
      <c r="G23" s="475" t="str">
        <f>Calcu!E23</f>
        <v/>
      </c>
      <c r="H23" s="454"/>
      <c r="I23" s="454"/>
      <c r="J23" s="454"/>
      <c r="K23" s="476"/>
      <c r="L23" s="475" t="str">
        <f>Calcu!F23</f>
        <v/>
      </c>
      <c r="M23" s="454"/>
      <c r="N23" s="454"/>
      <c r="O23" s="454"/>
      <c r="P23" s="476"/>
      <c r="Q23" s="475" t="str">
        <f>Calcu!G23</f>
        <v/>
      </c>
      <c r="R23" s="454"/>
      <c r="S23" s="454"/>
      <c r="T23" s="454"/>
      <c r="U23" s="476"/>
      <c r="V23" s="475" t="str">
        <f>Calcu!H23</f>
        <v/>
      </c>
      <c r="W23" s="454"/>
      <c r="X23" s="454"/>
      <c r="Y23" s="454"/>
      <c r="Z23" s="476"/>
      <c r="AA23" s="475" t="str">
        <f>Calcu!I23</f>
        <v/>
      </c>
      <c r="AB23" s="454"/>
      <c r="AC23" s="454"/>
      <c r="AD23" s="454"/>
      <c r="AE23" s="476"/>
      <c r="AF23" s="475" t="str">
        <f>Calcu!J23</f>
        <v/>
      </c>
      <c r="AG23" s="454"/>
      <c r="AH23" s="454"/>
      <c r="AI23" s="454"/>
      <c r="AJ23" s="476"/>
      <c r="AK23" s="516" t="str">
        <f>Calcu!N23</f>
        <v/>
      </c>
      <c r="AL23" s="517"/>
      <c r="AM23" s="517"/>
      <c r="AN23" s="517"/>
      <c r="AO23" s="518"/>
      <c r="AP23" s="475" t="str">
        <f>Calcu!O23</f>
        <v/>
      </c>
      <c r="AQ23" s="454"/>
      <c r="AR23" s="454"/>
      <c r="AS23" s="454"/>
      <c r="AT23" s="476"/>
      <c r="AU23" s="475" t="str">
        <f>Calcu!W23</f>
        <v/>
      </c>
      <c r="AV23" s="454"/>
      <c r="AW23" s="454"/>
      <c r="AX23" s="454"/>
      <c r="AY23" s="476"/>
      <c r="AZ23" s="475" t="str">
        <f>Calcu!X23</f>
        <v/>
      </c>
      <c r="BA23" s="454"/>
      <c r="BB23" s="454"/>
      <c r="BC23" s="454"/>
      <c r="BD23" s="476"/>
    </row>
    <row r="24" spans="1:56" ht="18.75" customHeight="1">
      <c r="A24" s="211"/>
      <c r="B24" s="502" t="str">
        <f>Calcu!C24</f>
        <v/>
      </c>
      <c r="C24" s="503"/>
      <c r="D24" s="503"/>
      <c r="E24" s="503"/>
      <c r="F24" s="504"/>
      <c r="G24" s="475" t="str">
        <f>Calcu!E24</f>
        <v/>
      </c>
      <c r="H24" s="454"/>
      <c r="I24" s="454"/>
      <c r="J24" s="454"/>
      <c r="K24" s="476"/>
      <c r="L24" s="475" t="str">
        <f>Calcu!F24</f>
        <v/>
      </c>
      <c r="M24" s="454"/>
      <c r="N24" s="454"/>
      <c r="O24" s="454"/>
      <c r="P24" s="476"/>
      <c r="Q24" s="475" t="str">
        <f>Calcu!G24</f>
        <v/>
      </c>
      <c r="R24" s="454"/>
      <c r="S24" s="454"/>
      <c r="T24" s="454"/>
      <c r="U24" s="476"/>
      <c r="V24" s="475" t="str">
        <f>Calcu!H24</f>
        <v/>
      </c>
      <c r="W24" s="454"/>
      <c r="X24" s="454"/>
      <c r="Y24" s="454"/>
      <c r="Z24" s="476"/>
      <c r="AA24" s="475" t="str">
        <f>Calcu!I24</f>
        <v/>
      </c>
      <c r="AB24" s="454"/>
      <c r="AC24" s="454"/>
      <c r="AD24" s="454"/>
      <c r="AE24" s="476"/>
      <c r="AF24" s="475" t="str">
        <f>Calcu!J24</f>
        <v/>
      </c>
      <c r="AG24" s="454"/>
      <c r="AH24" s="454"/>
      <c r="AI24" s="454"/>
      <c r="AJ24" s="476"/>
      <c r="AK24" s="516" t="str">
        <f>Calcu!N24</f>
        <v/>
      </c>
      <c r="AL24" s="517"/>
      <c r="AM24" s="517"/>
      <c r="AN24" s="517"/>
      <c r="AO24" s="518"/>
      <c r="AP24" s="475" t="str">
        <f>Calcu!O24</f>
        <v/>
      </c>
      <c r="AQ24" s="454"/>
      <c r="AR24" s="454"/>
      <c r="AS24" s="454"/>
      <c r="AT24" s="476"/>
      <c r="AU24" s="475" t="str">
        <f>Calcu!W24</f>
        <v/>
      </c>
      <c r="AV24" s="454"/>
      <c r="AW24" s="454"/>
      <c r="AX24" s="454"/>
      <c r="AY24" s="476"/>
      <c r="AZ24" s="475" t="str">
        <f>Calcu!X24</f>
        <v/>
      </c>
      <c r="BA24" s="454"/>
      <c r="BB24" s="454"/>
      <c r="BC24" s="454"/>
      <c r="BD24" s="476"/>
    </row>
    <row r="25" spans="1:56" ht="18.75" customHeight="1">
      <c r="A25" s="211"/>
      <c r="B25" s="502" t="str">
        <f>Calcu!C25</f>
        <v/>
      </c>
      <c r="C25" s="503"/>
      <c r="D25" s="503"/>
      <c r="E25" s="503"/>
      <c r="F25" s="504"/>
      <c r="G25" s="475" t="str">
        <f>Calcu!E25</f>
        <v/>
      </c>
      <c r="H25" s="454"/>
      <c r="I25" s="454"/>
      <c r="J25" s="454"/>
      <c r="K25" s="476"/>
      <c r="L25" s="475" t="str">
        <f>Calcu!F25</f>
        <v/>
      </c>
      <c r="M25" s="454"/>
      <c r="N25" s="454"/>
      <c r="O25" s="454"/>
      <c r="P25" s="476"/>
      <c r="Q25" s="475" t="str">
        <f>Calcu!G25</f>
        <v/>
      </c>
      <c r="R25" s="454"/>
      <c r="S25" s="454"/>
      <c r="T25" s="454"/>
      <c r="U25" s="476"/>
      <c r="V25" s="475" t="str">
        <f>Calcu!H25</f>
        <v/>
      </c>
      <c r="W25" s="454"/>
      <c r="X25" s="454"/>
      <c r="Y25" s="454"/>
      <c r="Z25" s="476"/>
      <c r="AA25" s="475" t="str">
        <f>Calcu!I25</f>
        <v/>
      </c>
      <c r="AB25" s="454"/>
      <c r="AC25" s="454"/>
      <c r="AD25" s="454"/>
      <c r="AE25" s="476"/>
      <c r="AF25" s="475" t="str">
        <f>Calcu!J25</f>
        <v/>
      </c>
      <c r="AG25" s="454"/>
      <c r="AH25" s="454"/>
      <c r="AI25" s="454"/>
      <c r="AJ25" s="476"/>
      <c r="AK25" s="516" t="str">
        <f>Calcu!N25</f>
        <v/>
      </c>
      <c r="AL25" s="517"/>
      <c r="AM25" s="517"/>
      <c r="AN25" s="517"/>
      <c r="AO25" s="518"/>
      <c r="AP25" s="475" t="str">
        <f>Calcu!O25</f>
        <v/>
      </c>
      <c r="AQ25" s="454"/>
      <c r="AR25" s="454"/>
      <c r="AS25" s="454"/>
      <c r="AT25" s="476"/>
      <c r="AU25" s="475" t="str">
        <f>Calcu!W25</f>
        <v/>
      </c>
      <c r="AV25" s="454"/>
      <c r="AW25" s="454"/>
      <c r="AX25" s="454"/>
      <c r="AY25" s="476"/>
      <c r="AZ25" s="475" t="str">
        <f>Calcu!X25</f>
        <v/>
      </c>
      <c r="BA25" s="454"/>
      <c r="BB25" s="454"/>
      <c r="BC25" s="454"/>
      <c r="BD25" s="476"/>
    </row>
    <row r="26" spans="1:56" ht="18.75" customHeight="1">
      <c r="A26" s="211"/>
      <c r="B26" s="502" t="str">
        <f>Calcu!C26</f>
        <v/>
      </c>
      <c r="C26" s="503"/>
      <c r="D26" s="503"/>
      <c r="E26" s="503"/>
      <c r="F26" s="504"/>
      <c r="G26" s="475" t="str">
        <f>Calcu!E26</f>
        <v/>
      </c>
      <c r="H26" s="454"/>
      <c r="I26" s="454"/>
      <c r="J26" s="454"/>
      <c r="K26" s="476"/>
      <c r="L26" s="475" t="str">
        <f>Calcu!F26</f>
        <v/>
      </c>
      <c r="M26" s="454"/>
      <c r="N26" s="454"/>
      <c r="O26" s="454"/>
      <c r="P26" s="476"/>
      <c r="Q26" s="475" t="str">
        <f>Calcu!G26</f>
        <v/>
      </c>
      <c r="R26" s="454"/>
      <c r="S26" s="454"/>
      <c r="T26" s="454"/>
      <c r="U26" s="476"/>
      <c r="V26" s="475" t="str">
        <f>Calcu!H26</f>
        <v/>
      </c>
      <c r="W26" s="454"/>
      <c r="X26" s="454"/>
      <c r="Y26" s="454"/>
      <c r="Z26" s="476"/>
      <c r="AA26" s="475" t="str">
        <f>Calcu!I26</f>
        <v/>
      </c>
      <c r="AB26" s="454"/>
      <c r="AC26" s="454"/>
      <c r="AD26" s="454"/>
      <c r="AE26" s="476"/>
      <c r="AF26" s="475" t="str">
        <f>Calcu!J26</f>
        <v/>
      </c>
      <c r="AG26" s="454"/>
      <c r="AH26" s="454"/>
      <c r="AI26" s="454"/>
      <c r="AJ26" s="476"/>
      <c r="AK26" s="516" t="str">
        <f>Calcu!N26</f>
        <v/>
      </c>
      <c r="AL26" s="517"/>
      <c r="AM26" s="517"/>
      <c r="AN26" s="517"/>
      <c r="AO26" s="518"/>
      <c r="AP26" s="475" t="str">
        <f>Calcu!O26</f>
        <v/>
      </c>
      <c r="AQ26" s="454"/>
      <c r="AR26" s="454"/>
      <c r="AS26" s="454"/>
      <c r="AT26" s="476"/>
      <c r="AU26" s="475" t="str">
        <f>Calcu!W26</f>
        <v/>
      </c>
      <c r="AV26" s="454"/>
      <c r="AW26" s="454"/>
      <c r="AX26" s="454"/>
      <c r="AY26" s="476"/>
      <c r="AZ26" s="475" t="str">
        <f>Calcu!X26</f>
        <v/>
      </c>
      <c r="BA26" s="454"/>
      <c r="BB26" s="454"/>
      <c r="BC26" s="454"/>
      <c r="BD26" s="476"/>
    </row>
    <row r="27" spans="1:56" ht="18.75" customHeight="1">
      <c r="A27" s="211"/>
      <c r="B27" s="502" t="str">
        <f>Calcu!C27</f>
        <v/>
      </c>
      <c r="C27" s="503"/>
      <c r="D27" s="503"/>
      <c r="E27" s="503"/>
      <c r="F27" s="504"/>
      <c r="G27" s="475" t="str">
        <f>Calcu!E27</f>
        <v/>
      </c>
      <c r="H27" s="454"/>
      <c r="I27" s="454"/>
      <c r="J27" s="454"/>
      <c r="K27" s="476"/>
      <c r="L27" s="475" t="str">
        <f>Calcu!F27</f>
        <v/>
      </c>
      <c r="M27" s="454"/>
      <c r="N27" s="454"/>
      <c r="O27" s="454"/>
      <c r="P27" s="476"/>
      <c r="Q27" s="475" t="str">
        <f>Calcu!G27</f>
        <v/>
      </c>
      <c r="R27" s="454"/>
      <c r="S27" s="454"/>
      <c r="T27" s="454"/>
      <c r="U27" s="476"/>
      <c r="V27" s="475" t="str">
        <f>Calcu!H27</f>
        <v/>
      </c>
      <c r="W27" s="454"/>
      <c r="X27" s="454"/>
      <c r="Y27" s="454"/>
      <c r="Z27" s="476"/>
      <c r="AA27" s="475" t="str">
        <f>Calcu!I27</f>
        <v/>
      </c>
      <c r="AB27" s="454"/>
      <c r="AC27" s="454"/>
      <c r="AD27" s="454"/>
      <c r="AE27" s="476"/>
      <c r="AF27" s="475" t="str">
        <f>Calcu!J27</f>
        <v/>
      </c>
      <c r="AG27" s="454"/>
      <c r="AH27" s="454"/>
      <c r="AI27" s="454"/>
      <c r="AJ27" s="476"/>
      <c r="AK27" s="516" t="str">
        <f>Calcu!N27</f>
        <v/>
      </c>
      <c r="AL27" s="517"/>
      <c r="AM27" s="517"/>
      <c r="AN27" s="517"/>
      <c r="AO27" s="518"/>
      <c r="AP27" s="475" t="str">
        <f>Calcu!O27</f>
        <v/>
      </c>
      <c r="AQ27" s="454"/>
      <c r="AR27" s="454"/>
      <c r="AS27" s="454"/>
      <c r="AT27" s="476"/>
      <c r="AU27" s="475" t="str">
        <f>Calcu!W27</f>
        <v/>
      </c>
      <c r="AV27" s="454"/>
      <c r="AW27" s="454"/>
      <c r="AX27" s="454"/>
      <c r="AY27" s="476"/>
      <c r="AZ27" s="475" t="str">
        <f>Calcu!X27</f>
        <v/>
      </c>
      <c r="BA27" s="454"/>
      <c r="BB27" s="454"/>
      <c r="BC27" s="454"/>
      <c r="BD27" s="476"/>
    </row>
    <row r="28" spans="1:56" ht="18.75" customHeight="1">
      <c r="A28" s="211"/>
      <c r="B28" s="502" t="str">
        <f>Calcu!C28</f>
        <v/>
      </c>
      <c r="C28" s="503"/>
      <c r="D28" s="503"/>
      <c r="E28" s="503"/>
      <c r="F28" s="504"/>
      <c r="G28" s="475" t="str">
        <f>Calcu!E28</f>
        <v/>
      </c>
      <c r="H28" s="454"/>
      <c r="I28" s="454"/>
      <c r="J28" s="454"/>
      <c r="K28" s="476"/>
      <c r="L28" s="475" t="str">
        <f>Calcu!F28</f>
        <v/>
      </c>
      <c r="M28" s="454"/>
      <c r="N28" s="454"/>
      <c r="O28" s="454"/>
      <c r="P28" s="476"/>
      <c r="Q28" s="475" t="str">
        <f>Calcu!G28</f>
        <v/>
      </c>
      <c r="R28" s="454"/>
      <c r="S28" s="454"/>
      <c r="T28" s="454"/>
      <c r="U28" s="476"/>
      <c r="V28" s="475" t="str">
        <f>Calcu!H28</f>
        <v/>
      </c>
      <c r="W28" s="454"/>
      <c r="X28" s="454"/>
      <c r="Y28" s="454"/>
      <c r="Z28" s="476"/>
      <c r="AA28" s="475" t="str">
        <f>Calcu!I28</f>
        <v/>
      </c>
      <c r="AB28" s="454"/>
      <c r="AC28" s="454"/>
      <c r="AD28" s="454"/>
      <c r="AE28" s="476"/>
      <c r="AF28" s="475" t="str">
        <f>Calcu!J28</f>
        <v/>
      </c>
      <c r="AG28" s="454"/>
      <c r="AH28" s="454"/>
      <c r="AI28" s="454"/>
      <c r="AJ28" s="476"/>
      <c r="AK28" s="516" t="str">
        <f>Calcu!N28</f>
        <v/>
      </c>
      <c r="AL28" s="517"/>
      <c r="AM28" s="517"/>
      <c r="AN28" s="517"/>
      <c r="AO28" s="518"/>
      <c r="AP28" s="475" t="str">
        <f>Calcu!O28</f>
        <v/>
      </c>
      <c r="AQ28" s="454"/>
      <c r="AR28" s="454"/>
      <c r="AS28" s="454"/>
      <c r="AT28" s="476"/>
      <c r="AU28" s="475" t="str">
        <f>Calcu!W28</f>
        <v/>
      </c>
      <c r="AV28" s="454"/>
      <c r="AW28" s="454"/>
      <c r="AX28" s="454"/>
      <c r="AY28" s="476"/>
      <c r="AZ28" s="475" t="str">
        <f>Calcu!X28</f>
        <v/>
      </c>
      <c r="BA28" s="454"/>
      <c r="BB28" s="454"/>
      <c r="BC28" s="454"/>
      <c r="BD28" s="476"/>
    </row>
    <row r="29" spans="1:56" ht="18.75" customHeight="1">
      <c r="A29" s="211"/>
    </row>
    <row r="30" spans="1:56" ht="18.75" customHeight="1">
      <c r="A30" s="211" t="s">
        <v>406</v>
      </c>
      <c r="B30" s="212"/>
      <c r="C30" s="212"/>
      <c r="D30" s="212"/>
      <c r="E30" s="212"/>
      <c r="F30" s="212"/>
      <c r="G30" s="212"/>
      <c r="H30" s="212"/>
      <c r="I30" s="212"/>
      <c r="J30" s="212"/>
      <c r="K30" s="212"/>
      <c r="L30" s="212"/>
      <c r="M30" s="212"/>
      <c r="N30" s="212"/>
      <c r="O30" s="212"/>
      <c r="P30" s="212"/>
      <c r="Q30" s="212"/>
      <c r="R30" s="212"/>
      <c r="S30" s="212"/>
      <c r="T30" s="212"/>
      <c r="U30" s="212"/>
      <c r="V30" s="212"/>
      <c r="W30" s="212"/>
      <c r="X30" s="212"/>
      <c r="Y30" s="212"/>
      <c r="Z30" s="212"/>
      <c r="AA30" s="212"/>
      <c r="AB30" s="212"/>
      <c r="AC30" s="212"/>
      <c r="AD30" s="212"/>
      <c r="AE30" s="212"/>
      <c r="AF30" s="212"/>
      <c r="AG30" s="212"/>
      <c r="AH30" s="212"/>
      <c r="AI30" s="212"/>
      <c r="AJ30" s="212"/>
      <c r="AK30" s="212"/>
      <c r="AL30" s="212"/>
      <c r="AM30" s="212"/>
      <c r="AN30" s="212"/>
      <c r="AO30" s="212"/>
      <c r="AP30" s="212"/>
      <c r="AQ30" s="212"/>
      <c r="AR30" s="212"/>
    </row>
    <row r="31" spans="1:56" ht="18.75" customHeight="1">
      <c r="A31" s="211"/>
      <c r="B31" s="506" t="s">
        <v>394</v>
      </c>
      <c r="C31" s="507"/>
      <c r="D31" s="507"/>
      <c r="E31" s="507"/>
      <c r="F31" s="508"/>
      <c r="G31" s="512" t="s">
        <v>395</v>
      </c>
      <c r="H31" s="513"/>
      <c r="I31" s="513"/>
      <c r="J31" s="513"/>
      <c r="K31" s="513"/>
      <c r="L31" s="513"/>
      <c r="M31" s="513"/>
      <c r="N31" s="513"/>
      <c r="O31" s="513"/>
      <c r="P31" s="513"/>
      <c r="Q31" s="513"/>
      <c r="R31" s="513"/>
      <c r="S31" s="513"/>
      <c r="T31" s="514"/>
      <c r="U31" s="506" t="s">
        <v>407</v>
      </c>
      <c r="V31" s="507"/>
      <c r="W31" s="507"/>
      <c r="X31" s="507"/>
      <c r="Y31" s="507"/>
      <c r="Z31" s="508"/>
    </row>
    <row r="32" spans="1:56" ht="18.75" customHeight="1">
      <c r="A32" s="211"/>
      <c r="B32" s="509"/>
      <c r="C32" s="510"/>
      <c r="D32" s="510"/>
      <c r="E32" s="510"/>
      <c r="F32" s="511"/>
      <c r="G32" s="512" t="s">
        <v>163</v>
      </c>
      <c r="H32" s="513"/>
      <c r="I32" s="513"/>
      <c r="J32" s="513"/>
      <c r="K32" s="513"/>
      <c r="L32" s="513"/>
      <c r="M32" s="514"/>
      <c r="N32" s="515" t="s">
        <v>164</v>
      </c>
      <c r="O32" s="515"/>
      <c r="P32" s="515"/>
      <c r="Q32" s="515"/>
      <c r="R32" s="515"/>
      <c r="S32" s="515"/>
      <c r="T32" s="515"/>
      <c r="U32" s="509"/>
      <c r="V32" s="510"/>
      <c r="W32" s="510"/>
      <c r="X32" s="510"/>
      <c r="Y32" s="510"/>
      <c r="Z32" s="511"/>
    </row>
    <row r="33" spans="1:26" ht="18.75" customHeight="1">
      <c r="A33" s="211"/>
      <c r="B33" s="502" t="str">
        <f>Calcu!C9</f>
        <v/>
      </c>
      <c r="C33" s="503"/>
      <c r="D33" s="503"/>
      <c r="E33" s="503"/>
      <c r="F33" s="504"/>
      <c r="G33" s="475" t="str">
        <f>Calcu!K9</f>
        <v/>
      </c>
      <c r="H33" s="454"/>
      <c r="I33" s="454"/>
      <c r="J33" s="454"/>
      <c r="K33" s="454"/>
      <c r="L33" s="454"/>
      <c r="M33" s="476"/>
      <c r="N33" s="505" t="str">
        <f>Calcu!L9</f>
        <v/>
      </c>
      <c r="O33" s="505"/>
      <c r="P33" s="505"/>
      <c r="Q33" s="505"/>
      <c r="R33" s="505"/>
      <c r="S33" s="505"/>
      <c r="T33" s="505"/>
      <c r="U33" s="475" t="str">
        <f>Calcu!M9</f>
        <v/>
      </c>
      <c r="V33" s="454"/>
      <c r="W33" s="454"/>
      <c r="X33" s="454"/>
      <c r="Y33" s="454"/>
      <c r="Z33" s="476"/>
    </row>
    <row r="34" spans="1:26" ht="18.75" customHeight="1">
      <c r="A34" s="211"/>
      <c r="B34" s="502" t="str">
        <f>Calcu!C10</f>
        <v/>
      </c>
      <c r="C34" s="503"/>
      <c r="D34" s="503"/>
      <c r="E34" s="503"/>
      <c r="F34" s="504"/>
      <c r="G34" s="475" t="str">
        <f>Calcu!K10</f>
        <v/>
      </c>
      <c r="H34" s="454"/>
      <c r="I34" s="454"/>
      <c r="J34" s="454"/>
      <c r="K34" s="454"/>
      <c r="L34" s="454"/>
      <c r="M34" s="476"/>
      <c r="N34" s="505" t="str">
        <f>Calcu!L10</f>
        <v/>
      </c>
      <c r="O34" s="505"/>
      <c r="P34" s="505"/>
      <c r="Q34" s="505"/>
      <c r="R34" s="505"/>
      <c r="S34" s="505"/>
      <c r="T34" s="505"/>
      <c r="U34" s="475" t="str">
        <f>Calcu!M10</f>
        <v/>
      </c>
      <c r="V34" s="454"/>
      <c r="W34" s="454"/>
      <c r="X34" s="454"/>
      <c r="Y34" s="454"/>
      <c r="Z34" s="476"/>
    </row>
    <row r="35" spans="1:26" ht="18.75" customHeight="1">
      <c r="A35" s="211"/>
      <c r="B35" s="502" t="str">
        <f>Calcu!C11</f>
        <v/>
      </c>
      <c r="C35" s="503"/>
      <c r="D35" s="503"/>
      <c r="E35" s="503"/>
      <c r="F35" s="504"/>
      <c r="G35" s="475" t="str">
        <f>Calcu!K11</f>
        <v/>
      </c>
      <c r="H35" s="454"/>
      <c r="I35" s="454"/>
      <c r="J35" s="454"/>
      <c r="K35" s="454"/>
      <c r="L35" s="454"/>
      <c r="M35" s="476"/>
      <c r="N35" s="505" t="str">
        <f>Calcu!L11</f>
        <v/>
      </c>
      <c r="O35" s="505"/>
      <c r="P35" s="505"/>
      <c r="Q35" s="505"/>
      <c r="R35" s="505"/>
      <c r="S35" s="505"/>
      <c r="T35" s="505"/>
      <c r="U35" s="475" t="str">
        <f>Calcu!M11</f>
        <v/>
      </c>
      <c r="V35" s="454"/>
      <c r="W35" s="454"/>
      <c r="X35" s="454"/>
      <c r="Y35" s="454"/>
      <c r="Z35" s="476"/>
    </row>
    <row r="36" spans="1:26" ht="18.75" customHeight="1">
      <c r="A36" s="211"/>
      <c r="B36" s="502" t="str">
        <f>Calcu!C12</f>
        <v/>
      </c>
      <c r="C36" s="503"/>
      <c r="D36" s="503"/>
      <c r="E36" s="503"/>
      <c r="F36" s="504"/>
      <c r="G36" s="475" t="str">
        <f>Calcu!K12</f>
        <v/>
      </c>
      <c r="H36" s="454"/>
      <c r="I36" s="454"/>
      <c r="J36" s="454"/>
      <c r="K36" s="454"/>
      <c r="L36" s="454"/>
      <c r="M36" s="476"/>
      <c r="N36" s="505" t="str">
        <f>Calcu!L12</f>
        <v/>
      </c>
      <c r="O36" s="505"/>
      <c r="P36" s="505"/>
      <c r="Q36" s="505"/>
      <c r="R36" s="505"/>
      <c r="S36" s="505"/>
      <c r="T36" s="505"/>
      <c r="U36" s="475" t="str">
        <f>Calcu!M12</f>
        <v/>
      </c>
      <c r="V36" s="454"/>
      <c r="W36" s="454"/>
      <c r="X36" s="454"/>
      <c r="Y36" s="454"/>
      <c r="Z36" s="476"/>
    </row>
    <row r="37" spans="1:26" ht="18.75" customHeight="1">
      <c r="A37" s="211"/>
      <c r="B37" s="502" t="str">
        <f>Calcu!C13</f>
        <v/>
      </c>
      <c r="C37" s="503"/>
      <c r="D37" s="503"/>
      <c r="E37" s="503"/>
      <c r="F37" s="504"/>
      <c r="G37" s="475" t="str">
        <f>Calcu!K13</f>
        <v/>
      </c>
      <c r="H37" s="454"/>
      <c r="I37" s="454"/>
      <c r="J37" s="454"/>
      <c r="K37" s="454"/>
      <c r="L37" s="454"/>
      <c r="M37" s="476"/>
      <c r="N37" s="505" t="str">
        <f>Calcu!L13</f>
        <v/>
      </c>
      <c r="O37" s="505"/>
      <c r="P37" s="505"/>
      <c r="Q37" s="505"/>
      <c r="R37" s="505"/>
      <c r="S37" s="505"/>
      <c r="T37" s="505"/>
      <c r="U37" s="475" t="str">
        <f>Calcu!M13</f>
        <v/>
      </c>
      <c r="V37" s="454"/>
      <c r="W37" s="454"/>
      <c r="X37" s="454"/>
      <c r="Y37" s="454"/>
      <c r="Z37" s="476"/>
    </row>
    <row r="38" spans="1:26" ht="18.75" customHeight="1">
      <c r="A38" s="211"/>
      <c r="B38" s="502" t="str">
        <f>Calcu!C14</f>
        <v/>
      </c>
      <c r="C38" s="503"/>
      <c r="D38" s="503"/>
      <c r="E38" s="503"/>
      <c r="F38" s="504"/>
      <c r="G38" s="475" t="str">
        <f>Calcu!K14</f>
        <v/>
      </c>
      <c r="H38" s="454"/>
      <c r="I38" s="454"/>
      <c r="J38" s="454"/>
      <c r="K38" s="454"/>
      <c r="L38" s="454"/>
      <c r="M38" s="476"/>
      <c r="N38" s="505" t="str">
        <f>Calcu!L14</f>
        <v/>
      </c>
      <c r="O38" s="505"/>
      <c r="P38" s="505"/>
      <c r="Q38" s="505"/>
      <c r="R38" s="505"/>
      <c r="S38" s="505"/>
      <c r="T38" s="505"/>
      <c r="U38" s="475" t="str">
        <f>Calcu!M14</f>
        <v/>
      </c>
      <c r="V38" s="454"/>
      <c r="W38" s="454"/>
      <c r="X38" s="454"/>
      <c r="Y38" s="454"/>
      <c r="Z38" s="476"/>
    </row>
    <row r="39" spans="1:26" ht="18.75" customHeight="1">
      <c r="A39" s="211"/>
      <c r="B39" s="502" t="str">
        <f>Calcu!C15</f>
        <v/>
      </c>
      <c r="C39" s="503"/>
      <c r="D39" s="503"/>
      <c r="E39" s="503"/>
      <c r="F39" s="504"/>
      <c r="G39" s="475" t="str">
        <f>Calcu!K15</f>
        <v/>
      </c>
      <c r="H39" s="454"/>
      <c r="I39" s="454"/>
      <c r="J39" s="454"/>
      <c r="K39" s="454"/>
      <c r="L39" s="454"/>
      <c r="M39" s="476"/>
      <c r="N39" s="505" t="str">
        <f>Calcu!L15</f>
        <v/>
      </c>
      <c r="O39" s="505"/>
      <c r="P39" s="505"/>
      <c r="Q39" s="505"/>
      <c r="R39" s="505"/>
      <c r="S39" s="505"/>
      <c r="T39" s="505"/>
      <c r="U39" s="475" t="str">
        <f>Calcu!M15</f>
        <v/>
      </c>
      <c r="V39" s="454"/>
      <c r="W39" s="454"/>
      <c r="X39" s="454"/>
      <c r="Y39" s="454"/>
      <c r="Z39" s="476"/>
    </row>
    <row r="40" spans="1:26" ht="18.75" customHeight="1">
      <c r="A40" s="211"/>
      <c r="B40" s="502" t="str">
        <f>Calcu!C16</f>
        <v/>
      </c>
      <c r="C40" s="503"/>
      <c r="D40" s="503"/>
      <c r="E40" s="503"/>
      <c r="F40" s="504"/>
      <c r="G40" s="475" t="str">
        <f>Calcu!K16</f>
        <v/>
      </c>
      <c r="H40" s="454"/>
      <c r="I40" s="454"/>
      <c r="J40" s="454"/>
      <c r="K40" s="454"/>
      <c r="L40" s="454"/>
      <c r="M40" s="476"/>
      <c r="N40" s="505" t="str">
        <f>Calcu!L16</f>
        <v/>
      </c>
      <c r="O40" s="505"/>
      <c r="P40" s="505"/>
      <c r="Q40" s="505"/>
      <c r="R40" s="505"/>
      <c r="S40" s="505"/>
      <c r="T40" s="505"/>
      <c r="U40" s="475" t="str">
        <f>Calcu!M16</f>
        <v/>
      </c>
      <c r="V40" s="454"/>
      <c r="W40" s="454"/>
      <c r="X40" s="454"/>
      <c r="Y40" s="454"/>
      <c r="Z40" s="476"/>
    </row>
    <row r="41" spans="1:26" ht="18.75" customHeight="1">
      <c r="A41" s="211"/>
      <c r="B41" s="502" t="str">
        <f>Calcu!C17</f>
        <v/>
      </c>
      <c r="C41" s="503"/>
      <c r="D41" s="503"/>
      <c r="E41" s="503"/>
      <c r="F41" s="504"/>
      <c r="G41" s="475" t="str">
        <f>Calcu!K17</f>
        <v/>
      </c>
      <c r="H41" s="454"/>
      <c r="I41" s="454"/>
      <c r="J41" s="454"/>
      <c r="K41" s="454"/>
      <c r="L41" s="454"/>
      <c r="M41" s="476"/>
      <c r="N41" s="505" t="str">
        <f>Calcu!L17</f>
        <v/>
      </c>
      <c r="O41" s="505"/>
      <c r="P41" s="505"/>
      <c r="Q41" s="505"/>
      <c r="R41" s="505"/>
      <c r="S41" s="505"/>
      <c r="T41" s="505"/>
      <c r="U41" s="475" t="str">
        <f>Calcu!M17</f>
        <v/>
      </c>
      <c r="V41" s="454"/>
      <c r="W41" s="454"/>
      <c r="X41" s="454"/>
      <c r="Y41" s="454"/>
      <c r="Z41" s="476"/>
    </row>
    <row r="42" spans="1:26" ht="18.75" customHeight="1">
      <c r="A42" s="211"/>
      <c r="B42" s="502" t="str">
        <f>Calcu!C18</f>
        <v/>
      </c>
      <c r="C42" s="503"/>
      <c r="D42" s="503"/>
      <c r="E42" s="503"/>
      <c r="F42" s="504"/>
      <c r="G42" s="475" t="str">
        <f>Calcu!K18</f>
        <v/>
      </c>
      <c r="H42" s="454"/>
      <c r="I42" s="454"/>
      <c r="J42" s="454"/>
      <c r="K42" s="454"/>
      <c r="L42" s="454"/>
      <c r="M42" s="476"/>
      <c r="N42" s="505" t="str">
        <f>Calcu!L18</f>
        <v/>
      </c>
      <c r="O42" s="505"/>
      <c r="P42" s="505"/>
      <c r="Q42" s="505"/>
      <c r="R42" s="505"/>
      <c r="S42" s="505"/>
      <c r="T42" s="505"/>
      <c r="U42" s="475" t="str">
        <f>Calcu!M18</f>
        <v/>
      </c>
      <c r="V42" s="454"/>
      <c r="W42" s="454"/>
      <c r="X42" s="454"/>
      <c r="Y42" s="454"/>
      <c r="Z42" s="476"/>
    </row>
    <row r="43" spans="1:26" ht="18.75" customHeight="1">
      <c r="A43" s="211"/>
      <c r="B43" s="502" t="str">
        <f>Calcu!C19</f>
        <v/>
      </c>
      <c r="C43" s="503"/>
      <c r="D43" s="503"/>
      <c r="E43" s="503"/>
      <c r="F43" s="504"/>
      <c r="G43" s="475" t="str">
        <f>Calcu!K19</f>
        <v/>
      </c>
      <c r="H43" s="454"/>
      <c r="I43" s="454"/>
      <c r="J43" s="454"/>
      <c r="K43" s="454"/>
      <c r="L43" s="454"/>
      <c r="M43" s="476"/>
      <c r="N43" s="505" t="str">
        <f>Calcu!L19</f>
        <v/>
      </c>
      <c r="O43" s="505"/>
      <c r="P43" s="505"/>
      <c r="Q43" s="505"/>
      <c r="R43" s="505"/>
      <c r="S43" s="505"/>
      <c r="T43" s="505"/>
      <c r="U43" s="475" t="str">
        <f>Calcu!M19</f>
        <v/>
      </c>
      <c r="V43" s="454"/>
      <c r="W43" s="454"/>
      <c r="X43" s="454"/>
      <c r="Y43" s="454"/>
      <c r="Z43" s="476"/>
    </row>
    <row r="44" spans="1:26" ht="18.75" customHeight="1">
      <c r="A44" s="211"/>
      <c r="B44" s="502" t="str">
        <f>Calcu!C20</f>
        <v/>
      </c>
      <c r="C44" s="503"/>
      <c r="D44" s="503"/>
      <c r="E44" s="503"/>
      <c r="F44" s="504"/>
      <c r="G44" s="475" t="str">
        <f>Calcu!K20</f>
        <v/>
      </c>
      <c r="H44" s="454"/>
      <c r="I44" s="454"/>
      <c r="J44" s="454"/>
      <c r="K44" s="454"/>
      <c r="L44" s="454"/>
      <c r="M44" s="476"/>
      <c r="N44" s="505" t="str">
        <f>Calcu!L20</f>
        <v/>
      </c>
      <c r="O44" s="505"/>
      <c r="P44" s="505"/>
      <c r="Q44" s="505"/>
      <c r="R44" s="505"/>
      <c r="S44" s="505"/>
      <c r="T44" s="505"/>
      <c r="U44" s="475" t="str">
        <f>Calcu!M20</f>
        <v/>
      </c>
      <c r="V44" s="454"/>
      <c r="W44" s="454"/>
      <c r="X44" s="454"/>
      <c r="Y44" s="454"/>
      <c r="Z44" s="476"/>
    </row>
    <row r="45" spans="1:26" ht="18.75" customHeight="1">
      <c r="A45" s="211"/>
      <c r="B45" s="502" t="str">
        <f>Calcu!C21</f>
        <v/>
      </c>
      <c r="C45" s="503"/>
      <c r="D45" s="503"/>
      <c r="E45" s="503"/>
      <c r="F45" s="504"/>
      <c r="G45" s="475" t="str">
        <f>Calcu!K21</f>
        <v/>
      </c>
      <c r="H45" s="454"/>
      <c r="I45" s="454"/>
      <c r="J45" s="454"/>
      <c r="K45" s="454"/>
      <c r="L45" s="454"/>
      <c r="M45" s="476"/>
      <c r="N45" s="505" t="str">
        <f>Calcu!L21</f>
        <v/>
      </c>
      <c r="O45" s="505"/>
      <c r="P45" s="505"/>
      <c r="Q45" s="505"/>
      <c r="R45" s="505"/>
      <c r="S45" s="505"/>
      <c r="T45" s="505"/>
      <c r="U45" s="475" t="str">
        <f>Calcu!M21</f>
        <v/>
      </c>
      <c r="V45" s="454"/>
      <c r="W45" s="454"/>
      <c r="X45" s="454"/>
      <c r="Y45" s="454"/>
      <c r="Z45" s="476"/>
    </row>
    <row r="46" spans="1:26" ht="18.75" customHeight="1">
      <c r="A46" s="211"/>
      <c r="B46" s="502" t="str">
        <f>Calcu!C22</f>
        <v/>
      </c>
      <c r="C46" s="503"/>
      <c r="D46" s="503"/>
      <c r="E46" s="503"/>
      <c r="F46" s="504"/>
      <c r="G46" s="475" t="str">
        <f>Calcu!K22</f>
        <v/>
      </c>
      <c r="H46" s="454"/>
      <c r="I46" s="454"/>
      <c r="J46" s="454"/>
      <c r="K46" s="454"/>
      <c r="L46" s="454"/>
      <c r="M46" s="476"/>
      <c r="N46" s="505" t="str">
        <f>Calcu!L22</f>
        <v/>
      </c>
      <c r="O46" s="505"/>
      <c r="P46" s="505"/>
      <c r="Q46" s="505"/>
      <c r="R46" s="505"/>
      <c r="S46" s="505"/>
      <c r="T46" s="505"/>
      <c r="U46" s="475" t="str">
        <f>Calcu!M22</f>
        <v/>
      </c>
      <c r="V46" s="454"/>
      <c r="W46" s="454"/>
      <c r="X46" s="454"/>
      <c r="Y46" s="454"/>
      <c r="Z46" s="476"/>
    </row>
    <row r="47" spans="1:26" ht="18.75" customHeight="1">
      <c r="A47" s="211"/>
      <c r="B47" s="502" t="str">
        <f>Calcu!C23</f>
        <v/>
      </c>
      <c r="C47" s="503"/>
      <c r="D47" s="503"/>
      <c r="E47" s="503"/>
      <c r="F47" s="504"/>
      <c r="G47" s="475" t="str">
        <f>Calcu!K23</f>
        <v/>
      </c>
      <c r="H47" s="454"/>
      <c r="I47" s="454"/>
      <c r="J47" s="454"/>
      <c r="K47" s="454"/>
      <c r="L47" s="454"/>
      <c r="M47" s="476"/>
      <c r="N47" s="505" t="str">
        <f>Calcu!L23</f>
        <v/>
      </c>
      <c r="O47" s="505"/>
      <c r="P47" s="505"/>
      <c r="Q47" s="505"/>
      <c r="R47" s="505"/>
      <c r="S47" s="505"/>
      <c r="T47" s="505"/>
      <c r="U47" s="475" t="str">
        <f>Calcu!M23</f>
        <v/>
      </c>
      <c r="V47" s="454"/>
      <c r="W47" s="454"/>
      <c r="X47" s="454"/>
      <c r="Y47" s="454"/>
      <c r="Z47" s="476"/>
    </row>
    <row r="48" spans="1:26" ht="18.75" customHeight="1">
      <c r="A48" s="211"/>
      <c r="B48" s="502" t="str">
        <f>Calcu!C24</f>
        <v/>
      </c>
      <c r="C48" s="503"/>
      <c r="D48" s="503"/>
      <c r="E48" s="503"/>
      <c r="F48" s="504"/>
      <c r="G48" s="475" t="str">
        <f>Calcu!K24</f>
        <v/>
      </c>
      <c r="H48" s="454"/>
      <c r="I48" s="454"/>
      <c r="J48" s="454"/>
      <c r="K48" s="454"/>
      <c r="L48" s="454"/>
      <c r="M48" s="476"/>
      <c r="N48" s="505" t="str">
        <f>Calcu!L24</f>
        <v/>
      </c>
      <c r="O48" s="505"/>
      <c r="P48" s="505"/>
      <c r="Q48" s="505"/>
      <c r="R48" s="505"/>
      <c r="S48" s="505"/>
      <c r="T48" s="505"/>
      <c r="U48" s="475" t="str">
        <f>Calcu!M24</f>
        <v/>
      </c>
      <c r="V48" s="454"/>
      <c r="W48" s="454"/>
      <c r="X48" s="454"/>
      <c r="Y48" s="454"/>
      <c r="Z48" s="476"/>
    </row>
    <row r="49" spans="1:54" ht="18.75" customHeight="1">
      <c r="A49" s="211"/>
      <c r="B49" s="502" t="str">
        <f>Calcu!C25</f>
        <v/>
      </c>
      <c r="C49" s="503"/>
      <c r="D49" s="503"/>
      <c r="E49" s="503"/>
      <c r="F49" s="504"/>
      <c r="G49" s="475" t="str">
        <f>Calcu!K25</f>
        <v/>
      </c>
      <c r="H49" s="454"/>
      <c r="I49" s="454"/>
      <c r="J49" s="454"/>
      <c r="K49" s="454"/>
      <c r="L49" s="454"/>
      <c r="M49" s="476"/>
      <c r="N49" s="505" t="str">
        <f>Calcu!L25</f>
        <v/>
      </c>
      <c r="O49" s="505"/>
      <c r="P49" s="505"/>
      <c r="Q49" s="505"/>
      <c r="R49" s="505"/>
      <c r="S49" s="505"/>
      <c r="T49" s="505"/>
      <c r="U49" s="475" t="str">
        <f>Calcu!M25</f>
        <v/>
      </c>
      <c r="V49" s="454"/>
      <c r="W49" s="454"/>
      <c r="X49" s="454"/>
      <c r="Y49" s="454"/>
      <c r="Z49" s="476"/>
    </row>
    <row r="50" spans="1:54" ht="18.75" customHeight="1">
      <c r="A50" s="211"/>
      <c r="B50" s="502" t="str">
        <f>Calcu!C26</f>
        <v/>
      </c>
      <c r="C50" s="503"/>
      <c r="D50" s="503"/>
      <c r="E50" s="503"/>
      <c r="F50" s="504"/>
      <c r="G50" s="475" t="str">
        <f>Calcu!K26</f>
        <v/>
      </c>
      <c r="H50" s="454"/>
      <c r="I50" s="454"/>
      <c r="J50" s="454"/>
      <c r="K50" s="454"/>
      <c r="L50" s="454"/>
      <c r="M50" s="476"/>
      <c r="N50" s="505" t="str">
        <f>Calcu!L26</f>
        <v/>
      </c>
      <c r="O50" s="505"/>
      <c r="P50" s="505"/>
      <c r="Q50" s="505"/>
      <c r="R50" s="505"/>
      <c r="S50" s="505"/>
      <c r="T50" s="505"/>
      <c r="U50" s="475" t="str">
        <f>Calcu!M26</f>
        <v/>
      </c>
      <c r="V50" s="454"/>
      <c r="W50" s="454"/>
      <c r="X50" s="454"/>
      <c r="Y50" s="454"/>
      <c r="Z50" s="476"/>
    </row>
    <row r="51" spans="1:54" ht="18.75" customHeight="1">
      <c r="A51" s="211"/>
      <c r="B51" s="502" t="str">
        <f>Calcu!C27</f>
        <v/>
      </c>
      <c r="C51" s="503"/>
      <c r="D51" s="503"/>
      <c r="E51" s="503"/>
      <c r="F51" s="504"/>
      <c r="G51" s="475" t="str">
        <f>Calcu!K27</f>
        <v/>
      </c>
      <c r="H51" s="454"/>
      <c r="I51" s="454"/>
      <c r="J51" s="454"/>
      <c r="K51" s="454"/>
      <c r="L51" s="454"/>
      <c r="M51" s="476"/>
      <c r="N51" s="505" t="str">
        <f>Calcu!L27</f>
        <v/>
      </c>
      <c r="O51" s="505"/>
      <c r="P51" s="505"/>
      <c r="Q51" s="505"/>
      <c r="R51" s="505"/>
      <c r="S51" s="505"/>
      <c r="T51" s="505"/>
      <c r="U51" s="475" t="str">
        <f>Calcu!M27</f>
        <v/>
      </c>
      <c r="V51" s="454"/>
      <c r="W51" s="454"/>
      <c r="X51" s="454"/>
      <c r="Y51" s="454"/>
      <c r="Z51" s="476"/>
    </row>
    <row r="52" spans="1:54" ht="18.75" customHeight="1">
      <c r="A52" s="211"/>
      <c r="B52" s="502" t="str">
        <f>Calcu!C28</f>
        <v/>
      </c>
      <c r="C52" s="503"/>
      <c r="D52" s="503"/>
      <c r="E52" s="503"/>
      <c r="F52" s="504"/>
      <c r="G52" s="475" t="str">
        <f>Calcu!K28</f>
        <v/>
      </c>
      <c r="H52" s="454"/>
      <c r="I52" s="454"/>
      <c r="J52" s="454"/>
      <c r="K52" s="454"/>
      <c r="L52" s="454"/>
      <c r="M52" s="476"/>
      <c r="N52" s="505" t="str">
        <f>Calcu!L28</f>
        <v/>
      </c>
      <c r="O52" s="505"/>
      <c r="P52" s="505"/>
      <c r="Q52" s="505"/>
      <c r="R52" s="505"/>
      <c r="S52" s="505"/>
      <c r="T52" s="505"/>
      <c r="U52" s="475" t="str">
        <f>Calcu!M28</f>
        <v/>
      </c>
      <c r="V52" s="454"/>
      <c r="W52" s="454"/>
      <c r="X52" s="454"/>
      <c r="Y52" s="454"/>
      <c r="Z52" s="476"/>
    </row>
    <row r="53" spans="1:54" ht="18.75" customHeight="1">
      <c r="A53" s="211"/>
    </row>
    <row r="54" spans="1:54" ht="18.75" customHeight="1">
      <c r="A54" s="211" t="s">
        <v>408</v>
      </c>
      <c r="B54" s="213"/>
      <c r="C54" s="213"/>
      <c r="D54" s="213"/>
      <c r="E54" s="213"/>
      <c r="F54" s="213"/>
      <c r="G54" s="213"/>
      <c r="H54" s="213"/>
      <c r="I54" s="213"/>
      <c r="J54" s="213"/>
      <c r="K54" s="213"/>
      <c r="L54" s="213"/>
      <c r="M54" s="213"/>
      <c r="N54" s="213"/>
      <c r="O54" s="213"/>
      <c r="P54" s="213"/>
      <c r="Q54" s="213"/>
      <c r="R54" s="213"/>
      <c r="S54" s="213"/>
      <c r="T54" s="213"/>
      <c r="U54" s="213"/>
      <c r="V54" s="213"/>
      <c r="W54" s="213"/>
      <c r="X54" s="213"/>
      <c r="Y54" s="213"/>
      <c r="Z54" s="213"/>
      <c r="AA54" s="213"/>
      <c r="AB54" s="213"/>
      <c r="AC54" s="213"/>
      <c r="AD54" s="213"/>
      <c r="AE54" s="213"/>
      <c r="AF54" s="213"/>
      <c r="AG54" s="213"/>
      <c r="AH54" s="213"/>
      <c r="AI54" s="213"/>
      <c r="AJ54" s="213"/>
      <c r="AK54" s="213"/>
      <c r="AL54" s="213"/>
      <c r="AM54" s="213"/>
      <c r="AN54" s="213"/>
      <c r="AO54" s="213"/>
      <c r="AP54" s="213"/>
      <c r="AQ54" s="213"/>
      <c r="AR54" s="213"/>
      <c r="AS54" s="213"/>
      <c r="AT54" s="213"/>
    </row>
    <row r="55" spans="1:54" ht="18.75" customHeight="1">
      <c r="A55" s="214"/>
      <c r="B55" s="213"/>
      <c r="C55" s="213"/>
      <c r="D55" s="213"/>
      <c r="E55" s="213"/>
      <c r="F55" s="213"/>
      <c r="G55" s="213"/>
      <c r="H55" s="213"/>
      <c r="I55" s="213"/>
      <c r="J55" s="213"/>
      <c r="K55" s="213"/>
      <c r="L55" s="213"/>
      <c r="M55" s="213"/>
      <c r="N55" s="213"/>
      <c r="O55" s="213"/>
      <c r="P55" s="213"/>
      <c r="Q55" s="213"/>
      <c r="R55" s="213"/>
      <c r="S55" s="213"/>
      <c r="T55" s="213"/>
      <c r="U55" s="213"/>
      <c r="V55" s="213"/>
      <c r="W55" s="213"/>
      <c r="X55" s="213"/>
      <c r="Y55" s="213"/>
      <c r="Z55" s="213"/>
      <c r="AA55" s="213"/>
      <c r="AB55" s="213"/>
      <c r="AC55" s="213"/>
      <c r="AD55" s="213"/>
      <c r="AE55" s="213"/>
      <c r="AF55" s="213"/>
      <c r="AG55" s="213"/>
      <c r="AH55" s="213"/>
      <c r="AI55" s="213"/>
      <c r="AJ55" s="213"/>
      <c r="AK55" s="213"/>
      <c r="AL55" s="213"/>
      <c r="AM55" s="213"/>
      <c r="AN55" s="213"/>
      <c r="AO55" s="213"/>
      <c r="AP55" s="213"/>
      <c r="AQ55" s="213"/>
      <c r="AR55" s="213"/>
      <c r="AS55" s="213"/>
      <c r="AT55" s="213"/>
    </row>
    <row r="56" spans="1:54" ht="18.75" customHeight="1">
      <c r="A56" s="214"/>
      <c r="B56" s="213"/>
      <c r="C56" s="213"/>
      <c r="D56" s="213"/>
      <c r="E56" s="213"/>
      <c r="F56" s="213"/>
      <c r="G56" s="213"/>
      <c r="H56" s="213"/>
      <c r="I56" s="213"/>
      <c r="J56" s="213"/>
      <c r="K56" s="213"/>
      <c r="L56" s="213"/>
      <c r="M56" s="213"/>
      <c r="N56" s="213"/>
      <c r="O56" s="213"/>
      <c r="P56" s="213"/>
      <c r="Q56" s="213"/>
      <c r="R56" s="213"/>
      <c r="S56" s="213"/>
      <c r="T56" s="213"/>
      <c r="U56" s="213"/>
      <c r="V56" s="213"/>
      <c r="W56" s="213"/>
      <c r="X56" s="213"/>
      <c r="Y56" s="213"/>
      <c r="Z56" s="213"/>
      <c r="AA56" s="213"/>
      <c r="AB56" s="213"/>
      <c r="AC56" s="213"/>
      <c r="AD56" s="213"/>
      <c r="AE56" s="213"/>
      <c r="AF56" s="213"/>
      <c r="AG56" s="213"/>
      <c r="AH56" s="213"/>
      <c r="AI56" s="213"/>
      <c r="AJ56" s="213"/>
      <c r="AK56" s="213"/>
      <c r="AL56" s="213"/>
      <c r="AM56" s="213"/>
      <c r="AN56" s="213"/>
      <c r="AO56" s="213"/>
      <c r="AP56" s="213"/>
      <c r="AQ56" s="213"/>
      <c r="AR56" s="213"/>
      <c r="AS56" s="213"/>
      <c r="AT56" s="213"/>
    </row>
    <row r="57" spans="1:54" ht="18.75" customHeight="1">
      <c r="A57" s="214"/>
      <c r="B57" s="213"/>
      <c r="C57" s="418" t="s">
        <v>409</v>
      </c>
      <c r="D57" s="418"/>
      <c r="E57" s="418"/>
      <c r="F57" s="212" t="s">
        <v>410</v>
      </c>
      <c r="G57" s="213" t="str">
        <f>"표준온도에서 "&amp;B4&amp;"의 교정값"</f>
        <v>표준온도에서 스텝 게이지의 교정값</v>
      </c>
      <c r="H57" s="213"/>
      <c r="I57" s="213"/>
      <c r="J57" s="213"/>
      <c r="K57" s="213"/>
      <c r="L57" s="213"/>
      <c r="M57" s="213"/>
      <c r="N57" s="213"/>
      <c r="O57" s="213"/>
      <c r="P57" s="213"/>
      <c r="Q57" s="213"/>
      <c r="R57" s="213"/>
      <c r="S57" s="213"/>
      <c r="W57" s="215"/>
      <c r="X57" s="215"/>
      <c r="Y57" s="215"/>
      <c r="Z57" s="213"/>
      <c r="AA57" s="213"/>
      <c r="AB57" s="213"/>
      <c r="AC57" s="213"/>
      <c r="AD57" s="213"/>
      <c r="AE57" s="213"/>
      <c r="AF57" s="213"/>
      <c r="AG57" s="213"/>
      <c r="AH57" s="213"/>
      <c r="AI57" s="213"/>
      <c r="AJ57" s="213"/>
      <c r="AK57" s="213"/>
      <c r="AL57" s="213"/>
      <c r="AM57" s="213"/>
      <c r="AN57" s="213"/>
      <c r="AO57" s="213"/>
      <c r="AP57" s="213"/>
      <c r="AQ57" s="213"/>
      <c r="AR57" s="213"/>
      <c r="AS57" s="213"/>
      <c r="AT57" s="213"/>
    </row>
    <row r="58" spans="1:54" ht="18.75" customHeight="1">
      <c r="A58" s="214"/>
      <c r="B58" s="213"/>
      <c r="C58" s="418" t="s">
        <v>411</v>
      </c>
      <c r="D58" s="418"/>
      <c r="E58" s="418"/>
      <c r="F58" s="212" t="s">
        <v>412</v>
      </c>
      <c r="G58" s="213" t="str">
        <f>H4&amp;"의 교정값"</f>
        <v>게이지 블록의 교정값</v>
      </c>
      <c r="H58" s="213"/>
      <c r="I58" s="213"/>
      <c r="J58" s="213"/>
      <c r="K58" s="213"/>
      <c r="L58" s="213"/>
      <c r="M58" s="213"/>
      <c r="N58" s="213"/>
      <c r="O58" s="213"/>
      <c r="P58" s="213"/>
      <c r="Q58" s="213"/>
      <c r="R58" s="213"/>
      <c r="S58" s="213"/>
      <c r="W58" s="215"/>
      <c r="X58" s="215"/>
      <c r="Y58" s="215"/>
      <c r="Z58" s="213"/>
      <c r="AA58" s="213"/>
      <c r="AB58" s="213"/>
      <c r="AC58" s="213"/>
      <c r="AD58" s="213"/>
      <c r="AE58" s="213"/>
      <c r="AF58" s="213"/>
      <c r="AG58" s="213"/>
      <c r="AH58" s="213"/>
      <c r="AI58" s="213"/>
      <c r="AJ58" s="213"/>
      <c r="AK58" s="213"/>
      <c r="AL58" s="213"/>
      <c r="AM58" s="213"/>
      <c r="AN58" s="213"/>
      <c r="AO58" s="213"/>
      <c r="AP58" s="213"/>
      <c r="AQ58" s="213"/>
      <c r="AR58" s="213"/>
      <c r="AS58" s="213"/>
      <c r="AT58" s="213"/>
    </row>
    <row r="59" spans="1:54" ht="18.75" customHeight="1">
      <c r="A59" s="214"/>
      <c r="B59" s="213"/>
      <c r="C59" s="418" t="s">
        <v>413</v>
      </c>
      <c r="D59" s="418"/>
      <c r="E59" s="418"/>
      <c r="F59" s="212" t="s">
        <v>412</v>
      </c>
      <c r="G59" s="213" t="str">
        <f>N4&amp;"의 지시값"</f>
        <v>전기 마이크로미터의 지시값</v>
      </c>
      <c r="H59" s="213"/>
      <c r="I59" s="213"/>
      <c r="J59" s="213"/>
      <c r="K59" s="213"/>
      <c r="L59" s="213"/>
      <c r="M59" s="213"/>
      <c r="N59" s="213"/>
      <c r="O59" s="213"/>
      <c r="P59" s="213"/>
      <c r="Q59" s="213"/>
      <c r="R59" s="213"/>
      <c r="S59" s="213"/>
      <c r="T59" s="213"/>
      <c r="U59" s="213"/>
      <c r="V59" s="213"/>
      <c r="W59" s="213"/>
      <c r="X59" s="213"/>
      <c r="Y59" s="213"/>
      <c r="Z59" s="213"/>
      <c r="AA59" s="213"/>
      <c r="AB59" s="213"/>
      <c r="AC59" s="213"/>
      <c r="AD59" s="213"/>
      <c r="AE59" s="213"/>
      <c r="AF59" s="213"/>
      <c r="AG59" s="213"/>
      <c r="AH59" s="213"/>
      <c r="AI59" s="213"/>
      <c r="AJ59" s="213"/>
      <c r="AK59" s="213"/>
      <c r="AL59" s="213"/>
      <c r="AM59" s="213"/>
      <c r="AN59" s="213"/>
      <c r="AO59" s="213"/>
      <c r="AP59" s="213"/>
      <c r="AQ59" s="213"/>
      <c r="AR59" s="213"/>
      <c r="AS59" s="213"/>
      <c r="AT59" s="213"/>
      <c r="AU59" s="213"/>
      <c r="AV59" s="213"/>
      <c r="AW59" s="213"/>
      <c r="AX59" s="213"/>
      <c r="AY59" s="213"/>
      <c r="AZ59" s="213"/>
      <c r="BA59" s="213"/>
      <c r="BB59" s="213"/>
    </row>
    <row r="60" spans="1:54" ht="18.75" customHeight="1">
      <c r="A60" s="214"/>
      <c r="B60" s="213"/>
      <c r="C60" s="418" t="s">
        <v>414</v>
      </c>
      <c r="D60" s="418"/>
      <c r="E60" s="418"/>
      <c r="F60" s="212" t="s">
        <v>410</v>
      </c>
      <c r="G60" s="213" t="str">
        <f>H4&amp;"의 명목값"</f>
        <v>게이지 블록의 명목값</v>
      </c>
      <c r="H60" s="213"/>
      <c r="I60" s="213"/>
      <c r="J60" s="213"/>
      <c r="K60" s="213"/>
      <c r="L60" s="213"/>
      <c r="M60" s="213"/>
      <c r="N60" s="213"/>
      <c r="O60" s="213"/>
      <c r="P60" s="213"/>
      <c r="Q60" s="213"/>
      <c r="R60" s="213"/>
      <c r="S60" s="213"/>
      <c r="T60" s="213"/>
      <c r="U60" s="213"/>
      <c r="V60" s="213"/>
      <c r="W60" s="213"/>
      <c r="X60" s="213"/>
      <c r="Y60" s="213"/>
      <c r="Z60" s="213"/>
      <c r="AA60" s="213"/>
      <c r="AB60" s="213"/>
      <c r="AC60" s="213"/>
      <c r="AD60" s="213"/>
      <c r="AE60" s="213"/>
      <c r="AF60" s="213"/>
      <c r="AG60" s="213"/>
      <c r="AH60" s="213"/>
      <c r="AI60" s="213"/>
      <c r="AJ60" s="213"/>
      <c r="AK60" s="213"/>
      <c r="AL60" s="213"/>
      <c r="AM60" s="213"/>
      <c r="AN60" s="213"/>
      <c r="AO60" s="213"/>
      <c r="AP60" s="213"/>
      <c r="AQ60" s="213"/>
      <c r="AR60" s="213"/>
      <c r="AS60" s="213"/>
      <c r="AT60" s="213"/>
      <c r="AU60" s="213"/>
      <c r="AV60" s="213"/>
      <c r="AW60" s="213"/>
      <c r="AX60" s="213"/>
      <c r="AY60" s="213"/>
      <c r="AZ60" s="213"/>
      <c r="BA60" s="213"/>
      <c r="BB60" s="213"/>
    </row>
    <row r="61" spans="1:54" ht="18.75" customHeight="1">
      <c r="A61" s="214"/>
      <c r="B61" s="213"/>
      <c r="C61" s="418"/>
      <c r="D61" s="418"/>
      <c r="E61" s="418"/>
      <c r="F61" s="212" t="s">
        <v>412</v>
      </c>
      <c r="G61" s="213" t="str">
        <f>B4&amp;"와 "&amp;H4&amp;"의 평균열팽창계수"</f>
        <v>스텝 게이지와 게이지 블록의 평균열팽창계수</v>
      </c>
      <c r="H61" s="213"/>
      <c r="I61" s="213"/>
      <c r="J61" s="213"/>
      <c r="K61" s="213"/>
      <c r="L61" s="213"/>
      <c r="M61" s="213"/>
      <c r="N61" s="213"/>
      <c r="O61" s="213"/>
      <c r="P61" s="213"/>
      <c r="Q61" s="213"/>
      <c r="U61" s="213"/>
      <c r="V61" s="213"/>
      <c r="W61" s="213"/>
      <c r="X61" s="213"/>
      <c r="Y61" s="213"/>
      <c r="Z61" s="213"/>
      <c r="AA61" s="213"/>
      <c r="AB61" s="213"/>
      <c r="AC61" s="213"/>
      <c r="AD61" s="213"/>
      <c r="AE61" s="213"/>
      <c r="AF61" s="213"/>
      <c r="AG61" s="213"/>
      <c r="AH61" s="213"/>
      <c r="AI61" s="213"/>
      <c r="AJ61" s="213"/>
      <c r="AK61" s="213"/>
      <c r="AL61" s="213"/>
      <c r="AM61" s="213"/>
      <c r="AN61" s="213"/>
      <c r="AO61" s="213"/>
      <c r="AP61" s="213"/>
      <c r="AQ61" s="213"/>
      <c r="AR61" s="213"/>
      <c r="AS61" s="213"/>
      <c r="AT61" s="213"/>
      <c r="AU61" s="213"/>
      <c r="AV61" s="213"/>
      <c r="AW61" s="213"/>
      <c r="AX61" s="213"/>
      <c r="AY61" s="213"/>
      <c r="AZ61" s="213"/>
      <c r="BA61" s="213"/>
      <c r="BB61" s="213"/>
    </row>
    <row r="62" spans="1:54" ht="18.75" customHeight="1">
      <c r="A62" s="214"/>
      <c r="B62" s="213"/>
      <c r="C62" s="418" t="s">
        <v>415</v>
      </c>
      <c r="D62" s="418"/>
      <c r="E62" s="418"/>
      <c r="F62" s="212" t="s">
        <v>412</v>
      </c>
      <c r="G62" s="213" t="str">
        <f>B4&amp;"와 "&amp;H4&amp;"의 온도차이"</f>
        <v>스텝 게이지와 게이지 블록의 온도차이</v>
      </c>
      <c r="H62" s="213"/>
      <c r="I62" s="213"/>
      <c r="J62" s="213"/>
      <c r="K62" s="213"/>
      <c r="L62" s="213"/>
      <c r="M62" s="213"/>
      <c r="N62" s="213"/>
      <c r="O62" s="213"/>
      <c r="P62" s="213"/>
      <c r="Q62" s="213"/>
      <c r="U62" s="213"/>
      <c r="V62" s="213"/>
      <c r="W62" s="213"/>
      <c r="X62" s="213"/>
      <c r="Y62" s="213"/>
      <c r="Z62" s="213"/>
      <c r="AA62" s="213"/>
      <c r="AB62" s="213"/>
      <c r="AC62" s="213"/>
      <c r="AD62" s="213"/>
      <c r="AE62" s="213"/>
      <c r="AF62" s="213"/>
      <c r="AG62" s="213"/>
      <c r="AH62" s="213"/>
      <c r="AI62" s="213"/>
      <c r="AJ62" s="213"/>
      <c r="AK62" s="213"/>
      <c r="AL62" s="213"/>
      <c r="AM62" s="213"/>
      <c r="AN62" s="213"/>
      <c r="AO62" s="213"/>
      <c r="AP62" s="213"/>
      <c r="AQ62" s="213"/>
      <c r="AR62" s="213"/>
      <c r="AS62" s="213"/>
      <c r="AT62" s="213"/>
      <c r="AU62" s="213"/>
      <c r="AV62" s="213"/>
      <c r="AW62" s="213"/>
      <c r="AX62" s="213"/>
      <c r="AY62" s="213"/>
      <c r="AZ62" s="213"/>
      <c r="BA62" s="213"/>
      <c r="BB62" s="213"/>
    </row>
    <row r="63" spans="1:54" ht="18.75" customHeight="1">
      <c r="A63" s="214"/>
      <c r="B63" s="213"/>
      <c r="C63" s="418" t="s">
        <v>416</v>
      </c>
      <c r="D63" s="418"/>
      <c r="E63" s="418"/>
      <c r="F63" s="212" t="s">
        <v>410</v>
      </c>
      <c r="G63" s="213" t="str">
        <f>B4&amp;"와 "&amp;H4&amp;"의 열팽창계수 차이"</f>
        <v>스텝 게이지와 게이지 블록의 열팽창계수 차이</v>
      </c>
      <c r="H63" s="213"/>
      <c r="I63" s="213"/>
      <c r="J63" s="213"/>
      <c r="K63" s="213"/>
      <c r="L63" s="213"/>
      <c r="M63" s="213"/>
      <c r="N63" s="213"/>
      <c r="O63" s="213"/>
      <c r="P63" s="213"/>
      <c r="Q63" s="213"/>
      <c r="U63" s="213"/>
      <c r="V63" s="213"/>
      <c r="W63" s="213"/>
      <c r="X63" s="213"/>
      <c r="Y63" s="213"/>
      <c r="Z63" s="213"/>
      <c r="AA63" s="213"/>
      <c r="AB63" s="213"/>
      <c r="AC63" s="213"/>
      <c r="AD63" s="213"/>
      <c r="AE63" s="213"/>
      <c r="AF63" s="213"/>
      <c r="AG63" s="213"/>
      <c r="AH63" s="213"/>
      <c r="AI63" s="213"/>
      <c r="AJ63" s="213"/>
      <c r="AK63" s="213"/>
      <c r="AL63" s="213"/>
      <c r="AM63" s="213"/>
      <c r="AN63" s="213"/>
      <c r="AO63" s="213"/>
      <c r="AP63" s="213"/>
      <c r="AQ63" s="213"/>
      <c r="AR63" s="213"/>
      <c r="AS63" s="213"/>
      <c r="AT63" s="213"/>
      <c r="AU63" s="213"/>
      <c r="AV63" s="213"/>
      <c r="AW63" s="213"/>
      <c r="AX63" s="213"/>
      <c r="AY63" s="213"/>
      <c r="AZ63" s="213"/>
      <c r="BA63" s="213"/>
      <c r="BB63" s="213"/>
    </row>
    <row r="64" spans="1:54" ht="18.75" customHeight="1">
      <c r="A64" s="214"/>
      <c r="B64" s="213"/>
      <c r="C64" s="418" t="s">
        <v>417</v>
      </c>
      <c r="D64" s="418"/>
      <c r="E64" s="418"/>
      <c r="F64" s="212" t="s">
        <v>412</v>
      </c>
      <c r="G64" s="213" t="str">
        <f>B4&amp;"와 "&amp;H4&amp;"의 평균 온도값과 기준온도와의 차"</f>
        <v>스텝 게이지와 게이지 블록의 평균 온도값과 기준온도와의 차</v>
      </c>
      <c r="H64" s="213"/>
      <c r="I64" s="213"/>
      <c r="J64" s="213"/>
      <c r="K64" s="213"/>
      <c r="L64" s="213"/>
      <c r="M64" s="213"/>
      <c r="N64" s="213"/>
      <c r="O64" s="213"/>
      <c r="P64" s="213"/>
      <c r="Q64" s="213"/>
      <c r="U64" s="213"/>
      <c r="V64" s="213"/>
      <c r="W64" s="213"/>
      <c r="X64" s="213"/>
      <c r="Y64" s="213"/>
      <c r="Z64" s="213"/>
      <c r="AA64" s="213"/>
      <c r="AB64" s="213"/>
      <c r="AC64" s="213"/>
      <c r="AD64" s="213"/>
      <c r="AE64" s="213"/>
      <c r="AF64" s="213"/>
      <c r="AG64" s="213"/>
      <c r="AH64" s="213"/>
      <c r="AI64" s="213"/>
      <c r="AJ64" s="213"/>
      <c r="AK64" s="213"/>
      <c r="AL64" s="213"/>
      <c r="AM64" s="213"/>
      <c r="AN64" s="213"/>
      <c r="AO64" s="213"/>
      <c r="AP64" s="213"/>
      <c r="AQ64" s="213"/>
      <c r="AR64" s="213"/>
      <c r="AS64" s="213"/>
      <c r="AT64" s="213"/>
      <c r="AU64" s="213"/>
      <c r="AV64" s="213"/>
      <c r="AW64" s="213"/>
      <c r="AX64" s="213"/>
      <c r="AY64" s="213"/>
      <c r="AZ64" s="213"/>
      <c r="BA64" s="213"/>
      <c r="BB64" s="213"/>
    </row>
    <row r="65" spans="1:69" ht="18.75" customHeight="1">
      <c r="A65" s="214"/>
      <c r="B65" s="213"/>
      <c r="C65" s="418" t="s">
        <v>418</v>
      </c>
      <c r="D65" s="418"/>
      <c r="E65" s="418"/>
      <c r="F65" s="212" t="s">
        <v>410</v>
      </c>
      <c r="G65" s="213" t="str">
        <f>N4&amp;"의 분해능 한계 등에 의한 보정값"</f>
        <v>전기 마이크로미터의 분해능 한계 등에 의한 보정값</v>
      </c>
      <c r="H65" s="213"/>
      <c r="I65" s="213"/>
      <c r="J65" s="213"/>
      <c r="K65" s="213"/>
      <c r="L65" s="213"/>
      <c r="M65" s="213"/>
      <c r="N65" s="213"/>
      <c r="O65" s="213"/>
      <c r="P65" s="213"/>
      <c r="Q65" s="213"/>
      <c r="U65" s="213"/>
      <c r="V65" s="213"/>
      <c r="W65" s="213"/>
      <c r="X65" s="213"/>
      <c r="Y65" s="213"/>
      <c r="Z65" s="213"/>
      <c r="AA65" s="213"/>
      <c r="AB65" s="213"/>
      <c r="AC65" s="213"/>
      <c r="AD65" s="213"/>
      <c r="AE65" s="213"/>
      <c r="AF65" s="213"/>
      <c r="AG65" s="213"/>
      <c r="AH65" s="213"/>
      <c r="AI65" s="213"/>
      <c r="AJ65" s="213"/>
      <c r="AK65" s="213"/>
      <c r="AL65" s="213"/>
      <c r="AM65" s="213"/>
      <c r="AN65" s="213"/>
      <c r="AO65" s="213"/>
      <c r="AP65" s="213"/>
      <c r="AQ65" s="213"/>
      <c r="AR65" s="213"/>
      <c r="AS65" s="213"/>
      <c r="AT65" s="213"/>
      <c r="AU65" s="213"/>
      <c r="AV65" s="213"/>
      <c r="AW65" s="213"/>
      <c r="AX65" s="213"/>
      <c r="AY65" s="213"/>
      <c r="AZ65" s="213"/>
      <c r="BA65" s="213"/>
      <c r="BB65" s="213"/>
    </row>
    <row r="66" spans="1:69" ht="18.75" customHeight="1">
      <c r="A66" s="214"/>
      <c r="B66" s="213"/>
      <c r="C66" s="418" t="s">
        <v>419</v>
      </c>
      <c r="D66" s="418"/>
      <c r="E66" s="418"/>
      <c r="F66" s="212" t="s">
        <v>410</v>
      </c>
      <c r="G66" s="213" t="s">
        <v>420</v>
      </c>
      <c r="H66" s="213"/>
      <c r="I66" s="213"/>
      <c r="J66" s="213"/>
      <c r="K66" s="213"/>
      <c r="L66" s="213"/>
      <c r="M66" s="213"/>
      <c r="N66" s="213"/>
      <c r="O66" s="213"/>
      <c r="P66" s="213"/>
      <c r="Q66" s="213"/>
      <c r="U66" s="213"/>
      <c r="V66" s="213"/>
      <c r="W66" s="213"/>
      <c r="X66" s="213"/>
      <c r="Y66" s="213"/>
      <c r="Z66" s="213"/>
      <c r="AA66" s="213"/>
      <c r="AB66" s="213"/>
      <c r="AC66" s="213"/>
      <c r="AD66" s="213"/>
      <c r="AE66" s="213"/>
      <c r="AF66" s="213"/>
      <c r="AG66" s="213"/>
      <c r="AH66" s="213"/>
      <c r="AI66" s="213"/>
      <c r="AJ66" s="213"/>
      <c r="AK66" s="213"/>
      <c r="AL66" s="213"/>
      <c r="AM66" s="213"/>
      <c r="AN66" s="213"/>
      <c r="AO66" s="213"/>
      <c r="AP66" s="213"/>
      <c r="AQ66" s="213"/>
      <c r="AR66" s="213"/>
      <c r="AS66" s="213"/>
      <c r="AT66" s="213"/>
      <c r="AU66" s="213"/>
      <c r="AV66" s="213"/>
      <c r="AW66" s="213"/>
      <c r="AX66" s="213"/>
      <c r="AY66" s="213"/>
      <c r="AZ66" s="213"/>
      <c r="BA66" s="213"/>
      <c r="BB66" s="213"/>
    </row>
    <row r="67" spans="1:69" ht="18.75" customHeight="1">
      <c r="A67" s="214"/>
      <c r="B67" s="213"/>
      <c r="C67" s="418" t="s">
        <v>421</v>
      </c>
      <c r="D67" s="418"/>
      <c r="E67" s="418"/>
      <c r="F67" s="212" t="s">
        <v>422</v>
      </c>
      <c r="G67" s="213" t="s">
        <v>423</v>
      </c>
      <c r="H67" s="213"/>
      <c r="I67" s="213"/>
      <c r="J67" s="213"/>
      <c r="K67" s="213"/>
      <c r="L67" s="213"/>
      <c r="M67" s="213"/>
      <c r="N67" s="213"/>
      <c r="O67" s="213"/>
      <c r="P67" s="213"/>
      <c r="Q67" s="213"/>
      <c r="U67" s="213"/>
      <c r="V67" s="213"/>
      <c r="W67" s="213"/>
      <c r="X67" s="213"/>
      <c r="Y67" s="213"/>
      <c r="Z67" s="213"/>
      <c r="AA67" s="213"/>
      <c r="AB67" s="213"/>
      <c r="AC67" s="213"/>
      <c r="AD67" s="213"/>
      <c r="AE67" s="213"/>
      <c r="AF67" s="213"/>
      <c r="AG67" s="213"/>
      <c r="AH67" s="213"/>
      <c r="AI67" s="213"/>
      <c r="AJ67" s="213"/>
      <c r="AK67" s="213"/>
      <c r="AL67" s="213"/>
      <c r="AM67" s="213"/>
      <c r="AN67" s="213"/>
      <c r="AO67" s="213"/>
      <c r="AP67" s="213"/>
      <c r="AQ67" s="213"/>
      <c r="AR67" s="213"/>
      <c r="AS67" s="213"/>
      <c r="AT67" s="213"/>
      <c r="AU67" s="213"/>
      <c r="AV67" s="213"/>
      <c r="AW67" s="213"/>
      <c r="AX67" s="213"/>
      <c r="AY67" s="213"/>
      <c r="AZ67" s="213"/>
      <c r="BA67" s="213"/>
      <c r="BB67" s="213"/>
    </row>
    <row r="68" spans="1:69" ht="18.75" customHeight="1">
      <c r="A68" s="214"/>
      <c r="B68" s="213"/>
      <c r="C68" s="418" t="s">
        <v>424</v>
      </c>
      <c r="D68" s="418"/>
      <c r="E68" s="418"/>
      <c r="F68" s="212" t="s">
        <v>422</v>
      </c>
      <c r="G68" s="213" t="s">
        <v>425</v>
      </c>
      <c r="H68" s="213"/>
      <c r="I68" s="213"/>
      <c r="J68" s="213"/>
      <c r="K68" s="213"/>
      <c r="L68" s="213"/>
      <c r="M68" s="213"/>
      <c r="N68" s="213"/>
      <c r="O68" s="213"/>
      <c r="P68" s="213"/>
      <c r="Q68" s="213"/>
      <c r="U68" s="213"/>
      <c r="V68" s="213"/>
      <c r="W68" s="213"/>
      <c r="X68" s="213"/>
      <c r="Y68" s="213"/>
      <c r="Z68" s="213"/>
      <c r="AA68" s="213"/>
      <c r="AB68" s="213"/>
      <c r="AC68" s="213"/>
      <c r="AD68" s="213"/>
      <c r="AE68" s="213"/>
      <c r="AF68" s="213"/>
      <c r="AG68" s="213"/>
      <c r="AH68" s="213"/>
      <c r="AI68" s="213"/>
      <c r="AJ68" s="213"/>
      <c r="AK68" s="213"/>
      <c r="AL68" s="213"/>
      <c r="AM68" s="213"/>
      <c r="AN68" s="213"/>
      <c r="AO68" s="213"/>
      <c r="AP68" s="213"/>
      <c r="AQ68" s="213"/>
      <c r="AR68" s="213"/>
      <c r="AS68" s="213"/>
      <c r="AT68" s="213"/>
      <c r="AU68" s="213"/>
      <c r="AV68" s="213"/>
      <c r="AW68" s="213"/>
      <c r="AX68" s="213"/>
      <c r="AY68" s="213"/>
      <c r="AZ68" s="213"/>
      <c r="BA68" s="213"/>
      <c r="BB68" s="213"/>
    </row>
    <row r="69" spans="1:69" ht="18.75" customHeight="1">
      <c r="A69" s="214"/>
      <c r="B69" s="213"/>
      <c r="C69" s="418"/>
      <c r="D69" s="418"/>
      <c r="E69" s="418"/>
      <c r="G69" s="213"/>
      <c r="H69" s="213"/>
      <c r="I69" s="213"/>
      <c r="J69" s="213"/>
      <c r="K69" s="213"/>
      <c r="L69" s="213"/>
      <c r="M69" s="213"/>
      <c r="N69" s="213"/>
      <c r="O69" s="213"/>
      <c r="P69" s="213"/>
      <c r="Q69" s="213"/>
      <c r="R69" s="213"/>
      <c r="S69" s="213"/>
      <c r="T69" s="213"/>
      <c r="U69" s="213"/>
      <c r="V69" s="213"/>
      <c r="W69" s="213"/>
      <c r="X69" s="213"/>
      <c r="Y69" s="213"/>
      <c r="Z69" s="213"/>
      <c r="AA69" s="213"/>
      <c r="AB69" s="213"/>
      <c r="AC69" s="213"/>
      <c r="AD69" s="213"/>
      <c r="AE69" s="213"/>
      <c r="AF69" s="213"/>
      <c r="AG69" s="213"/>
      <c r="AH69" s="213"/>
      <c r="AI69" s="213"/>
      <c r="AJ69" s="213"/>
      <c r="AK69" s="213"/>
      <c r="AL69" s="213"/>
      <c r="AM69" s="213"/>
      <c r="AN69" s="213"/>
      <c r="AO69" s="213"/>
      <c r="AP69" s="213"/>
      <c r="AQ69" s="213"/>
      <c r="AR69" s="213"/>
      <c r="AS69" s="213"/>
      <c r="AT69" s="213"/>
      <c r="AU69" s="213"/>
      <c r="AV69" s="213"/>
      <c r="AW69" s="213"/>
      <c r="AX69" s="213"/>
      <c r="AY69" s="213"/>
      <c r="AZ69" s="213"/>
      <c r="BA69" s="213"/>
      <c r="BB69" s="213"/>
      <c r="BD69" s="216"/>
      <c r="BE69" s="216"/>
      <c r="BF69" s="216"/>
      <c r="BG69" s="216"/>
      <c r="BH69" s="216"/>
      <c r="BI69" s="216"/>
      <c r="BJ69" s="216"/>
      <c r="BK69" s="216"/>
      <c r="BL69" s="216"/>
      <c r="BM69" s="216"/>
      <c r="BN69" s="216"/>
      <c r="BO69" s="216"/>
      <c r="BP69" s="216"/>
      <c r="BQ69" s="216"/>
    </row>
    <row r="70" spans="1:69" ht="18.75" customHeight="1">
      <c r="A70" s="211" t="s">
        <v>426</v>
      </c>
      <c r="B70" s="213"/>
      <c r="C70" s="213"/>
      <c r="D70" s="213"/>
      <c r="E70" s="213"/>
      <c r="F70" s="213"/>
      <c r="G70" s="213"/>
      <c r="H70" s="213"/>
      <c r="I70" s="213"/>
      <c r="J70" s="213"/>
      <c r="K70" s="213"/>
      <c r="L70" s="213"/>
      <c r="M70" s="213"/>
      <c r="N70" s="213"/>
      <c r="O70" s="213"/>
      <c r="P70" s="213"/>
      <c r="Q70" s="213"/>
      <c r="R70" s="213"/>
      <c r="S70" s="213"/>
      <c r="T70" s="213"/>
      <c r="U70" s="213"/>
      <c r="V70" s="213"/>
      <c r="W70" s="213"/>
      <c r="X70" s="213"/>
      <c r="Y70" s="213"/>
      <c r="Z70" s="213"/>
      <c r="AA70" s="213"/>
      <c r="AB70" s="213"/>
      <c r="AC70" s="213"/>
      <c r="AD70" s="213"/>
      <c r="AE70" s="213"/>
      <c r="AF70" s="213"/>
      <c r="AG70" s="213"/>
      <c r="AH70" s="213"/>
      <c r="AI70" s="213"/>
      <c r="AJ70" s="213"/>
      <c r="AK70" s="213"/>
      <c r="AL70" s="213"/>
      <c r="AM70" s="213"/>
      <c r="AN70" s="213"/>
      <c r="AO70" s="213"/>
      <c r="AP70" s="213"/>
      <c r="AQ70" s="213"/>
      <c r="AR70" s="213"/>
      <c r="AS70" s="213"/>
      <c r="AT70" s="213"/>
    </row>
    <row r="71" spans="1:69" ht="18.75" customHeight="1">
      <c r="A71" s="213"/>
      <c r="B71" s="213"/>
      <c r="C71" s="213"/>
      <c r="D71" s="213"/>
      <c r="E71" s="213"/>
      <c r="F71" s="213"/>
      <c r="G71" s="213"/>
      <c r="H71" s="213"/>
      <c r="I71" s="213"/>
      <c r="J71" s="213"/>
      <c r="K71" s="213"/>
      <c r="L71" s="213"/>
      <c r="M71" s="213"/>
      <c r="N71" s="213"/>
      <c r="O71" s="213"/>
      <c r="P71" s="213"/>
      <c r="Q71" s="213"/>
      <c r="R71" s="213"/>
      <c r="S71" s="213"/>
      <c r="T71" s="213"/>
      <c r="U71" s="213"/>
      <c r="V71" s="213"/>
      <c r="W71" s="213"/>
      <c r="X71" s="213"/>
      <c r="Y71" s="213"/>
      <c r="Z71" s="213"/>
      <c r="AA71" s="213"/>
      <c r="AB71" s="213"/>
      <c r="AC71" s="213"/>
      <c r="AD71" s="213"/>
      <c r="AE71" s="213"/>
      <c r="AF71" s="213"/>
      <c r="AG71" s="213"/>
      <c r="AH71" s="213"/>
      <c r="AI71" s="213"/>
      <c r="AJ71" s="213"/>
      <c r="AK71" s="213"/>
      <c r="AL71" s="213"/>
      <c r="AM71" s="213"/>
      <c r="AN71" s="213"/>
      <c r="AO71" s="213"/>
      <c r="AP71" s="213"/>
      <c r="AQ71" s="213"/>
      <c r="AR71" s="213"/>
      <c r="AS71" s="213"/>
      <c r="AT71" s="213"/>
    </row>
    <row r="72" spans="1:69" ht="18.75" customHeight="1">
      <c r="A72" s="213"/>
      <c r="B72" s="213"/>
      <c r="C72" s="213" t="s">
        <v>427</v>
      </c>
      <c r="D72" s="213"/>
      <c r="E72" s="213"/>
      <c r="F72" s="213"/>
      <c r="G72" s="213"/>
      <c r="H72" s="213"/>
      <c r="I72" s="213"/>
      <c r="J72" s="213"/>
      <c r="K72" s="213"/>
      <c r="L72" s="213"/>
      <c r="M72" s="213"/>
      <c r="N72" s="213"/>
      <c r="O72" s="213"/>
      <c r="P72" s="213"/>
      <c r="Q72" s="213"/>
      <c r="R72" s="213"/>
      <c r="S72" s="213"/>
      <c r="T72" s="213"/>
      <c r="U72" s="213"/>
      <c r="V72" s="213"/>
      <c r="W72" s="213"/>
      <c r="X72" s="213"/>
      <c r="Y72" s="213"/>
      <c r="Z72" s="213"/>
      <c r="AA72" s="213"/>
      <c r="AB72" s="213"/>
      <c r="AC72" s="213"/>
      <c r="AD72" s="213"/>
      <c r="AE72" s="213"/>
      <c r="AF72" s="213"/>
      <c r="AG72" s="213"/>
      <c r="AH72" s="213"/>
      <c r="AI72" s="213"/>
      <c r="AJ72" s="213"/>
      <c r="AK72" s="213"/>
      <c r="AL72" s="213"/>
      <c r="AM72" s="213"/>
      <c r="AN72" s="213"/>
      <c r="AO72" s="213"/>
      <c r="AP72" s="213"/>
      <c r="AQ72" s="213"/>
      <c r="AR72" s="213"/>
      <c r="AS72" s="213"/>
      <c r="AT72" s="213"/>
    </row>
    <row r="73" spans="1:69" ht="18.75" customHeight="1">
      <c r="A73" s="213"/>
      <c r="B73" s="213"/>
      <c r="C73" s="213"/>
      <c r="D73" s="213"/>
      <c r="E73" s="213"/>
      <c r="F73" s="213"/>
      <c r="G73" s="213"/>
      <c r="H73" s="213"/>
      <c r="I73" s="213"/>
      <c r="J73" s="213"/>
      <c r="K73" s="213"/>
      <c r="L73" s="213"/>
      <c r="M73" s="213"/>
      <c r="N73" s="213"/>
      <c r="O73" s="213"/>
      <c r="P73" s="213"/>
      <c r="Q73" s="213"/>
      <c r="R73" s="213"/>
      <c r="S73" s="213"/>
      <c r="T73" s="213"/>
      <c r="U73" s="213"/>
      <c r="V73" s="213"/>
      <c r="W73" s="213"/>
      <c r="X73" s="213"/>
      <c r="Y73" s="213"/>
      <c r="Z73" s="213"/>
      <c r="AA73" s="213"/>
      <c r="AB73" s="213"/>
      <c r="AC73" s="213"/>
      <c r="AD73" s="213"/>
      <c r="AE73" s="213"/>
      <c r="AF73" s="213"/>
      <c r="AG73" s="213"/>
      <c r="AH73" s="213"/>
      <c r="AI73" s="213"/>
      <c r="AJ73" s="213"/>
      <c r="AK73" s="213"/>
      <c r="AL73" s="213"/>
      <c r="AM73" s="213"/>
      <c r="AN73" s="213"/>
      <c r="AO73" s="213"/>
      <c r="AP73" s="213"/>
      <c r="AQ73" s="213"/>
      <c r="AR73" s="213"/>
      <c r="AS73" s="213"/>
      <c r="AT73" s="213"/>
    </row>
    <row r="74" spans="1:69" ht="18.75" customHeight="1">
      <c r="A74" s="213"/>
      <c r="B74" s="213"/>
      <c r="C74" s="213"/>
      <c r="D74" s="213"/>
      <c r="E74" s="213"/>
      <c r="F74" s="213"/>
      <c r="G74" s="213"/>
      <c r="H74" s="213"/>
      <c r="I74" s="213"/>
      <c r="J74" s="213"/>
      <c r="K74" s="213"/>
      <c r="L74" s="213"/>
      <c r="M74" s="213"/>
      <c r="N74" s="213"/>
      <c r="O74" s="213"/>
      <c r="P74" s="213"/>
      <c r="Q74" s="213"/>
      <c r="R74" s="213"/>
      <c r="S74" s="213"/>
      <c r="T74" s="213"/>
      <c r="U74" s="213"/>
      <c r="V74" s="213"/>
      <c r="W74" s="213"/>
      <c r="X74" s="213"/>
      <c r="Y74" s="213"/>
      <c r="Z74" s="213"/>
      <c r="AA74" s="213"/>
      <c r="AB74" s="213"/>
      <c r="AC74" s="213"/>
      <c r="AD74" s="213"/>
      <c r="AE74" s="213"/>
      <c r="AF74" s="213"/>
      <c r="AG74" s="213"/>
      <c r="AH74" s="213"/>
      <c r="AI74" s="213"/>
      <c r="AJ74" s="213"/>
      <c r="AK74" s="213"/>
      <c r="AL74" s="213"/>
      <c r="AM74" s="213"/>
      <c r="AN74" s="213"/>
      <c r="AO74" s="213"/>
      <c r="AP74" s="213"/>
      <c r="AQ74" s="213"/>
      <c r="AR74" s="213"/>
      <c r="AS74" s="213"/>
      <c r="AT74" s="213"/>
    </row>
    <row r="75" spans="1:69" ht="18.75" customHeight="1">
      <c r="A75" s="213"/>
      <c r="B75" s="213"/>
      <c r="C75" s="213"/>
      <c r="D75" s="213"/>
      <c r="E75" s="213"/>
      <c r="F75" s="213"/>
      <c r="G75" s="213"/>
      <c r="H75" s="213"/>
      <c r="I75" s="213"/>
      <c r="J75" s="213"/>
      <c r="K75" s="213"/>
      <c r="L75" s="213"/>
      <c r="M75" s="213"/>
      <c r="N75" s="213"/>
      <c r="O75" s="213"/>
      <c r="P75" s="213"/>
      <c r="Q75" s="213"/>
      <c r="R75" s="213"/>
      <c r="S75" s="213"/>
      <c r="T75" s="213"/>
      <c r="U75" s="213"/>
      <c r="V75" s="213"/>
      <c r="W75" s="213"/>
      <c r="X75" s="213"/>
      <c r="Y75" s="213"/>
      <c r="Z75" s="213"/>
      <c r="AA75" s="213"/>
      <c r="AB75" s="213"/>
      <c r="AC75" s="213"/>
      <c r="AD75" s="213"/>
      <c r="AE75" s="213"/>
      <c r="AF75" s="213"/>
      <c r="AG75" s="213"/>
      <c r="AH75" s="213"/>
      <c r="AI75" s="213"/>
      <c r="AJ75" s="213"/>
      <c r="AK75" s="213"/>
      <c r="AL75" s="213"/>
      <c r="AM75" s="213"/>
      <c r="AN75" s="213"/>
      <c r="AO75" s="213"/>
      <c r="AP75" s="213"/>
      <c r="AQ75" s="213"/>
      <c r="AR75" s="213"/>
      <c r="AS75" s="213"/>
      <c r="AT75" s="213"/>
    </row>
    <row r="76" spans="1:69" ht="18.75" customHeight="1">
      <c r="A76" s="213"/>
      <c r="B76" s="213"/>
      <c r="C76" s="213"/>
      <c r="D76" s="213"/>
      <c r="E76" s="213"/>
      <c r="F76" s="213"/>
      <c r="G76" s="213"/>
      <c r="H76" s="213"/>
      <c r="I76" s="213"/>
      <c r="J76" s="213"/>
      <c r="K76" s="213"/>
      <c r="L76" s="213"/>
      <c r="M76" s="213"/>
      <c r="N76" s="213"/>
      <c r="O76" s="213"/>
      <c r="P76" s="213"/>
      <c r="Q76" s="213"/>
      <c r="R76" s="213"/>
      <c r="S76" s="213"/>
      <c r="T76" s="213"/>
      <c r="U76" s="213"/>
      <c r="V76" s="213"/>
      <c r="W76" s="213"/>
      <c r="X76" s="213"/>
      <c r="Y76" s="213"/>
      <c r="Z76" s="213"/>
      <c r="AA76" s="213"/>
      <c r="AB76" s="213"/>
      <c r="AC76" s="213"/>
      <c r="AD76" s="213"/>
      <c r="AE76" s="213"/>
      <c r="AF76" s="213"/>
      <c r="AG76" s="213"/>
      <c r="AH76" s="213"/>
      <c r="AI76" s="213"/>
      <c r="AJ76" s="213"/>
      <c r="AK76" s="213"/>
      <c r="AL76" s="213"/>
      <c r="AM76" s="213"/>
      <c r="AN76" s="213"/>
      <c r="AO76" s="213"/>
      <c r="AP76" s="213"/>
      <c r="AQ76" s="213"/>
      <c r="AR76" s="213"/>
      <c r="AS76" s="213"/>
      <c r="AT76" s="213"/>
    </row>
    <row r="78" spans="1:69" ht="18.75" customHeight="1">
      <c r="A78" s="217" t="s">
        <v>428</v>
      </c>
      <c r="B78" s="213"/>
      <c r="C78" s="213"/>
      <c r="D78" s="213"/>
      <c r="E78" s="213"/>
      <c r="F78" s="213"/>
      <c r="G78" s="213"/>
      <c r="H78" s="213"/>
      <c r="I78" s="213"/>
      <c r="J78" s="213"/>
      <c r="K78" s="213"/>
      <c r="L78" s="213"/>
      <c r="M78" s="213"/>
      <c r="N78" s="213"/>
      <c r="O78" s="213"/>
      <c r="P78" s="213"/>
      <c r="Q78" s="213"/>
      <c r="R78" s="213"/>
      <c r="S78" s="213"/>
      <c r="T78" s="213"/>
      <c r="U78" s="213"/>
      <c r="V78" s="213"/>
      <c r="W78" s="213"/>
      <c r="X78" s="213"/>
      <c r="Y78" s="213"/>
      <c r="Z78" s="213"/>
      <c r="AA78" s="213"/>
      <c r="AB78" s="213"/>
      <c r="AC78" s="213"/>
      <c r="AD78" s="213"/>
      <c r="AE78" s="213"/>
      <c r="AF78" s="213"/>
      <c r="AG78" s="213"/>
      <c r="AH78" s="213"/>
      <c r="AI78" s="213"/>
      <c r="AJ78" s="213"/>
      <c r="AK78" s="213"/>
      <c r="AL78" s="213"/>
      <c r="AM78" s="213"/>
      <c r="AN78" s="213"/>
      <c r="AO78" s="213"/>
      <c r="AP78" s="213"/>
      <c r="AQ78" s="213"/>
      <c r="AR78" s="213"/>
      <c r="AS78" s="213"/>
      <c r="AT78" s="213"/>
    </row>
    <row r="79" spans="1:69" ht="18.75" customHeight="1">
      <c r="A79" s="213"/>
      <c r="B79" s="487"/>
      <c r="C79" s="488"/>
      <c r="D79" s="449"/>
      <c r="E79" s="450"/>
      <c r="F79" s="450"/>
      <c r="G79" s="451"/>
      <c r="H79" s="457">
        <v>1</v>
      </c>
      <c r="I79" s="457"/>
      <c r="J79" s="457"/>
      <c r="K79" s="457"/>
      <c r="L79" s="457"/>
      <c r="M79" s="457"/>
      <c r="N79" s="457"/>
      <c r="O79" s="449">
        <v>2</v>
      </c>
      <c r="P79" s="450"/>
      <c r="Q79" s="450"/>
      <c r="R79" s="450"/>
      <c r="S79" s="450"/>
      <c r="T79" s="450"/>
      <c r="U79" s="450"/>
      <c r="V79" s="450"/>
      <c r="W79" s="450"/>
      <c r="X79" s="450"/>
      <c r="Y79" s="450"/>
      <c r="Z79" s="450"/>
      <c r="AA79" s="451"/>
      <c r="AB79" s="457">
        <v>3</v>
      </c>
      <c r="AC79" s="457"/>
      <c r="AD79" s="457"/>
      <c r="AE79" s="457"/>
      <c r="AF79" s="457"/>
      <c r="AG79" s="449">
        <v>4</v>
      </c>
      <c r="AH79" s="450"/>
      <c r="AI79" s="450"/>
      <c r="AJ79" s="450"/>
      <c r="AK79" s="450"/>
      <c r="AL79" s="450"/>
      <c r="AM79" s="450"/>
      <c r="AN79" s="450"/>
      <c r="AO79" s="451"/>
      <c r="AP79" s="449">
        <v>5</v>
      </c>
      <c r="AQ79" s="450"/>
      <c r="AR79" s="450"/>
      <c r="AS79" s="450"/>
      <c r="AT79" s="450"/>
      <c r="AU79" s="450"/>
      <c r="AV79" s="450"/>
      <c r="AW79" s="450"/>
      <c r="AX79" s="450"/>
      <c r="AY79" s="450"/>
      <c r="AZ79" s="450"/>
      <c r="BA79" s="450"/>
      <c r="BB79" s="451"/>
      <c r="BC79" s="457">
        <v>6</v>
      </c>
      <c r="BD79" s="457"/>
      <c r="BE79" s="457"/>
      <c r="BF79" s="457"/>
    </row>
    <row r="80" spans="1:69" ht="18.75" customHeight="1">
      <c r="A80" s="213"/>
      <c r="B80" s="492"/>
      <c r="C80" s="493"/>
      <c r="D80" s="487" t="s">
        <v>241</v>
      </c>
      <c r="E80" s="397"/>
      <c r="F80" s="397"/>
      <c r="G80" s="488"/>
      <c r="H80" s="489" t="s">
        <v>242</v>
      </c>
      <c r="I80" s="489"/>
      <c r="J80" s="489"/>
      <c r="K80" s="489"/>
      <c r="L80" s="489"/>
      <c r="M80" s="489"/>
      <c r="N80" s="489"/>
      <c r="O80" s="487" t="s">
        <v>429</v>
      </c>
      <c r="P80" s="397"/>
      <c r="Q80" s="397"/>
      <c r="R80" s="397"/>
      <c r="S80" s="397"/>
      <c r="T80" s="397"/>
      <c r="U80" s="397"/>
      <c r="V80" s="397"/>
      <c r="W80" s="397"/>
      <c r="X80" s="397"/>
      <c r="Y80" s="397"/>
      <c r="Z80" s="397"/>
      <c r="AA80" s="488"/>
      <c r="AB80" s="489" t="s">
        <v>430</v>
      </c>
      <c r="AC80" s="489"/>
      <c r="AD80" s="489"/>
      <c r="AE80" s="489"/>
      <c r="AF80" s="489"/>
      <c r="AG80" s="487" t="s">
        <v>431</v>
      </c>
      <c r="AH80" s="397"/>
      <c r="AI80" s="397"/>
      <c r="AJ80" s="397"/>
      <c r="AK80" s="397"/>
      <c r="AL80" s="397"/>
      <c r="AM80" s="397"/>
      <c r="AN80" s="397"/>
      <c r="AO80" s="488"/>
      <c r="AP80" s="487" t="s">
        <v>432</v>
      </c>
      <c r="AQ80" s="397"/>
      <c r="AR80" s="397"/>
      <c r="AS80" s="397"/>
      <c r="AT80" s="397"/>
      <c r="AU80" s="397"/>
      <c r="AV80" s="397"/>
      <c r="AW80" s="397"/>
      <c r="AX80" s="397"/>
      <c r="AY80" s="397"/>
      <c r="AZ80" s="397"/>
      <c r="BA80" s="397"/>
      <c r="BB80" s="488"/>
      <c r="BC80" s="489" t="s">
        <v>433</v>
      </c>
      <c r="BD80" s="489"/>
      <c r="BE80" s="489"/>
      <c r="BF80" s="489"/>
    </row>
    <row r="81" spans="1:58" ht="18.75" customHeight="1">
      <c r="A81" s="213"/>
      <c r="B81" s="494"/>
      <c r="C81" s="495"/>
      <c r="D81" s="496" t="s">
        <v>434</v>
      </c>
      <c r="E81" s="420"/>
      <c r="F81" s="420"/>
      <c r="G81" s="497"/>
      <c r="H81" s="498" t="s">
        <v>435</v>
      </c>
      <c r="I81" s="498"/>
      <c r="J81" s="498"/>
      <c r="K81" s="498"/>
      <c r="L81" s="498"/>
      <c r="M81" s="498"/>
      <c r="N81" s="498"/>
      <c r="O81" s="499" t="s">
        <v>436</v>
      </c>
      <c r="P81" s="500"/>
      <c r="Q81" s="500"/>
      <c r="R81" s="500"/>
      <c r="S81" s="500"/>
      <c r="T81" s="500"/>
      <c r="U81" s="500"/>
      <c r="V81" s="500"/>
      <c r="W81" s="500"/>
      <c r="X81" s="500"/>
      <c r="Y81" s="500"/>
      <c r="Z81" s="500"/>
      <c r="AA81" s="501"/>
      <c r="AB81" s="498"/>
      <c r="AC81" s="498"/>
      <c r="AD81" s="498"/>
      <c r="AE81" s="498"/>
      <c r="AF81" s="498"/>
      <c r="AG81" s="499" t="s">
        <v>437</v>
      </c>
      <c r="AH81" s="500"/>
      <c r="AI81" s="500"/>
      <c r="AJ81" s="500"/>
      <c r="AK81" s="500"/>
      <c r="AL81" s="500"/>
      <c r="AM81" s="500"/>
      <c r="AN81" s="500"/>
      <c r="AO81" s="501"/>
      <c r="AP81" s="499" t="s">
        <v>438</v>
      </c>
      <c r="AQ81" s="500"/>
      <c r="AR81" s="500"/>
      <c r="AS81" s="500"/>
      <c r="AT81" s="500"/>
      <c r="AU81" s="500"/>
      <c r="AV81" s="500"/>
      <c r="AW81" s="500"/>
      <c r="AX81" s="500"/>
      <c r="AY81" s="500"/>
      <c r="AZ81" s="500"/>
      <c r="BA81" s="500"/>
      <c r="BB81" s="501"/>
      <c r="BC81" s="498"/>
      <c r="BD81" s="498"/>
      <c r="BE81" s="498"/>
      <c r="BF81" s="498"/>
    </row>
    <row r="82" spans="1:58" ht="18.75" customHeight="1">
      <c r="A82" s="213"/>
      <c r="B82" s="457" t="s">
        <v>439</v>
      </c>
      <c r="C82" s="457"/>
      <c r="D82" s="458" t="s">
        <v>440</v>
      </c>
      <c r="E82" s="459"/>
      <c r="F82" s="459"/>
      <c r="G82" s="460"/>
      <c r="H82" s="461" t="e">
        <f ca="1">Calcu!E33</f>
        <v>#N/A</v>
      </c>
      <c r="I82" s="462"/>
      <c r="J82" s="462"/>
      <c r="K82" s="462"/>
      <c r="L82" s="462"/>
      <c r="M82" s="463" t="str">
        <f>Calcu!F33</f>
        <v>mm</v>
      </c>
      <c r="N82" s="464"/>
      <c r="O82" s="490" t="e">
        <f ca="1">Calcu!J33</f>
        <v>#N/A</v>
      </c>
      <c r="P82" s="491"/>
      <c r="Q82" s="491"/>
      <c r="R82" s="218"/>
      <c r="S82" s="486" t="e">
        <f ca="1">Calcu!K33</f>
        <v>#N/A</v>
      </c>
      <c r="T82" s="486"/>
      <c r="U82" s="486"/>
      <c r="V82" s="486"/>
      <c r="W82" s="219"/>
      <c r="X82" s="219"/>
      <c r="Y82" s="219"/>
      <c r="Z82" s="455" t="str">
        <f>Calcu!L33</f>
        <v>μm</v>
      </c>
      <c r="AA82" s="456"/>
      <c r="AB82" s="457" t="str">
        <f>Calcu!M33</f>
        <v>정규</v>
      </c>
      <c r="AC82" s="457"/>
      <c r="AD82" s="457"/>
      <c r="AE82" s="457"/>
      <c r="AF82" s="457"/>
      <c r="AG82" s="449">
        <f>Calcu!P33</f>
        <v>1</v>
      </c>
      <c r="AH82" s="450"/>
      <c r="AI82" s="450"/>
      <c r="AJ82" s="450"/>
      <c r="AK82" s="450"/>
      <c r="AL82" s="450"/>
      <c r="AM82" s="450"/>
      <c r="AN82" s="450"/>
      <c r="AO82" s="451"/>
      <c r="AP82" s="490" t="e">
        <f ca="1">Calcu!R33</f>
        <v>#N/A</v>
      </c>
      <c r="AQ82" s="491"/>
      <c r="AR82" s="491"/>
      <c r="AS82" s="218"/>
      <c r="AT82" s="462" t="e">
        <f ca="1">Calcu!S33</f>
        <v>#N/A</v>
      </c>
      <c r="AU82" s="462"/>
      <c r="AV82" s="462"/>
      <c r="AW82" s="462"/>
      <c r="AX82" s="219"/>
      <c r="AY82" s="219"/>
      <c r="AZ82" s="219"/>
      <c r="BA82" s="455" t="str">
        <f>Calcu!T33</f>
        <v>μm</v>
      </c>
      <c r="BB82" s="456"/>
      <c r="BC82" s="457" t="str">
        <f>Calcu!U33</f>
        <v>∞</v>
      </c>
      <c r="BD82" s="457"/>
      <c r="BE82" s="457"/>
      <c r="BF82" s="457"/>
    </row>
    <row r="83" spans="1:58" ht="18.75" customHeight="1">
      <c r="A83" s="213"/>
      <c r="B83" s="457" t="s">
        <v>258</v>
      </c>
      <c r="C83" s="457"/>
      <c r="D83" s="458" t="s">
        <v>413</v>
      </c>
      <c r="E83" s="459"/>
      <c r="F83" s="459"/>
      <c r="G83" s="460"/>
      <c r="H83" s="461" t="e">
        <f ca="1">Calcu!E34</f>
        <v>#N/A</v>
      </c>
      <c r="I83" s="462"/>
      <c r="J83" s="462"/>
      <c r="K83" s="462"/>
      <c r="L83" s="462"/>
      <c r="M83" s="463" t="str">
        <f>Calcu!F34</f>
        <v>mm</v>
      </c>
      <c r="N83" s="464"/>
      <c r="O83" s="468">
        <f>Calcu!J34</f>
        <v>0</v>
      </c>
      <c r="P83" s="469"/>
      <c r="Q83" s="469"/>
      <c r="R83" s="469"/>
      <c r="S83" s="469"/>
      <c r="T83" s="469"/>
      <c r="U83" s="469"/>
      <c r="V83" s="470" t="str">
        <f>Calcu!L34</f>
        <v>μm</v>
      </c>
      <c r="W83" s="470"/>
      <c r="X83" s="470"/>
      <c r="Y83" s="470"/>
      <c r="Z83" s="470"/>
      <c r="AA83" s="471"/>
      <c r="AB83" s="457" t="str">
        <f>Calcu!M34</f>
        <v>직사각형</v>
      </c>
      <c r="AC83" s="457"/>
      <c r="AD83" s="457"/>
      <c r="AE83" s="457"/>
      <c r="AF83" s="457"/>
      <c r="AG83" s="449">
        <f>Calcu!P34</f>
        <v>1</v>
      </c>
      <c r="AH83" s="450"/>
      <c r="AI83" s="450"/>
      <c r="AJ83" s="450"/>
      <c r="AK83" s="450"/>
      <c r="AL83" s="450"/>
      <c r="AM83" s="450"/>
      <c r="AN83" s="450"/>
      <c r="AO83" s="451"/>
      <c r="AP83" s="468">
        <f>Calcu!R34</f>
        <v>0</v>
      </c>
      <c r="AQ83" s="469"/>
      <c r="AR83" s="469"/>
      <c r="AS83" s="469"/>
      <c r="AT83" s="469"/>
      <c r="AU83" s="469">
        <v>0</v>
      </c>
      <c r="AV83" s="469"/>
      <c r="AW83" s="470" t="str">
        <f>Calcu!T34</f>
        <v>μm</v>
      </c>
      <c r="AX83" s="470"/>
      <c r="AY83" s="470"/>
      <c r="AZ83" s="470"/>
      <c r="BA83" s="470"/>
      <c r="BB83" s="471"/>
      <c r="BC83" s="457" t="str">
        <f>Calcu!U34</f>
        <v>∞</v>
      </c>
      <c r="BD83" s="457"/>
      <c r="BE83" s="457"/>
      <c r="BF83" s="457"/>
    </row>
    <row r="84" spans="1:58" ht="18.75" customHeight="1">
      <c r="A84" s="213"/>
      <c r="B84" s="457" t="s">
        <v>441</v>
      </c>
      <c r="C84" s="457"/>
      <c r="D84" s="458"/>
      <c r="E84" s="459"/>
      <c r="F84" s="459"/>
      <c r="G84" s="460"/>
      <c r="H84" s="461" t="e">
        <f ca="1">Calcu!E35</f>
        <v>#N/A</v>
      </c>
      <c r="I84" s="462"/>
      <c r="J84" s="462"/>
      <c r="K84" s="462"/>
      <c r="L84" s="462"/>
      <c r="M84" s="463" t="str">
        <f>Calcu!F35</f>
        <v>/℃</v>
      </c>
      <c r="N84" s="464"/>
      <c r="O84" s="477">
        <f>Calcu!K35</f>
        <v>4.0824829046386305E-7</v>
      </c>
      <c r="P84" s="478"/>
      <c r="Q84" s="478"/>
      <c r="R84" s="478"/>
      <c r="S84" s="478"/>
      <c r="T84" s="478"/>
      <c r="U84" s="478"/>
      <c r="V84" s="470" t="str">
        <f>Calcu!L35</f>
        <v>/℃</v>
      </c>
      <c r="W84" s="470"/>
      <c r="X84" s="470"/>
      <c r="Y84" s="470"/>
      <c r="Z84" s="470"/>
      <c r="AA84" s="471"/>
      <c r="AB84" s="457" t="str">
        <f>Calcu!M35</f>
        <v>삼각형</v>
      </c>
      <c r="AC84" s="457"/>
      <c r="AD84" s="457"/>
      <c r="AE84" s="457"/>
      <c r="AF84" s="457"/>
      <c r="AG84" s="465" t="e">
        <f>Calcu!P35</f>
        <v>#VALUE!</v>
      </c>
      <c r="AH84" s="455"/>
      <c r="AI84" s="455"/>
      <c r="AJ84" s="455"/>
      <c r="AK84" s="455" t="s">
        <v>442</v>
      </c>
      <c r="AL84" s="455"/>
      <c r="AM84" s="455"/>
      <c r="AN84" s="455"/>
      <c r="AO84" s="456"/>
      <c r="AP84" s="466" t="e">
        <f>Calcu!S35</f>
        <v>#VALUE!</v>
      </c>
      <c r="AQ84" s="467"/>
      <c r="AR84" s="467"/>
      <c r="AS84" s="467"/>
      <c r="AT84" s="467"/>
      <c r="AU84" s="467">
        <v>0</v>
      </c>
      <c r="AV84" s="467"/>
      <c r="AW84" s="455" t="s">
        <v>443</v>
      </c>
      <c r="AX84" s="455"/>
      <c r="AY84" s="455"/>
      <c r="AZ84" s="455"/>
      <c r="BA84" s="455"/>
      <c r="BB84" s="456"/>
      <c r="BC84" s="457">
        <f>Calcu!U35</f>
        <v>100</v>
      </c>
      <c r="BD84" s="457"/>
      <c r="BE84" s="457"/>
      <c r="BF84" s="457"/>
    </row>
    <row r="85" spans="1:58" ht="18.75" customHeight="1">
      <c r="A85" s="213"/>
      <c r="B85" s="457" t="s">
        <v>267</v>
      </c>
      <c r="C85" s="457"/>
      <c r="D85" s="458" t="s">
        <v>135</v>
      </c>
      <c r="E85" s="459"/>
      <c r="F85" s="459"/>
      <c r="G85" s="460"/>
      <c r="H85" s="461" t="str">
        <f>Calcu!E36</f>
        <v/>
      </c>
      <c r="I85" s="462"/>
      <c r="J85" s="462"/>
      <c r="K85" s="462"/>
      <c r="L85" s="462"/>
      <c r="M85" s="463" t="str">
        <f>Calcu!F36</f>
        <v>℃</v>
      </c>
      <c r="N85" s="464"/>
      <c r="O85" s="468" t="e">
        <f>Calcu!K36</f>
        <v>#VALUE!</v>
      </c>
      <c r="P85" s="469"/>
      <c r="Q85" s="469"/>
      <c r="R85" s="469"/>
      <c r="S85" s="469"/>
      <c r="T85" s="469"/>
      <c r="U85" s="469"/>
      <c r="V85" s="470" t="str">
        <f>Calcu!L36</f>
        <v>℃</v>
      </c>
      <c r="W85" s="470"/>
      <c r="X85" s="470"/>
      <c r="Y85" s="470"/>
      <c r="Z85" s="470"/>
      <c r="AA85" s="471"/>
      <c r="AB85" s="457" t="str">
        <f>Calcu!M36</f>
        <v>직사각형</v>
      </c>
      <c r="AC85" s="457"/>
      <c r="AD85" s="457"/>
      <c r="AE85" s="457"/>
      <c r="AF85" s="457"/>
      <c r="AG85" s="465" t="e">
        <f ca="1">Calcu!P36</f>
        <v>#N/A</v>
      </c>
      <c r="AH85" s="455"/>
      <c r="AI85" s="455"/>
      <c r="AJ85" s="455"/>
      <c r="AK85" s="455" t="s">
        <v>444</v>
      </c>
      <c r="AL85" s="455"/>
      <c r="AM85" s="455"/>
      <c r="AN85" s="455"/>
      <c r="AO85" s="456"/>
      <c r="AP85" s="466" t="e">
        <f ca="1">Calcu!S36</f>
        <v>#VALUE!</v>
      </c>
      <c r="AQ85" s="467"/>
      <c r="AR85" s="467"/>
      <c r="AS85" s="467"/>
      <c r="AT85" s="467"/>
      <c r="AU85" s="467">
        <v>0</v>
      </c>
      <c r="AV85" s="467"/>
      <c r="AW85" s="455" t="s">
        <v>443</v>
      </c>
      <c r="AX85" s="455"/>
      <c r="AY85" s="455"/>
      <c r="AZ85" s="455"/>
      <c r="BA85" s="455"/>
      <c r="BB85" s="456"/>
      <c r="BC85" s="457">
        <f>Calcu!U36</f>
        <v>12</v>
      </c>
      <c r="BD85" s="457"/>
      <c r="BE85" s="457"/>
      <c r="BF85" s="457"/>
    </row>
    <row r="86" spans="1:58" ht="18.75" customHeight="1">
      <c r="A86" s="213"/>
      <c r="B86" s="457" t="s">
        <v>445</v>
      </c>
      <c r="C86" s="457"/>
      <c r="D86" s="458" t="s">
        <v>446</v>
      </c>
      <c r="E86" s="459"/>
      <c r="F86" s="459"/>
      <c r="G86" s="460"/>
      <c r="H86" s="461" t="e">
        <f ca="1">Calcu!E37</f>
        <v>#N/A</v>
      </c>
      <c r="I86" s="462"/>
      <c r="J86" s="462"/>
      <c r="K86" s="462"/>
      <c r="L86" s="462"/>
      <c r="M86" s="463" t="str">
        <f>Calcu!F37</f>
        <v>/℃</v>
      </c>
      <c r="N86" s="464"/>
      <c r="O86" s="477">
        <f>Calcu!K37</f>
        <v>8.1649658092772609E-7</v>
      </c>
      <c r="P86" s="478"/>
      <c r="Q86" s="478"/>
      <c r="R86" s="478"/>
      <c r="S86" s="478"/>
      <c r="T86" s="478"/>
      <c r="U86" s="478"/>
      <c r="V86" s="470" t="str">
        <f>Calcu!L37</f>
        <v>/℃</v>
      </c>
      <c r="W86" s="470"/>
      <c r="X86" s="470"/>
      <c r="Y86" s="470"/>
      <c r="Z86" s="470"/>
      <c r="AA86" s="471"/>
      <c r="AB86" s="457" t="str">
        <f>Calcu!M37</f>
        <v>삼각형</v>
      </c>
      <c r="AC86" s="457"/>
      <c r="AD86" s="457"/>
      <c r="AE86" s="457"/>
      <c r="AF86" s="457"/>
      <c r="AG86" s="465" t="e">
        <f>Calcu!P37</f>
        <v>#VALUE!</v>
      </c>
      <c r="AH86" s="455"/>
      <c r="AI86" s="455"/>
      <c r="AJ86" s="455"/>
      <c r="AK86" s="455" t="s">
        <v>442</v>
      </c>
      <c r="AL86" s="455"/>
      <c r="AM86" s="455"/>
      <c r="AN86" s="455"/>
      <c r="AO86" s="456"/>
      <c r="AP86" s="466" t="e">
        <f>Calcu!S37</f>
        <v>#VALUE!</v>
      </c>
      <c r="AQ86" s="467"/>
      <c r="AR86" s="467"/>
      <c r="AS86" s="467"/>
      <c r="AT86" s="467"/>
      <c r="AU86" s="467">
        <v>0</v>
      </c>
      <c r="AV86" s="467"/>
      <c r="AW86" s="455" t="s">
        <v>443</v>
      </c>
      <c r="AX86" s="455"/>
      <c r="AY86" s="455"/>
      <c r="AZ86" s="455"/>
      <c r="BA86" s="455"/>
      <c r="BB86" s="456"/>
      <c r="BC86" s="457">
        <f>Calcu!U37</f>
        <v>100</v>
      </c>
      <c r="BD86" s="457"/>
      <c r="BE86" s="457"/>
      <c r="BF86" s="457"/>
    </row>
    <row r="87" spans="1:58" ht="18.75" customHeight="1">
      <c r="A87" s="213"/>
      <c r="B87" s="457" t="s">
        <v>276</v>
      </c>
      <c r="C87" s="457"/>
      <c r="D87" s="458" t="s">
        <v>222</v>
      </c>
      <c r="E87" s="459"/>
      <c r="F87" s="459"/>
      <c r="G87" s="460"/>
      <c r="H87" s="461" t="str">
        <f>Calcu!E38</f>
        <v/>
      </c>
      <c r="I87" s="462"/>
      <c r="J87" s="462"/>
      <c r="K87" s="462"/>
      <c r="L87" s="462"/>
      <c r="M87" s="463" t="str">
        <f>Calcu!F38</f>
        <v>℃</v>
      </c>
      <c r="N87" s="464"/>
      <c r="O87" s="468">
        <f>Calcu!K38</f>
        <v>0.66833125519211412</v>
      </c>
      <c r="P87" s="469"/>
      <c r="Q87" s="469"/>
      <c r="R87" s="469"/>
      <c r="S87" s="469"/>
      <c r="T87" s="469"/>
      <c r="U87" s="469"/>
      <c r="V87" s="470" t="str">
        <f>Calcu!L38</f>
        <v>℃</v>
      </c>
      <c r="W87" s="470"/>
      <c r="X87" s="470"/>
      <c r="Y87" s="470"/>
      <c r="Z87" s="470"/>
      <c r="AA87" s="471"/>
      <c r="AB87" s="457" t="str">
        <f>Calcu!M38</f>
        <v>사다리꼴</v>
      </c>
      <c r="AC87" s="457"/>
      <c r="AD87" s="457"/>
      <c r="AE87" s="457"/>
      <c r="AF87" s="457"/>
      <c r="AG87" s="465" t="e">
        <f ca="1">Calcu!P38</f>
        <v>#N/A</v>
      </c>
      <c r="AH87" s="455"/>
      <c r="AI87" s="455"/>
      <c r="AJ87" s="455"/>
      <c r="AK87" s="455" t="s">
        <v>444</v>
      </c>
      <c r="AL87" s="455"/>
      <c r="AM87" s="455"/>
      <c r="AN87" s="455"/>
      <c r="AO87" s="456"/>
      <c r="AP87" s="466" t="e">
        <f ca="1">Calcu!S38</f>
        <v>#N/A</v>
      </c>
      <c r="AQ87" s="467"/>
      <c r="AR87" s="467"/>
      <c r="AS87" s="467"/>
      <c r="AT87" s="467"/>
      <c r="AU87" s="467">
        <v>0</v>
      </c>
      <c r="AV87" s="467"/>
      <c r="AW87" s="455" t="s">
        <v>443</v>
      </c>
      <c r="AX87" s="455"/>
      <c r="AY87" s="455"/>
      <c r="AZ87" s="455"/>
      <c r="BA87" s="455"/>
      <c r="BB87" s="456"/>
      <c r="BC87" s="457">
        <f>Calcu!U38</f>
        <v>305</v>
      </c>
      <c r="BD87" s="457"/>
      <c r="BE87" s="457"/>
      <c r="BF87" s="457"/>
    </row>
    <row r="88" spans="1:58" ht="18.75" customHeight="1">
      <c r="A88" s="213"/>
      <c r="B88" s="457" t="s">
        <v>278</v>
      </c>
      <c r="C88" s="457"/>
      <c r="D88" s="480" t="s">
        <v>447</v>
      </c>
      <c r="E88" s="481"/>
      <c r="F88" s="481"/>
      <c r="G88" s="482"/>
      <c r="H88" s="475" t="s">
        <v>448</v>
      </c>
      <c r="I88" s="454"/>
      <c r="J88" s="454"/>
      <c r="K88" s="454"/>
      <c r="L88" s="454"/>
      <c r="M88" s="454"/>
      <c r="N88" s="476"/>
      <c r="O88" s="468">
        <f>Calcu!J39</f>
        <v>0.57735026918962584</v>
      </c>
      <c r="P88" s="469"/>
      <c r="Q88" s="469"/>
      <c r="R88" s="469"/>
      <c r="S88" s="469"/>
      <c r="T88" s="469"/>
      <c r="U88" s="469"/>
      <c r="V88" s="469"/>
      <c r="W88" s="469"/>
      <c r="X88" s="469"/>
      <c r="Y88" s="455" t="str">
        <f>Calcu!L39</f>
        <v>℃</v>
      </c>
      <c r="Z88" s="455"/>
      <c r="AA88" s="456"/>
      <c r="AB88" s="457" t="str">
        <f>Calcu!M39</f>
        <v>직사각형</v>
      </c>
      <c r="AC88" s="457"/>
      <c r="AD88" s="457"/>
      <c r="AE88" s="457"/>
      <c r="AF88" s="457"/>
      <c r="AG88" s="483">
        <f>Calcu!P39</f>
        <v>1</v>
      </c>
      <c r="AH88" s="484"/>
      <c r="AI88" s="484"/>
      <c r="AJ88" s="484"/>
      <c r="AK88" s="484"/>
      <c r="AL88" s="484"/>
      <c r="AM88" s="484"/>
      <c r="AN88" s="484"/>
      <c r="AO88" s="485"/>
      <c r="AP88" s="468">
        <f>O88*AG88</f>
        <v>0.57735026918962584</v>
      </c>
      <c r="AQ88" s="469"/>
      <c r="AR88" s="469"/>
      <c r="AS88" s="469"/>
      <c r="AT88" s="469"/>
      <c r="AU88" s="469"/>
      <c r="AV88" s="469"/>
      <c r="AW88" s="469"/>
      <c r="AX88" s="469"/>
      <c r="AY88" s="469"/>
      <c r="AZ88" s="455" t="str">
        <f>Y88</f>
        <v>℃</v>
      </c>
      <c r="BA88" s="455"/>
      <c r="BB88" s="456"/>
      <c r="BC88" s="479" t="str">
        <f>Calcu!U39</f>
        <v>∞</v>
      </c>
      <c r="BD88" s="479"/>
      <c r="BE88" s="479"/>
      <c r="BF88" s="479"/>
    </row>
    <row r="89" spans="1:58" ht="18.75" customHeight="1">
      <c r="A89" s="213"/>
      <c r="B89" s="457" t="s">
        <v>449</v>
      </c>
      <c r="C89" s="457"/>
      <c r="D89" s="480" t="s">
        <v>450</v>
      </c>
      <c r="E89" s="481"/>
      <c r="F89" s="481"/>
      <c r="G89" s="482"/>
      <c r="H89" s="475" t="s">
        <v>451</v>
      </c>
      <c r="I89" s="454"/>
      <c r="J89" s="454"/>
      <c r="K89" s="454"/>
      <c r="L89" s="454"/>
      <c r="M89" s="454"/>
      <c r="N89" s="476"/>
      <c r="O89" s="468">
        <f>Calcu!J40</f>
        <v>0.28867513459481292</v>
      </c>
      <c r="P89" s="469"/>
      <c r="Q89" s="469"/>
      <c r="R89" s="469"/>
      <c r="S89" s="469"/>
      <c r="T89" s="469"/>
      <c r="U89" s="469"/>
      <c r="V89" s="469"/>
      <c r="W89" s="469"/>
      <c r="X89" s="469"/>
      <c r="Y89" s="455" t="str">
        <f>Calcu!L40</f>
        <v>℃</v>
      </c>
      <c r="Z89" s="455"/>
      <c r="AA89" s="456"/>
      <c r="AB89" s="457" t="str">
        <f>Calcu!M40</f>
        <v>직사각형</v>
      </c>
      <c r="AC89" s="457"/>
      <c r="AD89" s="457"/>
      <c r="AE89" s="457"/>
      <c r="AF89" s="457"/>
      <c r="AG89" s="483">
        <f>Calcu!P40</f>
        <v>1</v>
      </c>
      <c r="AH89" s="484"/>
      <c r="AI89" s="484"/>
      <c r="AJ89" s="484"/>
      <c r="AK89" s="484"/>
      <c r="AL89" s="484"/>
      <c r="AM89" s="484"/>
      <c r="AN89" s="484"/>
      <c r="AO89" s="485"/>
      <c r="AP89" s="468">
        <f>O89*AG89</f>
        <v>0.28867513459481292</v>
      </c>
      <c r="AQ89" s="469"/>
      <c r="AR89" s="469"/>
      <c r="AS89" s="469"/>
      <c r="AT89" s="469"/>
      <c r="AU89" s="469"/>
      <c r="AV89" s="469"/>
      <c r="AW89" s="469"/>
      <c r="AX89" s="469"/>
      <c r="AY89" s="469"/>
      <c r="AZ89" s="455" t="str">
        <f>Y89</f>
        <v>℃</v>
      </c>
      <c r="BA89" s="455"/>
      <c r="BB89" s="456"/>
      <c r="BC89" s="479">
        <f>Calcu!U40</f>
        <v>12</v>
      </c>
      <c r="BD89" s="479"/>
      <c r="BE89" s="479"/>
      <c r="BF89" s="479"/>
    </row>
    <row r="90" spans="1:58" ht="18.75" customHeight="1">
      <c r="A90" s="213"/>
      <c r="B90" s="457" t="s">
        <v>452</v>
      </c>
      <c r="C90" s="457"/>
      <c r="D90" s="480" t="s">
        <v>453</v>
      </c>
      <c r="E90" s="481"/>
      <c r="F90" s="481"/>
      <c r="G90" s="482"/>
      <c r="H90" s="475" t="s">
        <v>448</v>
      </c>
      <c r="I90" s="454"/>
      <c r="J90" s="454"/>
      <c r="K90" s="454"/>
      <c r="L90" s="454"/>
      <c r="M90" s="454"/>
      <c r="N90" s="476"/>
      <c r="O90" s="468">
        <f>Calcu!J41</f>
        <v>0.17320508075688773</v>
      </c>
      <c r="P90" s="469"/>
      <c r="Q90" s="469"/>
      <c r="R90" s="469"/>
      <c r="S90" s="469"/>
      <c r="T90" s="469"/>
      <c r="U90" s="469"/>
      <c r="V90" s="469"/>
      <c r="W90" s="469"/>
      <c r="X90" s="469"/>
      <c r="Y90" s="455" t="str">
        <f>Calcu!L41</f>
        <v>℃</v>
      </c>
      <c r="Z90" s="455"/>
      <c r="AA90" s="456"/>
      <c r="AB90" s="457" t="str">
        <f>Calcu!M41</f>
        <v>직사각형</v>
      </c>
      <c r="AC90" s="457"/>
      <c r="AD90" s="457"/>
      <c r="AE90" s="457"/>
      <c r="AF90" s="457"/>
      <c r="AG90" s="483">
        <f>Calcu!P41</f>
        <v>1</v>
      </c>
      <c r="AH90" s="484"/>
      <c r="AI90" s="484"/>
      <c r="AJ90" s="484"/>
      <c r="AK90" s="484"/>
      <c r="AL90" s="484"/>
      <c r="AM90" s="484"/>
      <c r="AN90" s="484"/>
      <c r="AO90" s="485"/>
      <c r="AP90" s="468">
        <f>O90*AG90</f>
        <v>0.17320508075688773</v>
      </c>
      <c r="AQ90" s="469"/>
      <c r="AR90" s="469"/>
      <c r="AS90" s="469"/>
      <c r="AT90" s="469"/>
      <c r="AU90" s="469"/>
      <c r="AV90" s="469"/>
      <c r="AW90" s="469"/>
      <c r="AX90" s="469"/>
      <c r="AY90" s="469"/>
      <c r="AZ90" s="455" t="str">
        <f>Y90</f>
        <v>℃</v>
      </c>
      <c r="BA90" s="455"/>
      <c r="BB90" s="456"/>
      <c r="BC90" s="479">
        <f>Calcu!U41</f>
        <v>12</v>
      </c>
      <c r="BD90" s="479"/>
      <c r="BE90" s="479"/>
      <c r="BF90" s="479"/>
    </row>
    <row r="91" spans="1:58" ht="18.75" customHeight="1">
      <c r="A91" s="213"/>
      <c r="B91" s="457" t="s">
        <v>454</v>
      </c>
      <c r="C91" s="457"/>
      <c r="D91" s="458" t="s">
        <v>418</v>
      </c>
      <c r="E91" s="459"/>
      <c r="F91" s="459"/>
      <c r="G91" s="460"/>
      <c r="H91" s="475" t="s">
        <v>451</v>
      </c>
      <c r="I91" s="454"/>
      <c r="J91" s="454"/>
      <c r="K91" s="454"/>
      <c r="L91" s="454"/>
      <c r="M91" s="454"/>
      <c r="N91" s="476"/>
      <c r="O91" s="468">
        <f>Calcu!J42</f>
        <v>0</v>
      </c>
      <c r="P91" s="469"/>
      <c r="Q91" s="469"/>
      <c r="R91" s="469"/>
      <c r="S91" s="469"/>
      <c r="T91" s="469"/>
      <c r="U91" s="469"/>
      <c r="V91" s="470" t="str">
        <f>Calcu!L42</f>
        <v>μm</v>
      </c>
      <c r="W91" s="470"/>
      <c r="X91" s="470"/>
      <c r="Y91" s="470"/>
      <c r="Z91" s="470"/>
      <c r="AA91" s="471"/>
      <c r="AB91" s="457" t="str">
        <f>Calcu!M42</f>
        <v>직사각형</v>
      </c>
      <c r="AC91" s="457"/>
      <c r="AD91" s="457"/>
      <c r="AE91" s="457"/>
      <c r="AF91" s="457"/>
      <c r="AG91" s="449">
        <f>Calcu!P42</f>
        <v>1</v>
      </c>
      <c r="AH91" s="450"/>
      <c r="AI91" s="450"/>
      <c r="AJ91" s="450"/>
      <c r="AK91" s="450"/>
      <c r="AL91" s="450"/>
      <c r="AM91" s="450"/>
      <c r="AN91" s="450"/>
      <c r="AO91" s="451"/>
      <c r="AP91" s="468">
        <f>Calcu!R42</f>
        <v>0</v>
      </c>
      <c r="AQ91" s="469"/>
      <c r="AR91" s="469"/>
      <c r="AS91" s="469"/>
      <c r="AT91" s="469"/>
      <c r="AU91" s="469">
        <v>0</v>
      </c>
      <c r="AV91" s="469"/>
      <c r="AW91" s="470" t="str">
        <f>Calcu!T42</f>
        <v>μm</v>
      </c>
      <c r="AX91" s="470"/>
      <c r="AY91" s="470"/>
      <c r="AZ91" s="470"/>
      <c r="BA91" s="470"/>
      <c r="BB91" s="471"/>
      <c r="BC91" s="457" t="str">
        <f>Calcu!U42</f>
        <v>∞</v>
      </c>
      <c r="BD91" s="457"/>
      <c r="BE91" s="457"/>
      <c r="BF91" s="457"/>
    </row>
    <row r="92" spans="1:58" ht="18.75" customHeight="1">
      <c r="A92" s="213"/>
      <c r="B92" s="457" t="s">
        <v>455</v>
      </c>
      <c r="C92" s="457"/>
      <c r="D92" s="458" t="s">
        <v>456</v>
      </c>
      <c r="E92" s="459"/>
      <c r="F92" s="459"/>
      <c r="G92" s="460"/>
      <c r="H92" s="475" t="s">
        <v>451</v>
      </c>
      <c r="I92" s="454"/>
      <c r="J92" s="454"/>
      <c r="K92" s="454"/>
      <c r="L92" s="454"/>
      <c r="M92" s="454"/>
      <c r="N92" s="476"/>
      <c r="O92" s="468" t="e">
        <f>Calcu!J43</f>
        <v>#DIV/0!</v>
      </c>
      <c r="P92" s="469"/>
      <c r="Q92" s="469"/>
      <c r="R92" s="469"/>
      <c r="S92" s="469"/>
      <c r="T92" s="469"/>
      <c r="U92" s="469"/>
      <c r="V92" s="470" t="str">
        <f>Calcu!L43</f>
        <v>μm</v>
      </c>
      <c r="W92" s="470"/>
      <c r="X92" s="470"/>
      <c r="Y92" s="470"/>
      <c r="Z92" s="470"/>
      <c r="AA92" s="471"/>
      <c r="AB92" s="457" t="str">
        <f>Calcu!M43</f>
        <v>정규</v>
      </c>
      <c r="AC92" s="457"/>
      <c r="AD92" s="457"/>
      <c r="AE92" s="457"/>
      <c r="AF92" s="457"/>
      <c r="AG92" s="449">
        <f>Calcu!P43</f>
        <v>1</v>
      </c>
      <c r="AH92" s="450"/>
      <c r="AI92" s="450"/>
      <c r="AJ92" s="450"/>
      <c r="AK92" s="450"/>
      <c r="AL92" s="450"/>
      <c r="AM92" s="450"/>
      <c r="AN92" s="450"/>
      <c r="AO92" s="451"/>
      <c r="AP92" s="468" t="e">
        <f>Calcu!R43</f>
        <v>#DIV/0!</v>
      </c>
      <c r="AQ92" s="469"/>
      <c r="AR92" s="469"/>
      <c r="AS92" s="469"/>
      <c r="AT92" s="469"/>
      <c r="AU92" s="469">
        <v>0</v>
      </c>
      <c r="AV92" s="469"/>
      <c r="AW92" s="470" t="str">
        <f>Calcu!T43</f>
        <v>μm</v>
      </c>
      <c r="AX92" s="470"/>
      <c r="AY92" s="470"/>
      <c r="AZ92" s="470"/>
      <c r="BA92" s="470"/>
      <c r="BB92" s="471"/>
      <c r="BC92" s="457" t="str">
        <f>Calcu!U43</f>
        <v>∞</v>
      </c>
      <c r="BD92" s="457"/>
      <c r="BE92" s="457"/>
      <c r="BF92" s="457"/>
    </row>
    <row r="93" spans="1:58" ht="18.75" customHeight="1">
      <c r="A93" s="213"/>
      <c r="B93" s="457" t="s">
        <v>298</v>
      </c>
      <c r="C93" s="457"/>
      <c r="D93" s="458" t="s">
        <v>421</v>
      </c>
      <c r="E93" s="459"/>
      <c r="F93" s="459"/>
      <c r="G93" s="460"/>
      <c r="H93" s="475" t="s">
        <v>451</v>
      </c>
      <c r="I93" s="454"/>
      <c r="J93" s="454"/>
      <c r="K93" s="454"/>
      <c r="L93" s="454"/>
      <c r="M93" s="454"/>
      <c r="N93" s="476"/>
      <c r="O93" s="468">
        <f>Calcu!J44</f>
        <v>0</v>
      </c>
      <c r="P93" s="469"/>
      <c r="Q93" s="469"/>
      <c r="R93" s="469"/>
      <c r="S93" s="469"/>
      <c r="T93" s="469"/>
      <c r="U93" s="469"/>
      <c r="V93" s="470" t="str">
        <f>Calcu!L44</f>
        <v>μm</v>
      </c>
      <c r="W93" s="470"/>
      <c r="X93" s="470"/>
      <c r="Y93" s="470"/>
      <c r="Z93" s="470"/>
      <c r="AA93" s="471"/>
      <c r="AB93" s="457" t="str">
        <f>Calcu!M44</f>
        <v>직사각형</v>
      </c>
      <c r="AC93" s="457"/>
      <c r="AD93" s="457"/>
      <c r="AE93" s="457"/>
      <c r="AF93" s="457"/>
      <c r="AG93" s="449">
        <f>Calcu!P44</f>
        <v>1</v>
      </c>
      <c r="AH93" s="450"/>
      <c r="AI93" s="450"/>
      <c r="AJ93" s="450"/>
      <c r="AK93" s="450"/>
      <c r="AL93" s="450"/>
      <c r="AM93" s="450"/>
      <c r="AN93" s="450"/>
      <c r="AO93" s="451"/>
      <c r="AP93" s="468">
        <f>Calcu!R44</f>
        <v>0</v>
      </c>
      <c r="AQ93" s="469"/>
      <c r="AR93" s="469"/>
      <c r="AS93" s="469"/>
      <c r="AT93" s="469"/>
      <c r="AU93" s="469">
        <v>0</v>
      </c>
      <c r="AV93" s="469"/>
      <c r="AW93" s="470" t="str">
        <f>Calcu!T44</f>
        <v>μm</v>
      </c>
      <c r="AX93" s="470"/>
      <c r="AY93" s="470"/>
      <c r="AZ93" s="470"/>
      <c r="BA93" s="470"/>
      <c r="BB93" s="471"/>
      <c r="BC93" s="457">
        <f>Calcu!U44</f>
        <v>50</v>
      </c>
      <c r="BD93" s="457"/>
      <c r="BE93" s="457"/>
      <c r="BF93" s="457"/>
    </row>
    <row r="94" spans="1:58" ht="18.75" customHeight="1">
      <c r="A94" s="213"/>
      <c r="B94" s="457" t="s">
        <v>457</v>
      </c>
      <c r="C94" s="457"/>
      <c r="D94" s="458" t="s">
        <v>424</v>
      </c>
      <c r="E94" s="459"/>
      <c r="F94" s="459"/>
      <c r="G94" s="460"/>
      <c r="H94" s="475" t="s">
        <v>451</v>
      </c>
      <c r="I94" s="454"/>
      <c r="J94" s="454"/>
      <c r="K94" s="454"/>
      <c r="L94" s="454"/>
      <c r="M94" s="454"/>
      <c r="N94" s="476"/>
      <c r="O94" s="468">
        <f>Calcu!J45</f>
        <v>0</v>
      </c>
      <c r="P94" s="469"/>
      <c r="Q94" s="469"/>
      <c r="R94" s="469"/>
      <c r="S94" s="469"/>
      <c r="T94" s="469"/>
      <c r="U94" s="469"/>
      <c r="V94" s="470" t="str">
        <f>Calcu!L45</f>
        <v>μm</v>
      </c>
      <c r="W94" s="470"/>
      <c r="X94" s="470"/>
      <c r="Y94" s="470"/>
      <c r="Z94" s="470"/>
      <c r="AA94" s="471"/>
      <c r="AB94" s="457" t="str">
        <f>Calcu!M45</f>
        <v>직사각형</v>
      </c>
      <c r="AC94" s="457"/>
      <c r="AD94" s="457"/>
      <c r="AE94" s="457"/>
      <c r="AF94" s="457"/>
      <c r="AG94" s="449">
        <f>Calcu!P45</f>
        <v>1</v>
      </c>
      <c r="AH94" s="450"/>
      <c r="AI94" s="450"/>
      <c r="AJ94" s="450"/>
      <c r="AK94" s="450"/>
      <c r="AL94" s="450"/>
      <c r="AM94" s="450"/>
      <c r="AN94" s="450"/>
      <c r="AO94" s="451"/>
      <c r="AP94" s="468">
        <f>Calcu!R45</f>
        <v>0</v>
      </c>
      <c r="AQ94" s="469"/>
      <c r="AR94" s="469"/>
      <c r="AS94" s="469"/>
      <c r="AT94" s="469"/>
      <c r="AU94" s="469">
        <v>0</v>
      </c>
      <c r="AV94" s="469"/>
      <c r="AW94" s="470" t="str">
        <f>Calcu!T45</f>
        <v>μm</v>
      </c>
      <c r="AX94" s="470"/>
      <c r="AY94" s="470"/>
      <c r="AZ94" s="470"/>
      <c r="BA94" s="470"/>
      <c r="BB94" s="471"/>
      <c r="BC94" s="457">
        <f>Calcu!U45</f>
        <v>50</v>
      </c>
      <c r="BD94" s="457"/>
      <c r="BE94" s="457"/>
      <c r="BF94" s="457"/>
    </row>
    <row r="95" spans="1:58" ht="18.75" customHeight="1">
      <c r="A95" s="213"/>
      <c r="B95" s="457" t="s">
        <v>458</v>
      </c>
      <c r="C95" s="457"/>
      <c r="D95" s="472" t="s">
        <v>459</v>
      </c>
      <c r="E95" s="473"/>
      <c r="F95" s="473"/>
      <c r="G95" s="474"/>
      <c r="H95" s="475" t="s">
        <v>451</v>
      </c>
      <c r="I95" s="454"/>
      <c r="J95" s="454"/>
      <c r="K95" s="454"/>
      <c r="L95" s="454"/>
      <c r="M95" s="454"/>
      <c r="N95" s="476"/>
      <c r="O95" s="477" t="e">
        <f>Calcu!K46</f>
        <v>#VALUE!</v>
      </c>
      <c r="P95" s="478"/>
      <c r="Q95" s="478"/>
      <c r="R95" s="478"/>
      <c r="S95" s="478"/>
      <c r="T95" s="478"/>
      <c r="U95" s="478"/>
      <c r="V95" s="470"/>
      <c r="W95" s="470"/>
      <c r="X95" s="470"/>
      <c r="Y95" s="470"/>
      <c r="Z95" s="470"/>
      <c r="AA95" s="471"/>
      <c r="AB95" s="457" t="str">
        <f>Calcu!M46</f>
        <v>정규</v>
      </c>
      <c r="AC95" s="457"/>
      <c r="AD95" s="457"/>
      <c r="AE95" s="457"/>
      <c r="AF95" s="457"/>
      <c r="AG95" s="465">
        <f>Calcu!P46</f>
        <v>1000</v>
      </c>
      <c r="AH95" s="455"/>
      <c r="AI95" s="455"/>
      <c r="AJ95" s="455"/>
      <c r="AK95" s="455" t="s">
        <v>460</v>
      </c>
      <c r="AL95" s="455"/>
      <c r="AM95" s="455"/>
      <c r="AN95" s="455"/>
      <c r="AO95" s="456"/>
      <c r="AP95" s="466" t="e">
        <f>Calcu!S46</f>
        <v>#VALUE!</v>
      </c>
      <c r="AQ95" s="467"/>
      <c r="AR95" s="467"/>
      <c r="AS95" s="467"/>
      <c r="AT95" s="467"/>
      <c r="AU95" s="467">
        <v>0</v>
      </c>
      <c r="AV95" s="467"/>
      <c r="AW95" s="455" t="s">
        <v>443</v>
      </c>
      <c r="AX95" s="455"/>
      <c r="AY95" s="455"/>
      <c r="AZ95" s="455"/>
      <c r="BA95" s="455"/>
      <c r="BB95" s="456"/>
      <c r="BC95" s="457" t="str">
        <f>Calcu!U46</f>
        <v>∞</v>
      </c>
      <c r="BD95" s="457"/>
      <c r="BE95" s="457"/>
      <c r="BF95" s="457"/>
    </row>
    <row r="96" spans="1:58" ht="18.75" customHeight="1">
      <c r="A96" s="213"/>
      <c r="B96" s="457" t="s">
        <v>461</v>
      </c>
      <c r="C96" s="457"/>
      <c r="D96" s="472" t="s">
        <v>310</v>
      </c>
      <c r="E96" s="473"/>
      <c r="F96" s="473"/>
      <c r="G96" s="474"/>
      <c r="H96" s="475" t="s">
        <v>451</v>
      </c>
      <c r="I96" s="454"/>
      <c r="J96" s="454"/>
      <c r="K96" s="454"/>
      <c r="L96" s="454"/>
      <c r="M96" s="454"/>
      <c r="N96" s="476"/>
      <c r="O96" s="477" t="e">
        <f ca="1">Calcu!K47</f>
        <v>#N/A</v>
      </c>
      <c r="P96" s="478"/>
      <c r="Q96" s="478"/>
      <c r="R96" s="478"/>
      <c r="S96" s="478"/>
      <c r="T96" s="478"/>
      <c r="U96" s="478"/>
      <c r="V96" s="470"/>
      <c r="W96" s="470"/>
      <c r="X96" s="470"/>
      <c r="Y96" s="470"/>
      <c r="Z96" s="470"/>
      <c r="AA96" s="471"/>
      <c r="AB96" s="457" t="str">
        <f>Calcu!M47</f>
        <v>정규</v>
      </c>
      <c r="AC96" s="457"/>
      <c r="AD96" s="457"/>
      <c r="AE96" s="457"/>
      <c r="AF96" s="457"/>
      <c r="AG96" s="465">
        <f>Calcu!P47</f>
        <v>1000</v>
      </c>
      <c r="AH96" s="455"/>
      <c r="AI96" s="455"/>
      <c r="AJ96" s="455"/>
      <c r="AK96" s="455" t="s">
        <v>462</v>
      </c>
      <c r="AL96" s="455"/>
      <c r="AM96" s="455"/>
      <c r="AN96" s="455"/>
      <c r="AO96" s="456"/>
      <c r="AP96" s="466" t="e">
        <f ca="1">Calcu!S47</f>
        <v>#N/A</v>
      </c>
      <c r="AQ96" s="467"/>
      <c r="AR96" s="467"/>
      <c r="AS96" s="467"/>
      <c r="AT96" s="467"/>
      <c r="AU96" s="467">
        <v>0</v>
      </c>
      <c r="AV96" s="467"/>
      <c r="AW96" s="455" t="s">
        <v>463</v>
      </c>
      <c r="AX96" s="455"/>
      <c r="AY96" s="455"/>
      <c r="AZ96" s="455"/>
      <c r="BA96" s="455"/>
      <c r="BB96" s="456"/>
      <c r="BC96" s="457" t="str">
        <f>Calcu!U47</f>
        <v>∞</v>
      </c>
      <c r="BD96" s="457"/>
      <c r="BE96" s="457"/>
      <c r="BF96" s="457"/>
    </row>
    <row r="97" spans="1:60" ht="18.75" customHeight="1">
      <c r="A97" s="213"/>
      <c r="B97" s="457" t="s">
        <v>464</v>
      </c>
      <c r="C97" s="457"/>
      <c r="D97" s="458" t="s">
        <v>465</v>
      </c>
      <c r="E97" s="459"/>
      <c r="F97" s="459"/>
      <c r="G97" s="460"/>
      <c r="H97" s="461" t="e">
        <f ca="1">Calcu!E48</f>
        <v>#N/A</v>
      </c>
      <c r="I97" s="462"/>
      <c r="J97" s="462"/>
      <c r="K97" s="462"/>
      <c r="L97" s="462"/>
      <c r="M97" s="463" t="str">
        <f>Calcu!F48</f>
        <v>mm</v>
      </c>
      <c r="N97" s="464"/>
      <c r="O97" s="449"/>
      <c r="P97" s="450"/>
      <c r="Q97" s="450"/>
      <c r="R97" s="450"/>
      <c r="S97" s="450"/>
      <c r="T97" s="450"/>
      <c r="U97" s="450"/>
      <c r="V97" s="450"/>
      <c r="W97" s="450"/>
      <c r="X97" s="450"/>
      <c r="Y97" s="450"/>
      <c r="Z97" s="450"/>
      <c r="AA97" s="451"/>
      <c r="AB97" s="457"/>
      <c r="AC97" s="457"/>
      <c r="AD97" s="457"/>
      <c r="AE97" s="457"/>
      <c r="AF97" s="457"/>
      <c r="AG97" s="449"/>
      <c r="AH97" s="450"/>
      <c r="AI97" s="450"/>
      <c r="AJ97" s="450"/>
      <c r="AK97" s="450"/>
      <c r="AL97" s="450"/>
      <c r="AM97" s="450"/>
      <c r="AN97" s="450"/>
      <c r="AO97" s="451"/>
      <c r="AP97" s="452" t="e">
        <f ca="1">Calcu!R48</f>
        <v>#N/A</v>
      </c>
      <c r="AQ97" s="453"/>
      <c r="AR97" s="453"/>
      <c r="AS97" s="218"/>
      <c r="AT97" s="220"/>
      <c r="AU97" s="454" t="e">
        <f ca="1">Calcu!S48</f>
        <v>#N/A</v>
      </c>
      <c r="AV97" s="454"/>
      <c r="AW97" s="454"/>
      <c r="AX97" s="219"/>
      <c r="AY97" s="219"/>
      <c r="AZ97" s="219"/>
      <c r="BA97" s="455" t="str">
        <f>Calcu!T48</f>
        <v>μm</v>
      </c>
      <c r="BB97" s="456"/>
      <c r="BC97" s="457" t="e">
        <f>Calcu!U48</f>
        <v>#VALUE!</v>
      </c>
      <c r="BD97" s="457"/>
      <c r="BE97" s="457"/>
      <c r="BF97" s="457"/>
    </row>
    <row r="98" spans="1:60" ht="18.75" customHeight="1">
      <c r="A98" s="213"/>
      <c r="B98" s="213"/>
      <c r="C98" s="213"/>
      <c r="D98" s="213"/>
      <c r="E98" s="213"/>
      <c r="F98" s="213"/>
      <c r="G98" s="213"/>
      <c r="H98" s="213"/>
      <c r="I98" s="213"/>
      <c r="J98" s="213"/>
      <c r="K98" s="213"/>
      <c r="L98" s="213"/>
      <c r="M98" s="213"/>
      <c r="N98" s="213"/>
      <c r="O98" s="213"/>
      <c r="P98" s="213"/>
      <c r="Q98" s="213"/>
      <c r="R98" s="213"/>
      <c r="S98" s="213"/>
      <c r="T98" s="213"/>
      <c r="U98" s="213"/>
      <c r="V98" s="213"/>
      <c r="W98" s="213"/>
      <c r="X98" s="213"/>
      <c r="Y98" s="213"/>
      <c r="Z98" s="213"/>
      <c r="AA98" s="213"/>
      <c r="AB98" s="213"/>
      <c r="AC98" s="213"/>
      <c r="AD98" s="213"/>
      <c r="AE98" s="213"/>
      <c r="AF98" s="213"/>
      <c r="AG98" s="221" t="s">
        <v>466</v>
      </c>
      <c r="AH98" s="213"/>
      <c r="AI98" s="213"/>
      <c r="AJ98" s="221" t="str">
        <f>$B$4&amp;"의 명목값이며, 단위는 mm 이다."</f>
        <v>스텝 게이지의 명목값이며, 단위는 mm 이다.</v>
      </c>
      <c r="AK98" s="213"/>
      <c r="AL98" s="213"/>
      <c r="AM98" s="213"/>
      <c r="AN98" s="213"/>
      <c r="AO98" s="213"/>
      <c r="AP98" s="213"/>
      <c r="AQ98" s="213"/>
      <c r="AR98" s="213"/>
      <c r="AS98" s="213"/>
      <c r="AT98" s="213"/>
    </row>
    <row r="99" spans="1:60" ht="18.75" customHeight="1">
      <c r="A99" s="211" t="s">
        <v>467</v>
      </c>
      <c r="B99" s="213"/>
      <c r="C99" s="213"/>
      <c r="D99" s="213"/>
      <c r="E99" s="213"/>
      <c r="F99" s="213"/>
      <c r="G99" s="213"/>
      <c r="H99" s="213"/>
      <c r="I99" s="213"/>
      <c r="J99" s="213"/>
      <c r="K99" s="213"/>
      <c r="L99" s="213"/>
      <c r="M99" s="213"/>
      <c r="N99" s="213"/>
      <c r="O99" s="213"/>
      <c r="P99" s="213"/>
      <c r="Q99" s="213"/>
      <c r="R99" s="213"/>
      <c r="S99" s="213"/>
      <c r="T99" s="213"/>
      <c r="U99" s="213"/>
      <c r="V99" s="213"/>
      <c r="W99" s="213"/>
      <c r="X99" s="213"/>
      <c r="Y99" s="213"/>
      <c r="Z99" s="213"/>
      <c r="AA99" s="213"/>
      <c r="AB99" s="213"/>
      <c r="AC99" s="213"/>
      <c r="AD99" s="213"/>
      <c r="AE99" s="213"/>
      <c r="AF99" s="213"/>
      <c r="AG99" s="213"/>
      <c r="AH99" s="213"/>
      <c r="AI99" s="213"/>
      <c r="AJ99" s="213"/>
      <c r="AK99" s="213"/>
      <c r="AL99" s="213"/>
      <c r="AM99" s="213"/>
      <c r="AN99" s="213"/>
      <c r="AO99" s="213"/>
      <c r="AP99" s="213"/>
      <c r="AQ99" s="213"/>
      <c r="AR99" s="213"/>
      <c r="AS99" s="213"/>
      <c r="AT99" s="213"/>
    </row>
    <row r="100" spans="1:60" ht="18.75" customHeight="1">
      <c r="A100" s="213"/>
      <c r="B100" s="222" t="s">
        <v>468</v>
      </c>
      <c r="C100" s="223" t="str">
        <f>$H$4&amp;"의 표준불확도,"</f>
        <v>게이지 블록의 표준불확도,</v>
      </c>
      <c r="D100" s="213"/>
      <c r="E100" s="213"/>
      <c r="F100" s="213"/>
      <c r="G100" s="213"/>
      <c r="H100" s="213"/>
      <c r="I100" s="213"/>
      <c r="J100" s="213"/>
      <c r="K100" s="213"/>
      <c r="L100" s="213"/>
      <c r="M100" s="213"/>
      <c r="O100" s="224" t="s">
        <v>469</v>
      </c>
      <c r="P100" s="213"/>
      <c r="Q100" s="213"/>
      <c r="R100" s="213"/>
      <c r="S100" s="213"/>
      <c r="T100" s="213"/>
      <c r="U100" s="213"/>
      <c r="V100" s="213"/>
      <c r="W100" s="213"/>
      <c r="X100" s="213"/>
      <c r="Y100" s="213"/>
      <c r="Z100" s="213"/>
      <c r="AA100" s="213"/>
      <c r="AB100" s="213"/>
      <c r="AC100" s="213"/>
      <c r="AD100" s="213"/>
      <c r="AE100" s="213"/>
      <c r="AF100" s="213"/>
      <c r="AG100" s="213"/>
      <c r="AH100" s="213"/>
      <c r="AI100" s="213"/>
      <c r="AJ100" s="213"/>
      <c r="AK100" s="213"/>
      <c r="AL100" s="213"/>
      <c r="AM100" s="213"/>
      <c r="AN100" s="213"/>
      <c r="AO100" s="213"/>
      <c r="AP100" s="213"/>
      <c r="AQ100" s="213"/>
      <c r="AR100" s="213"/>
      <c r="AS100" s="213"/>
      <c r="AT100" s="213"/>
    </row>
    <row r="101" spans="1:60" ht="18.75" customHeight="1">
      <c r="A101" s="213"/>
      <c r="B101" s="213"/>
      <c r="C101" s="213" t="s">
        <v>470</v>
      </c>
      <c r="D101" s="213"/>
      <c r="E101" s="213"/>
      <c r="F101" s="213"/>
      <c r="G101" s="213"/>
      <c r="H101" s="213"/>
      <c r="I101" s="403" t="e">
        <f ca="1">H82</f>
        <v>#N/A</v>
      </c>
      <c r="J101" s="403"/>
      <c r="K101" s="403"/>
      <c r="L101" s="403"/>
      <c r="M101" s="403"/>
      <c r="N101" s="409" t="str">
        <f>M82</f>
        <v>mm</v>
      </c>
      <c r="O101" s="409"/>
      <c r="P101" s="225"/>
      <c r="Q101" s="213"/>
      <c r="R101" s="213"/>
      <c r="S101" s="213"/>
      <c r="T101" s="213"/>
      <c r="U101" s="213"/>
      <c r="V101" s="213"/>
      <c r="W101" s="213"/>
      <c r="X101" s="213"/>
      <c r="Y101" s="213"/>
      <c r="Z101" s="213"/>
      <c r="AA101" s="213"/>
      <c r="AB101" s="213"/>
      <c r="AC101" s="213"/>
      <c r="AD101" s="213"/>
      <c r="AE101" s="213"/>
      <c r="AF101" s="213"/>
      <c r="AG101" s="213"/>
      <c r="AH101" s="213"/>
      <c r="AI101" s="213"/>
      <c r="AJ101" s="213"/>
      <c r="AK101" s="213"/>
      <c r="AL101" s="213"/>
      <c r="AM101" s="213"/>
      <c r="AN101" s="213"/>
      <c r="AO101" s="213"/>
      <c r="AP101" s="213"/>
      <c r="AQ101" s="213"/>
      <c r="AR101" s="213"/>
      <c r="AS101" s="213"/>
      <c r="AT101" s="213"/>
    </row>
    <row r="102" spans="1:60" s="209" customFormat="1" ht="18.75" customHeight="1">
      <c r="B102" s="211"/>
      <c r="C102" s="226" t="s">
        <v>471</v>
      </c>
      <c r="D102" s="226"/>
      <c r="E102" s="226"/>
      <c r="F102" s="226"/>
      <c r="G102" s="226"/>
      <c r="H102" s="226"/>
      <c r="I102" s="226"/>
      <c r="J102" s="226" t="str">
        <f>"※ "&amp;$H$4&amp;"의 측정불확도가 "</f>
        <v xml:space="preserve">※ 게이지 블록의 측정불확도가 </v>
      </c>
      <c r="K102" s="226"/>
      <c r="L102" s="226"/>
      <c r="M102" s="226"/>
      <c r="N102" s="226"/>
      <c r="O102" s="226"/>
      <c r="P102" s="226"/>
      <c r="Q102" s="226"/>
      <c r="R102" s="226"/>
      <c r="S102" s="226"/>
      <c r="T102" s="226"/>
      <c r="U102" s="226"/>
      <c r="V102" s="226"/>
      <c r="W102" s="226"/>
      <c r="X102" s="226"/>
      <c r="Y102" s="442" t="e">
        <f ca="1">Calcu!G33</f>
        <v>#N/A</v>
      </c>
      <c r="Z102" s="442"/>
      <c r="AB102" s="445" t="e">
        <f ca="1">Calcu!H33</f>
        <v>#N/A</v>
      </c>
      <c r="AC102" s="445"/>
      <c r="AD102" s="445"/>
      <c r="AE102" s="226"/>
      <c r="AF102" s="226"/>
      <c r="AH102" s="226" t="s">
        <v>472</v>
      </c>
      <c r="AJ102" s="226"/>
      <c r="AK102" s="226"/>
      <c r="AL102" s="226"/>
      <c r="AM102" s="226"/>
      <c r="AN102" s="226"/>
      <c r="AO102" s="226"/>
      <c r="AP102" s="226"/>
      <c r="AQ102" s="226"/>
      <c r="AR102" s="226"/>
      <c r="AS102" s="226"/>
      <c r="AT102" s="226"/>
      <c r="AU102" s="226"/>
      <c r="AV102" s="226"/>
      <c r="AW102" s="226"/>
      <c r="AX102" s="226"/>
      <c r="AY102" s="226"/>
      <c r="BB102" s="226"/>
      <c r="BC102" s="226"/>
      <c r="BD102" s="226"/>
      <c r="BE102" s="226"/>
      <c r="BF102" s="226"/>
      <c r="BG102" s="226"/>
    </row>
    <row r="103" spans="1:60" s="209" customFormat="1" ht="18.75" customHeight="1">
      <c r="B103" s="211"/>
      <c r="D103" s="226"/>
      <c r="E103" s="226"/>
      <c r="F103" s="226"/>
      <c r="G103" s="226"/>
      <c r="H103" s="226"/>
      <c r="I103" s="226"/>
      <c r="J103" s="226"/>
      <c r="K103" s="226" t="s">
        <v>473</v>
      </c>
      <c r="L103" s="213"/>
      <c r="M103" s="213"/>
      <c r="N103" s="226" t="str">
        <f>$B$4&amp;"의 명목값이며, 단위는 mm 이다.)"</f>
        <v>스텝 게이지의 명목값이며, 단위는 mm 이다.)</v>
      </c>
      <c r="O103" s="226"/>
      <c r="P103" s="226"/>
      <c r="Q103" s="226"/>
      <c r="R103" s="226"/>
      <c r="S103" s="226"/>
      <c r="T103" s="226"/>
      <c r="U103" s="226"/>
      <c r="V103" s="226"/>
      <c r="W103" s="226"/>
      <c r="X103" s="226"/>
      <c r="Y103" s="226"/>
      <c r="Z103" s="226"/>
      <c r="AA103" s="226"/>
      <c r="AB103" s="226"/>
      <c r="AC103" s="226"/>
      <c r="AD103" s="226"/>
      <c r="AE103" s="226"/>
      <c r="AF103" s="226"/>
      <c r="AG103" s="226"/>
      <c r="AH103" s="226"/>
      <c r="AI103" s="226"/>
      <c r="AJ103" s="226"/>
      <c r="AK103" s="226"/>
      <c r="AL103" s="226"/>
      <c r="AM103" s="226"/>
      <c r="AN103" s="226"/>
      <c r="AO103" s="226"/>
      <c r="AP103" s="226"/>
      <c r="AQ103" s="226"/>
      <c r="AR103" s="226"/>
      <c r="AS103" s="226"/>
      <c r="AT103" s="226"/>
      <c r="AU103" s="226"/>
      <c r="AV103" s="226"/>
      <c r="AW103" s="226"/>
      <c r="AX103" s="226"/>
      <c r="AY103" s="226"/>
      <c r="AZ103" s="226"/>
      <c r="BA103" s="226"/>
      <c r="BB103" s="226"/>
      <c r="BC103" s="226"/>
      <c r="BD103" s="226"/>
      <c r="BE103" s="226"/>
      <c r="BF103" s="226"/>
      <c r="BG103" s="226"/>
    </row>
    <row r="104" spans="1:60" s="209" customFormat="1" ht="18.75" customHeight="1">
      <c r="B104" s="211"/>
      <c r="C104" s="226"/>
      <c r="D104" s="226"/>
      <c r="E104" s="226"/>
      <c r="F104" s="226"/>
      <c r="G104" s="226"/>
      <c r="H104" s="226"/>
      <c r="I104" s="226"/>
      <c r="J104" s="226"/>
      <c r="K104" s="426" t="s">
        <v>474</v>
      </c>
      <c r="L104" s="426"/>
      <c r="M104" s="426"/>
      <c r="N104" s="442" t="s">
        <v>476</v>
      </c>
      <c r="O104" s="227"/>
      <c r="P104" s="446" t="e">
        <f ca="1">Y102</f>
        <v>#N/A</v>
      </c>
      <c r="Q104" s="446"/>
      <c r="R104" s="227"/>
      <c r="S104" s="446" t="e">
        <f ca="1">AB102</f>
        <v>#N/A</v>
      </c>
      <c r="T104" s="446"/>
      <c r="U104" s="446"/>
      <c r="V104" s="228"/>
      <c r="W104" s="228"/>
      <c r="X104" s="228"/>
      <c r="Y104" s="447" t="s">
        <v>477</v>
      </c>
      <c r="Z104" s="447"/>
      <c r="AA104" s="448" t="s">
        <v>478</v>
      </c>
      <c r="AB104" s="229"/>
      <c r="AC104" s="445" t="e">
        <f ca="1">P104/P105/1000</f>
        <v>#N/A</v>
      </c>
      <c r="AD104" s="445"/>
      <c r="AE104" s="445"/>
      <c r="AG104" s="442" t="e">
        <f ca="1">S104/P105/1000</f>
        <v>#N/A</v>
      </c>
      <c r="AH104" s="442"/>
      <c r="AI104" s="442"/>
      <c r="AJ104" s="442"/>
      <c r="AK104" s="226"/>
      <c r="AN104" s="443" t="s">
        <v>230</v>
      </c>
      <c r="AO104" s="443"/>
      <c r="AP104" s="226"/>
      <c r="AQ104" s="226"/>
      <c r="AR104" s="230"/>
      <c r="AS104" s="231"/>
      <c r="AT104" s="231"/>
      <c r="AU104" s="231"/>
      <c r="AV104" s="231"/>
      <c r="AY104" s="226"/>
      <c r="AZ104" s="226"/>
      <c r="BC104" s="226"/>
      <c r="BD104" s="226"/>
      <c r="BE104" s="226"/>
      <c r="BF104" s="226"/>
      <c r="BG104" s="226"/>
      <c r="BH104" s="226"/>
    </row>
    <row r="105" spans="1:60" s="209" customFormat="1" ht="18.75" customHeight="1">
      <c r="B105" s="211"/>
      <c r="C105" s="226"/>
      <c r="D105" s="226"/>
      <c r="E105" s="226"/>
      <c r="F105" s="226"/>
      <c r="G105" s="226"/>
      <c r="H105" s="226"/>
      <c r="I105" s="226"/>
      <c r="J105" s="226"/>
      <c r="K105" s="426"/>
      <c r="L105" s="426"/>
      <c r="M105" s="426"/>
      <c r="N105" s="442"/>
      <c r="O105" s="226"/>
      <c r="P105" s="444" t="e">
        <f ca="1">Calcu!I33</f>
        <v>#N/A</v>
      </c>
      <c r="Q105" s="444"/>
      <c r="R105" s="444"/>
      <c r="S105" s="444"/>
      <c r="T105" s="444"/>
      <c r="U105" s="444"/>
      <c r="V105" s="444"/>
      <c r="W105" s="444"/>
      <c r="X105" s="444"/>
      <c r="Y105" s="444"/>
      <c r="Z105" s="444"/>
      <c r="AA105" s="448"/>
      <c r="AB105" s="229"/>
      <c r="AC105" s="445"/>
      <c r="AD105" s="445"/>
      <c r="AE105" s="445"/>
      <c r="AF105" s="226"/>
      <c r="AG105" s="442"/>
      <c r="AH105" s="442"/>
      <c r="AI105" s="442"/>
      <c r="AJ105" s="442"/>
      <c r="AK105" s="226"/>
      <c r="AN105" s="443"/>
      <c r="AO105" s="443"/>
      <c r="AP105" s="226"/>
      <c r="AQ105" s="226"/>
      <c r="AR105" s="230"/>
      <c r="AS105" s="231"/>
      <c r="AT105" s="231"/>
      <c r="AU105" s="231"/>
      <c r="AV105" s="231"/>
      <c r="AY105" s="226"/>
      <c r="AZ105" s="226"/>
      <c r="BC105" s="226"/>
      <c r="BD105" s="226"/>
      <c r="BE105" s="226"/>
      <c r="BF105" s="226"/>
      <c r="BG105" s="226"/>
      <c r="BH105" s="226"/>
    </row>
    <row r="106" spans="1:60" s="209" customFormat="1" ht="18.75" customHeight="1">
      <c r="B106" s="211"/>
      <c r="C106" s="226" t="s">
        <v>479</v>
      </c>
      <c r="D106" s="226"/>
      <c r="E106" s="226"/>
      <c r="F106" s="226"/>
      <c r="G106" s="226"/>
      <c r="H106" s="226"/>
      <c r="I106" s="443" t="str">
        <f>AB82</f>
        <v>정규</v>
      </c>
      <c r="J106" s="443"/>
      <c r="K106" s="443"/>
      <c r="L106" s="443"/>
      <c r="M106" s="443"/>
      <c r="N106" s="226"/>
      <c r="O106" s="226"/>
      <c r="P106" s="226"/>
      <c r="Q106" s="226"/>
      <c r="R106" s="226"/>
      <c r="S106" s="226"/>
      <c r="T106" s="226"/>
      <c r="U106" s="226"/>
      <c r="V106" s="226"/>
      <c r="W106" s="226"/>
      <c r="X106" s="226"/>
      <c r="Y106" s="226"/>
      <c r="Z106" s="226"/>
      <c r="AA106" s="226"/>
      <c r="AB106" s="226"/>
      <c r="AC106" s="226"/>
      <c r="AD106" s="226"/>
      <c r="AE106" s="226"/>
      <c r="AF106" s="226"/>
      <c r="AG106" s="226"/>
      <c r="AH106" s="226"/>
      <c r="AI106" s="226"/>
      <c r="AJ106" s="226"/>
      <c r="AK106" s="226"/>
      <c r="AL106" s="226"/>
      <c r="AM106" s="226"/>
      <c r="AN106" s="226"/>
      <c r="AO106" s="226"/>
      <c r="AP106" s="226"/>
      <c r="AQ106" s="226"/>
      <c r="AR106" s="226"/>
      <c r="AS106" s="226"/>
      <c r="AT106" s="226"/>
      <c r="AU106" s="226"/>
      <c r="AV106" s="226"/>
      <c r="AW106" s="226"/>
      <c r="AX106" s="226"/>
      <c r="AY106" s="226"/>
      <c r="AZ106" s="226"/>
      <c r="BA106" s="226"/>
      <c r="BB106" s="226"/>
      <c r="BC106" s="226"/>
      <c r="BD106" s="226"/>
      <c r="BE106" s="226"/>
      <c r="BF106" s="226"/>
      <c r="BG106" s="226"/>
    </row>
    <row r="107" spans="1:60" s="209" customFormat="1" ht="18.75" customHeight="1">
      <c r="B107" s="211"/>
      <c r="C107" s="443" t="s">
        <v>480</v>
      </c>
      <c r="D107" s="443"/>
      <c r="E107" s="443"/>
      <c r="F107" s="443"/>
      <c r="G107" s="443"/>
      <c r="H107" s="443"/>
      <c r="I107" s="232"/>
      <c r="J107" s="232"/>
      <c r="K107" s="213"/>
      <c r="L107" s="213"/>
      <c r="M107" s="55"/>
      <c r="N107" s="406">
        <f>AG82</f>
        <v>1</v>
      </c>
      <c r="O107" s="406"/>
      <c r="P107" s="226"/>
      <c r="Q107" s="226"/>
      <c r="R107" s="226"/>
      <c r="S107" s="226"/>
      <c r="T107" s="226"/>
      <c r="U107" s="226"/>
      <c r="V107" s="226"/>
      <c r="W107" s="226"/>
      <c r="X107" s="226"/>
      <c r="Y107" s="226"/>
      <c r="Z107" s="226"/>
      <c r="AA107" s="226"/>
      <c r="AB107" s="226"/>
      <c r="AC107" s="226"/>
      <c r="AD107" s="226"/>
      <c r="AE107" s="226"/>
      <c r="AF107" s="226"/>
      <c r="AG107" s="226"/>
      <c r="AH107" s="226"/>
      <c r="AI107" s="226"/>
      <c r="AJ107" s="226"/>
      <c r="AK107" s="226"/>
      <c r="AL107" s="226"/>
      <c r="AM107" s="226"/>
      <c r="AN107" s="226"/>
      <c r="AO107" s="226"/>
      <c r="AP107" s="226"/>
      <c r="AQ107" s="226"/>
      <c r="AR107" s="226"/>
      <c r="AS107" s="226"/>
      <c r="AT107" s="226"/>
      <c r="AU107" s="226"/>
      <c r="AV107" s="226"/>
      <c r="AW107" s="226"/>
      <c r="AX107" s="226"/>
      <c r="AY107" s="226"/>
      <c r="AZ107" s="226"/>
      <c r="BA107" s="226"/>
      <c r="BB107" s="226"/>
      <c r="BC107" s="226"/>
      <c r="BD107" s="226"/>
      <c r="BE107" s="226"/>
      <c r="BF107" s="226"/>
      <c r="BG107" s="226"/>
    </row>
    <row r="108" spans="1:60" s="209" customFormat="1" ht="18.75" customHeight="1">
      <c r="B108" s="211"/>
      <c r="C108" s="443"/>
      <c r="D108" s="443"/>
      <c r="E108" s="443"/>
      <c r="F108" s="443"/>
      <c r="G108" s="443"/>
      <c r="H108" s="443"/>
      <c r="I108" s="233"/>
      <c r="J108" s="233"/>
      <c r="K108" s="213"/>
      <c r="L108" s="213"/>
      <c r="M108" s="55"/>
      <c r="N108" s="406"/>
      <c r="O108" s="406"/>
      <c r="P108" s="226"/>
      <c r="Q108" s="226"/>
      <c r="R108" s="226"/>
      <c r="S108" s="226"/>
      <c r="T108" s="226"/>
      <c r="U108" s="226"/>
      <c r="V108" s="226"/>
      <c r="W108" s="226"/>
      <c r="X108" s="226"/>
      <c r="Y108" s="226"/>
      <c r="AR108" s="226"/>
      <c r="AS108" s="226"/>
      <c r="AT108" s="226"/>
      <c r="AU108" s="226"/>
      <c r="AV108" s="226"/>
      <c r="AW108" s="226"/>
      <c r="AX108" s="226"/>
      <c r="AY108" s="226"/>
      <c r="AZ108" s="226"/>
      <c r="BA108" s="226"/>
      <c r="BB108" s="226"/>
      <c r="BC108" s="226"/>
      <c r="BD108" s="226"/>
      <c r="BE108" s="226"/>
      <c r="BF108" s="226"/>
      <c r="BG108" s="226"/>
    </row>
    <row r="109" spans="1:60" s="213" customFormat="1" ht="18.75" customHeight="1">
      <c r="C109" s="213" t="s">
        <v>481</v>
      </c>
      <c r="K109" s="234" t="s">
        <v>482</v>
      </c>
      <c r="L109" s="395">
        <f>N107</f>
        <v>1</v>
      </c>
      <c r="M109" s="395"/>
      <c r="N109" s="232" t="s">
        <v>483</v>
      </c>
      <c r="O109" s="401" t="e">
        <f ca="1">AP82</f>
        <v>#N/A</v>
      </c>
      <c r="P109" s="401"/>
      <c r="Q109" s="401"/>
      <c r="R109" s="235"/>
      <c r="S109" s="441" t="e">
        <f ca="1">AT82</f>
        <v>#N/A</v>
      </c>
      <c r="T109" s="441"/>
      <c r="U109" s="441"/>
      <c r="V109" s="441"/>
      <c r="W109" s="441"/>
      <c r="Z109" s="392" t="str">
        <f>BA82</f>
        <v>μm</v>
      </c>
      <c r="AA109" s="392"/>
      <c r="AB109" s="212" t="s">
        <v>484</v>
      </c>
      <c r="AC109" s="212" t="s">
        <v>476</v>
      </c>
      <c r="AD109" s="401" t="e">
        <f ca="1">O109</f>
        <v>#N/A</v>
      </c>
      <c r="AE109" s="401"/>
      <c r="AF109" s="401"/>
      <c r="AG109" s="235"/>
      <c r="AH109" s="441" t="e">
        <f ca="1">S109</f>
        <v>#N/A</v>
      </c>
      <c r="AI109" s="441"/>
      <c r="AJ109" s="441"/>
      <c r="AK109" s="441"/>
      <c r="AL109" s="441"/>
      <c r="AO109" s="392" t="str">
        <f>Z109</f>
        <v>μm</v>
      </c>
      <c r="AP109" s="392"/>
    </row>
    <row r="110" spans="1:60" ht="18.75" customHeight="1">
      <c r="A110" s="213"/>
      <c r="B110" s="213"/>
      <c r="C110" s="232" t="s">
        <v>485</v>
      </c>
      <c r="D110" s="232"/>
      <c r="E110" s="232"/>
      <c r="F110" s="232"/>
      <c r="G110" s="232"/>
      <c r="I110" s="236" t="s">
        <v>486</v>
      </c>
      <c r="J110" s="213"/>
      <c r="K110" s="213"/>
      <c r="L110" s="213"/>
      <c r="M110" s="213"/>
      <c r="N110" s="213"/>
      <c r="O110" s="213"/>
      <c r="P110" s="213"/>
      <c r="Q110" s="213"/>
      <c r="R110" s="213"/>
      <c r="S110" s="237"/>
      <c r="T110" s="237"/>
      <c r="U110" s="213"/>
      <c r="V110" s="213"/>
      <c r="W110" s="213"/>
      <c r="X110" s="213"/>
      <c r="Y110" s="213"/>
      <c r="Z110" s="213"/>
      <c r="AA110" s="213"/>
      <c r="AB110" s="213"/>
      <c r="AC110" s="213"/>
      <c r="AF110" s="213"/>
      <c r="AG110" s="213"/>
      <c r="AH110" s="213"/>
      <c r="AI110" s="213"/>
      <c r="AJ110" s="213"/>
      <c r="AK110" s="213"/>
      <c r="AL110" s="213"/>
      <c r="AM110" s="213"/>
      <c r="AN110" s="213"/>
      <c r="AO110" s="213"/>
      <c r="AP110" s="213"/>
      <c r="AQ110" s="213"/>
      <c r="AR110" s="213"/>
      <c r="AS110" s="213"/>
    </row>
    <row r="111" spans="1:60" s="213" customFormat="1" ht="18.75" customHeight="1"/>
    <row r="112" spans="1:60" ht="18.75" customHeight="1">
      <c r="A112" s="213"/>
      <c r="B112" s="238" t="s">
        <v>487</v>
      </c>
      <c r="C112" s="217" t="str">
        <f>$B$4&amp;" 지시값의 표준불확도,"</f>
        <v>스텝 게이지 지시값의 표준불확도,</v>
      </c>
      <c r="D112" s="213"/>
      <c r="E112" s="213"/>
      <c r="F112" s="213"/>
      <c r="G112" s="213"/>
      <c r="H112" s="213"/>
      <c r="I112" s="213"/>
      <c r="J112" s="213"/>
      <c r="K112" s="213"/>
      <c r="L112" s="213"/>
      <c r="M112" s="213"/>
      <c r="N112" s="213"/>
      <c r="O112" s="213"/>
      <c r="P112" s="213"/>
      <c r="Q112" s="213"/>
      <c r="R112" s="224" t="s">
        <v>488</v>
      </c>
      <c r="T112" s="213"/>
      <c r="U112" s="213"/>
      <c r="V112" s="213"/>
      <c r="W112" s="213"/>
      <c r="X112" s="213"/>
      <c r="Y112" s="213"/>
      <c r="Z112" s="213"/>
      <c r="AA112" s="213"/>
      <c r="AB112" s="213"/>
      <c r="AC112" s="213"/>
      <c r="AD112" s="213"/>
      <c r="AE112" s="213"/>
      <c r="AF112" s="213"/>
      <c r="AG112" s="213"/>
      <c r="AH112" s="213"/>
      <c r="AI112" s="213"/>
      <c r="AJ112" s="213"/>
      <c r="AK112" s="213"/>
      <c r="AL112" s="213"/>
      <c r="AM112" s="213"/>
      <c r="AN112" s="213"/>
      <c r="AO112" s="213"/>
      <c r="AP112" s="213"/>
      <c r="AQ112" s="213"/>
      <c r="AR112" s="213"/>
      <c r="AS112" s="213"/>
      <c r="AT112" s="213"/>
    </row>
    <row r="113" spans="1:65" ht="18.75" customHeight="1">
      <c r="A113" s="213"/>
      <c r="C113" s="213" t="s">
        <v>489</v>
      </c>
      <c r="D113" s="213"/>
      <c r="E113" s="213"/>
      <c r="F113" s="213"/>
      <c r="G113" s="213"/>
      <c r="H113" s="213"/>
      <c r="I113" s="213"/>
      <c r="J113" s="213"/>
      <c r="K113" s="213"/>
      <c r="L113" s="213"/>
      <c r="M113" s="213"/>
      <c r="N113" s="213"/>
      <c r="O113" s="213"/>
      <c r="P113" s="213"/>
      <c r="Q113" s="213"/>
      <c r="R113" s="213"/>
      <c r="S113" s="213"/>
      <c r="T113" s="213"/>
      <c r="U113" s="213"/>
      <c r="V113" s="213"/>
      <c r="W113" s="213"/>
      <c r="X113" s="213"/>
      <c r="Y113" s="213"/>
      <c r="Z113" s="213"/>
      <c r="AA113" s="213"/>
      <c r="AB113" s="213"/>
      <c r="AC113" s="213"/>
      <c r="AD113" s="213"/>
      <c r="AE113" s="213"/>
      <c r="AF113" s="213"/>
      <c r="AG113" s="213"/>
      <c r="AH113" s="213"/>
      <c r="AI113" s="213"/>
      <c r="AJ113" s="213"/>
      <c r="AK113" s="213"/>
      <c r="AL113" s="213"/>
      <c r="AM113" s="213"/>
      <c r="AN113" s="213"/>
      <c r="AO113" s="213"/>
      <c r="AP113" s="213"/>
      <c r="AQ113" s="213"/>
      <c r="AR113" s="213"/>
      <c r="AS113" s="213"/>
      <c r="AT113" s="213"/>
    </row>
    <row r="114" spans="1:65" ht="18.75" customHeight="1">
      <c r="A114" s="213"/>
      <c r="C114" s="217"/>
      <c r="D114" s="213" t="s">
        <v>490</v>
      </c>
      <c r="E114" s="213"/>
      <c r="F114" s="213"/>
      <c r="G114" s="213"/>
      <c r="H114" s="213"/>
      <c r="I114" s="213"/>
      <c r="J114" s="213"/>
      <c r="K114" s="213"/>
      <c r="L114" s="213"/>
      <c r="M114" s="213"/>
      <c r="N114" s="213"/>
      <c r="O114" s="213"/>
      <c r="P114" s="213"/>
      <c r="Q114" s="213"/>
      <c r="R114" s="213"/>
      <c r="S114" s="213"/>
      <c r="T114" s="213"/>
      <c r="U114" s="213"/>
      <c r="V114" s="213"/>
      <c r="W114" s="213"/>
      <c r="X114" s="213"/>
      <c r="Y114" s="213"/>
      <c r="Z114" s="213"/>
      <c r="AA114" s="213"/>
      <c r="AB114" s="213"/>
      <c r="AC114" s="213"/>
      <c r="AD114" s="213"/>
      <c r="AE114" s="213"/>
      <c r="AF114" s="213"/>
      <c r="AG114" s="213"/>
      <c r="AH114" s="213"/>
      <c r="AI114" s="213"/>
      <c r="AJ114" s="213"/>
      <c r="AK114" s="213"/>
      <c r="AL114" s="213"/>
      <c r="AM114" s="213"/>
      <c r="AN114" s="213"/>
      <c r="AO114" s="213"/>
      <c r="AP114" s="213"/>
      <c r="AQ114" s="213"/>
      <c r="AR114" s="213"/>
      <c r="AS114" s="213"/>
      <c r="AT114" s="213"/>
    </row>
    <row r="115" spans="1:65" ht="18.75" customHeight="1">
      <c r="B115" s="213"/>
      <c r="C115" s="213" t="s">
        <v>491</v>
      </c>
      <c r="D115" s="213"/>
      <c r="E115" s="213"/>
      <c r="F115" s="213"/>
      <c r="G115" s="213"/>
      <c r="H115" s="213"/>
      <c r="I115" s="409" t="e">
        <f ca="1">H83</f>
        <v>#N/A</v>
      </c>
      <c r="J115" s="409"/>
      <c r="K115" s="409"/>
      <c r="L115" s="409"/>
      <c r="M115" s="409"/>
      <c r="N115" s="409" t="str">
        <f>M83</f>
        <v>mm</v>
      </c>
      <c r="O115" s="409"/>
      <c r="P115" s="225"/>
      <c r="Q115" s="213"/>
      <c r="R115" s="213"/>
      <c r="S115" s="213"/>
      <c r="T115" s="213"/>
      <c r="U115" s="213"/>
      <c r="V115" s="213"/>
      <c r="W115" s="213"/>
      <c r="X115" s="213"/>
      <c r="Y115" s="213"/>
      <c r="Z115" s="213"/>
      <c r="AA115" s="213"/>
      <c r="AB115" s="213"/>
      <c r="AC115" s="213"/>
      <c r="AD115" s="213"/>
      <c r="AE115" s="213"/>
      <c r="AF115" s="213"/>
      <c r="AG115" s="213"/>
      <c r="AH115" s="213"/>
      <c r="AI115" s="213"/>
      <c r="AJ115" s="213"/>
      <c r="AK115" s="213"/>
      <c r="AL115" s="213"/>
      <c r="AM115" s="213"/>
      <c r="AN115" s="213"/>
      <c r="AO115" s="213"/>
      <c r="AP115" s="213"/>
      <c r="AQ115" s="213"/>
      <c r="AR115" s="213"/>
      <c r="AS115" s="213"/>
      <c r="AT115" s="213"/>
      <c r="AU115" s="213"/>
    </row>
    <row r="116" spans="1:65" ht="18.75" customHeight="1">
      <c r="B116" s="213"/>
      <c r="C116" s="213" t="s">
        <v>492</v>
      </c>
      <c r="D116" s="213"/>
      <c r="E116" s="213"/>
      <c r="F116" s="213"/>
      <c r="G116" s="213"/>
      <c r="H116" s="213"/>
      <c r="I116" s="213"/>
      <c r="J116" s="239" t="s">
        <v>493</v>
      </c>
      <c r="K116" s="213"/>
      <c r="L116" s="213"/>
      <c r="M116" s="213"/>
      <c r="N116" s="213"/>
      <c r="O116" s="213"/>
      <c r="P116" s="213"/>
      <c r="Q116" s="407">
        <f>Calcu!G34</f>
        <v>0</v>
      </c>
      <c r="R116" s="407"/>
      <c r="S116" s="407"/>
      <c r="T116" s="440" t="s">
        <v>230</v>
      </c>
      <c r="U116" s="440"/>
      <c r="V116" s="213"/>
      <c r="W116" s="213"/>
      <c r="X116" s="213"/>
      <c r="Y116" s="213"/>
      <c r="Z116" s="213"/>
      <c r="AA116" s="213"/>
      <c r="AB116" s="213"/>
      <c r="AC116" s="213"/>
      <c r="AD116" s="213"/>
      <c r="AE116" s="213"/>
      <c r="AF116" s="213"/>
      <c r="AG116" s="213"/>
      <c r="AH116" s="213"/>
      <c r="AI116" s="213"/>
      <c r="AJ116" s="213"/>
      <c r="AK116" s="213"/>
      <c r="AL116" s="213"/>
      <c r="AM116" s="213"/>
      <c r="AN116" s="213"/>
      <c r="AO116" s="213"/>
      <c r="AP116" s="213"/>
      <c r="AQ116" s="213"/>
      <c r="AR116" s="213"/>
      <c r="AS116" s="213"/>
      <c r="AT116" s="213"/>
      <c r="AU116" s="213"/>
    </row>
    <row r="117" spans="1:65" ht="18.75" customHeight="1">
      <c r="B117" s="213"/>
      <c r="C117" s="213"/>
      <c r="D117" s="213"/>
      <c r="E117" s="213"/>
      <c r="F117" s="213"/>
      <c r="G117" s="213"/>
      <c r="H117" s="213"/>
      <c r="I117" s="213"/>
      <c r="J117" s="213"/>
      <c r="K117" s="418" t="s">
        <v>494</v>
      </c>
      <c r="L117" s="418"/>
      <c r="M117" s="418"/>
      <c r="N117" s="418" t="s">
        <v>478</v>
      </c>
      <c r="O117" s="420" t="s">
        <v>495</v>
      </c>
      <c r="P117" s="420"/>
      <c r="Q117" s="418" t="s">
        <v>478</v>
      </c>
      <c r="R117" s="438">
        <f>Q116</f>
        <v>0</v>
      </c>
      <c r="S117" s="438"/>
      <c r="T117" s="438"/>
      <c r="U117" s="439" t="str">
        <f>T116</f>
        <v>μm</v>
      </c>
      <c r="V117" s="439"/>
      <c r="W117" s="418" t="s">
        <v>476</v>
      </c>
      <c r="X117" s="407">
        <f>R117/SQRT(5)</f>
        <v>0</v>
      </c>
      <c r="Y117" s="407"/>
      <c r="Z117" s="407"/>
      <c r="AA117" s="410" t="str">
        <f>T116</f>
        <v>μm</v>
      </c>
      <c r="AB117" s="410"/>
      <c r="AC117" s="240"/>
      <c r="AD117" s="240"/>
      <c r="AE117" s="240"/>
      <c r="AF117" s="213"/>
      <c r="AG117" s="213"/>
      <c r="AH117" s="213"/>
      <c r="AI117" s="213"/>
      <c r="AJ117" s="213"/>
      <c r="AK117" s="213"/>
      <c r="AL117" s="213"/>
      <c r="AM117" s="213"/>
      <c r="AN117" s="213"/>
      <c r="AO117" s="213"/>
      <c r="AP117" s="213"/>
      <c r="AQ117" s="213"/>
      <c r="AR117" s="213"/>
      <c r="AS117" s="213"/>
      <c r="AT117" s="213"/>
      <c r="AU117" s="213"/>
      <c r="AV117" s="213"/>
      <c r="AW117" s="213"/>
    </row>
    <row r="118" spans="1:65" ht="18.75" customHeight="1">
      <c r="B118" s="213"/>
      <c r="C118" s="213"/>
      <c r="D118" s="213"/>
      <c r="E118" s="213"/>
      <c r="F118" s="213"/>
      <c r="G118" s="213"/>
      <c r="H118" s="213"/>
      <c r="I118" s="213"/>
      <c r="J118" s="213"/>
      <c r="K118" s="418"/>
      <c r="L118" s="418"/>
      <c r="M118" s="418"/>
      <c r="N118" s="418"/>
      <c r="O118" s="423"/>
      <c r="P118" s="423"/>
      <c r="Q118" s="418"/>
      <c r="R118" s="397"/>
      <c r="S118" s="397"/>
      <c r="T118" s="397"/>
      <c r="U118" s="397"/>
      <c r="V118" s="397"/>
      <c r="W118" s="418"/>
      <c r="X118" s="407"/>
      <c r="Y118" s="407"/>
      <c r="Z118" s="407"/>
      <c r="AA118" s="410"/>
      <c r="AB118" s="410"/>
      <c r="AC118" s="240"/>
      <c r="AD118" s="240"/>
      <c r="AE118" s="240"/>
      <c r="AF118" s="213"/>
      <c r="AG118" s="213"/>
      <c r="AH118" s="213"/>
      <c r="AI118" s="213"/>
      <c r="AJ118" s="213"/>
      <c r="AK118" s="213"/>
      <c r="AL118" s="213"/>
      <c r="AM118" s="213"/>
      <c r="AN118" s="213"/>
      <c r="AO118" s="213"/>
      <c r="AP118" s="213"/>
      <c r="AQ118" s="213"/>
      <c r="AR118" s="213"/>
      <c r="AS118" s="213"/>
      <c r="AT118" s="213"/>
      <c r="AU118" s="213"/>
      <c r="AV118" s="213"/>
      <c r="AW118" s="213"/>
    </row>
    <row r="119" spans="1:65" ht="18.75" customHeight="1">
      <c r="B119" s="213"/>
      <c r="C119" s="241" t="s">
        <v>496</v>
      </c>
      <c r="D119" s="213"/>
      <c r="F119" s="213"/>
      <c r="G119" s="213"/>
      <c r="H119" s="213"/>
      <c r="I119" s="213"/>
      <c r="J119" s="213"/>
      <c r="K119" s="242"/>
      <c r="L119" s="242"/>
      <c r="M119" s="242"/>
      <c r="N119" s="242"/>
      <c r="O119" s="243"/>
      <c r="P119" s="243"/>
      <c r="Q119" s="243"/>
      <c r="R119" s="212"/>
      <c r="S119" s="212"/>
      <c r="T119" s="212"/>
      <c r="U119" s="212"/>
      <c r="V119" s="212"/>
      <c r="W119" s="243"/>
      <c r="X119" s="235"/>
      <c r="Y119" s="235"/>
      <c r="Z119" s="235"/>
      <c r="AA119" s="240"/>
      <c r="AB119" s="240"/>
      <c r="AC119" s="240"/>
      <c r="AD119" s="240"/>
      <c r="AE119" s="240"/>
      <c r="AF119" s="213"/>
      <c r="AG119" s="213"/>
      <c r="AH119" s="213"/>
      <c r="AI119" s="213"/>
      <c r="AJ119" s="213"/>
      <c r="AK119" s="213"/>
      <c r="AL119" s="213"/>
      <c r="AM119" s="213"/>
      <c r="AN119" s="213"/>
      <c r="AO119" s="213"/>
      <c r="AP119" s="213"/>
      <c r="AQ119" s="213"/>
      <c r="AR119" s="213"/>
      <c r="AS119" s="213"/>
      <c r="AT119" s="213"/>
      <c r="AU119" s="213"/>
      <c r="AV119" s="213"/>
      <c r="AW119" s="213"/>
    </row>
    <row r="120" spans="1:65" ht="18.75" customHeight="1">
      <c r="B120" s="213"/>
      <c r="C120" s="213"/>
      <c r="D120" s="213"/>
      <c r="E120" s="241"/>
      <c r="F120" s="213"/>
      <c r="G120" s="213"/>
      <c r="H120" s="213"/>
      <c r="I120" s="213"/>
      <c r="J120" s="213"/>
      <c r="K120" s="418" t="s">
        <v>497</v>
      </c>
      <c r="L120" s="418"/>
      <c r="M120" s="418"/>
      <c r="N120" s="418" t="s">
        <v>478</v>
      </c>
      <c r="O120" s="420" t="s">
        <v>498</v>
      </c>
      <c r="P120" s="420"/>
      <c r="Q120" s="418" t="s">
        <v>476</v>
      </c>
      <c r="R120" s="438">
        <f>Calcu!G34</f>
        <v>0</v>
      </c>
      <c r="S120" s="438"/>
      <c r="T120" s="438"/>
      <c r="U120" s="439" t="str">
        <f>T116</f>
        <v>μm</v>
      </c>
      <c r="V120" s="439"/>
      <c r="W120" s="418" t="s">
        <v>478</v>
      </c>
      <c r="X120" s="407">
        <f>R120/(2*SQRT(3))</f>
        <v>0</v>
      </c>
      <c r="Y120" s="407"/>
      <c r="Z120" s="407"/>
      <c r="AA120" s="410" t="str">
        <f>T116</f>
        <v>μm</v>
      </c>
      <c r="AB120" s="410"/>
      <c r="AC120" s="240"/>
      <c r="AD120" s="240"/>
      <c r="AE120" s="240"/>
      <c r="AF120" s="213"/>
      <c r="AG120" s="213"/>
      <c r="AH120" s="213"/>
      <c r="AI120" s="213"/>
      <c r="AJ120" s="213"/>
      <c r="AK120" s="213"/>
      <c r="AL120" s="213"/>
      <c r="AM120" s="213"/>
      <c r="AN120" s="213"/>
      <c r="AO120" s="213"/>
      <c r="AP120" s="213"/>
      <c r="AQ120" s="213"/>
      <c r="AR120" s="213"/>
      <c r="AS120" s="213"/>
      <c r="AT120" s="213"/>
      <c r="AU120" s="213"/>
      <c r="AV120" s="213"/>
      <c r="AW120" s="213"/>
    </row>
    <row r="121" spans="1:65" ht="18.75" customHeight="1">
      <c r="B121" s="213"/>
      <c r="C121" s="213"/>
      <c r="D121" s="213"/>
      <c r="E121" s="241"/>
      <c r="F121" s="213"/>
      <c r="G121" s="213"/>
      <c r="H121" s="213"/>
      <c r="I121" s="213"/>
      <c r="J121" s="213"/>
      <c r="K121" s="418"/>
      <c r="L121" s="418"/>
      <c r="M121" s="418"/>
      <c r="N121" s="418"/>
      <c r="O121" s="423"/>
      <c r="P121" s="423"/>
      <c r="Q121" s="418"/>
      <c r="R121" s="397"/>
      <c r="S121" s="397"/>
      <c r="T121" s="397"/>
      <c r="U121" s="397"/>
      <c r="V121" s="397"/>
      <c r="W121" s="418"/>
      <c r="X121" s="407"/>
      <c r="Y121" s="407"/>
      <c r="Z121" s="407"/>
      <c r="AA121" s="410"/>
      <c r="AB121" s="410"/>
      <c r="AC121" s="240"/>
      <c r="AD121" s="240"/>
      <c r="AE121" s="240"/>
      <c r="AF121" s="213"/>
      <c r="AG121" s="213"/>
      <c r="AH121" s="213"/>
      <c r="AI121" s="213"/>
      <c r="AJ121" s="213"/>
      <c r="AK121" s="213"/>
      <c r="AL121" s="213"/>
      <c r="AM121" s="213"/>
      <c r="AN121" s="213"/>
      <c r="AO121" s="213"/>
      <c r="AP121" s="213"/>
      <c r="AQ121" s="213"/>
      <c r="AR121" s="213"/>
      <c r="AS121" s="213"/>
      <c r="AT121" s="213"/>
      <c r="AU121" s="213"/>
      <c r="AV121" s="213"/>
      <c r="AW121" s="213"/>
    </row>
    <row r="122" spans="1:65" ht="18.75" customHeight="1">
      <c r="B122" s="213"/>
      <c r="C122" s="213" t="s">
        <v>499</v>
      </c>
      <c r="D122" s="213"/>
      <c r="E122" s="213"/>
      <c r="F122" s="213"/>
      <c r="G122" s="213"/>
      <c r="H122" s="213"/>
      <c r="I122" s="406" t="str">
        <f>AB83</f>
        <v>직사각형</v>
      </c>
      <c r="J122" s="406"/>
      <c r="K122" s="406"/>
      <c r="L122" s="406"/>
      <c r="M122" s="406"/>
      <c r="N122" s="406"/>
      <c r="O122" s="406"/>
      <c r="P122" s="406"/>
      <c r="Q122" s="213"/>
      <c r="R122" s="213"/>
      <c r="S122" s="213"/>
      <c r="T122" s="213"/>
      <c r="U122" s="213"/>
      <c r="V122" s="213"/>
      <c r="W122" s="213"/>
      <c r="X122" s="213"/>
      <c r="Y122" s="213"/>
      <c r="Z122" s="213"/>
      <c r="AA122" s="213"/>
      <c r="AB122" s="213"/>
      <c r="AC122" s="213"/>
      <c r="AD122" s="213"/>
      <c r="AE122" s="213"/>
      <c r="AF122" s="213"/>
      <c r="AG122" s="213"/>
      <c r="AH122" s="213"/>
      <c r="AI122" s="213"/>
      <c r="AJ122" s="213"/>
      <c r="AK122" s="213"/>
      <c r="AL122" s="213"/>
      <c r="AM122" s="213"/>
      <c r="AN122" s="213"/>
      <c r="AO122" s="213"/>
      <c r="AP122" s="213"/>
      <c r="AQ122" s="213"/>
      <c r="AR122" s="213"/>
      <c r="AS122" s="213"/>
      <c r="AT122" s="213"/>
      <c r="AU122" s="213"/>
    </row>
    <row r="123" spans="1:65" ht="18.75" customHeight="1">
      <c r="B123" s="213"/>
      <c r="C123" s="389" t="s">
        <v>500</v>
      </c>
      <c r="D123" s="389"/>
      <c r="E123" s="389"/>
      <c r="F123" s="389"/>
      <c r="G123" s="389"/>
      <c r="H123" s="389"/>
      <c r="I123" s="232"/>
      <c r="J123" s="232"/>
      <c r="K123" s="213"/>
      <c r="L123" s="213"/>
      <c r="N123" s="406">
        <f>AG83</f>
        <v>1</v>
      </c>
      <c r="O123" s="406"/>
      <c r="R123" s="213"/>
      <c r="S123" s="213"/>
      <c r="T123" s="213"/>
      <c r="U123" s="213"/>
      <c r="V123" s="213"/>
      <c r="W123" s="213"/>
      <c r="X123" s="213"/>
      <c r="Y123" s="213"/>
      <c r="Z123" s="213"/>
      <c r="AA123" s="213"/>
      <c r="AB123" s="213"/>
      <c r="AC123" s="213"/>
      <c r="AD123" s="213"/>
      <c r="AE123" s="213"/>
      <c r="AF123" s="213"/>
      <c r="AG123" s="213"/>
      <c r="AH123" s="213"/>
      <c r="AI123" s="213"/>
      <c r="AJ123" s="213"/>
      <c r="AK123" s="213"/>
      <c r="AL123" s="213"/>
      <c r="AM123" s="213"/>
      <c r="AN123" s="213"/>
      <c r="AO123" s="213"/>
      <c r="AP123" s="213"/>
      <c r="AQ123" s="213"/>
      <c r="AR123" s="213"/>
      <c r="AS123" s="213"/>
      <c r="AT123" s="213"/>
      <c r="AU123" s="213"/>
    </row>
    <row r="124" spans="1:65" ht="18.75" customHeight="1">
      <c r="B124" s="213"/>
      <c r="C124" s="389"/>
      <c r="D124" s="389"/>
      <c r="E124" s="389"/>
      <c r="F124" s="389"/>
      <c r="G124" s="389"/>
      <c r="H124" s="389"/>
      <c r="I124" s="233"/>
      <c r="J124" s="233"/>
      <c r="K124" s="213"/>
      <c r="L124" s="213"/>
      <c r="N124" s="406"/>
      <c r="O124" s="406"/>
      <c r="R124" s="213"/>
      <c r="S124" s="213"/>
      <c r="T124" s="213"/>
      <c r="U124" s="213"/>
      <c r="V124" s="213"/>
      <c r="W124" s="213"/>
      <c r="X124" s="213"/>
      <c r="Y124" s="213"/>
      <c r="Z124" s="213"/>
      <c r="AA124" s="213"/>
      <c r="AB124" s="213"/>
      <c r="AC124" s="213"/>
      <c r="AD124" s="213"/>
      <c r="AE124" s="213"/>
      <c r="AF124" s="213"/>
      <c r="AG124" s="213"/>
      <c r="AH124" s="213"/>
      <c r="AI124" s="213"/>
      <c r="AJ124" s="213"/>
      <c r="AK124" s="213"/>
      <c r="AL124" s="213"/>
      <c r="AM124" s="213"/>
      <c r="AN124" s="213"/>
      <c r="AO124" s="213"/>
      <c r="AP124" s="213"/>
      <c r="AQ124" s="213"/>
      <c r="AR124" s="213"/>
      <c r="AS124" s="213"/>
      <c r="AT124" s="213"/>
      <c r="AU124" s="213"/>
    </row>
    <row r="125" spans="1:65" ht="18.75" customHeight="1">
      <c r="B125" s="213"/>
      <c r="C125" s="213" t="s">
        <v>501</v>
      </c>
      <c r="D125" s="213"/>
      <c r="E125" s="213"/>
      <c r="F125" s="213"/>
      <c r="G125" s="213"/>
      <c r="H125" s="213"/>
      <c r="I125" s="213"/>
      <c r="J125" s="213"/>
      <c r="K125" s="234" t="s">
        <v>482</v>
      </c>
      <c r="L125" s="395">
        <f>N123</f>
        <v>1</v>
      </c>
      <c r="M125" s="395"/>
      <c r="N125" s="232" t="s">
        <v>502</v>
      </c>
      <c r="O125" s="407">
        <f>AP83</f>
        <v>0</v>
      </c>
      <c r="P125" s="407"/>
      <c r="Q125" s="407"/>
      <c r="R125" s="410" t="str">
        <f>AA117</f>
        <v>μm</v>
      </c>
      <c r="S125" s="409"/>
      <c r="T125" s="234" t="s">
        <v>484</v>
      </c>
      <c r="U125" s="244" t="s">
        <v>476</v>
      </c>
      <c r="V125" s="407">
        <f>O125</f>
        <v>0</v>
      </c>
      <c r="W125" s="407"/>
      <c r="X125" s="407"/>
      <c r="Y125" s="410" t="str">
        <f>R125</f>
        <v>μm</v>
      </c>
      <c r="Z125" s="409"/>
      <c r="AA125" s="225"/>
      <c r="AB125" s="213"/>
      <c r="AC125" s="213"/>
      <c r="AD125" s="213"/>
      <c r="AE125" s="213"/>
      <c r="AF125" s="213"/>
      <c r="AP125" s="213"/>
      <c r="AQ125" s="213"/>
      <c r="AR125" s="213"/>
      <c r="AS125" s="213"/>
      <c r="AT125" s="213"/>
      <c r="AU125" s="213"/>
      <c r="AV125" s="213"/>
    </row>
    <row r="126" spans="1:65" ht="18.75" customHeight="1">
      <c r="B126" s="213"/>
      <c r="C126" s="213" t="s">
        <v>503</v>
      </c>
      <c r="D126" s="213"/>
      <c r="E126" s="213"/>
      <c r="F126" s="213"/>
      <c r="G126" s="213"/>
      <c r="H126" s="213"/>
      <c r="I126" s="236" t="s">
        <v>504</v>
      </c>
      <c r="J126" s="236"/>
      <c r="K126" s="236"/>
      <c r="L126" s="245"/>
      <c r="M126" s="245"/>
      <c r="N126" s="245"/>
      <c r="O126" s="245"/>
      <c r="P126" s="245"/>
      <c r="Q126" s="245"/>
      <c r="R126" s="245"/>
      <c r="S126" s="245"/>
      <c r="T126" s="245"/>
      <c r="U126" s="245"/>
      <c r="V126" s="245"/>
      <c r="W126" s="245"/>
      <c r="X126" s="245"/>
      <c r="Y126" s="245"/>
      <c r="Z126" s="245"/>
      <c r="AA126" s="213"/>
      <c r="AB126" s="213"/>
      <c r="AC126" s="213"/>
      <c r="AD126" s="213"/>
      <c r="AE126" s="213"/>
      <c r="AF126" s="213"/>
    </row>
    <row r="127" spans="1:65" ht="18.75" customHeight="1">
      <c r="B127" s="213"/>
      <c r="C127" s="213"/>
      <c r="D127" s="213"/>
      <c r="E127" s="213"/>
      <c r="F127" s="213"/>
      <c r="G127" s="213"/>
      <c r="H127" s="213"/>
      <c r="I127" s="236"/>
      <c r="J127" s="246"/>
      <c r="K127" s="236"/>
      <c r="L127" s="245"/>
      <c r="M127" s="245"/>
      <c r="N127" s="245"/>
      <c r="O127" s="245"/>
      <c r="P127" s="245"/>
      <c r="Q127" s="245"/>
      <c r="R127" s="245"/>
      <c r="S127" s="245"/>
      <c r="T127" s="245"/>
      <c r="U127" s="245"/>
      <c r="V127" s="245"/>
      <c r="W127" s="245"/>
      <c r="X127" s="245"/>
      <c r="Y127" s="245"/>
      <c r="Z127" s="245"/>
      <c r="AA127" s="213"/>
      <c r="AB127" s="213"/>
      <c r="AC127" s="213"/>
      <c r="AD127" s="213"/>
      <c r="AE127" s="213"/>
      <c r="AF127" s="213"/>
    </row>
    <row r="128" spans="1:65" s="247" customFormat="1" ht="18.75" customHeight="1">
      <c r="A128" s="212"/>
      <c r="B128" s="238" t="s">
        <v>505</v>
      </c>
      <c r="C128" s="211" t="str">
        <f>$B$4&amp;"와 "&amp;$H$4&amp;"의 평균 열팽창계수에 의한 표준불확도,"</f>
        <v>스텝 게이지와 게이지 블록의 평균 열팽창계수에 의한 표준불확도,</v>
      </c>
      <c r="D128" s="232"/>
      <c r="E128" s="232"/>
      <c r="F128" s="232"/>
      <c r="G128" s="232"/>
      <c r="H128" s="232"/>
      <c r="I128" s="232"/>
      <c r="J128" s="232"/>
      <c r="K128" s="232"/>
      <c r="L128" s="232"/>
      <c r="M128" s="232"/>
      <c r="N128" s="232"/>
      <c r="O128" s="232"/>
      <c r="P128" s="232"/>
      <c r="Q128" s="232"/>
      <c r="R128" s="232"/>
      <c r="S128" s="232"/>
      <c r="T128" s="232"/>
      <c r="U128" s="232"/>
      <c r="V128" s="232"/>
      <c r="W128" s="232"/>
      <c r="X128" s="232"/>
      <c r="Y128" s="232"/>
      <c r="Z128" s="232"/>
      <c r="AA128" s="232"/>
      <c r="AB128" s="232"/>
      <c r="AC128" s="232"/>
      <c r="AD128" s="232"/>
      <c r="AE128" s="232"/>
      <c r="AF128" s="232"/>
      <c r="AG128" s="232"/>
      <c r="AH128" s="232"/>
      <c r="AI128" s="232"/>
      <c r="AJ128" s="232"/>
      <c r="AK128" s="232"/>
      <c r="AL128" s="212"/>
      <c r="AM128" s="212"/>
      <c r="AN128" s="212"/>
      <c r="AO128" s="212"/>
      <c r="AP128" s="212"/>
      <c r="AQ128" s="212"/>
      <c r="AR128" s="212"/>
      <c r="AS128" s="212"/>
      <c r="AT128" s="212"/>
      <c r="AU128" s="212"/>
      <c r="AV128" s="212"/>
      <c r="AW128" s="212"/>
      <c r="AX128" s="212"/>
      <c r="AY128" s="232"/>
      <c r="AZ128" s="232"/>
      <c r="BA128" s="232"/>
      <c r="BB128" s="232"/>
      <c r="BC128" s="232"/>
      <c r="BD128" s="232"/>
      <c r="BE128" s="232"/>
      <c r="BF128" s="232"/>
      <c r="BG128" s="216"/>
      <c r="BH128" s="216"/>
      <c r="BI128" s="216"/>
      <c r="BJ128" s="216"/>
      <c r="BK128" s="216"/>
      <c r="BL128" s="216"/>
      <c r="BM128" s="216"/>
    </row>
    <row r="129" spans="1:83" s="247" customFormat="1" ht="18.75" customHeight="1">
      <c r="A129" s="212"/>
      <c r="B129" s="211"/>
      <c r="C129" s="232" t="str">
        <f>"※ "&amp;$B$4&amp;"와 "&amp;$H$4&amp;"의 평균 열팽창계수 :"</f>
        <v>※ 스텝 게이지와 게이지 블록의 평균 열팽창계수 :</v>
      </c>
      <c r="D129" s="232"/>
      <c r="E129" s="232"/>
      <c r="F129" s="232"/>
      <c r="G129" s="232"/>
      <c r="H129" s="232"/>
      <c r="I129" s="232"/>
      <c r="J129" s="232"/>
      <c r="K129" s="232"/>
      <c r="L129" s="232"/>
      <c r="M129" s="232"/>
      <c r="N129" s="232"/>
      <c r="O129" s="232"/>
      <c r="P129" s="232"/>
      <c r="Q129" s="232"/>
      <c r="R129" s="232"/>
      <c r="S129" s="232"/>
      <c r="T129" s="232"/>
      <c r="U129" s="232"/>
      <c r="V129" s="248"/>
      <c r="W129" s="215"/>
      <c r="X129" s="232"/>
      <c r="Y129" s="215"/>
      <c r="Z129" s="212"/>
      <c r="AA129" s="232"/>
      <c r="AB129" s="212"/>
      <c r="AC129" s="212"/>
      <c r="AD129" s="249"/>
      <c r="AE129" s="212"/>
      <c r="AF129" s="212"/>
      <c r="AG129" s="232"/>
      <c r="AH129" s="232"/>
      <c r="AI129" s="232"/>
      <c r="AJ129" s="232"/>
      <c r="AK129" s="232"/>
      <c r="AL129" s="232"/>
      <c r="AM129" s="232"/>
      <c r="AN129" s="232"/>
      <c r="AO129" s="212"/>
      <c r="AP129" s="212"/>
      <c r="AQ129" s="212"/>
      <c r="AR129" s="212"/>
      <c r="AS129" s="212"/>
      <c r="AT129" s="212"/>
      <c r="AU129" s="212"/>
      <c r="AV129" s="212"/>
      <c r="AW129" s="212"/>
      <c r="AX129" s="212"/>
      <c r="AY129" s="232"/>
      <c r="AZ129" s="232"/>
      <c r="BA129" s="232"/>
      <c r="BB129" s="232"/>
      <c r="BC129" s="232"/>
      <c r="BD129" s="232"/>
      <c r="BE129" s="232"/>
      <c r="BF129" s="232"/>
      <c r="BG129" s="216"/>
      <c r="BH129" s="216"/>
      <c r="BI129" s="216"/>
      <c r="BJ129" s="216"/>
      <c r="BK129" s="216"/>
      <c r="BL129" s="216"/>
      <c r="BM129" s="216"/>
    </row>
    <row r="130" spans="1:83" s="247" customFormat="1" ht="18.75" customHeight="1">
      <c r="B130" s="212"/>
      <c r="C130" s="233" t="s">
        <v>506</v>
      </c>
      <c r="D130" s="212"/>
      <c r="E130" s="212"/>
      <c r="F130" s="212"/>
      <c r="G130" s="212"/>
      <c r="H130" s="429" t="e">
        <f ca="1">H84*10^6</f>
        <v>#N/A</v>
      </c>
      <c r="I130" s="429"/>
      <c r="J130" s="429"/>
      <c r="K130" s="225" t="s">
        <v>507</v>
      </c>
      <c r="L130" s="212"/>
      <c r="M130" s="212"/>
      <c r="N130" s="225"/>
      <c r="O130" s="225"/>
      <c r="P130" s="225"/>
      <c r="Q130" s="232"/>
      <c r="R130" s="232"/>
      <c r="S130" s="232"/>
      <c r="T130" s="232"/>
      <c r="U130" s="232"/>
      <c r="V130" s="232"/>
      <c r="W130" s="232"/>
      <c r="X130" s="232"/>
      <c r="Y130" s="232"/>
      <c r="Z130" s="232"/>
      <c r="AA130" s="232"/>
      <c r="AB130" s="232"/>
      <c r="AC130" s="232"/>
      <c r="AD130" s="232"/>
      <c r="AE130" s="232"/>
      <c r="AF130" s="215"/>
      <c r="AG130" s="232"/>
      <c r="AH130" s="232"/>
      <c r="AI130" s="232"/>
      <c r="AJ130" s="232"/>
      <c r="AK130" s="232"/>
      <c r="AL130" s="232"/>
      <c r="AM130" s="212"/>
      <c r="AN130" s="212"/>
      <c r="AO130" s="212"/>
      <c r="AP130" s="212"/>
      <c r="AQ130" s="212"/>
      <c r="AR130" s="212"/>
      <c r="AS130" s="212"/>
      <c r="AT130" s="212"/>
      <c r="AU130" s="212"/>
      <c r="AV130" s="212"/>
      <c r="AW130" s="212"/>
      <c r="AX130" s="212"/>
      <c r="AY130" s="212"/>
      <c r="AZ130" s="232"/>
      <c r="BA130" s="232"/>
      <c r="BB130" s="232"/>
      <c r="BC130" s="232"/>
      <c r="BD130" s="232"/>
      <c r="BE130" s="232"/>
      <c r="BF130" s="232"/>
      <c r="BG130" s="232"/>
      <c r="BH130" s="216"/>
      <c r="BI130" s="216"/>
      <c r="BJ130" s="216"/>
      <c r="BK130" s="216"/>
      <c r="BL130" s="216"/>
      <c r="BM130" s="216"/>
    </row>
    <row r="131" spans="1:83" s="247" customFormat="1" ht="18.75" customHeight="1">
      <c r="B131" s="212"/>
      <c r="C131" s="389" t="s">
        <v>508</v>
      </c>
      <c r="D131" s="389"/>
      <c r="E131" s="389"/>
      <c r="F131" s="389"/>
      <c r="G131" s="389"/>
      <c r="H131" s="389"/>
      <c r="I131" s="389"/>
      <c r="J131" s="406" t="s">
        <v>509</v>
      </c>
      <c r="K131" s="406"/>
      <c r="L131" s="406"/>
      <c r="M131" s="406"/>
      <c r="N131" s="406"/>
      <c r="O131" s="406"/>
      <c r="P131" s="406"/>
      <c r="Q131" s="406"/>
      <c r="R131" s="406"/>
      <c r="S131" s="406"/>
      <c r="T131" s="406"/>
      <c r="U131" s="406"/>
      <c r="V131" s="406"/>
      <c r="W131" s="406"/>
      <c r="X131" s="232"/>
      <c r="Y131" s="232"/>
      <c r="Z131" s="232"/>
      <c r="AA131" s="232"/>
      <c r="AB131" s="232"/>
      <c r="AC131" s="232"/>
      <c r="AD131" s="232"/>
      <c r="AE131" s="232"/>
      <c r="AF131" s="232"/>
      <c r="AG131" s="232"/>
      <c r="AH131" s="232"/>
      <c r="AI131" s="232"/>
      <c r="AJ131" s="232"/>
      <c r="AK131" s="212"/>
      <c r="AL131" s="212"/>
      <c r="AM131" s="212"/>
      <c r="AN131" s="232"/>
      <c r="AO131" s="232"/>
      <c r="AP131" s="232"/>
      <c r="AQ131" s="232"/>
      <c r="AR131" s="232"/>
      <c r="AS131" s="232"/>
      <c r="AT131" s="232"/>
      <c r="AU131" s="232"/>
      <c r="AV131" s="232"/>
      <c r="AW131" s="232"/>
      <c r="AX131" s="232"/>
      <c r="AY131" s="232"/>
      <c r="AZ131" s="232"/>
      <c r="BA131" s="232"/>
      <c r="BB131" s="232"/>
      <c r="BC131" s="232"/>
      <c r="BD131" s="232"/>
      <c r="BE131" s="232"/>
      <c r="BF131" s="232"/>
      <c r="BG131" s="232"/>
      <c r="BH131" s="216"/>
      <c r="BI131" s="216"/>
      <c r="BJ131" s="216"/>
      <c r="BK131" s="216"/>
      <c r="BL131" s="216"/>
      <c r="BM131" s="216"/>
      <c r="BN131" s="216"/>
    </row>
    <row r="132" spans="1:83" s="247" customFormat="1" ht="18.75" customHeight="1">
      <c r="B132" s="212"/>
      <c r="C132" s="389"/>
      <c r="D132" s="389"/>
      <c r="E132" s="389"/>
      <c r="F132" s="389"/>
      <c r="G132" s="389"/>
      <c r="H132" s="389"/>
      <c r="I132" s="389"/>
      <c r="J132" s="406"/>
      <c r="K132" s="406"/>
      <c r="L132" s="406"/>
      <c r="M132" s="406"/>
      <c r="N132" s="406"/>
      <c r="O132" s="406"/>
      <c r="P132" s="406"/>
      <c r="Q132" s="406"/>
      <c r="R132" s="406"/>
      <c r="S132" s="406"/>
      <c r="T132" s="406"/>
      <c r="U132" s="406"/>
      <c r="V132" s="406"/>
      <c r="W132" s="406"/>
      <c r="X132" s="232"/>
      <c r="Y132" s="232"/>
      <c r="Z132" s="232"/>
      <c r="AA132" s="232"/>
      <c r="AB132" s="232"/>
      <c r="AC132" s="232"/>
      <c r="AD132" s="232"/>
      <c r="AE132" s="232"/>
      <c r="AF132" s="212"/>
      <c r="AG132" s="232"/>
      <c r="AH132" s="232"/>
      <c r="AI132" s="232"/>
      <c r="AJ132" s="232"/>
      <c r="AK132" s="212"/>
      <c r="AL132" s="212"/>
      <c r="AM132" s="212"/>
      <c r="AN132" s="232"/>
      <c r="AO132" s="232"/>
      <c r="AP132" s="232"/>
      <c r="AQ132" s="232"/>
      <c r="AR132" s="232"/>
      <c r="AS132" s="212"/>
      <c r="AT132" s="232"/>
      <c r="AU132" s="232"/>
      <c r="AV132" s="232"/>
      <c r="AW132" s="232"/>
      <c r="AX132" s="232"/>
      <c r="AY132" s="232"/>
      <c r="AZ132" s="232"/>
      <c r="BA132" s="232"/>
      <c r="BB132" s="232"/>
      <c r="BC132" s="232"/>
      <c r="BD132" s="232"/>
      <c r="BE132" s="232"/>
      <c r="BF132" s="232"/>
      <c r="BG132" s="232"/>
      <c r="BH132" s="216"/>
      <c r="BI132" s="216"/>
      <c r="BJ132" s="216"/>
      <c r="BK132" s="216"/>
      <c r="BL132" s="216"/>
      <c r="BM132" s="216"/>
      <c r="BN132" s="216"/>
    </row>
    <row r="133" spans="1:83" s="247" customFormat="1" ht="18.75" customHeight="1">
      <c r="B133" s="212"/>
      <c r="C133" s="232"/>
      <c r="D133" s="232"/>
      <c r="E133" s="232"/>
      <c r="F133" s="232"/>
      <c r="G133" s="232"/>
      <c r="H133" s="232"/>
      <c r="I133" s="212"/>
      <c r="J133" s="406" t="s">
        <v>510</v>
      </c>
      <c r="K133" s="406"/>
      <c r="L133" s="406"/>
      <c r="M133" s="406"/>
      <c r="N133" s="406"/>
      <c r="O133" s="406"/>
      <c r="P133" s="406"/>
      <c r="Q133" s="406"/>
      <c r="R133" s="406"/>
      <c r="S133" s="406"/>
      <c r="T133" s="406"/>
      <c r="U133" s="406"/>
      <c r="V133" s="406"/>
      <c r="W133" s="406"/>
      <c r="X133" s="406"/>
      <c r="Y133" s="406"/>
      <c r="Z133" s="406"/>
      <c r="AA133" s="437" t="s">
        <v>511</v>
      </c>
      <c r="AB133" s="437"/>
      <c r="AC133" s="437"/>
      <c r="AD133" s="437"/>
      <c r="AE133" s="437"/>
      <c r="AF133" s="392" t="s">
        <v>476</v>
      </c>
      <c r="AG133" s="406" t="s">
        <v>512</v>
      </c>
      <c r="AH133" s="406"/>
      <c r="AI133" s="406"/>
      <c r="AJ133" s="406"/>
      <c r="AK133" s="406"/>
      <c r="AL133" s="406"/>
      <c r="AM133" s="212"/>
      <c r="AN133" s="232"/>
      <c r="AO133" s="232"/>
      <c r="AP133" s="232"/>
      <c r="AQ133" s="232"/>
      <c r="AR133" s="232"/>
      <c r="AS133" s="212"/>
      <c r="AT133" s="232"/>
      <c r="AU133" s="232"/>
      <c r="AV133" s="232"/>
      <c r="AW133" s="232"/>
      <c r="AX133" s="232"/>
      <c r="AY133" s="232"/>
      <c r="AZ133" s="232"/>
      <c r="BA133" s="232"/>
      <c r="BB133" s="232"/>
      <c r="BC133" s="232"/>
      <c r="BD133" s="232"/>
      <c r="BE133" s="232"/>
      <c r="BF133" s="232"/>
      <c r="BG133" s="232"/>
      <c r="BH133" s="216"/>
      <c r="BI133" s="216"/>
      <c r="BJ133" s="216"/>
      <c r="BK133" s="216"/>
      <c r="BL133" s="216"/>
      <c r="BM133" s="216"/>
      <c r="BN133" s="216"/>
    </row>
    <row r="134" spans="1:83" s="247" customFormat="1" ht="18.75" customHeight="1">
      <c r="B134" s="212"/>
      <c r="C134" s="232"/>
      <c r="D134" s="232"/>
      <c r="E134" s="232"/>
      <c r="F134" s="232"/>
      <c r="G134" s="232"/>
      <c r="H134" s="232"/>
      <c r="I134" s="212"/>
      <c r="J134" s="406"/>
      <c r="K134" s="406"/>
      <c r="L134" s="406"/>
      <c r="M134" s="406"/>
      <c r="N134" s="406"/>
      <c r="O134" s="406"/>
      <c r="P134" s="406"/>
      <c r="Q134" s="406"/>
      <c r="R134" s="406"/>
      <c r="S134" s="406"/>
      <c r="T134" s="406"/>
      <c r="U134" s="406"/>
      <c r="V134" s="406"/>
      <c r="W134" s="406"/>
      <c r="X134" s="406"/>
      <c r="Y134" s="406"/>
      <c r="Z134" s="406"/>
      <c r="AA134" s="232"/>
      <c r="AB134" s="212"/>
      <c r="AC134" s="212"/>
      <c r="AD134" s="212"/>
      <c r="AE134" s="212"/>
      <c r="AF134" s="392"/>
      <c r="AG134" s="406"/>
      <c r="AH134" s="406"/>
      <c r="AI134" s="406"/>
      <c r="AJ134" s="406"/>
      <c r="AK134" s="406"/>
      <c r="AL134" s="406"/>
      <c r="AM134" s="212"/>
      <c r="AN134" s="232"/>
      <c r="AO134" s="232"/>
      <c r="AP134" s="232"/>
      <c r="AQ134" s="232"/>
      <c r="AR134" s="232"/>
      <c r="AS134" s="232"/>
      <c r="AT134" s="232"/>
      <c r="AU134" s="232"/>
      <c r="AV134" s="232"/>
      <c r="AW134" s="232"/>
      <c r="AX134" s="232"/>
      <c r="AY134" s="232"/>
      <c r="AZ134" s="232"/>
      <c r="BA134" s="232"/>
      <c r="BB134" s="232"/>
      <c r="BC134" s="232"/>
      <c r="BD134" s="232"/>
      <c r="BE134" s="232"/>
      <c r="BF134" s="232"/>
      <c r="BG134" s="232"/>
      <c r="BH134" s="216"/>
      <c r="BI134" s="216"/>
      <c r="BJ134" s="216"/>
      <c r="BK134" s="216"/>
      <c r="BL134" s="216"/>
      <c r="BM134" s="216"/>
      <c r="BN134" s="216"/>
    </row>
    <row r="135" spans="1:83" s="247" customFormat="1" ht="18.75" customHeight="1">
      <c r="B135" s="212"/>
      <c r="C135" s="232"/>
      <c r="D135" s="232"/>
      <c r="E135" s="232"/>
      <c r="F135" s="232"/>
      <c r="G135" s="232"/>
      <c r="H135" s="232"/>
      <c r="I135" s="232"/>
      <c r="J135" s="212"/>
      <c r="K135" s="233" t="s">
        <v>513</v>
      </c>
      <c r="L135" s="233"/>
      <c r="M135" s="233"/>
      <c r="N135" s="233"/>
      <c r="O135" s="233"/>
      <c r="P135" s="233"/>
      <c r="Q135" s="233"/>
      <c r="R135" s="233"/>
      <c r="S135" s="232"/>
      <c r="T135" s="232"/>
      <c r="U135" s="232"/>
      <c r="V135" s="232"/>
      <c r="W135" s="232"/>
      <c r="X135" s="232"/>
      <c r="Y135" s="232"/>
      <c r="Z135" s="232"/>
      <c r="AA135" s="232"/>
      <c r="AB135" s="232"/>
      <c r="AC135" s="232"/>
      <c r="AD135" s="232"/>
      <c r="AE135" s="232"/>
      <c r="AF135" s="232"/>
      <c r="AG135" s="212"/>
      <c r="AH135" s="232"/>
      <c r="AI135" s="232"/>
      <c r="AJ135" s="232"/>
      <c r="AK135" s="212"/>
      <c r="AL135" s="212"/>
      <c r="AM135" s="212"/>
      <c r="AN135" s="212"/>
      <c r="AO135" s="232"/>
      <c r="AP135" s="232"/>
      <c r="AQ135" s="232"/>
      <c r="AR135" s="232"/>
      <c r="AS135" s="232"/>
      <c r="AT135" s="232"/>
      <c r="AU135" s="232"/>
      <c r="AV135" s="232"/>
      <c r="AW135" s="232"/>
      <c r="AX135" s="232"/>
      <c r="AY135" s="232"/>
      <c r="AZ135" s="232"/>
      <c r="BA135" s="232"/>
      <c r="BB135" s="232"/>
      <c r="BC135" s="232"/>
      <c r="BD135" s="232"/>
      <c r="BE135" s="232"/>
      <c r="BF135" s="232"/>
      <c r="BG135" s="232"/>
      <c r="BH135" s="212"/>
      <c r="BN135" s="216"/>
      <c r="BO135" s="216"/>
      <c r="BP135" s="216"/>
      <c r="BQ135" s="216"/>
      <c r="BR135" s="216"/>
      <c r="BS135" s="216"/>
      <c r="BX135" s="216"/>
      <c r="CE135" s="216"/>
    </row>
    <row r="136" spans="1:83" s="247" customFormat="1" ht="18.75" customHeight="1">
      <c r="B136" s="212"/>
      <c r="C136" s="232"/>
      <c r="D136" s="232"/>
      <c r="E136" s="232"/>
      <c r="F136" s="232"/>
      <c r="G136" s="232"/>
      <c r="H136" s="232"/>
      <c r="I136" s="232"/>
      <c r="J136" s="236"/>
      <c r="K136" s="236"/>
      <c r="L136" s="236"/>
      <c r="M136" s="212"/>
      <c r="N136" s="236"/>
      <c r="O136" s="236"/>
      <c r="P136" s="236"/>
      <c r="Q136" s="236"/>
      <c r="R136" s="236"/>
      <c r="S136" s="236"/>
      <c r="T136" s="236"/>
      <c r="U136" s="236"/>
      <c r="V136" s="212"/>
      <c r="W136" s="250"/>
      <c r="X136" s="250"/>
      <c r="Y136" s="250"/>
      <c r="Z136" s="212"/>
      <c r="AF136" s="212"/>
      <c r="AG136" s="406" t="s">
        <v>514</v>
      </c>
      <c r="AH136" s="406"/>
      <c r="AI136" s="406"/>
      <c r="AJ136" s="406"/>
      <c r="AK136" s="406"/>
      <c r="AL136" s="251"/>
      <c r="AM136" s="251"/>
      <c r="AN136" s="212"/>
      <c r="AO136" s="212"/>
      <c r="AP136" s="212"/>
      <c r="AQ136" s="212"/>
      <c r="AR136" s="212"/>
      <c r="AS136" s="232"/>
      <c r="AT136" s="232"/>
      <c r="AU136" s="212"/>
      <c r="AV136" s="212"/>
      <c r="AW136" s="212"/>
      <c r="AX136" s="212"/>
      <c r="AY136" s="212"/>
      <c r="AZ136" s="232"/>
      <c r="BA136" s="232"/>
      <c r="BB136" s="232"/>
      <c r="BC136" s="232"/>
      <c r="BD136" s="232"/>
      <c r="BE136" s="232"/>
      <c r="BF136" s="232"/>
      <c r="BG136" s="232"/>
      <c r="BH136" s="212"/>
      <c r="BN136" s="216"/>
      <c r="BO136" s="216"/>
      <c r="BP136" s="216"/>
      <c r="BQ136" s="216"/>
      <c r="BR136" s="216"/>
      <c r="BS136" s="216"/>
      <c r="BT136" s="216"/>
      <c r="BU136" s="216"/>
      <c r="BV136" s="216"/>
      <c r="BW136" s="216"/>
      <c r="BX136" s="216"/>
      <c r="CE136" s="216"/>
    </row>
    <row r="137" spans="1:83" s="247" customFormat="1" ht="18.75" customHeight="1">
      <c r="B137" s="212"/>
      <c r="C137" s="232"/>
      <c r="D137" s="232"/>
      <c r="E137" s="232"/>
      <c r="F137" s="232"/>
      <c r="G137" s="232"/>
      <c r="H137" s="232"/>
      <c r="I137" s="232"/>
      <c r="J137" s="236"/>
      <c r="K137" s="236"/>
      <c r="L137" s="236"/>
      <c r="M137" s="212"/>
      <c r="N137" s="236"/>
      <c r="O137" s="236"/>
      <c r="P137" s="236"/>
      <c r="Q137" s="236"/>
      <c r="R137" s="236"/>
      <c r="S137" s="236"/>
      <c r="T137" s="236"/>
      <c r="U137" s="236"/>
      <c r="V137" s="212"/>
      <c r="W137" s="250"/>
      <c r="X137" s="250"/>
      <c r="Y137" s="250"/>
      <c r="Z137" s="212"/>
      <c r="AF137" s="212"/>
      <c r="AG137" s="406"/>
      <c r="AH137" s="406"/>
      <c r="AI137" s="406"/>
      <c r="AJ137" s="406"/>
      <c r="AK137" s="406"/>
      <c r="AL137" s="251"/>
      <c r="AM137" s="251"/>
      <c r="AN137" s="212"/>
      <c r="AO137" s="212"/>
      <c r="AP137" s="212"/>
      <c r="AQ137" s="212"/>
      <c r="AR137" s="212"/>
      <c r="AS137" s="232"/>
      <c r="AT137" s="232"/>
      <c r="AU137" s="212"/>
      <c r="AV137" s="212"/>
      <c r="AW137" s="212"/>
      <c r="AX137" s="212"/>
      <c r="AY137" s="212"/>
      <c r="AZ137" s="232"/>
      <c r="BA137" s="232"/>
      <c r="BB137" s="232"/>
      <c r="BC137" s="232"/>
      <c r="BD137" s="232"/>
      <c r="BE137" s="232"/>
      <c r="BF137" s="232"/>
      <c r="BG137" s="232"/>
      <c r="BH137" s="232"/>
      <c r="BI137" s="216"/>
      <c r="BJ137" s="216"/>
      <c r="BK137" s="216"/>
      <c r="BL137" s="216"/>
      <c r="BM137" s="216"/>
    </row>
    <row r="138" spans="1:83" s="247" customFormat="1" ht="18.75" customHeight="1">
      <c r="B138" s="212"/>
      <c r="C138" s="232" t="s">
        <v>515</v>
      </c>
      <c r="D138" s="232"/>
      <c r="E138" s="232"/>
      <c r="F138" s="232"/>
      <c r="G138" s="232"/>
      <c r="H138" s="232"/>
      <c r="I138" s="406" t="str">
        <f>AB84</f>
        <v>삼각형</v>
      </c>
      <c r="J138" s="406"/>
      <c r="K138" s="406"/>
      <c r="L138" s="406"/>
      <c r="M138" s="406"/>
      <c r="N138" s="406"/>
      <c r="O138" s="406"/>
      <c r="P138" s="406"/>
      <c r="Q138" s="232"/>
      <c r="R138" s="232"/>
      <c r="S138" s="232"/>
      <c r="T138" s="232"/>
      <c r="U138" s="232"/>
      <c r="V138" s="232"/>
      <c r="W138" s="232"/>
      <c r="X138" s="232"/>
      <c r="Y138" s="232"/>
      <c r="Z138" s="212"/>
      <c r="AA138" s="212"/>
      <c r="AB138" s="212"/>
      <c r="AC138" s="212"/>
      <c r="AD138" s="212"/>
      <c r="AE138" s="212"/>
      <c r="AF138" s="212"/>
      <c r="AG138" s="212"/>
      <c r="AH138" s="232"/>
      <c r="AI138" s="232"/>
      <c r="AJ138" s="232"/>
      <c r="AK138" s="232"/>
      <c r="AL138" s="232"/>
      <c r="AM138" s="232"/>
      <c r="AN138" s="232"/>
      <c r="AO138" s="232"/>
      <c r="AP138" s="232"/>
      <c r="AQ138" s="232"/>
      <c r="AR138" s="232"/>
      <c r="AS138" s="232"/>
      <c r="AT138" s="232"/>
      <c r="AU138" s="232"/>
      <c r="AV138" s="232"/>
      <c r="AW138" s="232"/>
      <c r="AX138" s="232"/>
      <c r="AY138" s="232"/>
      <c r="AZ138" s="232"/>
      <c r="BA138" s="232"/>
      <c r="BB138" s="232"/>
      <c r="BC138" s="232"/>
      <c r="BD138" s="232"/>
      <c r="BE138" s="232"/>
      <c r="BF138" s="232"/>
      <c r="BG138" s="232"/>
      <c r="BH138" s="216"/>
      <c r="BI138" s="216"/>
      <c r="BJ138" s="216"/>
      <c r="BK138" s="216"/>
      <c r="BL138" s="216"/>
      <c r="BM138" s="216"/>
      <c r="BN138" s="216"/>
    </row>
    <row r="139" spans="1:83" s="247" customFormat="1" ht="18.75" customHeight="1">
      <c r="B139" s="212"/>
      <c r="C139" s="389" t="s">
        <v>516</v>
      </c>
      <c r="D139" s="389"/>
      <c r="E139" s="389"/>
      <c r="F139" s="389"/>
      <c r="G139" s="389"/>
      <c r="H139" s="389"/>
      <c r="I139" s="232"/>
      <c r="J139" s="232"/>
      <c r="K139" s="232"/>
      <c r="L139" s="232"/>
      <c r="M139" s="232"/>
      <c r="N139" s="232"/>
      <c r="O139" s="232"/>
      <c r="R139" s="430" t="e">
        <f>-H85</f>
        <v>#VALUE!</v>
      </c>
      <c r="S139" s="430"/>
      <c r="T139" s="389" t="s">
        <v>517</v>
      </c>
      <c r="U139" s="389"/>
      <c r="V139" s="389"/>
      <c r="W139" s="389"/>
      <c r="X139" s="389"/>
      <c r="Y139" s="389"/>
      <c r="Z139" s="392" t="s">
        <v>476</v>
      </c>
      <c r="AA139" s="409" t="e">
        <f>R139*1000</f>
        <v>#VALUE!</v>
      </c>
      <c r="AB139" s="409"/>
      <c r="AC139" s="389" t="s">
        <v>442</v>
      </c>
      <c r="AD139" s="389"/>
      <c r="AE139" s="389"/>
      <c r="AF139" s="389"/>
      <c r="AG139" s="389"/>
      <c r="AH139" s="232"/>
      <c r="AI139" s="232"/>
      <c r="AJ139" s="232"/>
      <c r="AK139" s="232"/>
      <c r="AL139" s="232"/>
      <c r="AM139" s="232"/>
      <c r="AN139" s="232"/>
      <c r="AO139" s="232"/>
      <c r="AP139" s="232"/>
      <c r="AQ139" s="212"/>
      <c r="AR139" s="212"/>
      <c r="AS139" s="212"/>
      <c r="AT139" s="212"/>
      <c r="AU139" s="212"/>
      <c r="AV139" s="212"/>
      <c r="AW139" s="212"/>
      <c r="AX139" s="212"/>
      <c r="AY139" s="212"/>
      <c r="AZ139" s="212"/>
    </row>
    <row r="140" spans="1:83" s="247" customFormat="1" ht="18.75" customHeight="1">
      <c r="B140" s="212"/>
      <c r="C140" s="389"/>
      <c r="D140" s="389"/>
      <c r="E140" s="389"/>
      <c r="F140" s="389"/>
      <c r="G140" s="389"/>
      <c r="H140" s="389"/>
      <c r="I140" s="232"/>
      <c r="J140" s="232"/>
      <c r="K140" s="232"/>
      <c r="L140" s="232"/>
      <c r="M140" s="232"/>
      <c r="N140" s="232"/>
      <c r="O140" s="232"/>
      <c r="R140" s="430"/>
      <c r="S140" s="430"/>
      <c r="T140" s="389"/>
      <c r="U140" s="389"/>
      <c r="V140" s="389"/>
      <c r="W140" s="389"/>
      <c r="X140" s="389"/>
      <c r="Y140" s="389"/>
      <c r="Z140" s="392"/>
      <c r="AA140" s="409"/>
      <c r="AB140" s="409"/>
      <c r="AC140" s="389"/>
      <c r="AD140" s="389"/>
      <c r="AE140" s="389"/>
      <c r="AF140" s="389"/>
      <c r="AG140" s="389"/>
      <c r="AH140" s="232"/>
      <c r="AI140" s="232"/>
      <c r="AJ140" s="232"/>
      <c r="AK140" s="232"/>
      <c r="AL140" s="232"/>
      <c r="AM140" s="232"/>
      <c r="AN140" s="232"/>
      <c r="AO140" s="232"/>
      <c r="AP140" s="232"/>
      <c r="AQ140" s="212"/>
      <c r="AR140" s="212"/>
      <c r="AS140" s="212"/>
      <c r="AT140" s="212"/>
      <c r="AU140" s="212"/>
      <c r="AV140" s="212"/>
      <c r="AW140" s="212"/>
      <c r="AX140" s="212"/>
      <c r="AY140" s="212"/>
      <c r="AZ140" s="212"/>
    </row>
    <row r="141" spans="1:83" s="247" customFormat="1" ht="18.75" customHeight="1">
      <c r="B141" s="212"/>
      <c r="C141" s="232" t="s">
        <v>518</v>
      </c>
      <c r="D141" s="232"/>
      <c r="E141" s="232"/>
      <c r="F141" s="232"/>
      <c r="G141" s="232"/>
      <c r="H141" s="232"/>
      <c r="I141" s="232"/>
      <c r="J141" s="212"/>
      <c r="K141" s="213" t="s">
        <v>519</v>
      </c>
      <c r="L141" s="430" t="e">
        <f>AA139</f>
        <v>#VALUE!</v>
      </c>
      <c r="M141" s="430"/>
      <c r="N141" s="251" t="s">
        <v>520</v>
      </c>
      <c r="O141" s="252"/>
      <c r="Q141" s="212"/>
      <c r="R141" s="212"/>
      <c r="S141" s="212"/>
      <c r="T141" s="212"/>
      <c r="U141" s="212"/>
      <c r="V141" s="212"/>
      <c r="W141" s="212"/>
      <c r="X141" s="212"/>
      <c r="Y141" s="212" t="s">
        <v>482</v>
      </c>
      <c r="Z141" s="212" t="s">
        <v>476</v>
      </c>
      <c r="AA141" s="432" t="e">
        <f>ABS(L141*O84)</f>
        <v>#VALUE!</v>
      </c>
      <c r="AB141" s="432"/>
      <c r="AC141" s="432"/>
      <c r="AD141" s="432"/>
      <c r="AE141" s="232" t="s">
        <v>443</v>
      </c>
      <c r="AF141" s="212"/>
      <c r="AG141" s="212"/>
      <c r="AH141" s="212"/>
      <c r="AJ141" s="252"/>
      <c r="AK141" s="252"/>
      <c r="AL141" s="232"/>
      <c r="AM141" s="232"/>
      <c r="AN141" s="232"/>
      <c r="AO141" s="232"/>
      <c r="AP141" s="212"/>
      <c r="AQ141" s="212"/>
      <c r="AR141" s="212"/>
      <c r="BA141" s="212"/>
      <c r="BB141" s="212"/>
      <c r="BC141" s="212"/>
      <c r="BD141" s="212"/>
      <c r="BE141" s="212"/>
      <c r="BF141" s="212"/>
      <c r="BG141" s="212"/>
      <c r="BH141" s="216"/>
      <c r="BI141" s="216"/>
      <c r="BP141" s="233"/>
      <c r="BQ141" s="253"/>
    </row>
    <row r="142" spans="1:83" s="247" customFormat="1" ht="18.75" customHeight="1">
      <c r="B142" s="212"/>
      <c r="C142" s="389" t="s">
        <v>521</v>
      </c>
      <c r="D142" s="389"/>
      <c r="E142" s="389"/>
      <c r="F142" s="389"/>
      <c r="G142" s="389"/>
      <c r="H142" s="232"/>
      <c r="J142" s="232"/>
      <c r="K142" s="232"/>
      <c r="L142" s="232"/>
      <c r="M142" s="232"/>
      <c r="N142" s="232"/>
      <c r="O142" s="232"/>
      <c r="P142" s="232"/>
      <c r="Q142" s="232"/>
      <c r="R142" s="251"/>
      <c r="S142" s="232"/>
      <c r="T142" s="232"/>
      <c r="U142" s="232"/>
      <c r="W142" s="232"/>
      <c r="X142" s="232"/>
      <c r="Y142" s="232"/>
      <c r="Z142" s="232"/>
      <c r="AA142" s="213" t="s">
        <v>523</v>
      </c>
      <c r="AB142" s="232"/>
      <c r="AC142" s="232"/>
      <c r="AD142" s="232"/>
      <c r="AE142" s="212"/>
      <c r="AF142" s="212"/>
      <c r="AH142" s="212"/>
      <c r="AI142" s="212"/>
      <c r="AJ142" s="212"/>
      <c r="AK142" s="212"/>
      <c r="AL142" s="213"/>
      <c r="AM142" s="212"/>
      <c r="AN142" s="254"/>
      <c r="AO142" s="254"/>
      <c r="AP142" s="254"/>
      <c r="AQ142" s="233"/>
      <c r="AR142" s="233"/>
      <c r="AS142" s="212"/>
      <c r="AT142" s="212"/>
      <c r="AU142" s="212"/>
      <c r="AV142" s="212"/>
      <c r="AW142" s="212"/>
      <c r="AX142" s="212"/>
      <c r="AY142" s="212"/>
      <c r="AZ142" s="212"/>
      <c r="BA142" s="212"/>
      <c r="BB142" s="212"/>
      <c r="BC142" s="212"/>
      <c r="BD142" s="212"/>
      <c r="BE142" s="212"/>
      <c r="BF142" s="212"/>
      <c r="BG142" s="212"/>
      <c r="BH142" s="216"/>
      <c r="BI142" s="216"/>
      <c r="BJ142" s="216"/>
      <c r="BK142" s="216"/>
      <c r="BL142" s="216"/>
    </row>
    <row r="143" spans="1:83" s="247" customFormat="1" ht="18.75" customHeight="1">
      <c r="B143" s="212"/>
      <c r="C143" s="389"/>
      <c r="D143" s="389"/>
      <c r="E143" s="389"/>
      <c r="F143" s="389"/>
      <c r="G143" s="389"/>
      <c r="H143" s="232"/>
      <c r="I143" s="232"/>
      <c r="J143" s="232"/>
      <c r="K143" s="232"/>
      <c r="L143" s="232"/>
      <c r="M143" s="232"/>
      <c r="N143" s="232"/>
      <c r="O143" s="232"/>
      <c r="P143" s="232"/>
      <c r="Q143" s="232"/>
      <c r="R143" s="251"/>
      <c r="S143" s="232"/>
      <c r="T143" s="232"/>
      <c r="U143" s="232"/>
      <c r="V143" s="232"/>
      <c r="W143" s="232"/>
      <c r="X143" s="232"/>
      <c r="Y143" s="232"/>
      <c r="Z143" s="232"/>
      <c r="AA143" s="232"/>
      <c r="AB143" s="232"/>
      <c r="AC143" s="232"/>
      <c r="AD143" s="232"/>
      <c r="AE143" s="212"/>
      <c r="AF143" s="212"/>
      <c r="AG143" s="212"/>
      <c r="AH143" s="212"/>
      <c r="AI143" s="212"/>
      <c r="AJ143" s="212"/>
      <c r="AK143" s="212"/>
      <c r="AL143" s="212"/>
      <c r="AM143" s="212"/>
      <c r="AN143" s="212"/>
      <c r="AO143" s="212"/>
      <c r="AP143" s="212"/>
      <c r="AQ143" s="212"/>
      <c r="AR143" s="212"/>
      <c r="AS143" s="212"/>
      <c r="AT143" s="212"/>
      <c r="AU143" s="212"/>
      <c r="AV143" s="212"/>
      <c r="AW143" s="212"/>
      <c r="AX143" s="212"/>
      <c r="AY143" s="212"/>
      <c r="AZ143" s="212"/>
      <c r="BA143" s="212"/>
      <c r="BB143" s="212"/>
      <c r="BC143" s="212"/>
      <c r="BD143" s="212"/>
      <c r="BE143" s="212"/>
      <c r="BF143" s="212"/>
      <c r="BG143" s="212"/>
      <c r="BH143" s="216"/>
      <c r="BI143" s="216"/>
      <c r="BJ143" s="216"/>
      <c r="BK143" s="216"/>
      <c r="BL143" s="216"/>
    </row>
    <row r="144" spans="1:83" s="247" customFormat="1" ht="18.75" customHeight="1">
      <c r="B144" s="212"/>
      <c r="C144" s="232"/>
      <c r="D144" s="232"/>
      <c r="E144" s="232"/>
      <c r="F144" s="232"/>
      <c r="G144" s="232"/>
      <c r="H144" s="232"/>
      <c r="I144" s="232"/>
      <c r="J144" s="232"/>
      <c r="K144" s="232"/>
      <c r="L144" s="232"/>
      <c r="M144" s="232"/>
      <c r="N144" s="232"/>
      <c r="O144" s="232"/>
      <c r="P144" s="232"/>
      <c r="Q144" s="232"/>
      <c r="R144" s="251"/>
      <c r="S144" s="232"/>
      <c r="T144" s="232"/>
      <c r="U144" s="232"/>
      <c r="V144" s="232"/>
      <c r="W144" s="232"/>
      <c r="X144" s="232"/>
      <c r="Y144" s="232"/>
      <c r="Z144" s="232"/>
      <c r="AA144" s="232"/>
      <c r="AB144" s="406">
        <v>100</v>
      </c>
      <c r="AC144" s="406"/>
      <c r="AD144" s="232"/>
      <c r="AE144" s="212"/>
      <c r="AF144" s="212"/>
      <c r="AG144" s="212"/>
      <c r="AH144" s="212"/>
      <c r="AI144" s="212"/>
      <c r="AJ144" s="212"/>
      <c r="AK144" s="212"/>
      <c r="AL144" s="212"/>
      <c r="AM144" s="212"/>
      <c r="AN144" s="212"/>
      <c r="AO144" s="212"/>
      <c r="AP144" s="212"/>
      <c r="AQ144" s="212"/>
      <c r="AR144" s="212"/>
      <c r="AS144" s="212"/>
      <c r="AT144" s="212"/>
      <c r="AU144" s="212"/>
      <c r="AV144" s="212"/>
      <c r="AW144" s="212"/>
      <c r="AX144" s="212"/>
      <c r="AY144" s="212"/>
      <c r="AZ144" s="212"/>
      <c r="BA144" s="212"/>
      <c r="BB144" s="212"/>
      <c r="BC144" s="212"/>
      <c r="BD144" s="212"/>
      <c r="BE144" s="212"/>
      <c r="BF144" s="212"/>
      <c r="BG144" s="212"/>
      <c r="BH144" s="216"/>
      <c r="BI144" s="216"/>
      <c r="BJ144" s="216"/>
      <c r="BK144" s="216"/>
      <c r="BL144" s="216"/>
    </row>
    <row r="145" spans="2:68" s="247" customFormat="1" ht="18.75" customHeight="1">
      <c r="B145" s="212"/>
      <c r="C145" s="232"/>
      <c r="D145" s="232"/>
      <c r="E145" s="232"/>
      <c r="F145" s="232"/>
      <c r="G145" s="232"/>
      <c r="H145" s="232"/>
      <c r="I145" s="232"/>
      <c r="J145" s="232"/>
      <c r="K145" s="232"/>
      <c r="L145" s="232"/>
      <c r="M145" s="232"/>
      <c r="N145" s="232"/>
      <c r="O145" s="232"/>
      <c r="P145" s="232"/>
      <c r="Q145" s="232"/>
      <c r="R145" s="251"/>
      <c r="S145" s="232"/>
      <c r="T145" s="232"/>
      <c r="U145" s="232"/>
      <c r="V145" s="232"/>
      <c r="W145" s="232"/>
      <c r="X145" s="232"/>
      <c r="Y145" s="232"/>
      <c r="Z145" s="232"/>
      <c r="AA145" s="232"/>
      <c r="AB145" s="406"/>
      <c r="AC145" s="406"/>
      <c r="AD145" s="232"/>
      <c r="AE145" s="212"/>
      <c r="AF145" s="212"/>
      <c r="AG145" s="212"/>
      <c r="AH145" s="212"/>
      <c r="AI145" s="212"/>
      <c r="AJ145" s="212"/>
      <c r="AK145" s="212"/>
      <c r="AL145" s="212"/>
      <c r="AM145" s="212"/>
      <c r="AN145" s="212"/>
      <c r="AO145" s="212"/>
      <c r="AP145" s="212"/>
      <c r="AQ145" s="212"/>
      <c r="AR145" s="212"/>
      <c r="AS145" s="212"/>
      <c r="AT145" s="212"/>
      <c r="AU145" s="212"/>
      <c r="AV145" s="212"/>
      <c r="AW145" s="212"/>
      <c r="AX145" s="212"/>
      <c r="AY145" s="212"/>
      <c r="AZ145" s="212"/>
      <c r="BA145" s="212"/>
      <c r="BB145" s="212"/>
      <c r="BC145" s="212"/>
      <c r="BD145" s="212"/>
      <c r="BE145" s="212"/>
      <c r="BF145" s="212"/>
      <c r="BG145" s="212"/>
      <c r="BH145" s="216"/>
      <c r="BI145" s="216"/>
      <c r="BJ145" s="216"/>
      <c r="BK145" s="216"/>
      <c r="BL145" s="216"/>
    </row>
    <row r="146" spans="2:68" s="247" customFormat="1" ht="18.75" customHeight="1">
      <c r="B146" s="212"/>
      <c r="C146" s="232"/>
      <c r="D146" s="232"/>
      <c r="E146" s="232"/>
      <c r="F146" s="232"/>
      <c r="G146" s="232"/>
      <c r="H146" s="232"/>
      <c r="I146" s="232"/>
      <c r="J146" s="232"/>
      <c r="K146" s="232"/>
      <c r="L146" s="232"/>
      <c r="M146" s="232"/>
      <c r="N146" s="232"/>
      <c r="O146" s="232"/>
      <c r="P146" s="232"/>
      <c r="Q146" s="232"/>
      <c r="R146" s="251"/>
      <c r="S146" s="232"/>
      <c r="T146" s="232"/>
      <c r="U146" s="232"/>
      <c r="V146" s="232"/>
      <c r="W146" s="232"/>
      <c r="X146" s="232"/>
      <c r="Y146" s="232"/>
      <c r="Z146" s="232"/>
      <c r="AA146" s="232"/>
      <c r="AB146" s="232"/>
      <c r="AC146" s="232"/>
      <c r="AD146" s="232"/>
      <c r="AE146" s="212"/>
      <c r="AF146" s="212"/>
      <c r="AG146" s="212"/>
      <c r="AH146" s="212"/>
      <c r="AI146" s="212"/>
      <c r="AJ146" s="212"/>
      <c r="AK146" s="212"/>
      <c r="AL146" s="212"/>
      <c r="AM146" s="212"/>
      <c r="AN146" s="212"/>
      <c r="AO146" s="212"/>
      <c r="AP146" s="212"/>
      <c r="AQ146" s="212"/>
      <c r="AR146" s="212"/>
      <c r="AS146" s="212"/>
      <c r="AT146" s="212"/>
      <c r="AU146" s="212"/>
      <c r="AV146" s="212"/>
      <c r="AW146" s="212"/>
      <c r="AX146" s="212"/>
      <c r="AY146" s="212"/>
      <c r="AZ146" s="212"/>
      <c r="BA146" s="212"/>
      <c r="BB146" s="212"/>
      <c r="BC146" s="212"/>
      <c r="BD146" s="212"/>
      <c r="BE146" s="212"/>
      <c r="BF146" s="212"/>
      <c r="BG146" s="212"/>
      <c r="BH146" s="216"/>
      <c r="BI146" s="216"/>
      <c r="BJ146" s="216"/>
      <c r="BK146" s="216"/>
      <c r="BL146" s="216"/>
    </row>
    <row r="147" spans="2:68" s="247" customFormat="1" ht="18.75" customHeight="1">
      <c r="B147" s="212"/>
      <c r="C147" s="232"/>
      <c r="D147" s="232"/>
      <c r="E147" s="232"/>
      <c r="F147" s="232"/>
      <c r="G147" s="232"/>
      <c r="H147" s="232"/>
      <c r="I147" s="232"/>
      <c r="J147" s="232"/>
      <c r="K147" s="232"/>
      <c r="L147" s="232"/>
      <c r="M147" s="232"/>
      <c r="N147" s="232"/>
      <c r="O147" s="232"/>
      <c r="P147" s="232"/>
      <c r="Q147" s="232"/>
      <c r="R147" s="251"/>
      <c r="S147" s="232"/>
      <c r="T147" s="232"/>
      <c r="U147" s="232"/>
      <c r="V147" s="232"/>
      <c r="W147" s="232"/>
      <c r="X147" s="232"/>
      <c r="Y147" s="232"/>
      <c r="Z147" s="232"/>
      <c r="AA147" s="232"/>
      <c r="AB147" s="232"/>
      <c r="AC147" s="232"/>
      <c r="AD147" s="232"/>
      <c r="AE147" s="212"/>
      <c r="AF147" s="212"/>
      <c r="AG147" s="212"/>
      <c r="AH147" s="212"/>
      <c r="AI147" s="212"/>
      <c r="AJ147" s="212"/>
      <c r="AK147" s="212"/>
      <c r="AL147" s="212"/>
      <c r="AM147" s="212"/>
      <c r="AN147" s="212"/>
      <c r="AO147" s="212"/>
      <c r="AP147" s="212"/>
      <c r="AQ147" s="212"/>
      <c r="AR147" s="212"/>
      <c r="AS147" s="212"/>
      <c r="AT147" s="212"/>
      <c r="AU147" s="212"/>
      <c r="AV147" s="212"/>
      <c r="AW147" s="212"/>
      <c r="AX147" s="212"/>
      <c r="AY147" s="212"/>
      <c r="AZ147" s="212"/>
      <c r="BA147" s="212"/>
      <c r="BB147" s="212"/>
      <c r="BC147" s="212"/>
      <c r="BD147" s="212"/>
      <c r="BE147" s="212"/>
      <c r="BF147" s="212"/>
      <c r="BG147" s="212"/>
      <c r="BH147" s="232"/>
      <c r="BI147" s="232"/>
      <c r="BJ147" s="232"/>
      <c r="BK147" s="232"/>
    </row>
    <row r="148" spans="2:68" s="247" customFormat="1" ht="18.75" customHeight="1">
      <c r="B148" s="238" t="s">
        <v>524</v>
      </c>
      <c r="C148" s="211" t="str">
        <f>$B$4&amp;"와 "&amp;$H$4&amp;"의 온도 차에 의한 표준불확도,"</f>
        <v>스텝 게이지와 게이지 블록의 온도 차에 의한 표준불확도,</v>
      </c>
      <c r="D148" s="232"/>
      <c r="E148" s="232"/>
      <c r="F148" s="232"/>
      <c r="G148" s="232"/>
      <c r="H148" s="232"/>
      <c r="I148" s="232"/>
      <c r="J148" s="232"/>
      <c r="K148" s="232"/>
      <c r="L148" s="232"/>
      <c r="M148" s="232"/>
      <c r="N148" s="232"/>
      <c r="O148" s="232"/>
      <c r="P148" s="232"/>
      <c r="Q148" s="232"/>
      <c r="R148" s="232"/>
      <c r="S148" s="232"/>
      <c r="T148" s="232"/>
      <c r="U148" s="232"/>
      <c r="V148" s="232"/>
      <c r="W148" s="232"/>
      <c r="X148" s="232"/>
      <c r="Y148" s="232"/>
      <c r="Z148" s="211" t="s">
        <v>525</v>
      </c>
      <c r="AC148" s="232"/>
      <c r="AD148" s="232"/>
      <c r="AE148" s="232"/>
      <c r="AF148" s="232"/>
      <c r="AG148" s="232"/>
      <c r="AH148" s="212"/>
      <c r="AI148" s="212"/>
      <c r="AJ148" s="212"/>
      <c r="AK148" s="212"/>
      <c r="AL148" s="212"/>
      <c r="AM148" s="212"/>
      <c r="AN148" s="212"/>
      <c r="AO148" s="232"/>
      <c r="AP148" s="232"/>
      <c r="AQ148" s="232"/>
      <c r="AR148" s="232"/>
      <c r="AS148" s="232"/>
      <c r="AT148" s="232"/>
      <c r="AU148" s="232"/>
      <c r="AV148" s="232"/>
      <c r="AW148" s="232"/>
      <c r="AX148" s="232"/>
      <c r="AY148" s="232"/>
      <c r="AZ148" s="232"/>
      <c r="BA148" s="232"/>
      <c r="BB148" s="232"/>
      <c r="BC148" s="232"/>
      <c r="BD148" s="232"/>
      <c r="BE148" s="232"/>
      <c r="BF148" s="232"/>
      <c r="BG148" s="232"/>
      <c r="BH148" s="216"/>
      <c r="BI148" s="216"/>
      <c r="BJ148" s="216"/>
      <c r="BK148" s="216"/>
      <c r="BL148" s="216"/>
      <c r="BM148" s="216"/>
      <c r="BN148" s="216"/>
    </row>
    <row r="149" spans="2:68" s="247" customFormat="1" ht="18.75" customHeight="1">
      <c r="B149" s="211"/>
      <c r="C149" s="232" t="e">
        <f>"※ 열평형 상태에서 "&amp;$B$4&amp;"와 "&amp;$H$4&amp;"의 온도차가 ±"&amp;N152&amp;" ℃ 이내에서"</f>
        <v>#VALUE!</v>
      </c>
      <c r="D149" s="232"/>
      <c r="E149" s="232"/>
      <c r="F149" s="232"/>
      <c r="G149" s="232"/>
      <c r="H149" s="232"/>
      <c r="I149" s="232"/>
      <c r="J149" s="232"/>
      <c r="K149" s="232"/>
      <c r="L149" s="232"/>
      <c r="M149" s="232"/>
      <c r="N149" s="232"/>
      <c r="O149" s="232"/>
      <c r="P149" s="232"/>
      <c r="Q149" s="232"/>
      <c r="R149" s="232"/>
      <c r="S149" s="232"/>
      <c r="T149" s="232"/>
      <c r="U149" s="232"/>
      <c r="V149" s="232"/>
      <c r="W149" s="232"/>
      <c r="X149" s="232"/>
      <c r="Y149" s="232"/>
      <c r="Z149" s="232"/>
      <c r="AA149" s="232"/>
      <c r="AB149" s="232"/>
      <c r="AC149" s="232"/>
      <c r="AD149" s="232"/>
      <c r="AE149" s="232"/>
      <c r="AF149" s="232"/>
      <c r="AG149" s="232"/>
      <c r="AH149" s="232"/>
      <c r="AI149" s="232"/>
      <c r="AJ149" s="232"/>
      <c r="AK149" s="232"/>
      <c r="AL149" s="232"/>
      <c r="AM149" s="212"/>
      <c r="AN149" s="212"/>
      <c r="AO149" s="232"/>
      <c r="AP149" s="232"/>
      <c r="AQ149" s="232"/>
      <c r="AR149" s="232"/>
      <c r="AS149" s="232"/>
      <c r="AT149" s="232"/>
      <c r="AU149" s="232"/>
      <c r="AV149" s="232"/>
      <c r="AW149" s="232"/>
      <c r="AX149" s="232"/>
      <c r="AY149" s="232"/>
      <c r="AZ149" s="232"/>
      <c r="BA149" s="232"/>
      <c r="BB149" s="232"/>
      <c r="BC149" s="232"/>
      <c r="BD149" s="232"/>
      <c r="BE149" s="232"/>
      <c r="BF149" s="232"/>
      <c r="BG149" s="232"/>
      <c r="BH149" s="216"/>
      <c r="BI149" s="216"/>
      <c r="BJ149" s="216"/>
      <c r="BK149" s="216"/>
      <c r="BL149" s="216"/>
      <c r="BM149" s="216"/>
      <c r="BN149" s="216"/>
    </row>
    <row r="150" spans="2:68" s="247" customFormat="1" ht="18.75" customHeight="1">
      <c r="B150" s="211"/>
      <c r="C150" s="232"/>
      <c r="D150" s="232" t="s">
        <v>526</v>
      </c>
      <c r="E150" s="232"/>
      <c r="F150" s="232"/>
      <c r="G150" s="232"/>
      <c r="H150" s="232"/>
      <c r="I150" s="232"/>
      <c r="J150" s="232"/>
      <c r="K150" s="232"/>
      <c r="L150" s="232"/>
      <c r="M150" s="232"/>
      <c r="N150" s="232"/>
      <c r="O150" s="232"/>
      <c r="P150" s="232"/>
      <c r="Q150" s="232"/>
      <c r="R150" s="232"/>
      <c r="S150" s="232"/>
      <c r="T150" s="232"/>
      <c r="U150" s="232"/>
      <c r="V150" s="232"/>
      <c r="W150" s="232"/>
      <c r="X150" s="232"/>
      <c r="Y150" s="232"/>
      <c r="Z150" s="232"/>
      <c r="AA150" s="232"/>
      <c r="AB150" s="232"/>
      <c r="AC150" s="232"/>
      <c r="AD150" s="232"/>
      <c r="AE150" s="232"/>
      <c r="AF150" s="232"/>
      <c r="AG150" s="232"/>
      <c r="AH150" s="232"/>
      <c r="AI150" s="232"/>
      <c r="AJ150" s="232"/>
      <c r="AK150" s="232"/>
      <c r="AL150" s="232"/>
      <c r="AM150" s="212"/>
      <c r="AN150" s="212"/>
      <c r="AO150" s="232"/>
      <c r="AP150" s="232"/>
      <c r="AQ150" s="232"/>
      <c r="AR150" s="232"/>
      <c r="AS150" s="232"/>
      <c r="AT150" s="232"/>
      <c r="AU150" s="232"/>
      <c r="AV150" s="232"/>
      <c r="AW150" s="232"/>
      <c r="AX150" s="232"/>
      <c r="AY150" s="232"/>
      <c r="AZ150" s="232"/>
      <c r="BA150" s="232"/>
      <c r="BB150" s="232"/>
      <c r="BC150" s="232"/>
      <c r="BD150" s="232"/>
      <c r="BE150" s="232"/>
      <c r="BF150" s="232"/>
      <c r="BG150" s="232"/>
      <c r="BH150" s="216"/>
      <c r="BI150" s="216"/>
      <c r="BJ150" s="216"/>
      <c r="BK150" s="216"/>
      <c r="BL150" s="216"/>
      <c r="BM150" s="216"/>
      <c r="BN150" s="216"/>
    </row>
    <row r="151" spans="2:68" s="247" customFormat="1" ht="18.75" customHeight="1">
      <c r="B151" s="212"/>
      <c r="C151" s="233" t="s">
        <v>527</v>
      </c>
      <c r="D151" s="212"/>
      <c r="E151" s="212"/>
      <c r="F151" s="212"/>
      <c r="G151" s="212"/>
      <c r="H151" s="434" t="str">
        <f>H85</f>
        <v/>
      </c>
      <c r="I151" s="434"/>
      <c r="J151" s="434"/>
      <c r="K151" s="434"/>
      <c r="L151" s="434"/>
      <c r="M151" s="434"/>
      <c r="N151" s="434"/>
      <c r="O151" s="434"/>
      <c r="P151" s="225"/>
      <c r="Q151" s="232"/>
      <c r="R151" s="232"/>
      <c r="S151" s="232"/>
      <c r="T151" s="232"/>
      <c r="U151" s="232"/>
      <c r="V151" s="232"/>
      <c r="W151" s="212"/>
      <c r="X151" s="212"/>
      <c r="Y151" s="212"/>
      <c r="Z151" s="232"/>
      <c r="AA151" s="232"/>
      <c r="AB151" s="232"/>
      <c r="AC151" s="232"/>
      <c r="AD151" s="232"/>
      <c r="AE151" s="232"/>
      <c r="AF151" s="232"/>
      <c r="AG151" s="232"/>
      <c r="AH151" s="212"/>
      <c r="AI151" s="212"/>
      <c r="AJ151" s="212"/>
      <c r="AK151" s="212"/>
      <c r="AL151" s="212"/>
      <c r="AM151" s="212"/>
      <c r="AN151" s="212"/>
      <c r="AO151" s="232"/>
      <c r="AP151" s="232"/>
      <c r="AQ151" s="232"/>
      <c r="AR151" s="232"/>
      <c r="AS151" s="232"/>
      <c r="AT151" s="232"/>
      <c r="AU151" s="232"/>
      <c r="AV151" s="232"/>
      <c r="AW151" s="232"/>
      <c r="AX151" s="232"/>
      <c r="AY151" s="232"/>
      <c r="AZ151" s="232"/>
      <c r="BA151" s="232"/>
      <c r="BB151" s="232"/>
      <c r="BC151" s="232"/>
      <c r="BD151" s="232"/>
      <c r="BE151" s="232"/>
      <c r="BF151" s="232"/>
      <c r="BG151" s="232"/>
      <c r="BH151" s="216"/>
      <c r="BI151" s="216"/>
      <c r="BJ151" s="216"/>
      <c r="BK151" s="216"/>
      <c r="BL151" s="216"/>
      <c r="BM151" s="216"/>
    </row>
    <row r="152" spans="2:68" s="247" customFormat="1" ht="18.75" customHeight="1">
      <c r="B152" s="212"/>
      <c r="C152" s="389" t="s">
        <v>528</v>
      </c>
      <c r="D152" s="389"/>
      <c r="E152" s="389"/>
      <c r="F152" s="389"/>
      <c r="G152" s="389"/>
      <c r="H152" s="389"/>
      <c r="I152" s="389"/>
      <c r="J152" s="426" t="s">
        <v>529</v>
      </c>
      <c r="K152" s="426"/>
      <c r="L152" s="426"/>
      <c r="M152" s="392" t="s">
        <v>475</v>
      </c>
      <c r="N152" s="422" t="e">
        <f>Calcu!G36</f>
        <v>#VALUE!</v>
      </c>
      <c r="O152" s="422"/>
      <c r="P152" s="255" t="s">
        <v>269</v>
      </c>
      <c r="Q152" s="256"/>
      <c r="R152" s="392" t="s">
        <v>476</v>
      </c>
      <c r="S152" s="407" t="e">
        <f>N152/SQRT(3)</f>
        <v>#VALUE!</v>
      </c>
      <c r="T152" s="407"/>
      <c r="U152" s="407"/>
      <c r="V152" s="409" t="str">
        <f>P152</f>
        <v>℃</v>
      </c>
      <c r="W152" s="409"/>
      <c r="X152" s="225"/>
      <c r="Y152" s="232"/>
      <c r="AX152" s="232"/>
      <c r="AY152" s="232"/>
      <c r="AZ152" s="232"/>
      <c r="BA152" s="232"/>
      <c r="BB152" s="232"/>
      <c r="BC152" s="232"/>
      <c r="BD152" s="232"/>
      <c r="BE152" s="232"/>
      <c r="BF152" s="232"/>
      <c r="BG152" s="232"/>
      <c r="BH152" s="232"/>
      <c r="BI152" s="232"/>
      <c r="BJ152" s="216"/>
      <c r="BK152" s="216"/>
      <c r="BL152" s="216"/>
      <c r="BM152" s="216"/>
      <c r="BN152" s="216"/>
      <c r="BO152" s="216"/>
      <c r="BP152" s="216"/>
    </row>
    <row r="153" spans="2:68" s="247" customFormat="1" ht="18.75" customHeight="1">
      <c r="B153" s="212"/>
      <c r="C153" s="389"/>
      <c r="D153" s="389"/>
      <c r="E153" s="389"/>
      <c r="F153" s="389"/>
      <c r="G153" s="389"/>
      <c r="H153" s="389"/>
      <c r="I153" s="389"/>
      <c r="J153" s="426"/>
      <c r="K153" s="426"/>
      <c r="L153" s="426"/>
      <c r="M153" s="392"/>
      <c r="N153" s="212"/>
      <c r="O153" s="212"/>
      <c r="P153" s="212"/>
      <c r="Q153" s="212"/>
      <c r="R153" s="392"/>
      <c r="S153" s="407"/>
      <c r="T153" s="407"/>
      <c r="U153" s="407"/>
      <c r="V153" s="409"/>
      <c r="W153" s="409"/>
      <c r="X153" s="225"/>
      <c r="Y153" s="232"/>
      <c r="AX153" s="232"/>
      <c r="AY153" s="232"/>
      <c r="AZ153" s="232"/>
      <c r="BA153" s="232"/>
      <c r="BB153" s="232"/>
      <c r="BC153" s="232"/>
      <c r="BD153" s="232"/>
      <c r="BE153" s="232"/>
      <c r="BF153" s="232"/>
      <c r="BG153" s="232"/>
      <c r="BH153" s="232"/>
      <c r="BI153" s="232"/>
      <c r="BJ153" s="216"/>
      <c r="BK153" s="216"/>
      <c r="BL153" s="216"/>
      <c r="BM153" s="216"/>
      <c r="BN153" s="216"/>
      <c r="BO153" s="216"/>
      <c r="BP153" s="216"/>
    </row>
    <row r="154" spans="2:68" s="247" customFormat="1" ht="18.75" customHeight="1">
      <c r="B154" s="212"/>
      <c r="C154" s="232" t="s">
        <v>531</v>
      </c>
      <c r="D154" s="232"/>
      <c r="E154" s="232"/>
      <c r="F154" s="232"/>
      <c r="G154" s="232"/>
      <c r="H154" s="232"/>
      <c r="I154" s="406" t="str">
        <f>AB85</f>
        <v>직사각형</v>
      </c>
      <c r="J154" s="406"/>
      <c r="K154" s="406"/>
      <c r="L154" s="406"/>
      <c r="M154" s="406"/>
      <c r="N154" s="406"/>
      <c r="O154" s="406"/>
      <c r="P154" s="406"/>
      <c r="Q154" s="232"/>
      <c r="R154" s="232"/>
      <c r="S154" s="232"/>
      <c r="T154" s="232"/>
      <c r="U154" s="232"/>
      <c r="V154" s="232"/>
      <c r="W154" s="232"/>
      <c r="X154" s="232"/>
      <c r="Y154" s="232"/>
      <c r="Z154" s="212"/>
      <c r="AA154" s="212"/>
      <c r="AB154" s="212"/>
      <c r="AC154" s="212"/>
      <c r="AD154" s="212"/>
      <c r="AE154" s="212"/>
      <c r="AF154" s="212"/>
      <c r="AG154" s="212"/>
      <c r="AH154" s="212"/>
      <c r="AI154" s="212"/>
      <c r="AJ154" s="212"/>
      <c r="AK154" s="212"/>
      <c r="AL154" s="212"/>
      <c r="AM154" s="212"/>
      <c r="AN154" s="212"/>
      <c r="AO154" s="212"/>
      <c r="AP154" s="232"/>
      <c r="AQ154" s="232"/>
      <c r="AR154" s="232"/>
      <c r="AS154" s="232"/>
      <c r="AT154" s="232"/>
      <c r="AU154" s="232"/>
      <c r="AV154" s="232"/>
      <c r="AW154" s="232"/>
      <c r="AX154" s="232"/>
      <c r="AY154" s="232"/>
      <c r="AZ154" s="232"/>
      <c r="BA154" s="232"/>
      <c r="BB154" s="232"/>
      <c r="BC154" s="232"/>
      <c r="BD154" s="232"/>
      <c r="BE154" s="232"/>
      <c r="BF154" s="232"/>
      <c r="BG154" s="232"/>
      <c r="BH154" s="216"/>
      <c r="BI154" s="216"/>
      <c r="BJ154" s="216"/>
      <c r="BK154" s="216"/>
      <c r="BL154" s="216"/>
    </row>
    <row r="155" spans="2:68" s="247" customFormat="1" ht="18.75" customHeight="1">
      <c r="B155" s="212"/>
      <c r="C155" s="389" t="s">
        <v>532</v>
      </c>
      <c r="D155" s="389"/>
      <c r="E155" s="389"/>
      <c r="F155" s="389"/>
      <c r="G155" s="389"/>
      <c r="H155" s="389"/>
      <c r="I155" s="232"/>
      <c r="J155" s="232"/>
      <c r="K155" s="232"/>
      <c r="L155" s="232"/>
      <c r="M155" s="232"/>
      <c r="N155" s="232"/>
      <c r="O155" s="212"/>
      <c r="R155" s="389" t="e">
        <f ca="1">-H84*10^6</f>
        <v>#N/A</v>
      </c>
      <c r="S155" s="389"/>
      <c r="T155" s="389"/>
      <c r="U155" s="389" t="s">
        <v>533</v>
      </c>
      <c r="V155" s="389"/>
      <c r="W155" s="389"/>
      <c r="X155" s="389"/>
      <c r="Y155" s="389"/>
      <c r="Z155" s="389"/>
      <c r="AA155" s="389"/>
      <c r="AB155" s="389"/>
      <c r="AC155" s="392" t="s">
        <v>534</v>
      </c>
      <c r="AD155" s="430" t="e">
        <f ca="1">R155*10^-6*1000</f>
        <v>#N/A</v>
      </c>
      <c r="AE155" s="430"/>
      <c r="AF155" s="430"/>
      <c r="AG155" s="430"/>
      <c r="AH155" s="389" t="s">
        <v>535</v>
      </c>
      <c r="AI155" s="389"/>
      <c r="AJ155" s="389"/>
      <c r="AK155" s="389"/>
      <c r="AL155" s="389"/>
      <c r="AM155" s="389"/>
      <c r="AN155" s="389"/>
      <c r="AO155" s="232"/>
      <c r="AP155" s="232"/>
      <c r="AQ155" s="232"/>
      <c r="AR155" s="232"/>
      <c r="AS155" s="232"/>
      <c r="AT155" s="232"/>
      <c r="AU155" s="232"/>
      <c r="AV155" s="232"/>
      <c r="AW155" s="232"/>
      <c r="AX155" s="232"/>
      <c r="AY155" s="232"/>
      <c r="AZ155" s="232"/>
      <c r="BA155" s="232"/>
      <c r="BB155" s="212"/>
      <c r="BC155" s="212"/>
      <c r="BD155" s="212"/>
      <c r="BE155" s="212"/>
      <c r="BF155" s="212"/>
      <c r="BG155" s="212"/>
    </row>
    <row r="156" spans="2:68" s="247" customFormat="1" ht="18.75" customHeight="1">
      <c r="B156" s="212"/>
      <c r="C156" s="389"/>
      <c r="D156" s="389"/>
      <c r="E156" s="389"/>
      <c r="F156" s="389"/>
      <c r="G156" s="389"/>
      <c r="H156" s="389"/>
      <c r="I156" s="232"/>
      <c r="J156" s="232"/>
      <c r="K156" s="232"/>
      <c r="L156" s="232"/>
      <c r="M156" s="232"/>
      <c r="N156" s="232"/>
      <c r="O156" s="212"/>
      <c r="R156" s="389"/>
      <c r="S156" s="389"/>
      <c r="T156" s="389"/>
      <c r="U156" s="389"/>
      <c r="V156" s="389"/>
      <c r="W156" s="389"/>
      <c r="X156" s="389"/>
      <c r="Y156" s="389"/>
      <c r="Z156" s="389"/>
      <c r="AA156" s="389"/>
      <c r="AB156" s="389"/>
      <c r="AC156" s="392"/>
      <c r="AD156" s="430"/>
      <c r="AE156" s="430"/>
      <c r="AF156" s="430"/>
      <c r="AG156" s="430"/>
      <c r="AH156" s="389"/>
      <c r="AI156" s="389"/>
      <c r="AJ156" s="389"/>
      <c r="AK156" s="389"/>
      <c r="AL156" s="389"/>
      <c r="AM156" s="389"/>
      <c r="AN156" s="389"/>
      <c r="AO156" s="232"/>
      <c r="AP156" s="232"/>
      <c r="AQ156" s="232"/>
      <c r="AR156" s="232"/>
      <c r="AS156" s="232"/>
      <c r="AT156" s="232"/>
      <c r="AU156" s="232"/>
      <c r="AV156" s="232"/>
      <c r="AW156" s="232"/>
      <c r="AX156" s="232"/>
      <c r="AY156" s="232"/>
      <c r="AZ156" s="232"/>
      <c r="BA156" s="232"/>
      <c r="BB156" s="212"/>
      <c r="BC156" s="212"/>
      <c r="BD156" s="212"/>
      <c r="BE156" s="212"/>
      <c r="BF156" s="212"/>
      <c r="BG156" s="212"/>
    </row>
    <row r="157" spans="2:68" s="247" customFormat="1" ht="18.75" customHeight="1">
      <c r="B157" s="212"/>
      <c r="C157" s="232" t="s">
        <v>536</v>
      </c>
      <c r="D157" s="232"/>
      <c r="E157" s="232"/>
      <c r="F157" s="232"/>
      <c r="G157" s="232"/>
      <c r="H157" s="232"/>
      <c r="I157" s="232"/>
      <c r="J157" s="212"/>
      <c r="K157" s="213" t="s">
        <v>538</v>
      </c>
      <c r="L157" s="430" t="e">
        <f ca="1">AD155</f>
        <v>#N/A</v>
      </c>
      <c r="M157" s="430"/>
      <c r="N157" s="430"/>
      <c r="O157" s="430"/>
      <c r="P157" s="389" t="s">
        <v>539</v>
      </c>
      <c r="Q157" s="389"/>
      <c r="R157" s="389"/>
      <c r="S157" s="389"/>
      <c r="T157" s="389"/>
      <c r="U157" s="431" t="e">
        <f>S152</f>
        <v>#VALUE!</v>
      </c>
      <c r="V157" s="431"/>
      <c r="W157" s="431"/>
      <c r="X157" s="431"/>
      <c r="Y157" s="212" t="s">
        <v>482</v>
      </c>
      <c r="Z157" s="212" t="s">
        <v>540</v>
      </c>
      <c r="AA157" s="432" t="e">
        <f ca="1">ABS(L157*U157)</f>
        <v>#N/A</v>
      </c>
      <c r="AB157" s="432"/>
      <c r="AC157" s="432"/>
      <c r="AD157" s="433"/>
      <c r="AE157" s="232" t="s">
        <v>443</v>
      </c>
      <c r="AF157" s="233"/>
      <c r="AG157" s="212"/>
      <c r="AH157" s="212"/>
      <c r="AI157" s="212"/>
      <c r="AJ157" s="212"/>
      <c r="AK157" s="212"/>
      <c r="AL157" s="212"/>
      <c r="AM157" s="212"/>
      <c r="AN157" s="212"/>
      <c r="AO157" s="212"/>
      <c r="AP157" s="212"/>
      <c r="AR157" s="232"/>
      <c r="AS157" s="232"/>
      <c r="AT157" s="232"/>
      <c r="AU157" s="232"/>
      <c r="AV157" s="257"/>
      <c r="AW157" s="257"/>
      <c r="AX157" s="257"/>
      <c r="AY157" s="257"/>
      <c r="AZ157" s="257"/>
      <c r="BA157" s="257"/>
      <c r="BB157" s="212"/>
      <c r="BC157" s="212"/>
      <c r="BD157" s="212"/>
      <c r="BE157" s="212"/>
      <c r="BF157" s="212"/>
      <c r="BG157" s="212"/>
    </row>
    <row r="158" spans="2:68" s="247" customFormat="1" ht="18.75" customHeight="1">
      <c r="B158" s="212"/>
      <c r="C158" s="389" t="s">
        <v>541</v>
      </c>
      <c r="D158" s="389"/>
      <c r="E158" s="389"/>
      <c r="F158" s="389"/>
      <c r="G158" s="389"/>
      <c r="H158" s="232"/>
      <c r="J158" s="232"/>
      <c r="K158" s="232"/>
      <c r="L158" s="232"/>
      <c r="M158" s="232"/>
      <c r="N158" s="232"/>
      <c r="O158" s="232"/>
      <c r="P158" s="232"/>
      <c r="Q158" s="232"/>
      <c r="R158" s="251"/>
      <c r="S158" s="232"/>
      <c r="T158" s="232"/>
      <c r="U158" s="232"/>
      <c r="W158" s="213" t="s">
        <v>542</v>
      </c>
      <c r="X158" s="232"/>
      <c r="Y158" s="232"/>
      <c r="Z158" s="232"/>
      <c r="AA158" s="232"/>
      <c r="AB158" s="232"/>
      <c r="AC158" s="232"/>
      <c r="AD158" s="232"/>
      <c r="AE158" s="212"/>
      <c r="AF158" s="212"/>
      <c r="AG158" s="212"/>
      <c r="AH158" s="212"/>
      <c r="AI158" s="212"/>
      <c r="AJ158" s="212"/>
      <c r="AK158" s="212"/>
      <c r="AL158" s="212"/>
      <c r="AM158" s="212"/>
      <c r="AN158" s="212"/>
      <c r="AO158" s="212"/>
      <c r="AP158" s="212"/>
      <c r="AQ158" s="212"/>
      <c r="AR158" s="212"/>
      <c r="AS158" s="212"/>
      <c r="AT158" s="212"/>
      <c r="AU158" s="232"/>
      <c r="AV158" s="212"/>
      <c r="AW158" s="212"/>
      <c r="AX158" s="212"/>
      <c r="AY158" s="212"/>
      <c r="AZ158" s="212"/>
      <c r="BA158" s="212"/>
      <c r="BB158" s="212"/>
      <c r="BC158" s="212"/>
      <c r="BD158" s="212"/>
      <c r="BE158" s="212"/>
      <c r="BF158" s="212"/>
      <c r="BG158" s="212"/>
    </row>
    <row r="159" spans="2:68" s="247" customFormat="1" ht="18.75" customHeight="1">
      <c r="B159" s="212"/>
      <c r="C159" s="389"/>
      <c r="D159" s="389"/>
      <c r="E159" s="389"/>
      <c r="F159" s="389"/>
      <c r="G159" s="389"/>
      <c r="H159" s="232"/>
      <c r="I159" s="232"/>
      <c r="J159" s="232"/>
      <c r="K159" s="232"/>
      <c r="L159" s="232"/>
      <c r="M159" s="232"/>
      <c r="N159" s="232"/>
      <c r="O159" s="232"/>
      <c r="P159" s="232"/>
      <c r="Q159" s="232"/>
      <c r="R159" s="251"/>
      <c r="S159" s="232"/>
      <c r="T159" s="232"/>
      <c r="U159" s="232"/>
      <c r="V159" s="232"/>
      <c r="W159" s="232"/>
      <c r="X159" s="232"/>
      <c r="Y159" s="232"/>
      <c r="Z159" s="232"/>
      <c r="AA159" s="232"/>
      <c r="AB159" s="232"/>
      <c r="AC159" s="212"/>
      <c r="AD159" s="212"/>
      <c r="AE159" s="212"/>
      <c r="AF159" s="212"/>
      <c r="AG159" s="212"/>
      <c r="AH159" s="212"/>
      <c r="AI159" s="212"/>
      <c r="AJ159" s="212"/>
      <c r="AK159" s="212"/>
      <c r="AL159" s="212"/>
      <c r="AM159" s="212"/>
      <c r="AN159" s="212"/>
      <c r="AO159" s="212"/>
      <c r="AP159" s="212"/>
      <c r="AQ159" s="212"/>
      <c r="AR159" s="212"/>
      <c r="AS159" s="212"/>
      <c r="AT159" s="212"/>
      <c r="AU159" s="212"/>
      <c r="AV159" s="212"/>
      <c r="AW159" s="212"/>
      <c r="AX159" s="212"/>
      <c r="AY159" s="212"/>
      <c r="AZ159" s="212"/>
      <c r="BA159" s="212"/>
      <c r="BB159" s="212"/>
      <c r="BC159" s="212"/>
      <c r="BD159" s="212"/>
      <c r="BE159" s="212"/>
      <c r="BF159" s="212"/>
      <c r="BG159" s="212"/>
    </row>
    <row r="160" spans="2:68" s="247" customFormat="1" ht="18.75" customHeight="1">
      <c r="B160" s="212"/>
      <c r="C160" s="232"/>
      <c r="D160" s="232"/>
      <c r="E160" s="232"/>
      <c r="F160" s="232"/>
      <c r="G160" s="212"/>
      <c r="H160" s="232"/>
      <c r="I160" s="232"/>
      <c r="J160" s="232"/>
      <c r="K160" s="232"/>
      <c r="L160" s="232"/>
      <c r="M160" s="232"/>
      <c r="N160" s="232"/>
      <c r="O160" s="232"/>
      <c r="P160" s="232"/>
      <c r="Q160" s="232"/>
      <c r="R160" s="232"/>
      <c r="S160" s="232"/>
      <c r="T160" s="232"/>
      <c r="U160" s="232"/>
      <c r="V160" s="232"/>
      <c r="W160" s="232"/>
      <c r="X160" s="232"/>
      <c r="Y160" s="232"/>
      <c r="Z160" s="232"/>
      <c r="AA160" s="212"/>
      <c r="AB160" s="212"/>
      <c r="AC160" s="212"/>
      <c r="AD160" s="212"/>
      <c r="AE160" s="212"/>
      <c r="AF160" s="212"/>
      <c r="AG160" s="212"/>
      <c r="AH160" s="212"/>
      <c r="AI160" s="212"/>
      <c r="AJ160" s="212"/>
      <c r="AK160" s="212"/>
      <c r="AL160" s="212"/>
      <c r="AM160" s="212"/>
      <c r="AN160" s="212"/>
      <c r="AO160" s="212"/>
      <c r="AP160" s="212"/>
      <c r="AQ160" s="212"/>
      <c r="AR160" s="212"/>
      <c r="AS160" s="212"/>
      <c r="AT160" s="212"/>
      <c r="AU160" s="212"/>
      <c r="AV160" s="212"/>
      <c r="AW160" s="212"/>
      <c r="AX160" s="212"/>
      <c r="AY160" s="212"/>
      <c r="AZ160" s="212"/>
      <c r="BA160" s="212"/>
      <c r="BB160" s="212"/>
      <c r="BC160" s="212"/>
      <c r="BD160" s="212"/>
      <c r="BE160" s="212"/>
      <c r="BF160" s="212"/>
      <c r="BG160" s="212"/>
    </row>
    <row r="161" spans="2:67" s="247" customFormat="1" ht="18.75" customHeight="1">
      <c r="B161" s="238" t="s">
        <v>543</v>
      </c>
      <c r="C161" s="211" t="str">
        <f>$B$4&amp;"와 "&amp;$H$4&amp;"의 열팽창계수 차에 의한 표준불확도,"</f>
        <v>스텝 게이지와 게이지 블록의 열팽창계수 차에 의한 표준불확도,</v>
      </c>
      <c r="D161" s="232"/>
      <c r="E161" s="232"/>
      <c r="F161" s="232"/>
      <c r="G161" s="232"/>
      <c r="H161" s="232"/>
      <c r="I161" s="232"/>
      <c r="J161" s="232"/>
      <c r="K161" s="232"/>
      <c r="L161" s="232"/>
      <c r="M161" s="232"/>
      <c r="N161" s="232"/>
      <c r="O161" s="232"/>
      <c r="P161" s="232"/>
      <c r="Q161" s="232"/>
      <c r="R161" s="232"/>
      <c r="S161" s="232"/>
      <c r="T161" s="232"/>
      <c r="U161" s="232"/>
      <c r="V161" s="232"/>
      <c r="W161" s="232"/>
      <c r="X161" s="232"/>
      <c r="Y161" s="232"/>
      <c r="Z161" s="232"/>
      <c r="AA161" s="232"/>
      <c r="AB161" s="232"/>
      <c r="AC161" s="258" t="s">
        <v>544</v>
      </c>
      <c r="AE161" s="232"/>
      <c r="AF161" s="232"/>
      <c r="AG161" s="232"/>
      <c r="AH161" s="232"/>
      <c r="AI161" s="232"/>
      <c r="AJ161" s="232"/>
      <c r="AK161" s="232"/>
      <c r="AL161" s="232"/>
      <c r="AM161" s="232"/>
      <c r="AN161" s="232"/>
      <c r="AO161" s="232"/>
      <c r="AP161" s="232"/>
      <c r="AQ161" s="232"/>
      <c r="AR161" s="232"/>
      <c r="AS161" s="232"/>
      <c r="AT161" s="232"/>
      <c r="AU161" s="232"/>
      <c r="AV161" s="232"/>
      <c r="AW161" s="232"/>
      <c r="AX161" s="232"/>
      <c r="AY161" s="232"/>
      <c r="AZ161" s="232"/>
      <c r="BA161" s="232"/>
      <c r="BB161" s="212"/>
      <c r="BC161" s="212"/>
      <c r="BD161" s="212"/>
      <c r="BE161" s="212"/>
      <c r="BF161" s="212"/>
      <c r="BG161" s="212"/>
    </row>
    <row r="162" spans="2:67" s="247" customFormat="1" ht="18.75" customHeight="1">
      <c r="B162" s="211"/>
      <c r="C162" s="232" t="str">
        <f>"※ "&amp;$B$4&amp;"와 "&amp;$H$4&amp;"의 열팽창계수 차이 :"</f>
        <v>※ 스텝 게이지와 게이지 블록의 열팽창계수 차이 :</v>
      </c>
      <c r="D162" s="232"/>
      <c r="E162" s="232"/>
      <c r="F162" s="232"/>
      <c r="G162" s="232"/>
      <c r="H162" s="232"/>
      <c r="I162" s="232"/>
      <c r="J162" s="232"/>
      <c r="K162" s="232"/>
      <c r="L162" s="232"/>
      <c r="M162" s="232"/>
      <c r="N162" s="232"/>
      <c r="O162" s="232"/>
      <c r="P162" s="232"/>
      <c r="Q162" s="232"/>
      <c r="R162" s="232"/>
      <c r="S162" s="212"/>
      <c r="T162" s="232"/>
      <c r="U162" s="232"/>
      <c r="V162" s="232"/>
      <c r="W162" s="232"/>
      <c r="X162" s="232" t="s">
        <v>545</v>
      </c>
      <c r="Z162" s="232"/>
      <c r="AA162" s="232"/>
      <c r="AB162" s="232"/>
      <c r="AC162" s="232"/>
      <c r="AD162" s="212"/>
      <c r="AE162" s="212"/>
      <c r="AF162" s="212"/>
      <c r="AG162" s="212"/>
      <c r="AH162" s="232"/>
      <c r="AI162" s="232"/>
      <c r="AJ162" s="232"/>
      <c r="AK162" s="232"/>
      <c r="AL162" s="232"/>
      <c r="AM162" s="232"/>
      <c r="AN162" s="232"/>
      <c r="AO162" s="232"/>
      <c r="AP162" s="232"/>
      <c r="AQ162" s="232"/>
      <c r="AR162" s="232"/>
      <c r="AS162" s="232"/>
      <c r="AT162" s="232"/>
      <c r="AU162" s="232"/>
      <c r="AV162" s="232"/>
      <c r="AW162" s="232"/>
      <c r="AX162" s="232"/>
      <c r="AY162" s="232"/>
      <c r="AZ162" s="232"/>
      <c r="BA162" s="232"/>
      <c r="BB162" s="212"/>
      <c r="BC162" s="212"/>
      <c r="BD162" s="212"/>
      <c r="BE162" s="212"/>
      <c r="BF162" s="212"/>
      <c r="BG162" s="212"/>
    </row>
    <row r="163" spans="2:67" s="247" customFormat="1" ht="18.75" customHeight="1">
      <c r="B163" s="212"/>
      <c r="C163" s="233" t="s">
        <v>546</v>
      </c>
      <c r="D163" s="212"/>
      <c r="E163" s="212"/>
      <c r="F163" s="212"/>
      <c r="G163" s="212"/>
      <c r="H163" s="429" t="e">
        <f ca="1">H86*10^6</f>
        <v>#N/A</v>
      </c>
      <c r="I163" s="429"/>
      <c r="J163" s="429"/>
      <c r="K163" s="225" t="s">
        <v>507</v>
      </c>
      <c r="L163" s="225"/>
      <c r="M163" s="225"/>
      <c r="N163" s="225"/>
      <c r="O163" s="225"/>
      <c r="P163" s="225"/>
      <c r="Q163" s="232"/>
      <c r="R163" s="232"/>
      <c r="S163" s="232"/>
      <c r="T163" s="232"/>
      <c r="U163" s="232"/>
      <c r="V163" s="232"/>
      <c r="W163" s="232"/>
      <c r="X163" s="232"/>
      <c r="Y163" s="232"/>
      <c r="Z163" s="232"/>
      <c r="AA163" s="232"/>
      <c r="AB163" s="232"/>
      <c r="AC163" s="232"/>
      <c r="AD163" s="232"/>
      <c r="AE163" s="232"/>
      <c r="AF163" s="232"/>
      <c r="AG163" s="232"/>
      <c r="AH163" s="232"/>
      <c r="AI163" s="232"/>
      <c r="AJ163" s="232"/>
      <c r="AK163" s="232"/>
      <c r="AL163" s="232"/>
      <c r="AM163" s="232"/>
      <c r="AN163" s="232"/>
      <c r="AO163" s="232"/>
      <c r="AP163" s="232"/>
      <c r="AQ163" s="232"/>
      <c r="AR163" s="232"/>
      <c r="AS163" s="232"/>
      <c r="AT163" s="212"/>
      <c r="AU163" s="212"/>
      <c r="AV163" s="212"/>
      <c r="AW163" s="212"/>
      <c r="AX163" s="212"/>
      <c r="AY163" s="212"/>
      <c r="AZ163" s="212"/>
      <c r="BA163" s="212"/>
      <c r="BB163" s="212"/>
      <c r="BC163" s="212"/>
      <c r="BD163" s="212"/>
      <c r="BE163" s="212"/>
      <c r="BF163" s="212"/>
      <c r="BG163" s="212"/>
    </row>
    <row r="164" spans="2:67" s="247" customFormat="1" ht="18.75" customHeight="1">
      <c r="B164" s="212"/>
      <c r="C164" s="232" t="s">
        <v>547</v>
      </c>
      <c r="D164" s="232"/>
      <c r="E164" s="232"/>
      <c r="F164" s="232"/>
      <c r="G164" s="232"/>
      <c r="H164" s="232"/>
      <c r="I164" s="212"/>
      <c r="J164" s="232" t="s">
        <v>548</v>
      </c>
      <c r="K164" s="232"/>
      <c r="L164" s="232"/>
      <c r="M164" s="232"/>
      <c r="N164" s="232"/>
      <c r="O164" s="232"/>
      <c r="P164" s="232"/>
      <c r="Q164" s="232"/>
      <c r="R164" s="232"/>
      <c r="S164" s="232"/>
      <c r="T164" s="232"/>
      <c r="U164" s="212"/>
      <c r="V164" s="212"/>
      <c r="W164" s="215"/>
      <c r="X164" s="232"/>
      <c r="Y164" s="232"/>
      <c r="Z164" s="232"/>
      <c r="AA164" s="232"/>
      <c r="AB164" s="232"/>
      <c r="AC164" s="232"/>
      <c r="AD164" s="232"/>
      <c r="AE164" s="232"/>
      <c r="AF164" s="232"/>
      <c r="AG164" s="232"/>
      <c r="AH164" s="232"/>
      <c r="AI164" s="232"/>
      <c r="AJ164" s="232"/>
      <c r="AK164" s="232"/>
      <c r="AL164" s="212"/>
      <c r="AM164" s="212"/>
      <c r="AN164" s="212"/>
      <c r="AO164" s="232"/>
      <c r="AP164" s="232"/>
      <c r="AQ164" s="232"/>
      <c r="AR164" s="232"/>
      <c r="AS164" s="232"/>
      <c r="AT164" s="232"/>
      <c r="AU164" s="232"/>
      <c r="AV164" s="232"/>
      <c r="AW164" s="232"/>
      <c r="AX164" s="232"/>
      <c r="AY164" s="232"/>
      <c r="AZ164" s="232"/>
      <c r="BA164" s="232"/>
      <c r="BB164" s="232"/>
      <c r="BC164" s="232"/>
      <c r="BD164" s="232"/>
      <c r="BE164" s="232"/>
      <c r="BF164" s="232"/>
      <c r="BG164" s="232"/>
      <c r="BH164" s="216"/>
      <c r="BI164" s="216"/>
      <c r="BJ164" s="216"/>
      <c r="BK164" s="216"/>
      <c r="BL164" s="216"/>
      <c r="BM164" s="216"/>
    </row>
    <row r="165" spans="2:67" s="247" customFormat="1" ht="18.75" customHeight="1">
      <c r="B165" s="212"/>
      <c r="C165" s="232"/>
      <c r="D165" s="232"/>
      <c r="E165" s="232"/>
      <c r="F165" s="232"/>
      <c r="G165" s="232"/>
      <c r="H165" s="232"/>
      <c r="I165" s="212"/>
      <c r="J165" s="232" t="s">
        <v>549</v>
      </c>
      <c r="K165" s="232"/>
      <c r="L165" s="232"/>
      <c r="M165" s="232"/>
      <c r="N165" s="232"/>
      <c r="O165" s="232"/>
      <c r="P165" s="232"/>
      <c r="Q165" s="232"/>
      <c r="R165" s="232"/>
      <c r="S165" s="232"/>
      <c r="T165" s="212"/>
      <c r="U165" s="232"/>
      <c r="V165" s="215"/>
      <c r="W165" s="232"/>
      <c r="X165" s="232"/>
      <c r="Y165" s="232"/>
      <c r="Z165" s="232"/>
      <c r="AA165" s="232"/>
      <c r="AB165" s="232"/>
      <c r="AC165" s="232"/>
      <c r="AD165" s="212"/>
      <c r="AE165" s="232"/>
      <c r="AF165" s="232"/>
      <c r="AG165" s="232"/>
      <c r="AH165" s="232"/>
      <c r="AI165" s="232"/>
      <c r="AJ165" s="232"/>
      <c r="AK165" s="212"/>
      <c r="AL165" s="212"/>
      <c r="AM165" s="212"/>
      <c r="AN165" s="212"/>
      <c r="AO165" s="232"/>
      <c r="AP165" s="232"/>
      <c r="AQ165" s="232"/>
      <c r="AR165" s="232"/>
      <c r="AS165" s="232"/>
      <c r="AT165" s="232"/>
      <c r="AU165" s="232"/>
      <c r="AV165" s="232"/>
      <c r="AW165" s="232"/>
      <c r="AX165" s="232"/>
      <c r="AY165" s="232"/>
      <c r="AZ165" s="232"/>
      <c r="BA165" s="232"/>
      <c r="BB165" s="232"/>
      <c r="BC165" s="232"/>
      <c r="BD165" s="232"/>
      <c r="BE165" s="232"/>
      <c r="BF165" s="232"/>
      <c r="BG165" s="232"/>
      <c r="BH165" s="216"/>
      <c r="BI165" s="216"/>
      <c r="BJ165" s="216"/>
      <c r="BK165" s="216"/>
      <c r="BL165" s="216"/>
      <c r="BM165" s="216"/>
      <c r="BN165" s="216"/>
    </row>
    <row r="166" spans="2:67" s="247" customFormat="1" ht="18.75" customHeight="1">
      <c r="B166" s="212"/>
      <c r="C166" s="232"/>
      <c r="D166" s="232"/>
      <c r="E166" s="232"/>
      <c r="F166" s="232"/>
      <c r="G166" s="232"/>
      <c r="H166" s="232"/>
      <c r="I166" s="232"/>
      <c r="J166" s="212"/>
      <c r="K166" s="233" t="s">
        <v>550</v>
      </c>
      <c r="L166" s="233"/>
      <c r="M166" s="233"/>
      <c r="N166" s="233"/>
      <c r="O166" s="233"/>
      <c r="P166" s="233"/>
      <c r="Q166" s="233"/>
      <c r="R166" s="233"/>
      <c r="S166" s="233"/>
      <c r="T166" s="232"/>
      <c r="U166" s="232"/>
      <c r="V166" s="232"/>
      <c r="W166" s="232"/>
      <c r="X166" s="232"/>
      <c r="Y166" s="232"/>
      <c r="Z166" s="232"/>
      <c r="AA166" s="232"/>
      <c r="AB166" s="232"/>
      <c r="AC166" s="232"/>
      <c r="AD166" s="232"/>
      <c r="AE166" s="232"/>
      <c r="AF166" s="232"/>
      <c r="AG166" s="250"/>
      <c r="AH166" s="232"/>
      <c r="AI166" s="232"/>
      <c r="AJ166" s="232"/>
      <c r="AK166" s="232"/>
      <c r="AL166" s="212"/>
      <c r="AM166" s="212"/>
      <c r="AN166" s="212"/>
      <c r="AO166" s="212"/>
      <c r="AP166" s="232"/>
      <c r="AQ166" s="232"/>
      <c r="AR166" s="232"/>
      <c r="AS166" s="232"/>
      <c r="AT166" s="232"/>
      <c r="AU166" s="232"/>
      <c r="AV166" s="232"/>
      <c r="AW166" s="232"/>
      <c r="AX166" s="232"/>
      <c r="AY166" s="232"/>
      <c r="AZ166" s="232"/>
      <c r="BA166" s="232"/>
      <c r="BB166" s="232"/>
      <c r="BC166" s="232"/>
      <c r="BD166" s="232"/>
      <c r="BE166" s="232"/>
      <c r="BF166" s="232"/>
      <c r="BG166" s="232"/>
      <c r="BH166" s="232"/>
      <c r="BI166" s="216"/>
      <c r="BJ166" s="216"/>
      <c r="BK166" s="216"/>
      <c r="BL166" s="216"/>
      <c r="BM166" s="216"/>
      <c r="BN166" s="216"/>
      <c r="BO166" s="216"/>
    </row>
    <row r="167" spans="2:67" s="247" customFormat="1" ht="18.75" customHeight="1">
      <c r="B167" s="212"/>
      <c r="C167" s="232"/>
      <c r="D167" s="232"/>
      <c r="E167" s="232"/>
      <c r="F167" s="232"/>
      <c r="G167" s="232"/>
      <c r="H167" s="232"/>
      <c r="I167" s="232"/>
      <c r="J167" s="212"/>
      <c r="K167" s="212"/>
      <c r="L167" s="236"/>
      <c r="M167" s="236"/>
      <c r="N167" s="212"/>
      <c r="O167" s="212"/>
      <c r="P167" s="212"/>
      <c r="Q167" s="212"/>
      <c r="R167" s="212"/>
      <c r="S167" s="212"/>
      <c r="T167" s="232"/>
      <c r="U167" s="232"/>
      <c r="V167" s="232"/>
      <c r="W167" s="232"/>
      <c r="X167" s="232"/>
      <c r="Y167" s="232"/>
      <c r="Z167" s="212"/>
      <c r="AA167" s="232"/>
      <c r="AB167" s="250"/>
      <c r="AC167" s="250"/>
      <c r="AD167" s="250"/>
      <c r="AE167" s="250"/>
      <c r="AF167" s="250"/>
      <c r="AG167" s="212"/>
      <c r="AH167" s="250"/>
      <c r="AI167" s="250"/>
      <c r="AJ167" s="250"/>
      <c r="AK167" s="250"/>
      <c r="AL167" s="212"/>
      <c r="AM167" s="251"/>
      <c r="AN167" s="251"/>
      <c r="AO167" s="251"/>
      <c r="AP167" s="251"/>
      <c r="AQ167" s="232"/>
      <c r="AR167" s="232"/>
      <c r="AS167" s="232"/>
      <c r="AT167" s="232"/>
      <c r="AU167" s="232"/>
      <c r="AV167" s="232"/>
      <c r="AW167" s="232"/>
      <c r="AX167" s="232"/>
      <c r="AY167" s="232"/>
      <c r="AZ167" s="232"/>
      <c r="BA167" s="232"/>
      <c r="BB167" s="232"/>
      <c r="BC167" s="232"/>
      <c r="BD167" s="232"/>
      <c r="BE167" s="232"/>
      <c r="BF167" s="232"/>
      <c r="BG167" s="232"/>
      <c r="BH167" s="232"/>
      <c r="BI167" s="216"/>
      <c r="BJ167" s="216"/>
      <c r="BK167" s="216"/>
      <c r="BL167" s="216"/>
      <c r="BM167" s="216"/>
    </row>
    <row r="168" spans="2:67" s="247" customFormat="1" ht="18.75" customHeight="1">
      <c r="B168" s="212"/>
      <c r="C168" s="232" t="s">
        <v>551</v>
      </c>
      <c r="D168" s="232"/>
      <c r="E168" s="232"/>
      <c r="F168" s="232"/>
      <c r="G168" s="232"/>
      <c r="H168" s="232"/>
      <c r="I168" s="406" t="str">
        <f>AB86</f>
        <v>삼각형</v>
      </c>
      <c r="J168" s="406"/>
      <c r="K168" s="406"/>
      <c r="L168" s="406"/>
      <c r="M168" s="406"/>
      <c r="N168" s="406"/>
      <c r="O168" s="406"/>
      <c r="P168" s="406"/>
      <c r="Q168" s="232"/>
      <c r="R168" s="232"/>
      <c r="S168" s="232"/>
      <c r="T168" s="232"/>
      <c r="U168" s="232"/>
      <c r="V168" s="232"/>
      <c r="W168" s="232"/>
      <c r="X168" s="232"/>
      <c r="Y168" s="232"/>
      <c r="Z168" s="232"/>
      <c r="AA168" s="212"/>
      <c r="AB168" s="212"/>
      <c r="AC168" s="212"/>
      <c r="AD168" s="212"/>
      <c r="AE168" s="212"/>
      <c r="AF168" s="245"/>
      <c r="AG168" s="212"/>
      <c r="AH168" s="212"/>
      <c r="AI168" s="232"/>
      <c r="AJ168" s="232"/>
      <c r="AK168" s="232"/>
      <c r="AL168" s="232"/>
      <c r="AM168" s="232"/>
      <c r="AN168" s="232"/>
      <c r="AO168" s="232"/>
      <c r="AP168" s="232"/>
      <c r="AQ168" s="232"/>
      <c r="AR168" s="232"/>
      <c r="AS168" s="232"/>
      <c r="AT168" s="232"/>
      <c r="AU168" s="232"/>
      <c r="AV168" s="232"/>
      <c r="AW168" s="232"/>
      <c r="AX168" s="232"/>
      <c r="AY168" s="232"/>
      <c r="AZ168" s="232"/>
      <c r="BA168" s="232"/>
      <c r="BB168" s="232"/>
      <c r="BC168" s="232"/>
      <c r="BD168" s="232"/>
      <c r="BE168" s="232"/>
      <c r="BF168" s="232"/>
      <c r="BG168" s="232"/>
      <c r="BH168" s="216"/>
      <c r="BI168" s="216"/>
      <c r="BJ168" s="216"/>
      <c r="BK168" s="216"/>
      <c r="BL168" s="216"/>
      <c r="BM168" s="216"/>
      <c r="BN168" s="216"/>
    </row>
    <row r="169" spans="2:67" s="247" customFormat="1" ht="18.75" customHeight="1">
      <c r="B169" s="212"/>
      <c r="C169" s="389" t="s">
        <v>552</v>
      </c>
      <c r="D169" s="389"/>
      <c r="E169" s="389"/>
      <c r="F169" s="389"/>
      <c r="G169" s="389"/>
      <c r="H169" s="389"/>
      <c r="I169" s="232"/>
      <c r="J169" s="212"/>
      <c r="K169" s="232"/>
      <c r="L169" s="232"/>
      <c r="M169" s="232"/>
      <c r="N169" s="232"/>
      <c r="O169" s="232"/>
      <c r="P169" s="232"/>
      <c r="S169" s="409" t="e">
        <f>-H87</f>
        <v>#VALUE!</v>
      </c>
      <c r="T169" s="409"/>
      <c r="U169" s="389" t="s">
        <v>553</v>
      </c>
      <c r="V169" s="389"/>
      <c r="W169" s="389"/>
      <c r="X169" s="389"/>
      <c r="Y169" s="389"/>
      <c r="Z169" s="389"/>
      <c r="AA169" s="392" t="s">
        <v>554</v>
      </c>
      <c r="AB169" s="409" t="e">
        <f>S169*1000</f>
        <v>#VALUE!</v>
      </c>
      <c r="AC169" s="409"/>
      <c r="AD169" s="409"/>
      <c r="AE169" s="389" t="s">
        <v>442</v>
      </c>
      <c r="AF169" s="389"/>
      <c r="AG169" s="389"/>
      <c r="AH169" s="389"/>
      <c r="AI169" s="389"/>
      <c r="AJ169" s="225"/>
      <c r="AK169" s="232"/>
      <c r="AL169" s="232"/>
      <c r="AM169" s="232"/>
      <c r="AN169" s="232"/>
      <c r="AP169" s="232"/>
      <c r="AQ169" s="232"/>
      <c r="AR169" s="212"/>
      <c r="AS169" s="212"/>
      <c r="AT169" s="212"/>
      <c r="AU169" s="212"/>
      <c r="AV169" s="212"/>
      <c r="AW169" s="212"/>
      <c r="AX169" s="212"/>
      <c r="AY169" s="212"/>
      <c r="AZ169" s="212"/>
      <c r="BA169" s="232"/>
      <c r="BB169" s="232"/>
      <c r="BC169" s="232"/>
    </row>
    <row r="170" spans="2:67" s="247" customFormat="1" ht="18.75" customHeight="1">
      <c r="B170" s="212"/>
      <c r="C170" s="389"/>
      <c r="D170" s="389"/>
      <c r="E170" s="389"/>
      <c r="F170" s="389"/>
      <c r="G170" s="389"/>
      <c r="H170" s="389"/>
      <c r="I170" s="232"/>
      <c r="J170" s="232"/>
      <c r="K170" s="232"/>
      <c r="L170" s="232"/>
      <c r="M170" s="232"/>
      <c r="N170" s="232"/>
      <c r="O170" s="232"/>
      <c r="P170" s="212"/>
      <c r="S170" s="409"/>
      <c r="T170" s="409"/>
      <c r="U170" s="389"/>
      <c r="V170" s="389"/>
      <c r="W170" s="389"/>
      <c r="X170" s="389"/>
      <c r="Y170" s="389"/>
      <c r="Z170" s="389"/>
      <c r="AA170" s="392"/>
      <c r="AB170" s="409"/>
      <c r="AC170" s="409"/>
      <c r="AD170" s="409"/>
      <c r="AE170" s="389"/>
      <c r="AF170" s="389"/>
      <c r="AG170" s="389"/>
      <c r="AH170" s="389"/>
      <c r="AI170" s="389"/>
      <c r="AJ170" s="225"/>
      <c r="AK170" s="232"/>
      <c r="AM170" s="232"/>
      <c r="AN170" s="232"/>
      <c r="AP170" s="232"/>
      <c r="AQ170" s="232"/>
      <c r="AR170" s="212"/>
      <c r="AS170" s="212"/>
      <c r="AT170" s="212"/>
      <c r="AU170" s="212"/>
      <c r="AV170" s="212"/>
      <c r="AW170" s="212"/>
      <c r="AX170" s="212"/>
      <c r="AY170" s="212"/>
      <c r="AZ170" s="212"/>
      <c r="BA170" s="232"/>
      <c r="BB170" s="232"/>
      <c r="BC170" s="232"/>
    </row>
    <row r="171" spans="2:67" s="247" customFormat="1" ht="18.75" customHeight="1">
      <c r="B171" s="212"/>
      <c r="C171" s="232" t="s">
        <v>555</v>
      </c>
      <c r="D171" s="232"/>
      <c r="E171" s="232"/>
      <c r="F171" s="232"/>
      <c r="G171" s="232"/>
      <c r="H171" s="232"/>
      <c r="I171" s="232"/>
      <c r="J171" s="212"/>
      <c r="K171" s="212" t="s">
        <v>556</v>
      </c>
      <c r="L171" s="430" t="e">
        <f>AB169</f>
        <v>#VALUE!</v>
      </c>
      <c r="M171" s="430"/>
      <c r="N171" s="430"/>
      <c r="O171" s="251" t="s">
        <v>557</v>
      </c>
      <c r="P171" s="252"/>
      <c r="R171" s="212"/>
      <c r="S171" s="212"/>
      <c r="T171" s="212"/>
      <c r="U171" s="212"/>
      <c r="V171" s="212"/>
      <c r="W171" s="212"/>
      <c r="X171" s="212"/>
      <c r="Y171" s="212"/>
      <c r="Z171" s="212" t="s">
        <v>482</v>
      </c>
      <c r="AA171" s="212" t="s">
        <v>476</v>
      </c>
      <c r="AB171" s="432" t="e">
        <f>ABS(L171*O86)</f>
        <v>#VALUE!</v>
      </c>
      <c r="AC171" s="432"/>
      <c r="AD171" s="432"/>
      <c r="AE171" s="436"/>
      <c r="AF171" s="232" t="s">
        <v>558</v>
      </c>
      <c r="AG171" s="233"/>
      <c r="AH171" s="212"/>
      <c r="AI171" s="212"/>
      <c r="AK171" s="232"/>
      <c r="AL171" s="232"/>
      <c r="AM171" s="232"/>
      <c r="AN171" s="232"/>
      <c r="AO171" s="212"/>
      <c r="AP171" s="212"/>
      <c r="AQ171" s="212"/>
      <c r="AR171" s="212"/>
      <c r="AS171" s="212"/>
      <c r="AT171" s="251"/>
      <c r="AU171" s="232"/>
      <c r="AV171" s="232"/>
      <c r="AW171" s="232"/>
      <c r="AX171" s="259"/>
      <c r="AY171" s="251"/>
      <c r="AZ171" s="232"/>
      <c r="BA171" s="232"/>
      <c r="BB171" s="232"/>
      <c r="BC171" s="232"/>
      <c r="BD171" s="232"/>
      <c r="BE171" s="232"/>
      <c r="BF171" s="212"/>
      <c r="BG171" s="232"/>
      <c r="BH171" s="232"/>
      <c r="BI171" s="216"/>
      <c r="BJ171" s="216"/>
      <c r="BK171" s="216"/>
    </row>
    <row r="172" spans="2:67" s="247" customFormat="1" ht="18.75" customHeight="1">
      <c r="B172" s="212"/>
      <c r="C172" s="389" t="s">
        <v>559</v>
      </c>
      <c r="D172" s="389"/>
      <c r="E172" s="389"/>
      <c r="F172" s="389"/>
      <c r="G172" s="389"/>
      <c r="H172" s="232"/>
      <c r="J172" s="232"/>
      <c r="K172" s="232"/>
      <c r="L172" s="232"/>
      <c r="M172" s="232"/>
      <c r="N172" s="232"/>
      <c r="O172" s="232"/>
      <c r="P172" s="232"/>
      <c r="Q172" s="232"/>
      <c r="R172" s="251"/>
      <c r="S172" s="232"/>
      <c r="T172" s="232"/>
      <c r="U172" s="232"/>
      <c r="W172" s="232"/>
      <c r="X172" s="232"/>
      <c r="Y172" s="232"/>
      <c r="Z172" s="232"/>
      <c r="AA172" s="213" t="s">
        <v>523</v>
      </c>
      <c r="AB172" s="232"/>
      <c r="AC172" s="232"/>
      <c r="AD172" s="232"/>
      <c r="AE172" s="212"/>
      <c r="AF172" s="212"/>
      <c r="AH172" s="212"/>
      <c r="AI172" s="212"/>
      <c r="AJ172" s="212"/>
      <c r="AK172" s="212"/>
      <c r="AL172" s="212"/>
      <c r="AM172" s="212"/>
      <c r="AN172" s="212"/>
      <c r="AO172" s="212"/>
      <c r="AP172" s="212"/>
      <c r="AQ172" s="212"/>
      <c r="AR172" s="212"/>
      <c r="AS172" s="212"/>
      <c r="AT172" s="212"/>
      <c r="AU172" s="212"/>
      <c r="AV172" s="212"/>
      <c r="AW172" s="212"/>
      <c r="AX172" s="212"/>
      <c r="AY172" s="212"/>
      <c r="AZ172" s="212"/>
      <c r="BA172" s="212"/>
      <c r="BB172" s="212"/>
      <c r="BC172" s="212"/>
      <c r="BD172" s="212"/>
      <c r="BE172" s="212"/>
      <c r="BF172" s="212"/>
      <c r="BG172" s="212"/>
      <c r="BH172" s="216"/>
      <c r="BI172" s="216"/>
      <c r="BJ172" s="216"/>
      <c r="BK172" s="216"/>
      <c r="BL172" s="216"/>
    </row>
    <row r="173" spans="2:67" s="247" customFormat="1" ht="18.75" customHeight="1">
      <c r="B173" s="212"/>
      <c r="C173" s="389"/>
      <c r="D173" s="389"/>
      <c r="E173" s="389"/>
      <c r="F173" s="389"/>
      <c r="G173" s="389"/>
      <c r="H173" s="232"/>
      <c r="I173" s="232"/>
      <c r="J173" s="232"/>
      <c r="K173" s="232"/>
      <c r="L173" s="232"/>
      <c r="M173" s="232"/>
      <c r="N173" s="232"/>
      <c r="O173" s="232"/>
      <c r="P173" s="232"/>
      <c r="Q173" s="232"/>
      <c r="R173" s="251"/>
      <c r="S173" s="232"/>
      <c r="T173" s="232"/>
      <c r="U173" s="232"/>
      <c r="V173" s="232"/>
      <c r="W173" s="232"/>
      <c r="X173" s="232"/>
      <c r="Y173" s="232"/>
      <c r="Z173" s="232"/>
      <c r="AA173" s="232"/>
      <c r="AB173" s="232"/>
      <c r="AC173" s="232"/>
      <c r="AD173" s="232"/>
      <c r="AE173" s="212"/>
      <c r="AF173" s="212"/>
      <c r="AG173" s="212"/>
      <c r="AH173" s="212"/>
      <c r="AI173" s="212"/>
      <c r="AJ173" s="212"/>
      <c r="AK173" s="212"/>
      <c r="AL173" s="212"/>
      <c r="AM173" s="212"/>
      <c r="AN173" s="212"/>
      <c r="AO173" s="212"/>
      <c r="AP173" s="212"/>
      <c r="AQ173" s="212"/>
      <c r="AR173" s="212"/>
      <c r="AS173" s="212"/>
      <c r="AT173" s="212"/>
      <c r="AU173" s="212"/>
      <c r="AV173" s="212"/>
      <c r="AW173" s="212"/>
      <c r="AX173" s="212"/>
      <c r="AY173" s="212"/>
      <c r="AZ173" s="212"/>
      <c r="BA173" s="212"/>
      <c r="BB173" s="212"/>
      <c r="BC173" s="212"/>
      <c r="BD173" s="212"/>
      <c r="BE173" s="212"/>
      <c r="BF173" s="212"/>
      <c r="BG173" s="212"/>
      <c r="BH173" s="216"/>
      <c r="BI173" s="216"/>
      <c r="BJ173" s="216"/>
      <c r="BK173" s="216"/>
      <c r="BL173" s="216"/>
    </row>
    <row r="174" spans="2:67" s="247" customFormat="1" ht="18.75" customHeight="1">
      <c r="B174" s="212"/>
      <c r="C174" s="232"/>
      <c r="D174" s="232"/>
      <c r="E174" s="232"/>
      <c r="F174" s="232"/>
      <c r="G174" s="232"/>
      <c r="H174" s="232"/>
      <c r="I174" s="232"/>
      <c r="J174" s="232"/>
      <c r="K174" s="232"/>
      <c r="L174" s="232"/>
      <c r="M174" s="232"/>
      <c r="N174" s="232"/>
      <c r="O174" s="232"/>
      <c r="P174" s="232"/>
      <c r="Q174" s="232"/>
      <c r="R174" s="251"/>
      <c r="S174" s="232"/>
      <c r="T174" s="232"/>
      <c r="U174" s="232"/>
      <c r="V174" s="232"/>
      <c r="W174" s="232"/>
      <c r="X174" s="232"/>
      <c r="Y174" s="232"/>
      <c r="Z174" s="406">
        <v>100</v>
      </c>
      <c r="AA174" s="406"/>
      <c r="AD174" s="232"/>
      <c r="AE174" s="212"/>
      <c r="AF174" s="212"/>
      <c r="AG174" s="212"/>
      <c r="AH174" s="212"/>
      <c r="AI174" s="212"/>
      <c r="AJ174" s="212"/>
      <c r="AK174" s="212"/>
      <c r="AL174" s="212"/>
      <c r="AM174" s="212"/>
      <c r="AN174" s="212"/>
      <c r="AO174" s="212"/>
      <c r="AP174" s="212"/>
      <c r="AQ174" s="212"/>
      <c r="AR174" s="212"/>
      <c r="AS174" s="212"/>
      <c r="AT174" s="212"/>
      <c r="AU174" s="212"/>
      <c r="AV174" s="212"/>
      <c r="AW174" s="212"/>
      <c r="AX174" s="212"/>
      <c r="AY174" s="212"/>
      <c r="AZ174" s="212"/>
      <c r="BA174" s="212"/>
      <c r="BB174" s="212"/>
      <c r="BC174" s="212"/>
      <c r="BD174" s="212"/>
      <c r="BE174" s="212"/>
      <c r="BF174" s="212"/>
      <c r="BG174" s="212"/>
      <c r="BH174" s="216"/>
      <c r="BI174" s="216"/>
      <c r="BJ174" s="216"/>
      <c r="BK174" s="216"/>
      <c r="BL174" s="216"/>
    </row>
    <row r="175" spans="2:67" s="247" customFormat="1" ht="18.75" customHeight="1">
      <c r="B175" s="212"/>
      <c r="C175" s="232"/>
      <c r="D175" s="232"/>
      <c r="E175" s="232"/>
      <c r="F175" s="232"/>
      <c r="G175" s="232"/>
      <c r="H175" s="232"/>
      <c r="I175" s="232"/>
      <c r="J175" s="232"/>
      <c r="K175" s="232"/>
      <c r="L175" s="232"/>
      <c r="M175" s="232"/>
      <c r="N175" s="232"/>
      <c r="O175" s="232"/>
      <c r="P175" s="232"/>
      <c r="Q175" s="232"/>
      <c r="R175" s="251"/>
      <c r="S175" s="232"/>
      <c r="T175" s="232"/>
      <c r="U175" s="232"/>
      <c r="V175" s="232"/>
      <c r="W175" s="232"/>
      <c r="X175" s="232"/>
      <c r="Y175" s="232"/>
      <c r="Z175" s="406"/>
      <c r="AA175" s="406"/>
      <c r="AD175" s="232"/>
      <c r="AE175" s="212"/>
      <c r="AF175" s="212"/>
      <c r="AG175" s="212"/>
      <c r="AH175" s="212"/>
      <c r="AI175" s="212"/>
      <c r="AJ175" s="212"/>
      <c r="AK175" s="212"/>
      <c r="AL175" s="212"/>
      <c r="AM175" s="212"/>
      <c r="AN175" s="212"/>
      <c r="AO175" s="212"/>
      <c r="AP175" s="212"/>
      <c r="AQ175" s="212"/>
      <c r="AR175" s="212"/>
      <c r="AS175" s="212"/>
      <c r="AT175" s="212"/>
      <c r="AU175" s="212"/>
      <c r="AV175" s="212"/>
      <c r="AW175" s="212"/>
      <c r="AX175" s="212"/>
      <c r="AY175" s="212"/>
      <c r="AZ175" s="212"/>
      <c r="BA175" s="212"/>
      <c r="BB175" s="212"/>
      <c r="BC175" s="212"/>
      <c r="BD175" s="212"/>
      <c r="BE175" s="212"/>
      <c r="BF175" s="212"/>
      <c r="BG175" s="212"/>
      <c r="BH175" s="216"/>
      <c r="BI175" s="216"/>
      <c r="BJ175" s="216"/>
      <c r="BK175" s="216"/>
      <c r="BL175" s="216"/>
    </row>
    <row r="176" spans="2:67" s="247" customFormat="1" ht="18.75" customHeight="1">
      <c r="B176" s="212"/>
      <c r="C176" s="232"/>
      <c r="D176" s="232"/>
      <c r="E176" s="232"/>
      <c r="F176" s="232"/>
      <c r="G176" s="232"/>
      <c r="H176" s="232"/>
      <c r="I176" s="232"/>
      <c r="J176" s="232"/>
      <c r="K176" s="232"/>
      <c r="L176" s="232"/>
      <c r="M176" s="232"/>
      <c r="N176" s="232"/>
      <c r="O176" s="232"/>
      <c r="P176" s="232"/>
      <c r="Q176" s="232"/>
      <c r="R176" s="251"/>
      <c r="S176" s="232"/>
      <c r="T176" s="232"/>
      <c r="U176" s="232"/>
      <c r="V176" s="232"/>
      <c r="W176" s="232"/>
      <c r="X176" s="232"/>
      <c r="Y176" s="232"/>
      <c r="Z176" s="232"/>
      <c r="AA176" s="232"/>
      <c r="AB176" s="232"/>
      <c r="AC176" s="232"/>
      <c r="AD176" s="232"/>
      <c r="AE176" s="212"/>
      <c r="AF176" s="212"/>
      <c r="AG176" s="212"/>
      <c r="AH176" s="212"/>
      <c r="AI176" s="212"/>
      <c r="AJ176" s="212"/>
      <c r="AK176" s="212"/>
      <c r="AL176" s="212"/>
      <c r="AM176" s="212"/>
      <c r="AN176" s="212"/>
      <c r="AO176" s="212"/>
      <c r="AP176" s="212"/>
      <c r="AQ176" s="212"/>
      <c r="AR176" s="212"/>
      <c r="AS176" s="212"/>
      <c r="AT176" s="212"/>
      <c r="AU176" s="212"/>
      <c r="AV176" s="212"/>
      <c r="AW176" s="212"/>
      <c r="AX176" s="212"/>
      <c r="AY176" s="212"/>
      <c r="AZ176" s="212"/>
      <c r="BA176" s="212"/>
      <c r="BB176" s="212"/>
      <c r="BC176" s="212"/>
      <c r="BD176" s="212"/>
      <c r="BE176" s="212"/>
      <c r="BF176" s="212"/>
      <c r="BG176" s="212"/>
      <c r="BH176" s="216"/>
      <c r="BI176" s="216"/>
      <c r="BJ176" s="216"/>
      <c r="BK176" s="216"/>
      <c r="BL176" s="216"/>
    </row>
    <row r="177" spans="2:74" s="247" customFormat="1" ht="18.75" customHeight="1">
      <c r="B177" s="212"/>
      <c r="C177" s="232"/>
      <c r="D177" s="232"/>
      <c r="E177" s="232"/>
      <c r="F177" s="232"/>
      <c r="G177" s="232"/>
      <c r="H177" s="232"/>
      <c r="I177" s="232"/>
      <c r="J177" s="232"/>
      <c r="K177" s="232"/>
      <c r="L177" s="232"/>
      <c r="M177" s="232"/>
      <c r="N177" s="232"/>
      <c r="O177" s="232"/>
      <c r="P177" s="232"/>
      <c r="Q177" s="232"/>
      <c r="R177" s="251"/>
      <c r="S177" s="232"/>
      <c r="T177" s="232"/>
      <c r="U177" s="232"/>
      <c r="V177" s="232"/>
      <c r="W177" s="232"/>
      <c r="X177" s="232"/>
      <c r="Y177" s="232"/>
      <c r="Z177" s="232"/>
      <c r="AA177" s="232"/>
      <c r="AB177" s="232"/>
      <c r="AC177" s="232"/>
      <c r="AD177" s="232"/>
      <c r="AE177" s="212"/>
      <c r="AF177" s="212"/>
      <c r="AG177" s="212"/>
      <c r="AH177" s="212"/>
      <c r="AI177" s="212"/>
      <c r="AJ177" s="212"/>
      <c r="AK177" s="212"/>
      <c r="AL177" s="212"/>
      <c r="AM177" s="212"/>
      <c r="AN177" s="212"/>
      <c r="AO177" s="212"/>
      <c r="AP177" s="212"/>
      <c r="AQ177" s="212"/>
      <c r="AR177" s="212"/>
      <c r="AS177" s="212"/>
      <c r="AT177" s="212"/>
      <c r="AU177" s="212"/>
      <c r="AV177" s="212"/>
      <c r="AW177" s="212"/>
      <c r="AX177" s="212"/>
      <c r="AY177" s="212"/>
      <c r="AZ177" s="212"/>
      <c r="BA177" s="212"/>
      <c r="BB177" s="212"/>
      <c r="BC177" s="212"/>
      <c r="BD177" s="212"/>
      <c r="BE177" s="212"/>
      <c r="BF177" s="212"/>
      <c r="BG177" s="212"/>
      <c r="BH177" s="232"/>
      <c r="BI177" s="232"/>
      <c r="BJ177" s="232"/>
      <c r="BK177" s="232"/>
    </row>
    <row r="178" spans="2:74" s="247" customFormat="1" ht="18.75" customHeight="1">
      <c r="B178" s="260" t="s">
        <v>560</v>
      </c>
      <c r="C178" s="211" t="str">
        <f>$B$4&amp;"와 "&amp;$H$4&amp;"의 평균온도와 기준 온도와의 차이에 의한 표준불확도,"</f>
        <v>스텝 게이지와 게이지 블록의 평균온도와 기준 온도와의 차이에 의한 표준불확도,</v>
      </c>
      <c r="D178" s="232"/>
      <c r="E178" s="232"/>
      <c r="F178" s="232"/>
      <c r="G178" s="232"/>
      <c r="H178" s="232"/>
      <c r="I178" s="232"/>
      <c r="J178" s="232"/>
      <c r="K178" s="232"/>
      <c r="L178" s="232"/>
      <c r="M178" s="232"/>
      <c r="N178" s="232"/>
      <c r="O178" s="232"/>
      <c r="P178" s="232"/>
      <c r="Q178" s="232"/>
      <c r="R178" s="232"/>
      <c r="S178" s="232"/>
      <c r="T178" s="232"/>
      <c r="U178" s="232"/>
      <c r="V178" s="232"/>
      <c r="W178" s="232"/>
      <c r="X178" s="232"/>
      <c r="Y178" s="232"/>
      <c r="Z178" s="232"/>
      <c r="AA178" s="232"/>
      <c r="AB178" s="232"/>
      <c r="AC178" s="232"/>
      <c r="AD178" s="232"/>
      <c r="AE178" s="232"/>
      <c r="AF178" s="232"/>
      <c r="AG178" s="232"/>
      <c r="AH178" s="232"/>
      <c r="AI178" s="258" t="s">
        <v>561</v>
      </c>
      <c r="AJ178" s="232"/>
      <c r="AL178" s="232"/>
      <c r="AM178" s="232"/>
      <c r="AN178" s="232"/>
      <c r="AO178" s="232"/>
      <c r="AP178" s="232"/>
      <c r="AQ178" s="232"/>
      <c r="AR178" s="232"/>
      <c r="AS178" s="232"/>
      <c r="AT178" s="232"/>
      <c r="AU178" s="232"/>
      <c r="AV178" s="232"/>
      <c r="AW178" s="232"/>
      <c r="AX178" s="232"/>
      <c r="AY178" s="232"/>
      <c r="AZ178" s="232"/>
      <c r="BA178" s="232"/>
      <c r="BB178" s="232"/>
      <c r="BC178" s="232"/>
      <c r="BD178" s="232"/>
      <c r="BE178" s="232"/>
      <c r="BF178" s="232"/>
      <c r="BG178" s="232"/>
      <c r="BH178" s="216"/>
      <c r="BI178" s="216"/>
      <c r="BJ178" s="216"/>
      <c r="BK178" s="216"/>
      <c r="BL178" s="216"/>
      <c r="BM178" s="216"/>
      <c r="BN178" s="216"/>
    </row>
    <row r="179" spans="2:74" s="247" customFormat="1" ht="18.75" customHeight="1">
      <c r="B179" s="261"/>
      <c r="C179" s="232" t="s">
        <v>562</v>
      </c>
      <c r="D179" s="232"/>
      <c r="E179" s="232"/>
      <c r="F179" s="232"/>
      <c r="G179" s="232"/>
      <c r="H179" s="232"/>
      <c r="I179" s="232"/>
      <c r="J179" s="232"/>
      <c r="K179" s="232"/>
      <c r="L179" s="232"/>
      <c r="M179" s="232"/>
      <c r="N179" s="232"/>
      <c r="O179" s="232"/>
      <c r="P179" s="232"/>
      <c r="Q179" s="232"/>
      <c r="R179" s="232"/>
      <c r="S179" s="232"/>
      <c r="T179" s="232"/>
      <c r="U179" s="232"/>
      <c r="V179" s="232"/>
      <c r="W179" s="232"/>
      <c r="X179" s="232"/>
      <c r="Y179" s="232"/>
      <c r="Z179" s="232"/>
      <c r="AA179" s="232"/>
      <c r="AB179" s="232"/>
      <c r="AC179" s="232"/>
      <c r="AD179" s="232"/>
      <c r="AE179" s="232"/>
      <c r="AF179" s="232"/>
      <c r="AG179" s="232"/>
      <c r="AH179" s="232"/>
      <c r="AI179" s="258"/>
      <c r="AJ179" s="232"/>
      <c r="AL179" s="232"/>
      <c r="AM179" s="232"/>
      <c r="AN179" s="232"/>
      <c r="AO179" s="232"/>
      <c r="AP179" s="232"/>
      <c r="AQ179" s="232"/>
      <c r="AR179" s="232"/>
      <c r="AS179" s="232"/>
      <c r="AT179" s="232"/>
      <c r="AU179" s="232"/>
      <c r="AV179" s="232"/>
      <c r="AW179" s="232"/>
      <c r="AX179" s="232"/>
      <c r="AY179" s="232"/>
      <c r="AZ179" s="232"/>
      <c r="BA179" s="232"/>
      <c r="BB179" s="232"/>
      <c r="BC179" s="232"/>
      <c r="BD179" s="232"/>
      <c r="BE179" s="232"/>
      <c r="BF179" s="232"/>
      <c r="BG179" s="232"/>
      <c r="BH179" s="216"/>
      <c r="BI179" s="216"/>
      <c r="BJ179" s="216"/>
      <c r="BK179" s="216"/>
      <c r="BL179" s="216"/>
      <c r="BM179" s="216"/>
      <c r="BN179" s="216"/>
    </row>
    <row r="180" spans="2:74" s="247" customFormat="1" ht="18.75" customHeight="1">
      <c r="B180" s="261"/>
      <c r="C180" s="211"/>
      <c r="E180" s="215" t="s">
        <v>563</v>
      </c>
      <c r="F180" s="232"/>
      <c r="G180" s="232"/>
      <c r="H180" s="232"/>
      <c r="I180" s="232"/>
      <c r="J180" s="232"/>
      <c r="K180" s="232"/>
      <c r="L180" s="232"/>
      <c r="M180" s="232"/>
      <c r="N180" s="232"/>
      <c r="O180" s="232"/>
      <c r="P180" s="232"/>
      <c r="Q180" s="232" t="s">
        <v>564</v>
      </c>
      <c r="R180" s="232"/>
      <c r="S180" s="232"/>
      <c r="T180" s="232"/>
      <c r="U180" s="232"/>
      <c r="V180" s="232"/>
      <c r="W180" s="232"/>
      <c r="X180" s="232"/>
      <c r="Y180" s="232"/>
      <c r="Z180" s="232"/>
      <c r="AA180" s="232"/>
      <c r="AB180" s="232"/>
      <c r="AC180" s="232"/>
      <c r="AD180" s="232"/>
      <c r="AE180" s="232"/>
      <c r="AF180" s="232"/>
      <c r="AG180" s="232"/>
      <c r="AH180" s="232"/>
      <c r="AI180" s="258"/>
      <c r="AJ180" s="232"/>
      <c r="AL180" s="232"/>
      <c r="AM180" s="232"/>
      <c r="AN180" s="232"/>
      <c r="AO180" s="232"/>
      <c r="AP180" s="232"/>
      <c r="AQ180" s="232"/>
      <c r="AR180" s="232"/>
      <c r="AS180" s="232"/>
      <c r="AT180" s="232"/>
      <c r="AU180" s="232"/>
      <c r="AV180" s="232"/>
      <c r="AW180" s="232"/>
      <c r="AX180" s="232"/>
      <c r="AY180" s="232"/>
      <c r="AZ180" s="232"/>
      <c r="BA180" s="232"/>
      <c r="BB180" s="232"/>
      <c r="BC180" s="232"/>
      <c r="BD180" s="232"/>
      <c r="BE180" s="232"/>
      <c r="BF180" s="232"/>
      <c r="BG180" s="232"/>
      <c r="BH180" s="216"/>
      <c r="BI180" s="216"/>
      <c r="BJ180" s="216"/>
      <c r="BK180" s="216"/>
      <c r="BL180" s="216"/>
      <c r="BM180" s="216"/>
      <c r="BN180" s="216"/>
    </row>
    <row r="181" spans="2:74" s="247" customFormat="1" ht="18.75" customHeight="1">
      <c r="B181" s="261"/>
      <c r="C181" s="211"/>
      <c r="D181" s="232" t="s">
        <v>565</v>
      </c>
      <c r="E181" s="232"/>
      <c r="F181" s="232"/>
      <c r="G181" s="232"/>
      <c r="H181" s="232"/>
      <c r="I181" s="232"/>
      <c r="J181" s="232"/>
      <c r="K181" s="232"/>
      <c r="L181" s="232"/>
      <c r="M181" s="232"/>
      <c r="N181" s="232"/>
      <c r="O181" s="232"/>
      <c r="P181" s="232"/>
      <c r="Q181" s="232"/>
      <c r="R181" s="232"/>
      <c r="S181" s="232"/>
      <c r="T181" s="232"/>
      <c r="U181" s="232"/>
      <c r="V181" s="232"/>
      <c r="W181" s="232"/>
      <c r="X181" s="232"/>
      <c r="Y181" s="232"/>
      <c r="Z181" s="232"/>
      <c r="AA181" s="232"/>
      <c r="AB181" s="232"/>
      <c r="AC181" s="232"/>
      <c r="AD181" s="232"/>
      <c r="AE181" s="232"/>
      <c r="AF181" s="232"/>
      <c r="AG181" s="232"/>
      <c r="AH181" s="232"/>
      <c r="AI181" s="258"/>
      <c r="AJ181" s="232"/>
      <c r="AL181" s="232"/>
      <c r="AM181" s="232"/>
      <c r="AN181" s="232"/>
      <c r="AO181" s="232"/>
      <c r="AP181" s="232"/>
      <c r="AQ181" s="232"/>
      <c r="AR181" s="232"/>
      <c r="AS181" s="232"/>
      <c r="AT181" s="232"/>
      <c r="AU181" s="232"/>
      <c r="AV181" s="232"/>
      <c r="AW181" s="232"/>
      <c r="AX181" s="232"/>
      <c r="AY181" s="232"/>
      <c r="AZ181" s="232"/>
      <c r="BA181" s="232"/>
      <c r="BB181" s="232"/>
      <c r="BC181" s="232"/>
      <c r="BD181" s="232"/>
      <c r="BE181" s="232"/>
      <c r="BF181" s="232"/>
      <c r="BG181" s="232"/>
      <c r="BH181" s="216"/>
      <c r="BI181" s="216"/>
      <c r="BJ181" s="216"/>
      <c r="BK181" s="216"/>
      <c r="BL181" s="216"/>
      <c r="BM181" s="216"/>
      <c r="BN181" s="216"/>
    </row>
    <row r="182" spans="2:74" s="247" customFormat="1" ht="18.75" customHeight="1">
      <c r="B182" s="261"/>
      <c r="C182" s="211"/>
      <c r="D182" s="232" t="s">
        <v>566</v>
      </c>
      <c r="E182" s="232"/>
      <c r="F182" s="232"/>
      <c r="G182" s="232"/>
      <c r="H182" s="232"/>
      <c r="I182" s="232"/>
      <c r="J182" s="232"/>
      <c r="K182" s="232"/>
      <c r="L182" s="232"/>
      <c r="M182" s="232"/>
      <c r="N182" s="232"/>
      <c r="O182" s="232"/>
      <c r="P182" s="232"/>
      <c r="Q182" s="232"/>
      <c r="R182" s="232"/>
      <c r="S182" s="232"/>
      <c r="T182" s="232"/>
      <c r="U182" s="232"/>
      <c r="V182" s="232"/>
      <c r="W182" s="232"/>
      <c r="X182" s="232"/>
      <c r="Y182" s="232"/>
      <c r="Z182" s="232"/>
      <c r="AA182" s="232"/>
      <c r="AB182" s="232"/>
      <c r="AC182" s="232"/>
      <c r="AD182" s="232"/>
      <c r="AE182" s="232"/>
      <c r="AF182" s="232"/>
      <c r="AG182" s="232"/>
      <c r="AH182" s="232"/>
      <c r="AI182" s="258"/>
      <c r="AJ182" s="232"/>
      <c r="AL182" s="232"/>
      <c r="AM182" s="232"/>
      <c r="AN182" s="232"/>
      <c r="AO182" s="232"/>
      <c r="AP182" s="232"/>
      <c r="AQ182" s="232"/>
      <c r="AR182" s="232"/>
      <c r="AS182" s="232"/>
      <c r="AT182" s="232"/>
      <c r="AU182" s="232"/>
      <c r="AV182" s="232"/>
      <c r="AW182" s="232"/>
      <c r="AX182" s="232"/>
      <c r="AY182" s="232"/>
      <c r="AZ182" s="232"/>
      <c r="BA182" s="232"/>
      <c r="BB182" s="232"/>
      <c r="BC182" s="232"/>
      <c r="BD182" s="232"/>
      <c r="BE182" s="232"/>
      <c r="BF182" s="232"/>
      <c r="BG182" s="232"/>
      <c r="BH182" s="216"/>
      <c r="BI182" s="216"/>
      <c r="BJ182" s="216"/>
      <c r="BK182" s="216"/>
      <c r="BL182" s="216"/>
      <c r="BM182" s="216"/>
      <c r="BN182" s="216"/>
    </row>
    <row r="183" spans="2:74" s="247" customFormat="1" ht="18.75" customHeight="1">
      <c r="B183" s="261"/>
      <c r="C183" s="211"/>
      <c r="D183" s="232"/>
      <c r="E183" s="215" t="s">
        <v>567</v>
      </c>
      <c r="F183" s="232"/>
      <c r="G183" s="232"/>
      <c r="H183" s="232"/>
      <c r="I183" s="232"/>
      <c r="J183" s="232"/>
      <c r="K183" s="232"/>
      <c r="L183" s="232"/>
      <c r="M183" s="232"/>
      <c r="N183" s="232"/>
      <c r="O183" s="232"/>
      <c r="P183" s="232"/>
      <c r="Q183" s="232"/>
      <c r="R183" s="232"/>
      <c r="S183" s="232"/>
      <c r="T183" s="232"/>
      <c r="U183" s="232"/>
      <c r="V183" s="232"/>
      <c r="W183" s="232"/>
      <c r="X183" s="232"/>
      <c r="Y183" s="232"/>
      <c r="Z183" s="232"/>
      <c r="AA183" s="232"/>
      <c r="AB183" s="232"/>
      <c r="AC183" s="232"/>
      <c r="AD183" s="232"/>
      <c r="AE183" s="232"/>
      <c r="AF183" s="232"/>
      <c r="AG183" s="232"/>
      <c r="AH183" s="232"/>
      <c r="AI183" s="258"/>
      <c r="AJ183" s="232"/>
      <c r="AL183" s="232"/>
      <c r="AM183" s="232"/>
      <c r="AN183" s="232"/>
      <c r="AO183" s="232"/>
      <c r="AP183" s="232"/>
      <c r="AQ183" s="232"/>
      <c r="AR183" s="232"/>
      <c r="AS183" s="232"/>
      <c r="AT183" s="232"/>
      <c r="AU183" s="232"/>
      <c r="AV183" s="232"/>
      <c r="AW183" s="232"/>
      <c r="AX183" s="232"/>
      <c r="AY183" s="232"/>
      <c r="AZ183" s="232"/>
      <c r="BA183" s="232"/>
      <c r="BB183" s="232"/>
      <c r="BC183" s="232"/>
      <c r="BD183" s="232"/>
      <c r="BE183" s="232"/>
      <c r="BF183" s="232"/>
      <c r="BG183" s="232"/>
      <c r="BH183" s="216"/>
      <c r="BI183" s="216"/>
      <c r="BJ183" s="216"/>
      <c r="BK183" s="216"/>
      <c r="BL183" s="216"/>
      <c r="BM183" s="216"/>
      <c r="BN183" s="216"/>
    </row>
    <row r="184" spans="2:74" s="247" customFormat="1" ht="18.75" customHeight="1">
      <c r="B184" s="261"/>
      <c r="C184" s="211"/>
      <c r="D184" s="232"/>
      <c r="E184" s="215"/>
      <c r="F184" s="232"/>
      <c r="G184" s="232"/>
      <c r="H184" s="232"/>
      <c r="I184" s="232"/>
      <c r="J184" s="232"/>
      <c r="K184" s="232"/>
      <c r="L184" s="232"/>
      <c r="M184" s="232"/>
      <c r="N184" s="232"/>
      <c r="O184" s="232"/>
      <c r="P184" s="232"/>
      <c r="Q184" s="232"/>
      <c r="R184" s="232"/>
      <c r="S184" s="232"/>
      <c r="T184" s="232"/>
      <c r="U184" s="232"/>
      <c r="V184" s="232"/>
      <c r="W184" s="232"/>
      <c r="X184" s="232"/>
      <c r="Y184" s="232"/>
      <c r="Z184" s="232"/>
      <c r="AA184" s="232"/>
      <c r="AB184" s="232"/>
      <c r="AC184" s="232"/>
      <c r="AD184" s="232"/>
      <c r="AE184" s="232"/>
      <c r="AF184" s="232"/>
      <c r="AG184" s="232"/>
      <c r="AH184" s="232"/>
      <c r="AI184" s="258"/>
      <c r="AJ184" s="232"/>
      <c r="AL184" s="232"/>
      <c r="AM184" s="232"/>
      <c r="AN184" s="232"/>
      <c r="AO184" s="232"/>
      <c r="AP184" s="232"/>
      <c r="AQ184" s="232"/>
      <c r="AR184" s="232"/>
      <c r="AS184" s="232"/>
      <c r="AT184" s="232"/>
      <c r="AU184" s="232"/>
      <c r="AV184" s="232"/>
      <c r="AW184" s="232"/>
      <c r="AX184" s="232"/>
      <c r="AY184" s="232"/>
      <c r="AZ184" s="232"/>
      <c r="BA184" s="232"/>
      <c r="BB184" s="232"/>
      <c r="BC184" s="232"/>
      <c r="BD184" s="232"/>
      <c r="BE184" s="232"/>
      <c r="BF184" s="232"/>
      <c r="BG184" s="232"/>
      <c r="BH184" s="216"/>
      <c r="BI184" s="216"/>
      <c r="BJ184" s="216"/>
      <c r="BK184" s="216"/>
      <c r="BL184" s="216"/>
      <c r="BM184" s="216"/>
      <c r="BN184" s="216"/>
    </row>
    <row r="185" spans="2:74" s="247" customFormat="1" ht="18.75" customHeight="1">
      <c r="B185" s="212"/>
      <c r="C185" s="233" t="s">
        <v>568</v>
      </c>
      <c r="D185" s="212"/>
      <c r="E185" s="212"/>
      <c r="F185" s="212"/>
      <c r="G185" s="212"/>
      <c r="H185" s="434" t="str">
        <f>H87</f>
        <v/>
      </c>
      <c r="I185" s="434"/>
      <c r="J185" s="434"/>
      <c r="K185" s="434"/>
      <c r="L185" s="434"/>
      <c r="M185" s="434"/>
      <c r="N185" s="434"/>
      <c r="O185" s="434"/>
      <c r="P185" s="225"/>
      <c r="Q185" s="232"/>
      <c r="R185" s="232"/>
      <c r="S185" s="232"/>
      <c r="T185" s="232"/>
      <c r="U185" s="232"/>
      <c r="V185" s="232"/>
      <c r="W185" s="232"/>
      <c r="X185" s="232"/>
      <c r="Y185" s="232"/>
      <c r="Z185" s="232"/>
      <c r="AA185" s="232"/>
      <c r="AB185" s="232"/>
      <c r="AC185" s="232"/>
      <c r="AD185" s="232"/>
      <c r="AE185" s="232"/>
      <c r="AF185" s="232"/>
      <c r="AG185" s="232"/>
      <c r="AH185" s="232"/>
      <c r="AI185" s="232"/>
      <c r="AJ185" s="232"/>
      <c r="AK185" s="232"/>
      <c r="AL185" s="232"/>
      <c r="AM185" s="232"/>
      <c r="AN185" s="232"/>
      <c r="AO185" s="232"/>
      <c r="AP185" s="232"/>
      <c r="AQ185" s="232"/>
      <c r="AR185" s="232"/>
      <c r="AS185" s="232"/>
      <c r="AT185" s="232"/>
      <c r="AU185" s="232"/>
      <c r="AV185" s="232"/>
      <c r="AW185" s="232"/>
      <c r="AX185" s="232"/>
      <c r="AY185" s="232"/>
      <c r="AZ185" s="232"/>
      <c r="BA185" s="232"/>
      <c r="BB185" s="232"/>
      <c r="BC185" s="232"/>
      <c r="BD185" s="232"/>
      <c r="BE185" s="232"/>
      <c r="BF185" s="232"/>
      <c r="BG185" s="232"/>
      <c r="BH185" s="216"/>
      <c r="BI185" s="216"/>
      <c r="BJ185" s="216"/>
      <c r="BK185" s="216"/>
      <c r="BL185" s="216"/>
      <c r="BM185" s="216"/>
    </row>
    <row r="186" spans="2:74" s="247" customFormat="1" ht="18.75" customHeight="1">
      <c r="B186" s="212"/>
      <c r="C186" s="232" t="s">
        <v>569</v>
      </c>
      <c r="D186" s="232"/>
      <c r="E186" s="232"/>
      <c r="F186" s="232"/>
      <c r="G186" s="232"/>
      <c r="H186" s="232"/>
      <c r="I186" s="232"/>
      <c r="K186" s="236"/>
      <c r="L186" s="236"/>
      <c r="M186" s="262" t="s">
        <v>570</v>
      </c>
      <c r="N186" s="225"/>
      <c r="O186" s="401">
        <f>Calcu!J39</f>
        <v>0.57735026918962584</v>
      </c>
      <c r="P186" s="401"/>
      <c r="Q186" s="401"/>
      <c r="R186" s="232"/>
      <c r="S186" s="254"/>
      <c r="T186" s="401">
        <f>Calcu!J40</f>
        <v>0.28867513459481292</v>
      </c>
      <c r="U186" s="401"/>
      <c r="V186" s="401"/>
      <c r="W186" s="225"/>
      <c r="X186" s="225"/>
      <c r="Y186" s="401">
        <f>Calcu!J41</f>
        <v>0.17320508075688773</v>
      </c>
      <c r="Z186" s="401"/>
      <c r="AA186" s="401"/>
      <c r="AC186" s="247" t="s">
        <v>572</v>
      </c>
      <c r="AD186" s="435">
        <f>O87</f>
        <v>0.66833125519211412</v>
      </c>
      <c r="AE186" s="435"/>
      <c r="AF186" s="435"/>
      <c r="AG186" s="428" t="str">
        <f>V87</f>
        <v>℃</v>
      </c>
      <c r="AH186" s="428"/>
      <c r="AZ186" s="232"/>
      <c r="BA186" s="232"/>
      <c r="BB186" s="232"/>
      <c r="BC186" s="232"/>
      <c r="BD186" s="232"/>
      <c r="BE186" s="232"/>
      <c r="BF186" s="232"/>
      <c r="BG186" s="232"/>
      <c r="BH186" s="232"/>
      <c r="BI186" s="232"/>
      <c r="BJ186" s="216"/>
      <c r="BK186" s="216"/>
      <c r="BL186" s="216"/>
      <c r="BM186" s="216"/>
      <c r="BN186" s="216"/>
      <c r="BO186" s="216"/>
      <c r="BP186" s="216"/>
      <c r="BQ186" s="216"/>
      <c r="BR186" s="216"/>
      <c r="BS186" s="216"/>
    </row>
    <row r="187" spans="2:74" s="247" customFormat="1" ht="18.75" customHeight="1">
      <c r="B187" s="212"/>
      <c r="C187" s="232" t="s">
        <v>573</v>
      </c>
      <c r="D187" s="232"/>
      <c r="E187" s="232"/>
      <c r="F187" s="232"/>
      <c r="G187" s="232"/>
      <c r="H187" s="232"/>
      <c r="I187" s="406" t="str">
        <f>AB87</f>
        <v>사다리꼴</v>
      </c>
      <c r="J187" s="406"/>
      <c r="K187" s="406"/>
      <c r="L187" s="406"/>
      <c r="M187" s="406"/>
      <c r="N187" s="406"/>
      <c r="O187" s="406"/>
      <c r="P187" s="406"/>
      <c r="Q187" s="232"/>
      <c r="R187" s="232"/>
      <c r="S187" s="232"/>
      <c r="T187" s="232"/>
      <c r="U187" s="232"/>
      <c r="V187" s="232"/>
      <c r="W187" s="232"/>
      <c r="X187" s="232"/>
      <c r="Y187" s="232"/>
      <c r="Z187" s="212"/>
      <c r="AA187" s="212"/>
      <c r="AB187" s="212"/>
      <c r="AC187" s="212"/>
      <c r="AD187" s="212"/>
      <c r="AE187" s="212"/>
      <c r="AF187" s="212"/>
      <c r="AG187" s="212"/>
      <c r="AH187" s="232"/>
      <c r="AI187" s="232"/>
      <c r="AJ187" s="232"/>
      <c r="AK187" s="232"/>
      <c r="AL187" s="232"/>
      <c r="AM187" s="232"/>
      <c r="AN187" s="232"/>
      <c r="AO187" s="232"/>
      <c r="AP187" s="232"/>
      <c r="AQ187" s="232"/>
      <c r="AR187" s="232"/>
      <c r="AS187" s="232"/>
      <c r="AT187" s="232"/>
      <c r="AU187" s="232"/>
      <c r="AV187" s="232"/>
      <c r="AW187" s="232"/>
      <c r="AX187" s="232"/>
      <c r="AY187" s="232"/>
      <c r="AZ187" s="232"/>
      <c r="BA187" s="232"/>
      <c r="BB187" s="232"/>
      <c r="BC187" s="232"/>
      <c r="BD187" s="232"/>
      <c r="BE187" s="232"/>
      <c r="BF187" s="212"/>
      <c r="BG187" s="232"/>
      <c r="BH187" s="216"/>
      <c r="BI187" s="216"/>
      <c r="BJ187" s="216"/>
      <c r="BK187" s="216"/>
      <c r="BL187" s="216"/>
      <c r="BM187" s="216"/>
      <c r="BN187" s="216"/>
      <c r="BO187" s="216"/>
      <c r="BP187" s="216"/>
      <c r="BQ187" s="216"/>
      <c r="BR187" s="216"/>
      <c r="BS187" s="216"/>
      <c r="BT187" s="216"/>
      <c r="BU187" s="216"/>
      <c r="BV187" s="216"/>
    </row>
    <row r="188" spans="2:74" s="247" customFormat="1" ht="18.75" customHeight="1">
      <c r="B188" s="212"/>
      <c r="C188" s="389" t="s">
        <v>574</v>
      </c>
      <c r="D188" s="389"/>
      <c r="E188" s="389"/>
      <c r="F188" s="389"/>
      <c r="G188" s="389"/>
      <c r="H188" s="389"/>
      <c r="I188" s="232"/>
      <c r="J188" s="232"/>
      <c r="K188" s="232"/>
      <c r="L188" s="232"/>
      <c r="M188" s="232"/>
      <c r="N188" s="232"/>
      <c r="O188" s="212"/>
      <c r="S188" s="429" t="e">
        <f ca="1">-H86*10^6</f>
        <v>#N/A</v>
      </c>
      <c r="T188" s="429"/>
      <c r="U188" s="429"/>
      <c r="V188" s="389" t="s">
        <v>575</v>
      </c>
      <c r="W188" s="389"/>
      <c r="X188" s="389"/>
      <c r="Y188" s="389"/>
      <c r="Z188" s="389"/>
      <c r="AA188" s="389"/>
      <c r="AB188" s="389"/>
      <c r="AC188" s="389"/>
      <c r="AD188" s="392" t="s">
        <v>576</v>
      </c>
      <c r="AE188" s="430" t="e">
        <f ca="1">S188*10^-6*1000</f>
        <v>#N/A</v>
      </c>
      <c r="AF188" s="430"/>
      <c r="AG188" s="430"/>
      <c r="AH188" s="430"/>
      <c r="AI188" s="389" t="s">
        <v>444</v>
      </c>
      <c r="AJ188" s="389"/>
      <c r="AK188" s="389"/>
      <c r="AL188" s="389"/>
      <c r="AM188" s="389"/>
      <c r="AN188" s="389"/>
      <c r="AO188" s="389"/>
      <c r="AP188" s="232"/>
      <c r="AQ188" s="232"/>
      <c r="AR188" s="232"/>
      <c r="AS188" s="232"/>
      <c r="AT188" s="232"/>
      <c r="AU188" s="232"/>
      <c r="AV188" s="232"/>
      <c r="AW188" s="232"/>
      <c r="AX188" s="232"/>
      <c r="AY188" s="232"/>
      <c r="AZ188" s="232"/>
      <c r="BA188" s="232"/>
      <c r="BB188" s="232"/>
      <c r="BC188" s="232"/>
      <c r="BD188" s="232"/>
      <c r="BE188" s="232"/>
      <c r="BF188" s="232"/>
      <c r="BG188" s="232"/>
      <c r="BH188" s="216"/>
      <c r="BI188" s="216"/>
      <c r="BJ188" s="216"/>
      <c r="BK188" s="216"/>
      <c r="BL188" s="216"/>
      <c r="BM188" s="216"/>
    </row>
    <row r="189" spans="2:74" s="247" customFormat="1" ht="18.75" customHeight="1">
      <c r="B189" s="212"/>
      <c r="C189" s="389"/>
      <c r="D189" s="389"/>
      <c r="E189" s="389"/>
      <c r="F189" s="389"/>
      <c r="G189" s="389"/>
      <c r="H189" s="389"/>
      <c r="I189" s="232"/>
      <c r="J189" s="232"/>
      <c r="K189" s="232"/>
      <c r="L189" s="232"/>
      <c r="M189" s="232"/>
      <c r="N189" s="232"/>
      <c r="O189" s="232"/>
      <c r="S189" s="429"/>
      <c r="T189" s="429"/>
      <c r="U189" s="429"/>
      <c r="V189" s="389"/>
      <c r="W189" s="389"/>
      <c r="X189" s="389"/>
      <c r="Y189" s="389"/>
      <c r="Z189" s="389"/>
      <c r="AA189" s="389"/>
      <c r="AB189" s="389"/>
      <c r="AC189" s="389"/>
      <c r="AD189" s="392"/>
      <c r="AE189" s="430"/>
      <c r="AF189" s="430"/>
      <c r="AG189" s="430"/>
      <c r="AH189" s="430"/>
      <c r="AI189" s="389"/>
      <c r="AJ189" s="389"/>
      <c r="AK189" s="389"/>
      <c r="AL189" s="389"/>
      <c r="AM189" s="389"/>
      <c r="AN189" s="389"/>
      <c r="AO189" s="389"/>
      <c r="AP189" s="232"/>
      <c r="AQ189" s="232"/>
      <c r="AR189" s="232"/>
      <c r="AS189" s="232"/>
      <c r="AT189" s="232"/>
      <c r="AU189" s="232"/>
      <c r="AV189" s="232"/>
      <c r="AW189" s="232"/>
      <c r="AX189" s="232"/>
      <c r="AY189" s="232"/>
      <c r="AZ189" s="232"/>
      <c r="BA189" s="232"/>
      <c r="BB189" s="232"/>
      <c r="BC189" s="232"/>
      <c r="BD189" s="232"/>
      <c r="BE189" s="232"/>
      <c r="BF189" s="232"/>
      <c r="BG189" s="232"/>
      <c r="BH189" s="216"/>
      <c r="BI189" s="216"/>
      <c r="BJ189" s="216"/>
      <c r="BK189" s="216"/>
      <c r="BL189" s="216"/>
      <c r="BM189" s="216"/>
    </row>
    <row r="190" spans="2:74" s="247" customFormat="1" ht="18.75" customHeight="1">
      <c r="B190" s="212"/>
      <c r="C190" s="232" t="s">
        <v>577</v>
      </c>
      <c r="D190" s="232"/>
      <c r="E190" s="232"/>
      <c r="F190" s="232"/>
      <c r="G190" s="232"/>
      <c r="H190" s="232"/>
      <c r="I190" s="232"/>
      <c r="J190" s="212"/>
      <c r="K190" s="213" t="s">
        <v>519</v>
      </c>
      <c r="L190" s="430" t="e">
        <f ca="1">AE188</f>
        <v>#N/A</v>
      </c>
      <c r="M190" s="430"/>
      <c r="N190" s="430"/>
      <c r="O190" s="389" t="s">
        <v>578</v>
      </c>
      <c r="P190" s="389"/>
      <c r="Q190" s="389"/>
      <c r="R190" s="389"/>
      <c r="S190" s="389"/>
      <c r="T190" s="431">
        <f>AD186</f>
        <v>0.66833125519211412</v>
      </c>
      <c r="U190" s="431"/>
      <c r="V190" s="431"/>
      <c r="W190" s="431"/>
      <c r="X190" s="212" t="s">
        <v>484</v>
      </c>
      <c r="Y190" s="212" t="s">
        <v>540</v>
      </c>
      <c r="Z190" s="432" t="e">
        <f ca="1">ABS(L190*T190)</f>
        <v>#N/A</v>
      </c>
      <c r="AA190" s="432"/>
      <c r="AB190" s="432"/>
      <c r="AC190" s="433"/>
      <c r="AD190" s="232" t="s">
        <v>443</v>
      </c>
      <c r="AE190" s="233"/>
      <c r="AF190" s="212"/>
      <c r="AG190" s="212"/>
      <c r="AH190" s="212"/>
      <c r="AI190" s="212"/>
      <c r="AJ190" s="212"/>
      <c r="AK190" s="212"/>
      <c r="AL190" s="212"/>
      <c r="AM190" s="212"/>
      <c r="AN190" s="212"/>
      <c r="AO190" s="212"/>
      <c r="AQ190" s="232"/>
      <c r="AR190" s="232"/>
      <c r="AS190" s="232"/>
      <c r="AT190" s="232"/>
      <c r="AU190" s="232"/>
      <c r="AV190" s="232"/>
      <c r="AW190" s="232"/>
      <c r="AX190" s="232"/>
      <c r="AY190" s="232"/>
      <c r="AZ190" s="232"/>
      <c r="BA190" s="232"/>
      <c r="BB190" s="232"/>
      <c r="BC190" s="232"/>
      <c r="BD190" s="232"/>
      <c r="BE190" s="232"/>
      <c r="BF190" s="232"/>
      <c r="BG190" s="232"/>
      <c r="BH190" s="216"/>
      <c r="BI190" s="216"/>
      <c r="BJ190" s="216"/>
      <c r="BK190" s="216"/>
    </row>
    <row r="191" spans="2:74" s="247" customFormat="1" ht="18.75" customHeight="1">
      <c r="B191" s="212"/>
      <c r="C191" s="389" t="s">
        <v>579</v>
      </c>
      <c r="D191" s="389"/>
      <c r="E191" s="389"/>
      <c r="F191" s="389"/>
      <c r="G191" s="389"/>
      <c r="H191" s="232"/>
      <c r="J191" s="232"/>
      <c r="K191" s="232"/>
      <c r="L191" s="232"/>
      <c r="M191" s="232"/>
      <c r="N191" s="232"/>
      <c r="O191" s="232"/>
      <c r="P191" s="232"/>
      <c r="Q191" s="232"/>
      <c r="R191" s="427">
        <f>O87</f>
        <v>0.66833125519211412</v>
      </c>
      <c r="S191" s="427"/>
      <c r="T191" s="427"/>
      <c r="U191" s="427"/>
      <c r="V191" s="427"/>
      <c r="W191" s="427"/>
      <c r="X191" s="427"/>
      <c r="Y191" s="427"/>
      <c r="Z191" s="427"/>
      <c r="AA191" s="427"/>
      <c r="AB191" s="427"/>
      <c r="AC191" s="427"/>
      <c r="AD191" s="427"/>
      <c r="AE191" s="427"/>
      <c r="AF191" s="392" t="s">
        <v>571</v>
      </c>
      <c r="AG191" s="406">
        <f>BC87</f>
        <v>305</v>
      </c>
      <c r="AH191" s="406"/>
      <c r="AI191" s="406"/>
      <c r="AJ191" s="406"/>
      <c r="AK191" s="212"/>
      <c r="AL191" s="212"/>
      <c r="AM191" s="212"/>
      <c r="AN191" s="212"/>
      <c r="AO191" s="212"/>
      <c r="AP191" s="212"/>
      <c r="AQ191" s="212"/>
      <c r="AR191" s="212"/>
      <c r="AS191" s="212"/>
      <c r="AT191" s="212"/>
      <c r="AU191" s="212"/>
      <c r="AV191" s="212"/>
      <c r="AW191" s="212"/>
      <c r="AX191" s="212"/>
      <c r="AY191" s="212"/>
      <c r="AZ191" s="212"/>
      <c r="BA191" s="212"/>
      <c r="BB191" s="212"/>
      <c r="BC191" s="212"/>
      <c r="BD191" s="212"/>
      <c r="BE191" s="212"/>
      <c r="BF191" s="212"/>
      <c r="BG191" s="212"/>
      <c r="BH191" s="216"/>
      <c r="BI191" s="216"/>
      <c r="BJ191" s="216"/>
      <c r="BK191" s="216"/>
      <c r="BP191" s="216"/>
      <c r="BS191" s="216"/>
      <c r="BT191" s="216"/>
      <c r="BU191" s="216"/>
    </row>
    <row r="192" spans="2:74" s="247" customFormat="1" ht="18.75" customHeight="1">
      <c r="B192" s="212"/>
      <c r="C192" s="389"/>
      <c r="D192" s="389"/>
      <c r="E192" s="389"/>
      <c r="F192" s="389"/>
      <c r="G192" s="389"/>
      <c r="H192" s="232"/>
      <c r="I192" s="232"/>
      <c r="J192" s="232"/>
      <c r="K192" s="232"/>
      <c r="L192" s="232"/>
      <c r="M192" s="232"/>
      <c r="N192" s="232"/>
      <c r="O192" s="232"/>
      <c r="P192" s="232"/>
      <c r="Q192" s="232"/>
      <c r="R192" s="399">
        <f>O88</f>
        <v>0.57735026918962584</v>
      </c>
      <c r="S192" s="399"/>
      <c r="T192" s="399"/>
      <c r="U192" s="399"/>
      <c r="V192" s="392" t="s">
        <v>580</v>
      </c>
      <c r="W192" s="399">
        <f>O89</f>
        <v>0.28867513459481292</v>
      </c>
      <c r="X192" s="399"/>
      <c r="Y192" s="399"/>
      <c r="Z192" s="399"/>
      <c r="AA192" s="392" t="s">
        <v>581</v>
      </c>
      <c r="AB192" s="396">
        <f>O90</f>
        <v>0.17320508075688773</v>
      </c>
      <c r="AC192" s="396"/>
      <c r="AD192" s="396"/>
      <c r="AE192" s="396"/>
      <c r="AF192" s="392"/>
      <c r="AG192" s="406"/>
      <c r="AH192" s="406"/>
      <c r="AI192" s="406"/>
      <c r="AJ192" s="406"/>
      <c r="AK192" s="212"/>
      <c r="AL192" s="212"/>
      <c r="AM192" s="212"/>
      <c r="AN192" s="212"/>
      <c r="AO192" s="212"/>
      <c r="AP192" s="212"/>
      <c r="AQ192" s="212"/>
      <c r="AR192" s="212"/>
      <c r="AS192" s="212"/>
      <c r="AT192" s="212"/>
      <c r="AU192" s="212"/>
      <c r="AV192" s="212"/>
      <c r="AW192" s="212"/>
      <c r="AX192" s="212"/>
      <c r="AY192" s="212"/>
      <c r="AZ192" s="212"/>
      <c r="BA192" s="212"/>
      <c r="BB192" s="212"/>
      <c r="BC192" s="212"/>
      <c r="BD192" s="212"/>
      <c r="BE192" s="212"/>
      <c r="BF192" s="212"/>
      <c r="BG192" s="212"/>
      <c r="BH192" s="216"/>
      <c r="BI192" s="216"/>
      <c r="BJ192" s="216"/>
      <c r="BK192" s="216"/>
      <c r="BP192" s="216"/>
      <c r="BS192" s="216"/>
      <c r="BT192" s="216"/>
      <c r="BU192" s="216"/>
    </row>
    <row r="193" spans="2:75" s="247" customFormat="1" ht="18.75" customHeight="1">
      <c r="B193" s="212"/>
      <c r="C193" s="232"/>
      <c r="D193" s="232"/>
      <c r="E193" s="232"/>
      <c r="F193" s="232"/>
      <c r="G193" s="212"/>
      <c r="H193" s="232"/>
      <c r="I193" s="232"/>
      <c r="J193" s="232"/>
      <c r="K193" s="232"/>
      <c r="L193" s="232"/>
      <c r="M193" s="232"/>
      <c r="N193" s="232"/>
      <c r="O193" s="232"/>
      <c r="P193" s="232"/>
      <c r="Q193" s="232"/>
      <c r="R193" s="392" t="str">
        <f>BC88</f>
        <v>∞</v>
      </c>
      <c r="S193" s="392"/>
      <c r="T193" s="392"/>
      <c r="U193" s="392"/>
      <c r="V193" s="392"/>
      <c r="W193" s="392">
        <f>BC89</f>
        <v>12</v>
      </c>
      <c r="X193" s="392"/>
      <c r="Y193" s="392"/>
      <c r="Z193" s="392"/>
      <c r="AA193" s="392"/>
      <c r="AB193" s="392">
        <f>BC90</f>
        <v>12</v>
      </c>
      <c r="AC193" s="392"/>
      <c r="AD193" s="392"/>
      <c r="AE193" s="392"/>
      <c r="AF193" s="212"/>
      <c r="AG193" s="212"/>
      <c r="AH193" s="212"/>
      <c r="AI193" s="212"/>
      <c r="AJ193" s="212"/>
      <c r="AK193" s="212"/>
      <c r="AL193" s="212"/>
      <c r="AM193" s="212"/>
      <c r="AN193" s="212"/>
      <c r="AO193" s="212"/>
      <c r="AP193" s="212"/>
      <c r="AQ193" s="212"/>
      <c r="AR193" s="212"/>
      <c r="AS193" s="212"/>
      <c r="AT193" s="212"/>
      <c r="AU193" s="212"/>
      <c r="AV193" s="212"/>
      <c r="AW193" s="212"/>
      <c r="AX193" s="212"/>
      <c r="AY193" s="212"/>
      <c r="AZ193" s="212"/>
      <c r="BA193" s="212"/>
      <c r="BB193" s="212"/>
      <c r="BC193" s="212"/>
      <c r="BD193" s="212"/>
      <c r="BE193" s="212"/>
      <c r="BF193" s="212"/>
      <c r="BG193" s="212"/>
    </row>
    <row r="194" spans="2:75" s="247" customFormat="1" ht="18.75" customHeight="1">
      <c r="B194" s="261"/>
      <c r="C194" s="211"/>
      <c r="D194" s="232"/>
      <c r="E194" s="232"/>
      <c r="F194" s="232"/>
      <c r="G194" s="232"/>
      <c r="H194" s="232"/>
      <c r="I194" s="232"/>
      <c r="J194" s="232"/>
      <c r="K194" s="232"/>
      <c r="L194" s="232"/>
      <c r="M194" s="232"/>
      <c r="N194" s="232"/>
      <c r="O194" s="232"/>
      <c r="P194" s="232"/>
      <c r="Q194" s="232"/>
      <c r="R194" s="232"/>
      <c r="S194" s="232"/>
      <c r="T194" s="232"/>
      <c r="U194" s="232"/>
      <c r="V194" s="232"/>
      <c r="W194" s="232"/>
      <c r="X194" s="232"/>
      <c r="Y194" s="232"/>
      <c r="Z194" s="232"/>
      <c r="AA194" s="232"/>
      <c r="AB194" s="232"/>
      <c r="AC194" s="232"/>
      <c r="AD194" s="232"/>
      <c r="AE194" s="232"/>
      <c r="AF194" s="232"/>
      <c r="AG194" s="232"/>
      <c r="AH194" s="232"/>
      <c r="AI194" s="258"/>
      <c r="AJ194" s="232"/>
      <c r="AL194" s="232"/>
      <c r="AM194" s="232"/>
      <c r="AN194" s="232"/>
      <c r="AO194" s="232"/>
      <c r="AP194" s="232"/>
      <c r="AQ194" s="232"/>
      <c r="AR194" s="232"/>
      <c r="AS194" s="232"/>
      <c r="AT194" s="232"/>
      <c r="AU194" s="232"/>
      <c r="AV194" s="232"/>
      <c r="AW194" s="232"/>
      <c r="AX194" s="232"/>
      <c r="AY194" s="232"/>
      <c r="AZ194" s="232"/>
      <c r="BA194" s="232"/>
      <c r="BB194" s="232"/>
      <c r="BC194" s="232"/>
      <c r="BD194" s="232"/>
      <c r="BE194" s="232"/>
      <c r="BF194" s="232"/>
      <c r="BG194" s="232"/>
      <c r="BH194" s="216"/>
      <c r="BI194" s="216"/>
      <c r="BJ194" s="216"/>
      <c r="BK194" s="216"/>
      <c r="BL194" s="216"/>
      <c r="BM194" s="216"/>
      <c r="BN194" s="216"/>
    </row>
    <row r="195" spans="2:75" s="247" customFormat="1" ht="18.75" customHeight="1">
      <c r="C195" s="260" t="s">
        <v>582</v>
      </c>
      <c r="D195" s="211" t="s">
        <v>583</v>
      </c>
      <c r="E195" s="232"/>
      <c r="F195" s="232"/>
      <c r="G195" s="232"/>
      <c r="H195" s="232"/>
      <c r="I195" s="232"/>
      <c r="J195" s="232"/>
      <c r="K195" s="232"/>
      <c r="L195" s="232"/>
      <c r="M195" s="232"/>
      <c r="N195" s="232"/>
      <c r="P195" s="263" t="s">
        <v>584</v>
      </c>
      <c r="Q195" s="232"/>
      <c r="R195" s="232"/>
      <c r="S195" s="232"/>
      <c r="T195" s="232"/>
      <c r="U195" s="232"/>
      <c r="V195" s="232"/>
      <c r="W195" s="232"/>
      <c r="X195" s="232"/>
      <c r="Y195" s="232"/>
      <c r="Z195" s="232"/>
      <c r="AA195" s="232"/>
      <c r="AB195" s="232"/>
      <c r="AC195" s="232"/>
      <c r="AD195" s="232"/>
      <c r="AE195" s="232"/>
      <c r="AF195" s="232"/>
      <c r="AG195" s="232"/>
      <c r="AH195" s="232"/>
      <c r="AL195" s="232"/>
      <c r="AM195" s="232"/>
      <c r="AN195" s="232"/>
      <c r="AO195" s="232"/>
      <c r="AP195" s="232"/>
      <c r="AQ195" s="232"/>
      <c r="AR195" s="232"/>
      <c r="AS195" s="232"/>
      <c r="AT195" s="232"/>
      <c r="AU195" s="232"/>
      <c r="AV195" s="232"/>
      <c r="AW195" s="232"/>
      <c r="AX195" s="232"/>
      <c r="AY195" s="232"/>
      <c r="AZ195" s="232"/>
      <c r="BA195" s="232"/>
      <c r="BB195" s="232"/>
      <c r="BC195" s="232"/>
      <c r="BD195" s="232"/>
      <c r="BE195" s="232"/>
      <c r="BF195" s="232"/>
      <c r="BG195" s="232"/>
      <c r="BH195" s="216"/>
      <c r="BI195" s="216"/>
      <c r="BJ195" s="216"/>
      <c r="BK195" s="216"/>
      <c r="BL195" s="216"/>
      <c r="BM195" s="216"/>
      <c r="BN195" s="216"/>
    </row>
    <row r="196" spans="2:75" s="247" customFormat="1" ht="18.75" customHeight="1">
      <c r="C196" s="211"/>
      <c r="D196" s="232" t="str">
        <f>"※ 측정실 공기중의 온도를 측정하였고, 측정에 사용된 온도계의 불확도가 "&amp;O198&amp;" ℃를 넘지 않으므로,"</f>
        <v>※ 측정실 공기중의 온도를 측정하였고, 측정에 사용된 온도계의 불확도가 1 ℃를 넘지 않으므로,</v>
      </c>
      <c r="E196" s="232"/>
      <c r="F196" s="232"/>
      <c r="G196" s="232"/>
      <c r="H196" s="232"/>
      <c r="I196" s="232"/>
      <c r="J196" s="232"/>
      <c r="K196" s="232"/>
      <c r="L196" s="232"/>
      <c r="M196" s="232"/>
      <c r="N196" s="232"/>
      <c r="O196" s="232"/>
      <c r="P196" s="232"/>
      <c r="Q196" s="232"/>
      <c r="R196" s="232"/>
      <c r="S196" s="232"/>
      <c r="T196" s="232"/>
      <c r="U196" s="232"/>
      <c r="V196" s="232"/>
      <c r="W196" s="232"/>
      <c r="X196" s="232"/>
      <c r="Y196" s="232"/>
      <c r="Z196" s="232"/>
      <c r="AA196" s="232"/>
      <c r="AB196" s="232"/>
      <c r="AC196" s="232"/>
      <c r="AD196" s="232"/>
      <c r="AE196" s="232"/>
      <c r="AF196" s="232"/>
      <c r="AG196" s="232"/>
      <c r="AH196" s="232"/>
      <c r="AI196" s="232"/>
      <c r="AJ196" s="232"/>
      <c r="AK196" s="232"/>
      <c r="AL196" s="232"/>
      <c r="AM196" s="232"/>
      <c r="AN196" s="232"/>
      <c r="AO196" s="232"/>
      <c r="AP196" s="232"/>
      <c r="AQ196" s="232"/>
      <c r="AR196" s="232"/>
      <c r="AS196" s="232"/>
      <c r="AT196" s="232"/>
      <c r="AU196" s="232"/>
      <c r="AV196" s="232"/>
      <c r="AW196" s="232"/>
      <c r="AX196" s="232"/>
      <c r="AY196" s="232"/>
      <c r="AZ196" s="232"/>
      <c r="BA196" s="232"/>
      <c r="BB196" s="232"/>
      <c r="BC196" s="232"/>
      <c r="BD196" s="232"/>
      <c r="BE196" s="232"/>
      <c r="BF196" s="232"/>
      <c r="BG196" s="232"/>
      <c r="BH196" s="232"/>
      <c r="BI196" s="216"/>
      <c r="BJ196" s="216"/>
      <c r="BK196" s="216"/>
      <c r="BL196" s="216"/>
      <c r="BM196" s="216"/>
      <c r="BN196" s="216"/>
      <c r="BO196" s="216"/>
    </row>
    <row r="197" spans="2:75" s="247" customFormat="1" ht="18.75" customHeight="1">
      <c r="C197" s="211"/>
      <c r="D197" s="232"/>
      <c r="E197" s="232" t="s">
        <v>585</v>
      </c>
      <c r="F197" s="232"/>
      <c r="G197" s="232"/>
      <c r="H197" s="232"/>
      <c r="I197" s="232"/>
      <c r="J197" s="232"/>
      <c r="K197" s="232"/>
      <c r="L197" s="232"/>
      <c r="M197" s="232"/>
      <c r="N197" s="232"/>
      <c r="O197" s="232"/>
      <c r="P197" s="232"/>
      <c r="Q197" s="232"/>
      <c r="R197" s="232"/>
      <c r="S197" s="232"/>
      <c r="T197" s="232"/>
      <c r="U197" s="232"/>
      <c r="V197" s="232"/>
      <c r="W197" s="232"/>
      <c r="X197" s="232"/>
      <c r="Y197" s="232"/>
      <c r="Z197" s="232"/>
      <c r="AA197" s="232"/>
      <c r="AB197" s="232"/>
      <c r="AC197" s="232"/>
      <c r="AD197" s="232"/>
      <c r="AE197" s="232"/>
      <c r="AF197" s="232"/>
      <c r="AG197" s="232"/>
      <c r="AH197" s="232"/>
      <c r="AI197" s="232"/>
      <c r="AJ197" s="232"/>
      <c r="AK197" s="232"/>
      <c r="AL197" s="232"/>
      <c r="AM197" s="232"/>
      <c r="AN197" s="232"/>
      <c r="AO197" s="232"/>
      <c r="AP197" s="232"/>
      <c r="AQ197" s="232"/>
      <c r="AR197" s="232"/>
      <c r="AS197" s="232"/>
      <c r="AT197" s="232"/>
      <c r="AU197" s="232"/>
      <c r="AV197" s="232"/>
      <c r="AW197" s="232"/>
      <c r="AX197" s="232"/>
      <c r="AY197" s="232"/>
      <c r="AZ197" s="232"/>
      <c r="BA197" s="232"/>
      <c r="BB197" s="232"/>
      <c r="BC197" s="232"/>
      <c r="BD197" s="232"/>
      <c r="BE197" s="232"/>
      <c r="BF197" s="232"/>
      <c r="BG197" s="232"/>
      <c r="BH197" s="232"/>
      <c r="BI197" s="216"/>
      <c r="BJ197" s="216"/>
      <c r="BK197" s="216"/>
      <c r="BL197" s="216"/>
      <c r="BM197" s="216"/>
      <c r="BN197" s="216"/>
      <c r="BO197" s="216"/>
    </row>
    <row r="198" spans="2:75" s="247" customFormat="1" ht="18.75" customHeight="1">
      <c r="C198" s="212"/>
      <c r="D198" s="389" t="s">
        <v>586</v>
      </c>
      <c r="E198" s="389"/>
      <c r="F198" s="389"/>
      <c r="G198" s="389"/>
      <c r="H198" s="389"/>
      <c r="I198" s="389"/>
      <c r="J198" s="389"/>
      <c r="K198" s="426" t="s">
        <v>587</v>
      </c>
      <c r="L198" s="426"/>
      <c r="M198" s="426"/>
      <c r="N198" s="392" t="s">
        <v>475</v>
      </c>
      <c r="O198" s="422">
        <f>Calcu!G39</f>
        <v>1</v>
      </c>
      <c r="P198" s="422"/>
      <c r="Q198" s="255" t="s">
        <v>530</v>
      </c>
      <c r="R198" s="256"/>
      <c r="S198" s="392" t="s">
        <v>576</v>
      </c>
      <c r="T198" s="407">
        <f>O198/SQRT(3)</f>
        <v>0.57735026918962584</v>
      </c>
      <c r="U198" s="407"/>
      <c r="V198" s="407"/>
      <c r="W198" s="409" t="str">
        <f>Q198</f>
        <v>℃</v>
      </c>
      <c r="X198" s="409"/>
      <c r="Y198" s="225"/>
      <c r="Z198" s="264"/>
      <c r="AA198" s="265"/>
      <c r="AB198" s="265"/>
      <c r="BA198" s="232"/>
      <c r="BB198" s="232"/>
      <c r="BC198" s="232"/>
      <c r="BD198" s="232"/>
      <c r="BE198" s="232"/>
      <c r="BF198" s="232"/>
      <c r="BG198" s="232"/>
      <c r="BH198" s="232"/>
      <c r="BI198" s="232"/>
      <c r="BJ198" s="232"/>
      <c r="BK198" s="216"/>
      <c r="BL198" s="216"/>
      <c r="BM198" s="216"/>
      <c r="BN198" s="216"/>
      <c r="BO198" s="216"/>
      <c r="BP198" s="216"/>
      <c r="BQ198" s="216"/>
      <c r="BR198" s="216"/>
      <c r="BS198" s="216"/>
      <c r="BT198" s="216"/>
    </row>
    <row r="199" spans="2:75" s="247" customFormat="1" ht="18.75" customHeight="1">
      <c r="C199" s="212"/>
      <c r="D199" s="389"/>
      <c r="E199" s="389"/>
      <c r="F199" s="389"/>
      <c r="G199" s="389"/>
      <c r="H199" s="389"/>
      <c r="I199" s="389"/>
      <c r="J199" s="389"/>
      <c r="K199" s="426"/>
      <c r="L199" s="426"/>
      <c r="M199" s="426"/>
      <c r="N199" s="392"/>
      <c r="O199" s="212"/>
      <c r="P199" s="212"/>
      <c r="Q199" s="212"/>
      <c r="R199" s="212"/>
      <c r="S199" s="392"/>
      <c r="T199" s="407"/>
      <c r="U199" s="407"/>
      <c r="V199" s="407"/>
      <c r="W199" s="409"/>
      <c r="X199" s="409"/>
      <c r="Y199" s="225"/>
      <c r="Z199" s="264"/>
      <c r="AA199" s="265"/>
      <c r="AB199" s="265"/>
      <c r="BA199" s="232"/>
      <c r="BB199" s="232"/>
      <c r="BC199" s="232"/>
      <c r="BD199" s="232"/>
      <c r="BE199" s="232"/>
      <c r="BF199" s="232"/>
      <c r="BG199" s="232"/>
      <c r="BH199" s="232"/>
      <c r="BI199" s="232"/>
      <c r="BJ199" s="232"/>
      <c r="BK199" s="216"/>
      <c r="BL199" s="216"/>
      <c r="BM199" s="216"/>
      <c r="BN199" s="216"/>
      <c r="BO199" s="216"/>
      <c r="BP199" s="216"/>
      <c r="BQ199" s="216"/>
      <c r="BR199" s="216"/>
      <c r="BS199" s="216"/>
      <c r="BT199" s="216"/>
    </row>
    <row r="200" spans="2:75" s="247" customFormat="1" ht="18.75" customHeight="1">
      <c r="C200" s="212"/>
      <c r="D200" s="232" t="s">
        <v>588</v>
      </c>
      <c r="E200" s="232"/>
      <c r="F200" s="232"/>
      <c r="G200" s="232"/>
      <c r="H200" s="232"/>
      <c r="I200" s="232"/>
      <c r="J200" s="406" t="str">
        <f>AB88</f>
        <v>직사각형</v>
      </c>
      <c r="K200" s="406"/>
      <c r="L200" s="406"/>
      <c r="M200" s="406"/>
      <c r="N200" s="406"/>
      <c r="O200" s="406"/>
      <c r="P200" s="406"/>
      <c r="Q200" s="406"/>
      <c r="R200" s="232"/>
      <c r="S200" s="232"/>
      <c r="T200" s="232"/>
      <c r="U200" s="232"/>
      <c r="V200" s="232"/>
      <c r="W200" s="232"/>
      <c r="X200" s="232"/>
      <c r="Y200" s="232"/>
      <c r="Z200" s="232"/>
      <c r="AA200" s="212"/>
      <c r="AB200" s="212"/>
      <c r="AC200" s="212"/>
      <c r="AD200" s="212"/>
      <c r="AE200" s="212"/>
      <c r="AF200" s="212"/>
      <c r="AG200" s="212"/>
      <c r="AH200" s="212"/>
      <c r="AI200" s="232"/>
      <c r="AJ200" s="232"/>
      <c r="AK200" s="232"/>
      <c r="AL200" s="232"/>
      <c r="AM200" s="232"/>
      <c r="AN200" s="232"/>
      <c r="AO200" s="232"/>
      <c r="AP200" s="232"/>
      <c r="AQ200" s="232"/>
      <c r="AR200" s="232"/>
      <c r="AS200" s="232"/>
      <c r="AT200" s="232"/>
      <c r="AU200" s="232"/>
      <c r="AV200" s="232"/>
      <c r="AW200" s="232"/>
      <c r="AX200" s="232"/>
      <c r="AY200" s="232"/>
      <c r="AZ200" s="232"/>
      <c r="BA200" s="232"/>
      <c r="BB200" s="232"/>
      <c r="BC200" s="232"/>
      <c r="BD200" s="232"/>
      <c r="BE200" s="232"/>
      <c r="BF200" s="232"/>
      <c r="BG200" s="212"/>
      <c r="BH200" s="232"/>
      <c r="BI200" s="216"/>
      <c r="BJ200" s="216"/>
      <c r="BK200" s="216"/>
      <c r="BL200" s="216"/>
      <c r="BM200" s="216"/>
      <c r="BN200" s="216"/>
      <c r="BO200" s="216"/>
      <c r="BP200" s="216"/>
      <c r="BQ200" s="216"/>
      <c r="BR200" s="216"/>
      <c r="BS200" s="216"/>
      <c r="BT200" s="216"/>
      <c r="BU200" s="216"/>
      <c r="BV200" s="216"/>
      <c r="BW200" s="216"/>
    </row>
    <row r="201" spans="2:75" s="247" customFormat="1" ht="18.75" customHeight="1">
      <c r="C201" s="212"/>
      <c r="D201" s="389" t="s">
        <v>589</v>
      </c>
      <c r="E201" s="389"/>
      <c r="F201" s="389"/>
      <c r="G201" s="389"/>
      <c r="H201" s="389"/>
      <c r="I201" s="389"/>
      <c r="J201" s="232"/>
      <c r="K201" s="232"/>
      <c r="L201" s="232"/>
      <c r="M201" s="232"/>
      <c r="N201" s="232"/>
      <c r="O201" s="392">
        <f>AG88</f>
        <v>1</v>
      </c>
      <c r="P201" s="392"/>
      <c r="Q201" s="232"/>
      <c r="R201" s="232"/>
      <c r="S201" s="232"/>
      <c r="T201" s="232"/>
      <c r="U201" s="232"/>
      <c r="V201" s="232"/>
      <c r="W201" s="216"/>
      <c r="X201" s="216"/>
      <c r="Y201" s="216"/>
      <c r="Z201" s="216"/>
      <c r="AA201" s="216"/>
      <c r="AB201" s="216"/>
    </row>
    <row r="202" spans="2:75" s="247" customFormat="1" ht="18.75" customHeight="1">
      <c r="C202" s="212"/>
      <c r="D202" s="389"/>
      <c r="E202" s="389"/>
      <c r="F202" s="389"/>
      <c r="G202" s="389"/>
      <c r="H202" s="389"/>
      <c r="I202" s="389"/>
      <c r="J202" s="232"/>
      <c r="K202" s="232"/>
      <c r="L202" s="232"/>
      <c r="M202" s="232"/>
      <c r="N202" s="232"/>
      <c r="O202" s="392"/>
      <c r="P202" s="392"/>
      <c r="Q202" s="232"/>
      <c r="R202" s="232"/>
      <c r="S202" s="232"/>
      <c r="T202" s="232"/>
      <c r="U202" s="232"/>
      <c r="V202" s="232"/>
      <c r="W202" s="216"/>
      <c r="X202" s="216"/>
      <c r="Y202" s="216"/>
      <c r="Z202" s="216"/>
      <c r="AA202" s="216"/>
      <c r="AB202" s="216"/>
    </row>
    <row r="203" spans="2:75" s="247" customFormat="1" ht="18.75" customHeight="1">
      <c r="C203" s="212"/>
      <c r="D203" s="232" t="s">
        <v>590</v>
      </c>
      <c r="E203" s="232"/>
      <c r="F203" s="232"/>
      <c r="G203" s="232"/>
      <c r="H203" s="232"/>
      <c r="I203" s="232"/>
      <c r="J203" s="232"/>
      <c r="K203" s="212"/>
      <c r="L203" s="212" t="s">
        <v>519</v>
      </c>
      <c r="M203" s="392">
        <f>O201</f>
        <v>1</v>
      </c>
      <c r="N203" s="392"/>
      <c r="O203" s="212" t="s">
        <v>483</v>
      </c>
      <c r="P203" s="407">
        <f>T198</f>
        <v>0.57735026918962584</v>
      </c>
      <c r="Q203" s="409"/>
      <c r="R203" s="409"/>
      <c r="S203" s="410" t="str">
        <f>W198</f>
        <v>℃</v>
      </c>
      <c r="T203" s="409"/>
      <c r="U203" s="234" t="s">
        <v>482</v>
      </c>
      <c r="V203" s="244" t="s">
        <v>476</v>
      </c>
      <c r="W203" s="407">
        <f>M203*P203</f>
        <v>0.57735026918962584</v>
      </c>
      <c r="X203" s="407"/>
      <c r="Y203" s="407"/>
      <c r="Z203" s="240" t="str">
        <f>S203</f>
        <v>℃</v>
      </c>
      <c r="AA203" s="55"/>
      <c r="AB203" s="225"/>
      <c r="AC203" s="266"/>
      <c r="AD203" s="251"/>
      <c r="AE203" s="212"/>
      <c r="AF203" s="233"/>
      <c r="AG203" s="212"/>
      <c r="AH203" s="212"/>
      <c r="AI203" s="212"/>
      <c r="AJ203" s="212"/>
      <c r="AK203" s="212"/>
      <c r="AL203" s="212"/>
      <c r="AM203" s="212"/>
      <c r="AN203" s="212"/>
      <c r="AO203" s="212"/>
      <c r="AP203" s="212"/>
      <c r="AR203" s="232"/>
      <c r="AS203" s="232"/>
      <c r="AT203" s="232"/>
      <c r="AU203" s="232"/>
      <c r="AV203" s="232"/>
      <c r="AW203" s="232"/>
      <c r="AX203" s="232"/>
      <c r="AY203" s="232"/>
      <c r="AZ203" s="232"/>
      <c r="BA203" s="232"/>
      <c r="BB203" s="232"/>
      <c r="BC203" s="232"/>
      <c r="BD203" s="232"/>
      <c r="BE203" s="232"/>
      <c r="BF203" s="232"/>
      <c r="BG203" s="232"/>
      <c r="BH203" s="232"/>
      <c r="BI203" s="216"/>
      <c r="BJ203" s="216"/>
      <c r="BK203" s="216"/>
      <c r="BL203" s="216"/>
    </row>
    <row r="204" spans="2:75" s="247" customFormat="1" ht="18.75" customHeight="1">
      <c r="C204" s="212"/>
      <c r="D204" s="389" t="s">
        <v>591</v>
      </c>
      <c r="E204" s="389"/>
      <c r="F204" s="389"/>
      <c r="G204" s="389"/>
      <c r="H204" s="389"/>
      <c r="I204" s="232"/>
      <c r="K204" s="232"/>
      <c r="L204" s="232"/>
      <c r="M204" s="232"/>
      <c r="N204" s="232"/>
      <c r="O204" s="232"/>
      <c r="P204" s="232"/>
      <c r="Q204" s="232"/>
      <c r="R204" s="232"/>
      <c r="S204" s="251"/>
      <c r="T204" s="232"/>
      <c r="U204" s="232"/>
      <c r="V204" s="232"/>
      <c r="X204" s="213" t="s">
        <v>592</v>
      </c>
      <c r="Y204" s="232"/>
      <c r="Z204" s="232"/>
      <c r="AA204" s="232"/>
      <c r="AB204" s="232"/>
      <c r="AC204" s="232"/>
      <c r="AD204" s="232"/>
      <c r="AE204" s="232"/>
      <c r="AF204" s="212"/>
      <c r="AG204" s="212"/>
      <c r="AH204" s="212"/>
      <c r="AI204" s="212"/>
      <c r="AJ204" s="212"/>
      <c r="AK204" s="212"/>
      <c r="AL204" s="212"/>
      <c r="AM204" s="212"/>
      <c r="AN204" s="212"/>
      <c r="AO204" s="212"/>
      <c r="AP204" s="212"/>
      <c r="AQ204" s="212"/>
      <c r="AR204" s="212"/>
      <c r="AS204" s="212"/>
      <c r="AT204" s="212"/>
      <c r="AU204" s="212"/>
      <c r="AV204" s="212"/>
      <c r="AW204" s="212"/>
      <c r="AX204" s="212"/>
      <c r="AY204" s="212"/>
      <c r="AZ204" s="212"/>
      <c r="BA204" s="212"/>
      <c r="BB204" s="212"/>
      <c r="BC204" s="212"/>
      <c r="BD204" s="212"/>
      <c r="BE204" s="212"/>
      <c r="BF204" s="212"/>
      <c r="BG204" s="212"/>
      <c r="BH204" s="212"/>
      <c r="BI204" s="216"/>
      <c r="BJ204" s="216"/>
      <c r="BK204" s="216"/>
      <c r="BL204" s="216"/>
      <c r="BQ204" s="216"/>
      <c r="BT204" s="216"/>
      <c r="BU204" s="216"/>
      <c r="BV204" s="216"/>
    </row>
    <row r="205" spans="2:75" s="247" customFormat="1" ht="18.75" customHeight="1">
      <c r="C205" s="212"/>
      <c r="D205" s="389"/>
      <c r="E205" s="389"/>
      <c r="F205" s="389"/>
      <c r="G205" s="389"/>
      <c r="H205" s="389"/>
      <c r="I205" s="232"/>
      <c r="J205" s="232"/>
      <c r="K205" s="232"/>
      <c r="L205" s="232"/>
      <c r="M205" s="232"/>
      <c r="N205" s="232"/>
      <c r="O205" s="232"/>
      <c r="P205" s="232"/>
      <c r="Q205" s="232"/>
      <c r="R205" s="232"/>
      <c r="S205" s="251"/>
      <c r="T205" s="232"/>
      <c r="U205" s="232"/>
      <c r="V205" s="232"/>
      <c r="W205" s="232"/>
      <c r="X205" s="232"/>
      <c r="Y205" s="232"/>
      <c r="Z205" s="232"/>
      <c r="AA205" s="232"/>
      <c r="AB205" s="232"/>
      <c r="AC205" s="232"/>
      <c r="AD205" s="212"/>
      <c r="AE205" s="212"/>
      <c r="AF205" s="212"/>
      <c r="AG205" s="212"/>
      <c r="AH205" s="212"/>
      <c r="AI205" s="212"/>
      <c r="AJ205" s="212"/>
      <c r="AK205" s="212"/>
      <c r="AL205" s="212"/>
      <c r="AM205" s="212"/>
      <c r="AN205" s="212"/>
      <c r="AO205" s="212"/>
      <c r="AP205" s="212"/>
      <c r="AQ205" s="212"/>
      <c r="AR205" s="212"/>
      <c r="AS205" s="212"/>
      <c r="AT205" s="212"/>
      <c r="AU205" s="212"/>
      <c r="AV205" s="212"/>
      <c r="AW205" s="212"/>
      <c r="AX205" s="212"/>
      <c r="AY205" s="212"/>
      <c r="AZ205" s="212"/>
      <c r="BA205" s="212"/>
      <c r="BB205" s="212"/>
      <c r="BC205" s="212"/>
      <c r="BD205" s="212"/>
      <c r="BE205" s="212"/>
      <c r="BF205" s="212"/>
      <c r="BG205" s="212"/>
      <c r="BH205" s="212"/>
      <c r="BI205" s="216"/>
      <c r="BJ205" s="216"/>
      <c r="BK205" s="216"/>
      <c r="BL205" s="216"/>
      <c r="BQ205" s="216"/>
      <c r="BT205" s="216"/>
      <c r="BU205" s="216"/>
      <c r="BV205" s="216"/>
    </row>
    <row r="206" spans="2:75" s="247" customFormat="1" ht="18.75" customHeight="1">
      <c r="C206" s="212"/>
      <c r="D206" s="232"/>
      <c r="E206" s="232"/>
      <c r="F206" s="232"/>
      <c r="G206" s="232"/>
      <c r="H206" s="212"/>
      <c r="I206" s="232"/>
      <c r="J206" s="232"/>
      <c r="K206" s="232"/>
      <c r="L206" s="232"/>
      <c r="M206" s="232"/>
      <c r="N206" s="232"/>
      <c r="O206" s="232"/>
      <c r="P206" s="232"/>
      <c r="Q206" s="232"/>
      <c r="R206" s="232"/>
      <c r="S206" s="232"/>
      <c r="T206" s="232"/>
      <c r="U206" s="232"/>
      <c r="V206" s="232"/>
      <c r="W206" s="232"/>
      <c r="X206" s="232"/>
      <c r="Y206" s="212"/>
      <c r="Z206" s="212"/>
      <c r="AA206" s="212"/>
      <c r="AB206" s="212"/>
      <c r="AC206" s="212"/>
      <c r="AD206" s="212"/>
      <c r="AE206" s="212"/>
      <c r="AF206" s="212"/>
      <c r="AG206" s="212"/>
      <c r="AH206" s="212"/>
      <c r="AI206" s="212"/>
      <c r="AJ206" s="212"/>
      <c r="AK206" s="212"/>
      <c r="AL206" s="212"/>
      <c r="AM206" s="212"/>
      <c r="AN206" s="212"/>
      <c r="AO206" s="212"/>
      <c r="AP206" s="212"/>
      <c r="AQ206" s="212"/>
      <c r="AR206" s="212"/>
      <c r="AS206" s="212"/>
      <c r="AT206" s="212"/>
      <c r="AU206" s="212"/>
      <c r="AV206" s="212"/>
      <c r="AW206" s="212"/>
      <c r="AX206" s="212"/>
      <c r="AY206" s="212"/>
      <c r="AZ206" s="212"/>
      <c r="BA206" s="212"/>
      <c r="BB206" s="212"/>
      <c r="BC206" s="212"/>
      <c r="BD206" s="212"/>
      <c r="BE206" s="212"/>
      <c r="BF206" s="212"/>
      <c r="BG206" s="212"/>
      <c r="BH206" s="212"/>
    </row>
    <row r="207" spans="2:75" s="247" customFormat="1" ht="18.75" customHeight="1">
      <c r="C207" s="260" t="s">
        <v>593</v>
      </c>
      <c r="D207" s="211" t="s">
        <v>594</v>
      </c>
      <c r="E207" s="232"/>
      <c r="F207" s="232"/>
      <c r="G207" s="232"/>
      <c r="H207" s="232"/>
      <c r="I207" s="232"/>
      <c r="J207" s="232"/>
      <c r="K207" s="232"/>
      <c r="L207" s="232"/>
      <c r="M207" s="232"/>
      <c r="N207" s="232"/>
      <c r="P207" s="232"/>
      <c r="Q207" s="263" t="s">
        <v>595</v>
      </c>
      <c r="R207" s="232"/>
      <c r="S207" s="232"/>
      <c r="T207" s="232"/>
      <c r="U207" s="232"/>
      <c r="V207" s="232"/>
      <c r="W207" s="232"/>
      <c r="X207" s="232"/>
      <c r="Y207" s="232"/>
      <c r="Z207" s="232"/>
      <c r="AA207" s="232"/>
      <c r="AB207" s="232"/>
      <c r="AC207" s="232"/>
      <c r="AD207" s="232"/>
      <c r="AE207" s="232"/>
      <c r="AF207" s="232"/>
      <c r="AG207" s="232"/>
      <c r="AH207" s="232"/>
      <c r="AL207" s="232"/>
      <c r="AM207" s="232"/>
      <c r="AN207" s="232"/>
      <c r="AO207" s="232"/>
      <c r="AP207" s="232"/>
      <c r="AQ207" s="232"/>
      <c r="AR207" s="232"/>
      <c r="AS207" s="232"/>
      <c r="AT207" s="232"/>
      <c r="AU207" s="232"/>
      <c r="AV207" s="232"/>
      <c r="AW207" s="232"/>
      <c r="AX207" s="232"/>
      <c r="AY207" s="232"/>
      <c r="AZ207" s="232"/>
      <c r="BA207" s="232"/>
      <c r="BB207" s="232"/>
      <c r="BC207" s="232"/>
      <c r="BD207" s="232"/>
      <c r="BE207" s="232"/>
      <c r="BF207" s="232"/>
      <c r="BG207" s="232"/>
      <c r="BH207" s="216"/>
      <c r="BI207" s="216"/>
      <c r="BJ207" s="216"/>
      <c r="BK207" s="216"/>
      <c r="BL207" s="216"/>
      <c r="BM207" s="216"/>
      <c r="BN207" s="216"/>
    </row>
    <row r="208" spans="2:75" s="247" customFormat="1" ht="18.75" customHeight="1">
      <c r="C208" s="211"/>
      <c r="D208" s="232" t="str">
        <f>"※ 측정과정 중의 온도 변화는 과억의 측정을 경험으로 "&amp;O210&amp;" ℃를 초과하지 않으므로,"</f>
        <v>※ 측정과정 중의 온도 변화는 과억의 측정을 경험으로 0.5 ℃를 초과하지 않으므로,</v>
      </c>
      <c r="E208" s="232"/>
      <c r="F208" s="232"/>
      <c r="G208" s="232"/>
      <c r="H208" s="232"/>
      <c r="I208" s="232"/>
      <c r="J208" s="232"/>
      <c r="K208" s="232"/>
      <c r="L208" s="232"/>
      <c r="M208" s="232"/>
      <c r="N208" s="232"/>
      <c r="O208" s="232"/>
      <c r="P208" s="232"/>
      <c r="Q208" s="232"/>
      <c r="R208" s="232"/>
      <c r="S208" s="232"/>
      <c r="T208" s="232"/>
      <c r="U208" s="232"/>
      <c r="V208" s="232"/>
      <c r="W208" s="232"/>
      <c r="X208" s="232"/>
      <c r="Y208" s="232"/>
      <c r="Z208" s="232"/>
      <c r="AA208" s="232"/>
      <c r="AB208" s="232"/>
      <c r="AC208" s="232"/>
      <c r="AD208" s="232"/>
      <c r="AE208" s="232"/>
      <c r="AF208" s="232"/>
      <c r="AG208" s="232"/>
      <c r="AH208" s="232"/>
      <c r="AI208" s="232"/>
      <c r="AJ208" s="232"/>
      <c r="AK208" s="232"/>
      <c r="AL208" s="232"/>
      <c r="AM208" s="232"/>
      <c r="AN208" s="232"/>
      <c r="AO208" s="232"/>
      <c r="AP208" s="232"/>
      <c r="AQ208" s="232"/>
      <c r="AR208" s="232"/>
      <c r="AS208" s="232"/>
      <c r="AT208" s="232"/>
      <c r="AU208" s="232"/>
      <c r="AV208" s="232"/>
      <c r="AW208" s="232"/>
      <c r="AX208" s="232"/>
      <c r="AY208" s="232"/>
      <c r="AZ208" s="232"/>
      <c r="BA208" s="232"/>
      <c r="BB208" s="232"/>
      <c r="BC208" s="232"/>
      <c r="BD208" s="232"/>
      <c r="BE208" s="232"/>
      <c r="BF208" s="232"/>
      <c r="BG208" s="232"/>
      <c r="BH208" s="232"/>
      <c r="BI208" s="216"/>
      <c r="BJ208" s="216"/>
      <c r="BK208" s="216"/>
      <c r="BL208" s="216"/>
      <c r="BM208" s="216"/>
      <c r="BN208" s="216"/>
      <c r="BO208" s="216"/>
    </row>
    <row r="209" spans="3:75" s="247" customFormat="1" ht="18.75" customHeight="1">
      <c r="C209" s="211"/>
      <c r="D209" s="232"/>
      <c r="E209" s="232" t="s">
        <v>596</v>
      </c>
      <c r="F209" s="232"/>
      <c r="G209" s="232"/>
      <c r="H209" s="232"/>
      <c r="I209" s="232"/>
      <c r="J209" s="232"/>
      <c r="K209" s="232"/>
      <c r="L209" s="232"/>
      <c r="M209" s="232"/>
      <c r="N209" s="232"/>
      <c r="O209" s="232"/>
      <c r="P209" s="232"/>
      <c r="Q209" s="232"/>
      <c r="R209" s="232"/>
      <c r="S209" s="232"/>
      <c r="T209" s="232"/>
      <c r="U209" s="232"/>
      <c r="V209" s="232"/>
      <c r="W209" s="232"/>
      <c r="X209" s="232"/>
      <c r="Y209" s="232"/>
      <c r="Z209" s="232"/>
      <c r="AA209" s="232"/>
      <c r="AB209" s="232"/>
      <c r="AC209" s="232"/>
      <c r="AD209" s="232"/>
      <c r="AE209" s="232"/>
      <c r="AF209" s="232"/>
      <c r="AG209" s="232"/>
      <c r="AH209" s="232"/>
      <c r="AI209" s="232"/>
      <c r="AJ209" s="232"/>
      <c r="AK209" s="232"/>
      <c r="AL209" s="232"/>
      <c r="AM209" s="232"/>
      <c r="AN209" s="232"/>
      <c r="AO209" s="232"/>
      <c r="AP209" s="232"/>
      <c r="AQ209" s="232"/>
      <c r="AR209" s="232"/>
      <c r="AS209" s="232"/>
      <c r="AT209" s="232"/>
      <c r="AU209" s="232"/>
      <c r="AV209" s="232"/>
      <c r="AW209" s="232"/>
      <c r="AX209" s="232"/>
      <c r="AY209" s="232"/>
      <c r="AZ209" s="232"/>
      <c r="BA209" s="232"/>
      <c r="BB209" s="232"/>
      <c r="BC209" s="232"/>
      <c r="BD209" s="232"/>
      <c r="BE209" s="232"/>
      <c r="BF209" s="232"/>
      <c r="BG209" s="232"/>
      <c r="BH209" s="232"/>
      <c r="BI209" s="216"/>
      <c r="BJ209" s="216"/>
      <c r="BK209" s="216"/>
      <c r="BL209" s="216"/>
      <c r="BM209" s="216"/>
      <c r="BN209" s="216"/>
      <c r="BO209" s="216"/>
    </row>
    <row r="210" spans="3:75" s="247" customFormat="1" ht="18.75" customHeight="1">
      <c r="C210" s="212"/>
      <c r="D210" s="389" t="s">
        <v>597</v>
      </c>
      <c r="E210" s="389"/>
      <c r="F210" s="389"/>
      <c r="G210" s="389"/>
      <c r="H210" s="389"/>
      <c r="I210" s="389"/>
      <c r="J210" s="389"/>
      <c r="K210" s="426" t="s">
        <v>598</v>
      </c>
      <c r="L210" s="426"/>
      <c r="M210" s="426"/>
      <c r="N210" s="392" t="s">
        <v>476</v>
      </c>
      <c r="O210" s="422">
        <f>Calcu!G40</f>
        <v>0.5</v>
      </c>
      <c r="P210" s="422"/>
      <c r="Q210" s="255" t="s">
        <v>530</v>
      </c>
      <c r="R210" s="256"/>
      <c r="S210" s="392" t="s">
        <v>475</v>
      </c>
      <c r="T210" s="407">
        <f>O210/SQRT(3)</f>
        <v>0.28867513459481292</v>
      </c>
      <c r="U210" s="407"/>
      <c r="V210" s="407"/>
      <c r="W210" s="409" t="str">
        <f>Q210</f>
        <v>℃</v>
      </c>
      <c r="X210" s="409"/>
      <c r="Y210" s="225"/>
      <c r="Z210" s="264"/>
      <c r="AA210" s="265"/>
      <c r="AB210" s="265"/>
      <c r="BA210" s="232"/>
      <c r="BB210" s="232"/>
      <c r="BC210" s="232"/>
      <c r="BD210" s="232"/>
      <c r="BE210" s="232"/>
      <c r="BF210" s="232"/>
      <c r="BG210" s="232"/>
      <c r="BH210" s="232"/>
      <c r="BI210" s="232"/>
      <c r="BJ210" s="232"/>
      <c r="BK210" s="216"/>
      <c r="BL210" s="216"/>
      <c r="BM210" s="216"/>
      <c r="BN210" s="216"/>
      <c r="BO210" s="216"/>
      <c r="BP210" s="216"/>
      <c r="BQ210" s="216"/>
      <c r="BR210" s="216"/>
      <c r="BS210" s="216"/>
      <c r="BT210" s="216"/>
    </row>
    <row r="211" spans="3:75" s="247" customFormat="1" ht="18.75" customHeight="1">
      <c r="C211" s="212"/>
      <c r="D211" s="389"/>
      <c r="E211" s="389"/>
      <c r="F211" s="389"/>
      <c r="G211" s="389"/>
      <c r="H211" s="389"/>
      <c r="I211" s="389"/>
      <c r="J211" s="389"/>
      <c r="K211" s="426"/>
      <c r="L211" s="426"/>
      <c r="M211" s="426"/>
      <c r="N211" s="392"/>
      <c r="O211" s="212"/>
      <c r="P211" s="212"/>
      <c r="Q211" s="212"/>
      <c r="R211" s="212"/>
      <c r="S211" s="392"/>
      <c r="T211" s="407"/>
      <c r="U211" s="407"/>
      <c r="V211" s="407"/>
      <c r="W211" s="409"/>
      <c r="X211" s="409"/>
      <c r="Y211" s="225"/>
      <c r="Z211" s="264"/>
      <c r="AA211" s="265"/>
      <c r="AB211" s="265"/>
      <c r="BA211" s="232"/>
      <c r="BB211" s="232"/>
      <c r="BC211" s="232"/>
      <c r="BD211" s="232"/>
      <c r="BE211" s="232"/>
      <c r="BF211" s="232"/>
      <c r="BG211" s="232"/>
      <c r="BH211" s="232"/>
      <c r="BI211" s="232"/>
      <c r="BJ211" s="232"/>
      <c r="BK211" s="216"/>
      <c r="BL211" s="216"/>
      <c r="BM211" s="216"/>
      <c r="BN211" s="216"/>
      <c r="BO211" s="216"/>
      <c r="BP211" s="216"/>
      <c r="BQ211" s="216"/>
      <c r="BR211" s="216"/>
      <c r="BS211" s="216"/>
      <c r="BT211" s="216"/>
    </row>
    <row r="212" spans="3:75" s="247" customFormat="1" ht="18.75" customHeight="1">
      <c r="C212" s="212"/>
      <c r="D212" s="232" t="s">
        <v>599</v>
      </c>
      <c r="E212" s="232"/>
      <c r="F212" s="232"/>
      <c r="G212" s="232"/>
      <c r="H212" s="232"/>
      <c r="I212" s="232"/>
      <c r="J212" s="406" t="str">
        <f>AB89</f>
        <v>직사각형</v>
      </c>
      <c r="K212" s="406"/>
      <c r="L212" s="406"/>
      <c r="M212" s="406"/>
      <c r="N212" s="406"/>
      <c r="O212" s="406"/>
      <c r="P212" s="406"/>
      <c r="Q212" s="406"/>
      <c r="R212" s="232"/>
      <c r="S212" s="232"/>
      <c r="T212" s="232"/>
      <c r="U212" s="232"/>
      <c r="V212" s="232"/>
      <c r="W212" s="232"/>
      <c r="X212" s="232"/>
      <c r="Y212" s="232"/>
      <c r="Z212" s="232"/>
      <c r="AA212" s="212"/>
      <c r="AB212" s="212"/>
      <c r="AC212" s="212"/>
      <c r="AD212" s="212"/>
      <c r="AE212" s="212"/>
      <c r="AF212" s="212"/>
      <c r="AG212" s="212"/>
      <c r="AH212" s="212"/>
      <c r="AI212" s="232"/>
      <c r="AJ212" s="232"/>
      <c r="AK212" s="232"/>
      <c r="AL212" s="232"/>
      <c r="AM212" s="232"/>
      <c r="AN212" s="232"/>
      <c r="AO212" s="232"/>
      <c r="AP212" s="232"/>
      <c r="AQ212" s="232"/>
      <c r="AR212" s="232"/>
      <c r="AS212" s="232"/>
      <c r="AT212" s="232"/>
      <c r="AU212" s="232"/>
      <c r="AV212" s="232"/>
      <c r="AW212" s="232"/>
      <c r="AX212" s="232"/>
      <c r="AY212" s="232"/>
      <c r="AZ212" s="232"/>
      <c r="BA212" s="232"/>
      <c r="BB212" s="232"/>
      <c r="BC212" s="232"/>
      <c r="BD212" s="232"/>
      <c r="BE212" s="232"/>
      <c r="BF212" s="232"/>
      <c r="BG212" s="212"/>
      <c r="BH212" s="232"/>
      <c r="BI212" s="216"/>
      <c r="BJ212" s="216"/>
      <c r="BK212" s="216"/>
      <c r="BL212" s="216"/>
      <c r="BM212" s="216"/>
      <c r="BN212" s="216"/>
      <c r="BO212" s="216"/>
      <c r="BP212" s="216"/>
      <c r="BQ212" s="216"/>
      <c r="BR212" s="216"/>
      <c r="BS212" s="216"/>
      <c r="BT212" s="216"/>
      <c r="BU212" s="216"/>
      <c r="BV212" s="216"/>
      <c r="BW212" s="216"/>
    </row>
    <row r="213" spans="3:75" s="247" customFormat="1" ht="18.75" customHeight="1">
      <c r="C213" s="212"/>
      <c r="D213" s="389" t="s">
        <v>600</v>
      </c>
      <c r="E213" s="389"/>
      <c r="F213" s="389"/>
      <c r="G213" s="389"/>
      <c r="H213" s="389"/>
      <c r="I213" s="389"/>
      <c r="J213" s="232"/>
      <c r="K213" s="232"/>
      <c r="L213" s="232"/>
      <c r="M213" s="232"/>
      <c r="N213" s="232"/>
      <c r="O213" s="408">
        <f>AG89</f>
        <v>1</v>
      </c>
      <c r="P213" s="408"/>
      <c r="Q213" s="232"/>
      <c r="R213" s="232"/>
      <c r="S213" s="232"/>
      <c r="T213" s="232"/>
      <c r="U213" s="232"/>
      <c r="V213" s="232"/>
      <c r="W213" s="216"/>
      <c r="X213" s="216"/>
      <c r="Y213" s="216"/>
      <c r="Z213" s="216"/>
      <c r="AA213" s="216"/>
      <c r="AB213" s="216"/>
    </row>
    <row r="214" spans="3:75" s="247" customFormat="1" ht="18.75" customHeight="1">
      <c r="C214" s="212"/>
      <c r="D214" s="389"/>
      <c r="E214" s="389"/>
      <c r="F214" s="389"/>
      <c r="G214" s="389"/>
      <c r="H214" s="389"/>
      <c r="I214" s="389"/>
      <c r="J214" s="232"/>
      <c r="K214" s="232"/>
      <c r="L214" s="232"/>
      <c r="M214" s="232"/>
      <c r="N214" s="232"/>
      <c r="O214" s="408"/>
      <c r="P214" s="408"/>
      <c r="Q214" s="232"/>
      <c r="R214" s="232"/>
      <c r="S214" s="232"/>
      <c r="T214" s="232"/>
      <c r="U214" s="232"/>
      <c r="V214" s="232"/>
      <c r="W214" s="216"/>
      <c r="X214" s="216"/>
      <c r="Y214" s="216"/>
      <c r="Z214" s="216"/>
      <c r="AA214" s="216"/>
      <c r="AB214" s="216"/>
    </row>
    <row r="215" spans="3:75" s="247" customFormat="1" ht="18.75" customHeight="1">
      <c r="C215" s="212"/>
      <c r="D215" s="232" t="s">
        <v>601</v>
      </c>
      <c r="E215" s="232"/>
      <c r="F215" s="232"/>
      <c r="G215" s="232"/>
      <c r="H215" s="232"/>
      <c r="I215" s="232"/>
      <c r="J215" s="232"/>
      <c r="K215" s="212"/>
      <c r="L215" s="212" t="s">
        <v>519</v>
      </c>
      <c r="M215" s="392">
        <f>O213</f>
        <v>1</v>
      </c>
      <c r="N215" s="392"/>
      <c r="O215" s="212" t="s">
        <v>483</v>
      </c>
      <c r="P215" s="407">
        <f>T210</f>
        <v>0.28867513459481292</v>
      </c>
      <c r="Q215" s="409"/>
      <c r="R215" s="409"/>
      <c r="S215" s="410" t="str">
        <f>W210</f>
        <v>℃</v>
      </c>
      <c r="T215" s="409"/>
      <c r="U215" s="234" t="s">
        <v>482</v>
      </c>
      <c r="V215" s="244" t="s">
        <v>476</v>
      </c>
      <c r="W215" s="407">
        <f>M215*P215</f>
        <v>0.28867513459481292</v>
      </c>
      <c r="X215" s="407"/>
      <c r="Y215" s="407"/>
      <c r="Z215" s="240" t="str">
        <f>S215</f>
        <v>℃</v>
      </c>
      <c r="AA215" s="55"/>
      <c r="AB215" s="225"/>
      <c r="AC215" s="266"/>
      <c r="AD215" s="251"/>
      <c r="AE215" s="212"/>
      <c r="AF215" s="233"/>
      <c r="AG215" s="212"/>
      <c r="AH215" s="212"/>
      <c r="AI215" s="212"/>
      <c r="AJ215" s="212"/>
      <c r="AK215" s="212"/>
      <c r="AL215" s="212"/>
      <c r="AM215" s="212"/>
      <c r="AN215" s="212"/>
      <c r="AO215" s="212"/>
      <c r="AP215" s="212"/>
      <c r="AR215" s="232"/>
      <c r="AS215" s="232"/>
      <c r="AT215" s="232"/>
      <c r="AU215" s="232"/>
      <c r="AV215" s="232"/>
      <c r="AW215" s="232"/>
      <c r="AX215" s="232"/>
      <c r="AY215" s="232"/>
      <c r="AZ215" s="232"/>
      <c r="BA215" s="232"/>
      <c r="BB215" s="232"/>
      <c r="BC215" s="232"/>
      <c r="BD215" s="232"/>
      <c r="BE215" s="232"/>
      <c r="BF215" s="232"/>
      <c r="BG215" s="232"/>
      <c r="BH215" s="232"/>
      <c r="BI215" s="216"/>
      <c r="BJ215" s="216"/>
      <c r="BK215" s="216"/>
      <c r="BL215" s="216"/>
    </row>
    <row r="216" spans="3:75" s="247" customFormat="1" ht="18.75" customHeight="1">
      <c r="C216" s="212"/>
      <c r="D216" s="389" t="s">
        <v>602</v>
      </c>
      <c r="E216" s="389"/>
      <c r="F216" s="389"/>
      <c r="G216" s="389"/>
      <c r="H216" s="389"/>
      <c r="I216" s="232"/>
      <c r="K216" s="232"/>
      <c r="L216" s="232"/>
      <c r="M216" s="232"/>
      <c r="N216" s="232"/>
      <c r="O216" s="232"/>
      <c r="P216" s="232"/>
      <c r="Q216" s="232"/>
      <c r="R216" s="232"/>
      <c r="S216" s="251"/>
      <c r="T216" s="232"/>
      <c r="U216" s="232"/>
      <c r="V216" s="232"/>
      <c r="X216" s="213" t="s">
        <v>603</v>
      </c>
      <c r="Y216" s="232"/>
      <c r="Z216" s="232"/>
      <c r="AA216" s="232"/>
      <c r="AB216" s="232"/>
      <c r="AC216" s="232"/>
      <c r="AD216" s="232"/>
      <c r="AE216" s="232"/>
      <c r="AF216" s="212"/>
      <c r="AG216" s="212"/>
      <c r="AH216" s="212"/>
      <c r="AI216" s="212"/>
      <c r="AJ216" s="212"/>
      <c r="AK216" s="212"/>
      <c r="AL216" s="212"/>
      <c r="AM216" s="212"/>
      <c r="AN216" s="212"/>
      <c r="AO216" s="212"/>
      <c r="AP216" s="212"/>
      <c r="AQ216" s="212"/>
      <c r="AR216" s="212"/>
      <c r="AS216" s="212"/>
      <c r="AT216" s="212"/>
      <c r="AU216" s="212"/>
      <c r="AV216" s="212"/>
      <c r="AW216" s="212"/>
      <c r="AX216" s="212"/>
      <c r="AY216" s="212"/>
      <c r="AZ216" s="212"/>
      <c r="BA216" s="212"/>
      <c r="BB216" s="212"/>
      <c r="BC216" s="212"/>
      <c r="BD216" s="212"/>
      <c r="BE216" s="212"/>
      <c r="BF216" s="212"/>
      <c r="BG216" s="212"/>
      <c r="BH216" s="212"/>
      <c r="BI216" s="216"/>
      <c r="BJ216" s="216"/>
      <c r="BK216" s="216"/>
      <c r="BL216" s="216"/>
      <c r="BQ216" s="216"/>
      <c r="BT216" s="216"/>
      <c r="BU216" s="216"/>
      <c r="BV216" s="216"/>
    </row>
    <row r="217" spans="3:75" s="247" customFormat="1" ht="18.75" customHeight="1">
      <c r="C217" s="212"/>
      <c r="D217" s="389"/>
      <c r="E217" s="389"/>
      <c r="F217" s="389"/>
      <c r="G217" s="389"/>
      <c r="H217" s="389"/>
      <c r="I217" s="232"/>
      <c r="J217" s="232"/>
      <c r="K217" s="232"/>
      <c r="L217" s="232"/>
      <c r="M217" s="232"/>
      <c r="N217" s="232"/>
      <c r="O217" s="232"/>
      <c r="P217" s="232"/>
      <c r="Q217" s="232"/>
      <c r="R217" s="232"/>
      <c r="S217" s="251"/>
      <c r="T217" s="232"/>
      <c r="U217" s="232"/>
      <c r="V217" s="232"/>
      <c r="W217" s="232"/>
      <c r="X217" s="232"/>
      <c r="Y217" s="232"/>
      <c r="Z217" s="232"/>
      <c r="AA217" s="232"/>
      <c r="AB217" s="232"/>
      <c r="AC217" s="232"/>
      <c r="AD217" s="212"/>
      <c r="AE217" s="212"/>
      <c r="AF217" s="212"/>
      <c r="AG217" s="212"/>
      <c r="AH217" s="212"/>
      <c r="AI217" s="212"/>
      <c r="AJ217" s="212"/>
      <c r="AK217" s="212"/>
      <c r="AL217" s="212"/>
      <c r="AM217" s="212"/>
      <c r="AN217" s="212"/>
      <c r="AO217" s="212"/>
      <c r="AP217" s="212"/>
      <c r="AQ217" s="212"/>
      <c r="AR217" s="212"/>
      <c r="AS217" s="212"/>
      <c r="AT217" s="212"/>
      <c r="AU217" s="212"/>
      <c r="AV217" s="212"/>
      <c r="AW217" s="212"/>
      <c r="AX217" s="212"/>
      <c r="AY217" s="212"/>
      <c r="AZ217" s="212"/>
      <c r="BA217" s="212"/>
      <c r="BB217" s="212"/>
      <c r="BC217" s="212"/>
      <c r="BD217" s="212"/>
      <c r="BE217" s="212"/>
      <c r="BF217" s="212"/>
      <c r="BG217" s="212"/>
      <c r="BH217" s="212"/>
      <c r="BI217" s="216"/>
      <c r="BJ217" s="216"/>
      <c r="BK217" s="216"/>
      <c r="BL217" s="216"/>
      <c r="BQ217" s="216"/>
      <c r="BT217" s="216"/>
      <c r="BU217" s="216"/>
      <c r="BV217" s="216"/>
    </row>
    <row r="218" spans="3:75" s="247" customFormat="1" ht="18.75" customHeight="1">
      <c r="C218" s="212"/>
      <c r="D218" s="232"/>
      <c r="E218" s="232"/>
      <c r="F218" s="232"/>
      <c r="G218" s="232"/>
      <c r="H218" s="212"/>
      <c r="I218" s="232"/>
      <c r="J218" s="232"/>
      <c r="K218" s="232"/>
      <c r="L218" s="232"/>
      <c r="M218" s="232"/>
      <c r="N218" s="232"/>
      <c r="O218" s="232"/>
      <c r="P218" s="232"/>
      <c r="Q218" s="232"/>
      <c r="R218" s="232"/>
      <c r="S218" s="232"/>
      <c r="T218" s="232"/>
      <c r="U218" s="232"/>
      <c r="V218" s="232"/>
      <c r="W218" s="232"/>
      <c r="X218" s="232"/>
      <c r="Y218" s="212"/>
      <c r="Z218" s="212"/>
      <c r="AA218" s="212"/>
      <c r="AB218" s="212"/>
      <c r="AC218" s="212"/>
      <c r="AD218" s="212"/>
      <c r="AE218" s="212"/>
      <c r="AF218" s="212"/>
      <c r="AG218" s="212"/>
      <c r="AH218" s="212"/>
      <c r="AI218" s="212"/>
      <c r="AJ218" s="212"/>
      <c r="AK218" s="212"/>
      <c r="AL218" s="212"/>
      <c r="AM218" s="212"/>
      <c r="AN218" s="212"/>
      <c r="AO218" s="212"/>
      <c r="AP218" s="212"/>
      <c r="AQ218" s="212"/>
      <c r="AR218" s="212"/>
      <c r="AS218" s="212"/>
      <c r="AT218" s="212"/>
      <c r="AU218" s="212"/>
      <c r="AV218" s="212"/>
      <c r="AW218" s="212"/>
      <c r="AX218" s="212"/>
      <c r="AY218" s="212"/>
      <c r="AZ218" s="212"/>
      <c r="BA218" s="212"/>
      <c r="BB218" s="212"/>
      <c r="BC218" s="212"/>
      <c r="BD218" s="212"/>
      <c r="BE218" s="212"/>
      <c r="BF218" s="212"/>
      <c r="BG218" s="212"/>
      <c r="BH218" s="212"/>
    </row>
    <row r="219" spans="3:75" s="247" customFormat="1" ht="18.75" customHeight="1">
      <c r="C219" s="260" t="s">
        <v>604</v>
      </c>
      <c r="D219" s="211" t="s">
        <v>605</v>
      </c>
      <c r="E219" s="232"/>
      <c r="F219" s="232"/>
      <c r="G219" s="232"/>
      <c r="H219" s="232"/>
      <c r="I219" s="232"/>
      <c r="J219" s="232"/>
      <c r="K219" s="232"/>
      <c r="L219" s="232"/>
      <c r="M219" s="232"/>
      <c r="N219" s="232"/>
      <c r="P219" s="232"/>
      <c r="R219" s="232"/>
      <c r="S219" s="232"/>
      <c r="T219" s="232"/>
      <c r="U219" s="232"/>
      <c r="V219" s="232"/>
      <c r="W219" s="232"/>
      <c r="X219" s="232"/>
      <c r="Y219" s="232"/>
      <c r="Z219" s="232"/>
      <c r="AA219" s="232"/>
      <c r="AB219" s="263" t="s">
        <v>606</v>
      </c>
      <c r="AC219" s="232"/>
      <c r="AD219" s="232"/>
      <c r="AE219" s="232"/>
      <c r="AF219" s="232"/>
      <c r="AG219" s="232"/>
      <c r="AH219" s="232"/>
      <c r="AL219" s="232"/>
      <c r="AM219" s="232"/>
      <c r="AN219" s="232"/>
      <c r="AO219" s="232"/>
      <c r="AP219" s="232"/>
      <c r="AQ219" s="232"/>
      <c r="AR219" s="232"/>
      <c r="AS219" s="232"/>
      <c r="AT219" s="232"/>
      <c r="AU219" s="232"/>
      <c r="AV219" s="232"/>
      <c r="AW219" s="232"/>
      <c r="AX219" s="232"/>
      <c r="AY219" s="232"/>
      <c r="AZ219" s="232"/>
      <c r="BA219" s="232"/>
      <c r="BB219" s="232"/>
      <c r="BC219" s="232"/>
      <c r="BD219" s="232"/>
      <c r="BE219" s="232"/>
      <c r="BF219" s="232"/>
      <c r="BG219" s="232"/>
      <c r="BH219" s="216"/>
      <c r="BI219" s="216"/>
      <c r="BJ219" s="216"/>
      <c r="BK219" s="216"/>
      <c r="BL219" s="216"/>
      <c r="BM219" s="216"/>
      <c r="BN219" s="216"/>
    </row>
    <row r="220" spans="3:75" s="247" customFormat="1" ht="18.75" customHeight="1">
      <c r="C220" s="211"/>
      <c r="D220" s="232" t="str">
        <f>"※ 정밀 정반의 측정 온도와 측정기의 온도 차이가 과거의 측정 경험상 "&amp;O222&amp;" ℃이내에서 일치한다고 추정하여,"</f>
        <v>※ 정밀 정반의 측정 온도와 측정기의 온도 차이가 과거의 측정 경험상 0.3 ℃이내에서 일치한다고 추정하여,</v>
      </c>
      <c r="E220" s="232"/>
      <c r="F220" s="232"/>
      <c r="G220" s="232"/>
      <c r="H220" s="232"/>
      <c r="I220" s="232"/>
      <c r="J220" s="232"/>
      <c r="K220" s="232"/>
      <c r="L220" s="232"/>
      <c r="M220" s="232"/>
      <c r="N220" s="232"/>
      <c r="O220" s="232"/>
      <c r="P220" s="232"/>
      <c r="Q220" s="232"/>
      <c r="R220" s="232"/>
      <c r="S220" s="232"/>
      <c r="T220" s="232"/>
      <c r="U220" s="232"/>
      <c r="V220" s="232"/>
      <c r="W220" s="232"/>
      <c r="X220" s="232"/>
      <c r="Y220" s="232"/>
      <c r="Z220" s="232"/>
      <c r="AA220" s="232"/>
      <c r="AB220" s="232"/>
      <c r="AC220" s="232"/>
      <c r="AD220" s="232"/>
      <c r="AE220" s="232"/>
      <c r="AF220" s="232"/>
      <c r="AG220" s="232"/>
      <c r="AH220" s="232"/>
      <c r="AI220" s="232"/>
      <c r="AJ220" s="232"/>
      <c r="AK220" s="232"/>
      <c r="AL220" s="232"/>
      <c r="AM220" s="232"/>
      <c r="AN220" s="232"/>
      <c r="AO220" s="232"/>
      <c r="AP220" s="232"/>
      <c r="AQ220" s="232"/>
      <c r="AR220" s="232"/>
      <c r="AS220" s="232"/>
      <c r="AT220" s="232"/>
      <c r="AU220" s="232"/>
      <c r="AV220" s="232"/>
      <c r="AW220" s="232"/>
      <c r="AX220" s="232"/>
      <c r="AY220" s="232"/>
      <c r="AZ220" s="232"/>
      <c r="BA220" s="232"/>
      <c r="BB220" s="232"/>
      <c r="BC220" s="232"/>
      <c r="BD220" s="232"/>
      <c r="BE220" s="232"/>
      <c r="BF220" s="232"/>
      <c r="BG220" s="232"/>
      <c r="BH220" s="232"/>
      <c r="BI220" s="216"/>
      <c r="BJ220" s="216"/>
      <c r="BK220" s="216"/>
      <c r="BL220" s="216"/>
      <c r="BM220" s="216"/>
      <c r="BN220" s="216"/>
      <c r="BO220" s="216"/>
    </row>
    <row r="221" spans="3:75" s="247" customFormat="1" ht="18.75" customHeight="1">
      <c r="C221" s="211"/>
      <c r="D221" s="232"/>
      <c r="E221" s="232" t="s">
        <v>607</v>
      </c>
      <c r="F221" s="232"/>
      <c r="G221" s="232"/>
      <c r="H221" s="232"/>
      <c r="I221" s="232"/>
      <c r="J221" s="232"/>
      <c r="K221" s="232"/>
      <c r="L221" s="232"/>
      <c r="M221" s="232"/>
      <c r="N221" s="232"/>
      <c r="O221" s="232"/>
      <c r="P221" s="232"/>
      <c r="Q221" s="232"/>
      <c r="R221" s="232"/>
      <c r="S221" s="232"/>
      <c r="T221" s="232"/>
      <c r="U221" s="232"/>
      <c r="V221" s="232"/>
      <c r="W221" s="232"/>
      <c r="X221" s="232"/>
      <c r="Y221" s="232"/>
      <c r="Z221" s="232"/>
      <c r="AA221" s="232"/>
      <c r="AB221" s="232"/>
      <c r="AC221" s="232"/>
      <c r="AD221" s="232"/>
      <c r="AE221" s="232"/>
      <c r="AF221" s="232"/>
      <c r="AG221" s="232"/>
      <c r="AH221" s="232"/>
      <c r="AI221" s="232"/>
      <c r="AJ221" s="232"/>
      <c r="AK221" s="232"/>
      <c r="AL221" s="232"/>
      <c r="AM221" s="232"/>
      <c r="AN221" s="232"/>
      <c r="AO221" s="232"/>
      <c r="AP221" s="232"/>
      <c r="AQ221" s="232"/>
      <c r="AR221" s="232"/>
      <c r="AS221" s="232"/>
      <c r="AT221" s="232"/>
      <c r="AU221" s="232"/>
      <c r="AV221" s="232"/>
      <c r="AW221" s="232"/>
      <c r="AX221" s="232"/>
      <c r="AY221" s="232"/>
      <c r="AZ221" s="232"/>
      <c r="BA221" s="232"/>
      <c r="BB221" s="232"/>
      <c r="BC221" s="232"/>
      <c r="BD221" s="232"/>
      <c r="BE221" s="232"/>
      <c r="BF221" s="232"/>
      <c r="BG221" s="232"/>
      <c r="BH221" s="232"/>
      <c r="BI221" s="216"/>
      <c r="BJ221" s="216"/>
      <c r="BK221" s="216"/>
      <c r="BL221" s="216"/>
      <c r="BM221" s="216"/>
      <c r="BN221" s="216"/>
      <c r="BO221" s="216"/>
    </row>
    <row r="222" spans="3:75" s="247" customFormat="1" ht="18.75" customHeight="1">
      <c r="C222" s="212"/>
      <c r="D222" s="389" t="s">
        <v>608</v>
      </c>
      <c r="E222" s="389"/>
      <c r="F222" s="389"/>
      <c r="G222" s="389"/>
      <c r="H222" s="389"/>
      <c r="I222" s="389"/>
      <c r="J222" s="389"/>
      <c r="K222" s="426" t="s">
        <v>609</v>
      </c>
      <c r="L222" s="426"/>
      <c r="M222" s="426"/>
      <c r="N222" s="392" t="s">
        <v>476</v>
      </c>
      <c r="O222" s="422">
        <f>Calcu!G41</f>
        <v>0.3</v>
      </c>
      <c r="P222" s="422"/>
      <c r="Q222" s="255" t="s">
        <v>530</v>
      </c>
      <c r="R222" s="256"/>
      <c r="S222" s="392" t="s">
        <v>475</v>
      </c>
      <c r="T222" s="407">
        <f>O222/SQRT(3)</f>
        <v>0.17320508075688773</v>
      </c>
      <c r="U222" s="407"/>
      <c r="V222" s="407"/>
      <c r="W222" s="409" t="str">
        <f>Q222</f>
        <v>℃</v>
      </c>
      <c r="X222" s="409"/>
      <c r="Y222" s="225"/>
      <c r="Z222" s="264"/>
      <c r="AA222" s="265"/>
      <c r="AB222" s="265"/>
      <c r="BA222" s="232"/>
      <c r="BB222" s="232"/>
      <c r="BC222" s="232"/>
      <c r="BD222" s="232"/>
      <c r="BE222" s="232"/>
      <c r="BF222" s="232"/>
      <c r="BG222" s="232"/>
      <c r="BH222" s="232"/>
      <c r="BI222" s="232"/>
      <c r="BJ222" s="232"/>
      <c r="BK222" s="216"/>
      <c r="BL222" s="216"/>
      <c r="BM222" s="216"/>
      <c r="BN222" s="216"/>
      <c r="BO222" s="216"/>
      <c r="BP222" s="216"/>
      <c r="BQ222" s="216"/>
      <c r="BR222" s="216"/>
      <c r="BS222" s="216"/>
      <c r="BT222" s="216"/>
    </row>
    <row r="223" spans="3:75" s="247" customFormat="1" ht="18.75" customHeight="1">
      <c r="C223" s="212"/>
      <c r="D223" s="389"/>
      <c r="E223" s="389"/>
      <c r="F223" s="389"/>
      <c r="G223" s="389"/>
      <c r="H223" s="389"/>
      <c r="I223" s="389"/>
      <c r="J223" s="389"/>
      <c r="K223" s="426"/>
      <c r="L223" s="426"/>
      <c r="M223" s="426"/>
      <c r="N223" s="392"/>
      <c r="O223" s="212"/>
      <c r="P223" s="212"/>
      <c r="Q223" s="212"/>
      <c r="R223" s="212"/>
      <c r="S223" s="392"/>
      <c r="T223" s="407"/>
      <c r="U223" s="407"/>
      <c r="V223" s="407"/>
      <c r="W223" s="409"/>
      <c r="X223" s="409"/>
      <c r="Y223" s="225"/>
      <c r="Z223" s="264"/>
      <c r="AA223" s="265"/>
      <c r="AB223" s="265"/>
      <c r="BA223" s="232"/>
      <c r="BB223" s="232"/>
      <c r="BC223" s="232"/>
      <c r="BD223" s="232"/>
      <c r="BE223" s="232"/>
      <c r="BF223" s="232"/>
      <c r="BG223" s="232"/>
      <c r="BH223" s="232"/>
      <c r="BI223" s="232"/>
      <c r="BJ223" s="232"/>
      <c r="BK223" s="216"/>
      <c r="BL223" s="216"/>
      <c r="BM223" s="216"/>
      <c r="BN223" s="216"/>
      <c r="BO223" s="216"/>
      <c r="BP223" s="216"/>
      <c r="BQ223" s="216"/>
      <c r="BR223" s="216"/>
      <c r="BS223" s="216"/>
      <c r="BT223" s="216"/>
    </row>
    <row r="224" spans="3:75" s="247" customFormat="1" ht="18.75" customHeight="1">
      <c r="C224" s="212"/>
      <c r="D224" s="232" t="s">
        <v>610</v>
      </c>
      <c r="E224" s="232"/>
      <c r="F224" s="232"/>
      <c r="G224" s="232"/>
      <c r="H224" s="232"/>
      <c r="I224" s="232"/>
      <c r="J224" s="406" t="str">
        <f>AB90</f>
        <v>직사각형</v>
      </c>
      <c r="K224" s="406"/>
      <c r="L224" s="406"/>
      <c r="M224" s="406"/>
      <c r="N224" s="406"/>
      <c r="O224" s="406"/>
      <c r="P224" s="406"/>
      <c r="Q224" s="406"/>
      <c r="R224" s="232"/>
      <c r="S224" s="232"/>
      <c r="T224" s="232"/>
      <c r="U224" s="232"/>
      <c r="V224" s="232"/>
      <c r="W224" s="232"/>
      <c r="X224" s="232"/>
      <c r="Y224" s="232"/>
      <c r="Z224" s="232"/>
      <c r="AA224" s="212"/>
      <c r="AB224" s="212"/>
      <c r="AC224" s="212"/>
      <c r="AD224" s="212"/>
      <c r="AE224" s="212"/>
      <c r="AF224" s="212"/>
      <c r="AG224" s="212"/>
      <c r="AH224" s="212"/>
      <c r="AI224" s="232"/>
      <c r="AJ224" s="232"/>
      <c r="AK224" s="232"/>
      <c r="AL224" s="232"/>
      <c r="AM224" s="232"/>
      <c r="AN224" s="232"/>
      <c r="AO224" s="232"/>
      <c r="AP224" s="232"/>
      <c r="AQ224" s="232"/>
      <c r="AR224" s="232"/>
      <c r="AS224" s="232"/>
      <c r="AT224" s="232"/>
      <c r="AU224" s="232"/>
      <c r="AV224" s="232"/>
      <c r="AW224" s="232"/>
      <c r="AX224" s="232"/>
      <c r="AY224" s="232"/>
      <c r="AZ224" s="232"/>
      <c r="BA224" s="232"/>
      <c r="BB224" s="232"/>
      <c r="BC224" s="232"/>
      <c r="BD224" s="232"/>
      <c r="BE224" s="232"/>
      <c r="BF224" s="232"/>
      <c r="BG224" s="212"/>
      <c r="BH224" s="232"/>
      <c r="BI224" s="216"/>
      <c r="BJ224" s="216"/>
      <c r="BK224" s="216"/>
      <c r="BL224" s="216"/>
      <c r="BM224" s="216"/>
      <c r="BN224" s="216"/>
      <c r="BO224" s="216"/>
      <c r="BP224" s="216"/>
      <c r="BQ224" s="216"/>
      <c r="BR224" s="216"/>
      <c r="BS224" s="216"/>
      <c r="BT224" s="216"/>
      <c r="BU224" s="216"/>
      <c r="BV224" s="216"/>
      <c r="BW224" s="216"/>
    </row>
    <row r="225" spans="2:74" s="247" customFormat="1" ht="18.75" customHeight="1">
      <c r="C225" s="212"/>
      <c r="D225" s="389" t="s">
        <v>611</v>
      </c>
      <c r="E225" s="389"/>
      <c r="F225" s="389"/>
      <c r="G225" s="389"/>
      <c r="H225" s="389"/>
      <c r="I225" s="389"/>
      <c r="J225" s="232"/>
      <c r="K225" s="232"/>
      <c r="L225" s="232"/>
      <c r="M225" s="232"/>
      <c r="N225" s="232"/>
      <c r="O225" s="408">
        <f>AG90</f>
        <v>1</v>
      </c>
      <c r="P225" s="408"/>
      <c r="Q225" s="232"/>
      <c r="R225" s="232"/>
      <c r="S225" s="232"/>
      <c r="T225" s="232"/>
      <c r="U225" s="232"/>
      <c r="V225" s="232"/>
      <c r="W225" s="216"/>
      <c r="X225" s="216"/>
      <c r="Y225" s="216"/>
      <c r="Z225" s="216"/>
      <c r="AA225" s="216"/>
      <c r="AB225" s="216"/>
    </row>
    <row r="226" spans="2:74" s="247" customFormat="1" ht="18.75" customHeight="1">
      <c r="C226" s="212"/>
      <c r="D226" s="389"/>
      <c r="E226" s="389"/>
      <c r="F226" s="389"/>
      <c r="G226" s="389"/>
      <c r="H226" s="389"/>
      <c r="I226" s="389"/>
      <c r="J226" s="232"/>
      <c r="K226" s="232"/>
      <c r="L226" s="232"/>
      <c r="M226" s="232"/>
      <c r="N226" s="232"/>
      <c r="O226" s="408"/>
      <c r="P226" s="408"/>
      <c r="Q226" s="232"/>
      <c r="R226" s="232"/>
      <c r="S226" s="232"/>
      <c r="T226" s="232"/>
      <c r="U226" s="232"/>
      <c r="V226" s="232"/>
      <c r="W226" s="216"/>
      <c r="X226" s="216"/>
      <c r="Y226" s="216"/>
      <c r="Z226" s="216"/>
      <c r="AA226" s="216"/>
      <c r="AB226" s="216"/>
    </row>
    <row r="227" spans="2:74" s="247" customFormat="1" ht="18.75" customHeight="1">
      <c r="C227" s="212"/>
      <c r="D227" s="232" t="s">
        <v>612</v>
      </c>
      <c r="E227" s="232"/>
      <c r="F227" s="232"/>
      <c r="G227" s="232"/>
      <c r="H227" s="232"/>
      <c r="I227" s="232"/>
      <c r="J227" s="232"/>
      <c r="K227" s="212"/>
      <c r="L227" s="212" t="s">
        <v>537</v>
      </c>
      <c r="M227" s="392">
        <f>O225</f>
        <v>1</v>
      </c>
      <c r="N227" s="392"/>
      <c r="O227" s="212" t="s">
        <v>502</v>
      </c>
      <c r="P227" s="407">
        <f>T222</f>
        <v>0.17320508075688773</v>
      </c>
      <c r="Q227" s="409"/>
      <c r="R227" s="409"/>
      <c r="S227" s="410" t="str">
        <f>W222</f>
        <v>℃</v>
      </c>
      <c r="T227" s="409"/>
      <c r="U227" s="234" t="s">
        <v>482</v>
      </c>
      <c r="V227" s="244" t="s">
        <v>475</v>
      </c>
      <c r="W227" s="407">
        <f>M227*P227</f>
        <v>0.17320508075688773</v>
      </c>
      <c r="X227" s="407"/>
      <c r="Y227" s="407"/>
      <c r="Z227" s="240" t="str">
        <f>S227</f>
        <v>℃</v>
      </c>
      <c r="AA227" s="55"/>
      <c r="AB227" s="225"/>
      <c r="AC227" s="266"/>
      <c r="AD227" s="251"/>
      <c r="AE227" s="212"/>
      <c r="AF227" s="233"/>
      <c r="AG227" s="212"/>
      <c r="AH227" s="212"/>
      <c r="AI227" s="212"/>
      <c r="AJ227" s="212"/>
      <c r="AK227" s="212"/>
      <c r="AL227" s="212"/>
      <c r="AM227" s="212"/>
      <c r="AN227" s="212"/>
      <c r="AO227" s="212"/>
      <c r="AP227" s="212"/>
      <c r="AR227" s="232"/>
      <c r="AS227" s="232"/>
      <c r="AT227" s="232"/>
      <c r="AU227" s="232"/>
      <c r="AV227" s="232"/>
      <c r="AW227" s="232"/>
      <c r="AX227" s="232"/>
      <c r="AY227" s="232"/>
      <c r="AZ227" s="232"/>
      <c r="BA227" s="232"/>
      <c r="BB227" s="232"/>
      <c r="BC227" s="232"/>
      <c r="BD227" s="232"/>
      <c r="BE227" s="232"/>
      <c r="BF227" s="232"/>
      <c r="BG227" s="232"/>
      <c r="BH227" s="232"/>
      <c r="BI227" s="216"/>
      <c r="BJ227" s="216"/>
      <c r="BK227" s="216"/>
      <c r="BL227" s="216"/>
    </row>
    <row r="228" spans="2:74" s="247" customFormat="1" ht="18.75" customHeight="1">
      <c r="C228" s="212"/>
      <c r="D228" s="389" t="s">
        <v>613</v>
      </c>
      <c r="E228" s="389"/>
      <c r="F228" s="389"/>
      <c r="G228" s="389"/>
      <c r="H228" s="389"/>
      <c r="I228" s="232"/>
      <c r="K228" s="232"/>
      <c r="L228" s="232"/>
      <c r="M228" s="232"/>
      <c r="N228" s="232"/>
      <c r="O228" s="232"/>
      <c r="P228" s="232"/>
      <c r="Q228" s="232"/>
      <c r="R228" s="232"/>
      <c r="S228" s="251"/>
      <c r="T228" s="232"/>
      <c r="U228" s="232"/>
      <c r="V228" s="232"/>
      <c r="X228" s="213" t="s">
        <v>603</v>
      </c>
      <c r="Y228" s="232"/>
      <c r="Z228" s="232"/>
      <c r="AA228" s="232"/>
      <c r="AB228" s="232"/>
      <c r="AC228" s="232"/>
      <c r="AD228" s="232"/>
      <c r="AE228" s="232"/>
      <c r="AF228" s="212"/>
      <c r="AG228" s="212"/>
      <c r="AH228" s="212"/>
      <c r="AI228" s="212"/>
      <c r="AJ228" s="212"/>
      <c r="AK228" s="212"/>
      <c r="AL228" s="212"/>
      <c r="AM228" s="212"/>
      <c r="AN228" s="212"/>
      <c r="AO228" s="212"/>
      <c r="AP228" s="212"/>
      <c r="AQ228" s="212"/>
      <c r="AR228" s="212"/>
      <c r="AS228" s="212"/>
      <c r="AT228" s="212"/>
      <c r="AU228" s="212"/>
      <c r="AV228" s="212"/>
      <c r="AW228" s="212"/>
      <c r="AX228" s="212"/>
      <c r="AY228" s="212"/>
      <c r="AZ228" s="212"/>
      <c r="BA228" s="212"/>
      <c r="BB228" s="212"/>
      <c r="BC228" s="212"/>
      <c r="BD228" s="212"/>
      <c r="BE228" s="212"/>
      <c r="BF228" s="212"/>
      <c r="BG228" s="212"/>
      <c r="BH228" s="212"/>
      <c r="BI228" s="216"/>
      <c r="BJ228" s="216"/>
      <c r="BK228" s="216"/>
      <c r="BL228" s="216"/>
      <c r="BQ228" s="216"/>
      <c r="BT228" s="216"/>
      <c r="BU228" s="216"/>
      <c r="BV228" s="216"/>
    </row>
    <row r="229" spans="2:74" s="247" customFormat="1" ht="18.75" customHeight="1">
      <c r="C229" s="212"/>
      <c r="D229" s="389"/>
      <c r="E229" s="389"/>
      <c r="F229" s="389"/>
      <c r="G229" s="389"/>
      <c r="H229" s="389"/>
      <c r="I229" s="232"/>
      <c r="J229" s="232"/>
      <c r="K229" s="232"/>
      <c r="L229" s="232"/>
      <c r="M229" s="232"/>
      <c r="N229" s="232"/>
      <c r="O229" s="232"/>
      <c r="P229" s="232"/>
      <c r="Q229" s="232"/>
      <c r="R229" s="232"/>
      <c r="S229" s="251"/>
      <c r="T229" s="232"/>
      <c r="U229" s="232"/>
      <c r="V229" s="232"/>
      <c r="W229" s="232"/>
      <c r="X229" s="232"/>
      <c r="Y229" s="232"/>
      <c r="Z229" s="232"/>
      <c r="AA229" s="232"/>
      <c r="AB229" s="232"/>
      <c r="AC229" s="232"/>
      <c r="AD229" s="212"/>
      <c r="AE229" s="212"/>
      <c r="AF229" s="212"/>
      <c r="AG229" s="212"/>
      <c r="AH229" s="212"/>
      <c r="AI229" s="212"/>
      <c r="AJ229" s="212"/>
      <c r="AK229" s="212"/>
      <c r="AL229" s="212"/>
      <c r="AM229" s="212"/>
      <c r="AN229" s="212"/>
      <c r="AO229" s="212"/>
      <c r="AP229" s="212"/>
      <c r="AQ229" s="212"/>
      <c r="AR229" s="212"/>
      <c r="AS229" s="212"/>
      <c r="AT229" s="212"/>
      <c r="AU229" s="212"/>
      <c r="AV229" s="212"/>
      <c r="AW229" s="212"/>
      <c r="AX229" s="212"/>
      <c r="AY229" s="212"/>
      <c r="AZ229" s="212"/>
      <c r="BA229" s="212"/>
      <c r="BB229" s="212"/>
      <c r="BC229" s="212"/>
      <c r="BD229" s="212"/>
      <c r="BE229" s="212"/>
      <c r="BF229" s="212"/>
      <c r="BG229" s="212"/>
      <c r="BH229" s="212"/>
      <c r="BI229" s="216"/>
      <c r="BJ229" s="216"/>
      <c r="BK229" s="216"/>
      <c r="BL229" s="216"/>
      <c r="BQ229" s="216"/>
      <c r="BT229" s="216"/>
      <c r="BU229" s="216"/>
      <c r="BV229" s="216"/>
    </row>
    <row r="230" spans="2:74" s="247" customFormat="1" ht="18.75" customHeight="1">
      <c r="C230" s="212"/>
      <c r="D230" s="232"/>
      <c r="E230" s="232"/>
      <c r="F230" s="232"/>
      <c r="G230" s="232"/>
      <c r="H230" s="212"/>
      <c r="I230" s="232"/>
      <c r="J230" s="232"/>
      <c r="K230" s="232"/>
      <c r="L230" s="232"/>
      <c r="M230" s="232"/>
      <c r="N230" s="232"/>
      <c r="O230" s="232"/>
      <c r="P230" s="232"/>
      <c r="Q230" s="232"/>
      <c r="R230" s="232"/>
      <c r="S230" s="232"/>
      <c r="T230" s="232"/>
      <c r="U230" s="232"/>
      <c r="V230" s="232"/>
      <c r="W230" s="232"/>
      <c r="X230" s="232"/>
      <c r="Y230" s="212"/>
      <c r="Z230" s="212"/>
      <c r="AA230" s="212"/>
      <c r="AB230" s="212"/>
      <c r="AC230" s="212"/>
      <c r="AD230" s="212"/>
      <c r="AE230" s="212"/>
      <c r="AF230" s="212"/>
      <c r="AG230" s="212"/>
      <c r="AH230" s="212"/>
      <c r="AI230" s="212"/>
      <c r="AJ230" s="212"/>
      <c r="AK230" s="212"/>
      <c r="AL230" s="212"/>
      <c r="AM230" s="212"/>
      <c r="AN230" s="212"/>
      <c r="AO230" s="212"/>
      <c r="AP230" s="212"/>
      <c r="AQ230" s="212"/>
      <c r="AR230" s="212"/>
      <c r="AS230" s="212"/>
      <c r="AT230" s="212"/>
      <c r="AU230" s="212"/>
      <c r="AV230" s="212"/>
      <c r="AW230" s="212"/>
      <c r="AX230" s="212"/>
      <c r="AY230" s="212"/>
      <c r="AZ230" s="212"/>
      <c r="BA230" s="212"/>
      <c r="BB230" s="212"/>
      <c r="BC230" s="212"/>
      <c r="BD230" s="212"/>
      <c r="BE230" s="212"/>
      <c r="BF230" s="212"/>
      <c r="BG230" s="212"/>
      <c r="BH230" s="212"/>
    </row>
    <row r="231" spans="2:74" s="247" customFormat="1" ht="18.75" customHeight="1">
      <c r="B231" s="260" t="s">
        <v>614</v>
      </c>
      <c r="C231" s="211" t="str">
        <f>$N$4&amp;"의 분해능에 의한 표준불확도,"</f>
        <v>전기 마이크로미터의 분해능에 의한 표준불확도,</v>
      </c>
      <c r="D231" s="232"/>
      <c r="E231" s="232"/>
      <c r="F231" s="232"/>
      <c r="G231" s="212"/>
      <c r="H231" s="232"/>
      <c r="I231" s="232"/>
      <c r="J231" s="232"/>
      <c r="K231" s="232"/>
      <c r="L231" s="232"/>
      <c r="M231" s="232"/>
      <c r="N231" s="232"/>
      <c r="O231" s="232"/>
      <c r="P231" s="232"/>
      <c r="Q231" s="232"/>
      <c r="R231" s="232"/>
      <c r="S231" s="232"/>
      <c r="T231" s="232"/>
      <c r="W231" s="258" t="s">
        <v>615</v>
      </c>
      <c r="X231" s="232"/>
      <c r="Y231" s="232"/>
      <c r="Z231" s="232"/>
      <c r="AA231" s="232"/>
      <c r="AB231" s="232"/>
      <c r="AC231" s="232"/>
      <c r="AD231" s="232"/>
      <c r="AE231" s="212"/>
      <c r="AF231" s="232"/>
      <c r="AG231" s="212"/>
      <c r="AH231" s="212"/>
      <c r="AI231" s="212"/>
      <c r="AJ231" s="212"/>
      <c r="AK231" s="212"/>
      <c r="AL231" s="212"/>
      <c r="AM231" s="212"/>
      <c r="AN231" s="212"/>
      <c r="AO231" s="212"/>
      <c r="AP231" s="212"/>
      <c r="AQ231" s="212"/>
      <c r="AR231" s="212"/>
      <c r="AS231" s="212"/>
      <c r="AT231" s="212"/>
      <c r="AU231" s="212"/>
      <c r="AV231" s="212"/>
      <c r="AW231" s="212"/>
      <c r="AX231" s="212"/>
      <c r="AY231" s="212"/>
      <c r="AZ231" s="212"/>
      <c r="BA231" s="212"/>
      <c r="BB231" s="212"/>
      <c r="BC231" s="212"/>
      <c r="BD231" s="212"/>
      <c r="BE231" s="212"/>
      <c r="BF231" s="212"/>
      <c r="BG231" s="212"/>
    </row>
    <row r="232" spans="2:74" s="247" customFormat="1" ht="18.75" customHeight="1">
      <c r="B232" s="211"/>
      <c r="C232" s="232" t="str">
        <f>"※ 교정에 사용된 "&amp;Z9&amp;" 분해능의 반범위에 직사각형 확률분포를 적용하여 계산한다."</f>
        <v>※ 교정에 사용된  분해능의 반범위에 직사각형 확률분포를 적용하여 계산한다.</v>
      </c>
      <c r="D232" s="232"/>
      <c r="E232" s="232"/>
      <c r="F232" s="232"/>
      <c r="G232" s="212"/>
      <c r="H232" s="232"/>
      <c r="I232" s="232"/>
      <c r="J232" s="232"/>
      <c r="K232" s="232"/>
      <c r="L232" s="232"/>
      <c r="M232" s="232"/>
      <c r="N232" s="232"/>
      <c r="O232" s="232"/>
      <c r="P232" s="232"/>
      <c r="Q232" s="232"/>
      <c r="R232" s="232"/>
      <c r="S232" s="232"/>
      <c r="T232" s="232"/>
      <c r="U232" s="258"/>
      <c r="V232" s="232"/>
      <c r="W232" s="232"/>
      <c r="X232" s="232"/>
      <c r="Y232" s="232"/>
      <c r="Z232" s="232"/>
      <c r="AA232" s="232"/>
      <c r="AB232" s="232"/>
      <c r="AC232" s="232"/>
      <c r="AD232" s="232"/>
      <c r="AE232" s="212"/>
      <c r="AF232" s="232"/>
      <c r="AG232" s="212"/>
      <c r="AH232" s="212"/>
      <c r="AI232" s="212"/>
      <c r="AJ232" s="212"/>
      <c r="AK232" s="212"/>
      <c r="AL232" s="212"/>
      <c r="AM232" s="212"/>
      <c r="AN232" s="212"/>
      <c r="AO232" s="212"/>
      <c r="AP232" s="212"/>
      <c r="AQ232" s="212"/>
      <c r="AR232" s="212"/>
      <c r="AS232" s="212"/>
      <c r="AT232" s="212"/>
      <c r="AU232" s="212"/>
      <c r="AV232" s="212"/>
      <c r="AW232" s="212"/>
      <c r="AX232" s="212"/>
      <c r="AY232" s="212"/>
      <c r="AZ232" s="212"/>
      <c r="BA232" s="212"/>
      <c r="BB232" s="212"/>
      <c r="BC232" s="212"/>
      <c r="BD232" s="212"/>
      <c r="BE232" s="212"/>
      <c r="BF232" s="212"/>
      <c r="BG232" s="212"/>
    </row>
    <row r="233" spans="2:74" s="247" customFormat="1" ht="18.75" customHeight="1">
      <c r="B233" s="212"/>
      <c r="C233" s="232" t="s">
        <v>616</v>
      </c>
      <c r="D233" s="232"/>
      <c r="E233" s="232"/>
      <c r="F233" s="232"/>
      <c r="G233" s="232"/>
      <c r="H233" s="232"/>
      <c r="I233" s="212"/>
      <c r="J233" s="239" t="s">
        <v>617</v>
      </c>
      <c r="K233" s="232"/>
      <c r="L233" s="232"/>
      <c r="M233" s="232"/>
      <c r="N233" s="232"/>
      <c r="O233" s="232"/>
      <c r="P233" s="409">
        <f>T234</f>
        <v>0</v>
      </c>
      <c r="Q233" s="409"/>
      <c r="R233" s="409"/>
      <c r="S233" s="225" t="s">
        <v>230</v>
      </c>
      <c r="T233" s="225"/>
      <c r="U233" s="232"/>
      <c r="V233" s="212"/>
      <c r="W233" s="212"/>
      <c r="X233" s="259"/>
      <c r="AD233" s="232"/>
      <c r="AE233" s="232"/>
      <c r="AF233" s="212"/>
      <c r="AG233" s="212"/>
      <c r="AH233" s="212"/>
      <c r="AI233" s="212"/>
      <c r="AJ233" s="212"/>
      <c r="AK233" s="212"/>
      <c r="AL233" s="212"/>
      <c r="AM233" s="212"/>
      <c r="AN233" s="232"/>
      <c r="AO233" s="232"/>
      <c r="AP233" s="232"/>
      <c r="AQ233" s="232"/>
      <c r="AR233" s="232"/>
      <c r="AS233" s="232"/>
      <c r="AT233" s="232"/>
      <c r="AU233" s="232"/>
      <c r="AV233" s="232"/>
      <c r="AW233" s="232"/>
      <c r="AX233" s="232"/>
      <c r="AY233" s="212"/>
      <c r="AZ233" s="212"/>
      <c r="BA233" s="212"/>
      <c r="BB233" s="212"/>
      <c r="BC233" s="212"/>
      <c r="BD233" s="212"/>
      <c r="BE233" s="212"/>
      <c r="BF233" s="212"/>
      <c r="BG233" s="212"/>
    </row>
    <row r="234" spans="2:74" s="247" customFormat="1" ht="18.75" customHeight="1">
      <c r="B234" s="212"/>
      <c r="C234" s="232"/>
      <c r="D234" s="232"/>
      <c r="E234" s="232"/>
      <c r="F234" s="232"/>
      <c r="G234" s="232"/>
      <c r="H234" s="232"/>
      <c r="I234" s="232"/>
      <c r="K234" s="414" t="s">
        <v>618</v>
      </c>
      <c r="L234" s="414"/>
      <c r="M234" s="414"/>
      <c r="N234" s="392" t="s">
        <v>476</v>
      </c>
      <c r="O234" s="424" t="s">
        <v>619</v>
      </c>
      <c r="P234" s="425"/>
      <c r="Q234" s="425"/>
      <c r="R234" s="425"/>
      <c r="S234" s="392" t="s">
        <v>478</v>
      </c>
      <c r="T234" s="422">
        <f>Calcu!G42</f>
        <v>0</v>
      </c>
      <c r="U234" s="422"/>
      <c r="V234" s="255" t="s">
        <v>230</v>
      </c>
      <c r="W234" s="255"/>
      <c r="X234" s="390" t="s">
        <v>476</v>
      </c>
      <c r="Y234" s="407">
        <f>T234/2/SQRT(3)</f>
        <v>0</v>
      </c>
      <c r="Z234" s="407"/>
      <c r="AA234" s="407"/>
      <c r="AB234" s="409" t="str">
        <f>V234</f>
        <v>μm</v>
      </c>
      <c r="AC234" s="409"/>
      <c r="AD234" s="232"/>
      <c r="AE234" s="212"/>
      <c r="AF234" s="212"/>
      <c r="AG234" s="212"/>
      <c r="AH234" s="212"/>
      <c r="AI234" s="212"/>
      <c r="AJ234" s="212"/>
      <c r="AK234" s="212"/>
      <c r="AL234" s="212"/>
      <c r="AM234" s="212"/>
      <c r="AN234" s="212"/>
      <c r="AO234" s="212"/>
      <c r="AP234" s="212"/>
      <c r="AQ234" s="212"/>
      <c r="AR234" s="232"/>
      <c r="AS234" s="232"/>
      <c r="AT234" s="232"/>
      <c r="AU234" s="232"/>
      <c r="AV234" s="232"/>
      <c r="AW234" s="232"/>
      <c r="AX234" s="232"/>
      <c r="AY234" s="232"/>
      <c r="AZ234" s="212"/>
      <c r="BA234" s="212"/>
      <c r="BB234" s="212"/>
      <c r="BC234" s="212"/>
      <c r="BD234" s="212"/>
      <c r="BE234" s="212"/>
      <c r="BF234" s="212"/>
      <c r="BG234" s="212"/>
      <c r="BH234" s="212"/>
    </row>
    <row r="235" spans="2:74" s="247" customFormat="1" ht="18.75" customHeight="1">
      <c r="B235" s="212"/>
      <c r="C235" s="232"/>
      <c r="D235" s="232"/>
      <c r="E235" s="232"/>
      <c r="F235" s="232"/>
      <c r="G235" s="232"/>
      <c r="H235" s="232"/>
      <c r="I235" s="232"/>
      <c r="J235" s="267"/>
      <c r="K235" s="414"/>
      <c r="L235" s="414"/>
      <c r="M235" s="414"/>
      <c r="N235" s="392"/>
      <c r="O235" s="412"/>
      <c r="P235" s="412"/>
      <c r="Q235" s="412"/>
      <c r="R235" s="412"/>
      <c r="S235" s="392"/>
      <c r="T235" s="412"/>
      <c r="U235" s="412"/>
      <c r="V235" s="412"/>
      <c r="W235" s="412"/>
      <c r="X235" s="390"/>
      <c r="Y235" s="407"/>
      <c r="Z235" s="407"/>
      <c r="AA235" s="407"/>
      <c r="AB235" s="409"/>
      <c r="AC235" s="409"/>
      <c r="AD235" s="232"/>
      <c r="AE235" s="212"/>
      <c r="AF235" s="212"/>
      <c r="AG235" s="212"/>
      <c r="AH235" s="212"/>
      <c r="AI235" s="212"/>
      <c r="AJ235" s="212"/>
      <c r="AK235" s="212"/>
      <c r="AL235" s="212"/>
      <c r="AM235" s="212"/>
      <c r="AN235" s="212"/>
      <c r="AO235" s="212"/>
      <c r="AP235" s="212"/>
      <c r="AQ235" s="212"/>
      <c r="AR235" s="232"/>
      <c r="AS235" s="232"/>
      <c r="AT235" s="232"/>
      <c r="AU235" s="232"/>
      <c r="AV235" s="232"/>
      <c r="AW235" s="232"/>
      <c r="AX235" s="232"/>
      <c r="AY235" s="232"/>
      <c r="AZ235" s="212"/>
      <c r="BA235" s="212"/>
      <c r="BB235" s="212"/>
      <c r="BC235" s="212"/>
      <c r="BD235" s="212"/>
      <c r="BE235" s="212"/>
      <c r="BF235" s="212"/>
      <c r="BG235" s="212"/>
      <c r="BH235" s="212"/>
    </row>
    <row r="236" spans="2:74" s="247" customFormat="1" ht="18.75" customHeight="1">
      <c r="B236" s="212"/>
      <c r="C236" s="232" t="s">
        <v>620</v>
      </c>
      <c r="D236" s="232"/>
      <c r="E236" s="232"/>
      <c r="F236" s="232"/>
      <c r="G236" s="232"/>
      <c r="H236" s="232"/>
      <c r="I236" s="406" t="str">
        <f>AB91</f>
        <v>직사각형</v>
      </c>
      <c r="J236" s="406"/>
      <c r="K236" s="406"/>
      <c r="L236" s="406"/>
      <c r="M236" s="406"/>
      <c r="N236" s="406"/>
      <c r="O236" s="406"/>
      <c r="P236" s="406"/>
      <c r="Q236" s="232"/>
      <c r="R236" s="232"/>
      <c r="S236" s="232"/>
      <c r="T236" s="232"/>
      <c r="U236" s="232"/>
      <c r="V236" s="232"/>
      <c r="W236" s="232"/>
      <c r="X236" s="232"/>
      <c r="Y236" s="232"/>
      <c r="Z236" s="212"/>
      <c r="AA236" s="212"/>
      <c r="AB236" s="212"/>
      <c r="AC236" s="212"/>
      <c r="AD236" s="212"/>
      <c r="AE236" s="212"/>
      <c r="AF236" s="212"/>
      <c r="AG236" s="212"/>
      <c r="AH236" s="232"/>
      <c r="AI236" s="232"/>
      <c r="AJ236" s="232"/>
      <c r="AK236" s="232"/>
      <c r="AL236" s="232"/>
      <c r="AM236" s="232"/>
      <c r="AN236" s="232"/>
      <c r="AO236" s="232"/>
      <c r="AP236" s="232"/>
      <c r="AQ236" s="232"/>
      <c r="AR236" s="232"/>
      <c r="AS236" s="232"/>
      <c r="AT236" s="232"/>
      <c r="AU236" s="232"/>
      <c r="AV236" s="232"/>
      <c r="AW236" s="232"/>
      <c r="AX236" s="232"/>
      <c r="AY236" s="212"/>
      <c r="AZ236" s="212"/>
      <c r="BA236" s="212"/>
      <c r="BB236" s="212"/>
      <c r="BC236" s="212"/>
      <c r="BD236" s="212"/>
      <c r="BE236" s="212"/>
      <c r="BF236" s="212"/>
      <c r="BG236" s="212"/>
    </row>
    <row r="237" spans="2:74" s="247" customFormat="1" ht="18.75" customHeight="1">
      <c r="B237" s="212"/>
      <c r="C237" s="389" t="s">
        <v>621</v>
      </c>
      <c r="D237" s="389"/>
      <c r="E237" s="389"/>
      <c r="F237" s="389"/>
      <c r="G237" s="389"/>
      <c r="H237" s="389"/>
      <c r="I237" s="232"/>
      <c r="J237" s="232"/>
      <c r="K237" s="232"/>
      <c r="L237" s="232"/>
      <c r="M237" s="232"/>
      <c r="N237" s="392">
        <f>AG91</f>
        <v>1</v>
      </c>
      <c r="O237" s="392"/>
      <c r="P237" s="268"/>
      <c r="Q237" s="268"/>
      <c r="R237" s="268"/>
      <c r="S237" s="232"/>
      <c r="T237" s="232"/>
      <c r="U237" s="232"/>
      <c r="V237" s="232"/>
      <c r="W237" s="232"/>
      <c r="X237" s="232"/>
      <c r="Y237" s="232"/>
      <c r="Z237" s="269"/>
      <c r="AA237" s="269"/>
      <c r="AB237" s="232"/>
      <c r="AC237" s="232"/>
      <c r="AD237" s="232"/>
      <c r="AE237" s="232"/>
      <c r="AF237" s="232"/>
      <c r="AG237" s="232"/>
      <c r="AH237" s="232"/>
      <c r="AI237" s="232"/>
      <c r="AJ237" s="232"/>
      <c r="AK237" s="232"/>
      <c r="AL237" s="212"/>
      <c r="AM237" s="212"/>
      <c r="AN237" s="212"/>
      <c r="AO237" s="232"/>
      <c r="AP237" s="232"/>
      <c r="AQ237" s="232"/>
      <c r="AR237" s="232"/>
      <c r="AS237" s="232"/>
      <c r="AT237" s="232"/>
      <c r="AU237" s="232"/>
      <c r="AV237" s="232"/>
      <c r="AW237" s="232"/>
      <c r="AX237" s="232"/>
      <c r="AY237" s="212"/>
      <c r="AZ237" s="212"/>
      <c r="BA237" s="212"/>
      <c r="BB237" s="212"/>
      <c r="BC237" s="212"/>
      <c r="BD237" s="212"/>
      <c r="BE237" s="212"/>
      <c r="BF237" s="212"/>
      <c r="BG237" s="212"/>
    </row>
    <row r="238" spans="2:74" s="247" customFormat="1" ht="18.75" customHeight="1">
      <c r="B238" s="212"/>
      <c r="C238" s="389"/>
      <c r="D238" s="389"/>
      <c r="E238" s="389"/>
      <c r="F238" s="389"/>
      <c r="G238" s="389"/>
      <c r="H238" s="389"/>
      <c r="I238" s="232"/>
      <c r="J238" s="232"/>
      <c r="K238" s="232"/>
      <c r="L238" s="232"/>
      <c r="M238" s="232"/>
      <c r="N238" s="392"/>
      <c r="O238" s="392"/>
      <c r="P238" s="268"/>
      <c r="Q238" s="268"/>
      <c r="R238" s="268"/>
      <c r="S238" s="232"/>
      <c r="T238" s="232"/>
      <c r="U238" s="232"/>
      <c r="V238" s="232"/>
      <c r="W238" s="232"/>
      <c r="X238" s="232"/>
      <c r="Y238" s="232"/>
      <c r="Z238" s="269"/>
      <c r="AA238" s="269"/>
      <c r="AB238" s="232"/>
      <c r="AC238" s="232"/>
      <c r="AD238" s="232"/>
      <c r="AE238" s="232"/>
      <c r="AF238" s="232"/>
      <c r="AG238" s="232"/>
      <c r="AH238" s="232"/>
      <c r="AI238" s="232"/>
      <c r="AJ238" s="232"/>
      <c r="AK238" s="232"/>
      <c r="AL238" s="212"/>
      <c r="AM238" s="212"/>
      <c r="AN238" s="212"/>
      <c r="AO238" s="232"/>
      <c r="AP238" s="232"/>
      <c r="AQ238" s="232"/>
      <c r="AR238" s="232"/>
      <c r="AS238" s="232"/>
      <c r="AT238" s="232"/>
      <c r="AU238" s="232"/>
      <c r="AV238" s="232"/>
      <c r="AW238" s="232"/>
      <c r="AX238" s="232"/>
      <c r="AY238" s="212"/>
      <c r="AZ238" s="212"/>
      <c r="BA238" s="212"/>
      <c r="BB238" s="212"/>
      <c r="BC238" s="212"/>
      <c r="BD238" s="212"/>
      <c r="BE238" s="212"/>
      <c r="BF238" s="212"/>
      <c r="BG238" s="212"/>
    </row>
    <row r="239" spans="2:74" s="247" customFormat="1" ht="18.75" customHeight="1">
      <c r="B239" s="212"/>
      <c r="C239" s="232" t="s">
        <v>622</v>
      </c>
      <c r="D239" s="232"/>
      <c r="E239" s="232"/>
      <c r="F239" s="232"/>
      <c r="G239" s="232"/>
      <c r="H239" s="232"/>
      <c r="I239" s="232"/>
      <c r="J239" s="212"/>
      <c r="K239" s="212" t="s">
        <v>519</v>
      </c>
      <c r="L239" s="392">
        <f>N237</f>
        <v>1</v>
      </c>
      <c r="M239" s="392"/>
      <c r="N239" s="212" t="s">
        <v>483</v>
      </c>
      <c r="O239" s="407">
        <f>Y234</f>
        <v>0</v>
      </c>
      <c r="P239" s="409"/>
      <c r="Q239" s="409"/>
      <c r="R239" s="410" t="str">
        <f>AB234</f>
        <v>μm</v>
      </c>
      <c r="S239" s="409"/>
      <c r="T239" s="234" t="s">
        <v>482</v>
      </c>
      <c r="U239" s="244" t="s">
        <v>476</v>
      </c>
      <c r="V239" s="407">
        <f>L239*O239</f>
        <v>0</v>
      </c>
      <c r="W239" s="407"/>
      <c r="X239" s="407"/>
      <c r="Y239" s="240" t="str">
        <f>R239</f>
        <v>μm</v>
      </c>
      <c r="Z239" s="55"/>
      <c r="AA239" s="225"/>
      <c r="AB239" s="266"/>
      <c r="AC239" s="251"/>
      <c r="AD239" s="212"/>
      <c r="AE239" s="232"/>
      <c r="AF239" s="212"/>
      <c r="AG239" s="212"/>
      <c r="AH239" s="212"/>
      <c r="AI239" s="212"/>
      <c r="AJ239" s="212"/>
      <c r="AK239" s="232"/>
      <c r="AL239" s="212"/>
      <c r="AM239" s="212"/>
      <c r="AN239" s="212"/>
      <c r="AO239" s="232"/>
      <c r="AP239" s="232"/>
      <c r="AQ239" s="232"/>
      <c r="AR239" s="232"/>
      <c r="AS239" s="232"/>
      <c r="AT239" s="232"/>
      <c r="AU239" s="232"/>
      <c r="AV239" s="232"/>
      <c r="AW239" s="232"/>
      <c r="AX239" s="232"/>
      <c r="AY239" s="212"/>
      <c r="AZ239" s="212"/>
      <c r="BA239" s="212"/>
      <c r="BB239" s="212"/>
      <c r="BC239" s="212"/>
      <c r="BD239" s="212"/>
      <c r="BE239" s="212"/>
      <c r="BF239" s="212"/>
      <c r="BG239" s="212"/>
    </row>
    <row r="240" spans="2:74" s="247" customFormat="1" ht="18.75" customHeight="1">
      <c r="B240" s="212"/>
      <c r="C240" s="389" t="s">
        <v>623</v>
      </c>
      <c r="D240" s="389"/>
      <c r="E240" s="389"/>
      <c r="F240" s="389"/>
      <c r="G240" s="389"/>
      <c r="H240" s="232"/>
      <c r="J240" s="232"/>
      <c r="K240" s="232"/>
      <c r="L240" s="232"/>
      <c r="M240" s="232"/>
      <c r="N240" s="232"/>
      <c r="O240" s="232"/>
      <c r="P240" s="232"/>
      <c r="Q240" s="232"/>
      <c r="R240" s="251"/>
      <c r="S240" s="232"/>
      <c r="T240" s="232"/>
      <c r="U240" s="232"/>
      <c r="W240" s="232"/>
      <c r="X240" s="213" t="s">
        <v>592</v>
      </c>
      <c r="Y240" s="232"/>
      <c r="Z240" s="232"/>
      <c r="AA240" s="232"/>
      <c r="AB240" s="232"/>
      <c r="AC240" s="232"/>
      <c r="AD240" s="232"/>
      <c r="AE240" s="212"/>
      <c r="AF240" s="212"/>
      <c r="AG240" s="212"/>
      <c r="AH240" s="212"/>
      <c r="AI240" s="212"/>
      <c r="AJ240" s="212"/>
      <c r="AK240" s="212"/>
      <c r="AL240" s="212"/>
      <c r="AM240" s="212"/>
      <c r="AN240" s="212"/>
      <c r="AO240" s="212"/>
      <c r="AP240" s="212"/>
      <c r="AQ240" s="212"/>
      <c r="AR240" s="212"/>
      <c r="AS240" s="212"/>
      <c r="AT240" s="212"/>
      <c r="AU240" s="212"/>
      <c r="AV240" s="212"/>
      <c r="AW240" s="212"/>
      <c r="AX240" s="212"/>
      <c r="AY240" s="212"/>
      <c r="AZ240" s="212"/>
      <c r="BA240" s="212"/>
      <c r="BB240" s="212"/>
      <c r="BC240" s="212"/>
      <c r="BD240" s="212"/>
      <c r="BE240" s="212"/>
      <c r="BF240" s="212"/>
      <c r="BG240" s="212"/>
    </row>
    <row r="241" spans="1:59" s="247" customFormat="1" ht="18.75" customHeight="1">
      <c r="B241" s="212"/>
      <c r="C241" s="389"/>
      <c r="D241" s="389"/>
      <c r="E241" s="389"/>
      <c r="F241" s="389"/>
      <c r="G241" s="389"/>
      <c r="H241" s="232"/>
      <c r="I241" s="232"/>
      <c r="J241" s="232"/>
      <c r="K241" s="232"/>
      <c r="L241" s="232"/>
      <c r="M241" s="232"/>
      <c r="N241" s="232"/>
      <c r="O241" s="232"/>
      <c r="P241" s="232"/>
      <c r="Q241" s="232"/>
      <c r="R241" s="251"/>
      <c r="S241" s="232"/>
      <c r="T241" s="232"/>
      <c r="U241" s="232"/>
      <c r="V241" s="232"/>
      <c r="W241" s="232"/>
      <c r="X241" s="232"/>
      <c r="Y241" s="232"/>
      <c r="Z241" s="232"/>
      <c r="AA241" s="232"/>
      <c r="AB241" s="232"/>
      <c r="AC241" s="232"/>
      <c r="AD241" s="232"/>
      <c r="AE241" s="212"/>
      <c r="AF241" s="212"/>
      <c r="AG241" s="212"/>
      <c r="AH241" s="212"/>
      <c r="AI241" s="212"/>
      <c r="AJ241" s="212"/>
      <c r="AK241" s="212"/>
      <c r="AL241" s="212"/>
      <c r="AM241" s="212"/>
      <c r="AN241" s="212"/>
      <c r="AO241" s="212"/>
      <c r="AP241" s="212"/>
      <c r="AQ241" s="212"/>
      <c r="AR241" s="212"/>
      <c r="AS241" s="212"/>
      <c r="AT241" s="212"/>
      <c r="AU241" s="212"/>
      <c r="AV241" s="212"/>
      <c r="AW241" s="212"/>
      <c r="AX241" s="212"/>
      <c r="AY241" s="212"/>
      <c r="AZ241" s="212"/>
      <c r="BA241" s="212"/>
      <c r="BB241" s="212"/>
      <c r="BC241" s="212"/>
      <c r="BD241" s="212"/>
      <c r="BE241" s="212"/>
      <c r="BF241" s="212"/>
      <c r="BG241" s="212"/>
    </row>
    <row r="242" spans="1:59" s="247" customFormat="1" ht="18.75" customHeight="1">
      <c r="B242" s="212"/>
      <c r="C242" s="211"/>
      <c r="D242" s="232"/>
      <c r="E242" s="232"/>
      <c r="F242" s="232"/>
      <c r="G242" s="212"/>
      <c r="H242" s="232"/>
      <c r="I242" s="232"/>
      <c r="J242" s="232"/>
      <c r="K242" s="232"/>
      <c r="L242" s="232"/>
      <c r="M242" s="232"/>
      <c r="N242" s="232"/>
      <c r="O242" s="232"/>
      <c r="P242" s="232"/>
      <c r="Q242" s="232"/>
      <c r="R242" s="232"/>
      <c r="S242" s="232"/>
      <c r="T242" s="232"/>
      <c r="U242" s="232"/>
      <c r="V242" s="232"/>
      <c r="W242" s="232"/>
      <c r="X242" s="232"/>
      <c r="Y242" s="232"/>
      <c r="Z242" s="232"/>
      <c r="AA242" s="232"/>
      <c r="AB242" s="232"/>
      <c r="AC242" s="232"/>
      <c r="AD242" s="232"/>
      <c r="AE242" s="212"/>
      <c r="AF242" s="232"/>
      <c r="AG242" s="212"/>
      <c r="AH242" s="212"/>
      <c r="AI242" s="212"/>
      <c r="AJ242" s="212"/>
      <c r="AK242" s="212"/>
      <c r="AL242" s="212"/>
      <c r="AM242" s="212"/>
      <c r="AN242" s="212"/>
      <c r="AO242" s="212"/>
      <c r="AP242" s="212"/>
      <c r="AQ242" s="212"/>
      <c r="AR242" s="212"/>
      <c r="AS242" s="212"/>
      <c r="AT242" s="212"/>
      <c r="AU242" s="212"/>
      <c r="AV242" s="212"/>
      <c r="AW242" s="212"/>
      <c r="AX242" s="212"/>
      <c r="AY242" s="212"/>
      <c r="AZ242" s="212"/>
      <c r="BA242" s="212"/>
      <c r="BB242" s="212"/>
      <c r="BC242" s="212"/>
      <c r="BD242" s="212"/>
      <c r="BE242" s="212"/>
      <c r="BF242" s="212"/>
      <c r="BG242" s="212"/>
    </row>
    <row r="243" spans="1:59" s="247" customFormat="1" ht="18.75" customHeight="1">
      <c r="B243" s="260" t="s">
        <v>624</v>
      </c>
      <c r="C243" s="211" t="str">
        <f>$N$4&amp;"의 불확도에 의한 표준불확도,"</f>
        <v>전기 마이크로미터의 불확도에 의한 표준불확도,</v>
      </c>
      <c r="D243" s="232"/>
      <c r="E243" s="232"/>
      <c r="F243" s="232"/>
      <c r="G243" s="212"/>
      <c r="H243" s="232"/>
      <c r="I243" s="232"/>
      <c r="J243" s="232"/>
      <c r="K243" s="232"/>
      <c r="L243" s="232"/>
      <c r="M243" s="232"/>
      <c r="N243" s="232"/>
      <c r="O243" s="232"/>
      <c r="P243" s="232"/>
      <c r="Q243" s="232"/>
      <c r="R243" s="232"/>
      <c r="S243" s="232"/>
      <c r="T243" s="232"/>
      <c r="W243" s="258" t="s">
        <v>625</v>
      </c>
      <c r="X243" s="232"/>
      <c r="Y243" s="232"/>
      <c r="Z243" s="232"/>
      <c r="AA243" s="232"/>
      <c r="AB243" s="232"/>
      <c r="AC243" s="232"/>
      <c r="AD243" s="232"/>
      <c r="AE243" s="212"/>
      <c r="AF243" s="232"/>
      <c r="AG243" s="212"/>
      <c r="AH243" s="212"/>
      <c r="AI243" s="212"/>
      <c r="AJ243" s="212"/>
      <c r="AK243" s="212"/>
      <c r="AL243" s="212"/>
      <c r="AM243" s="212"/>
      <c r="AN243" s="212"/>
      <c r="AO243" s="212"/>
      <c r="AP243" s="212"/>
      <c r="AQ243" s="212"/>
      <c r="AR243" s="212"/>
      <c r="AS243" s="212"/>
      <c r="AT243" s="212"/>
      <c r="AU243" s="212"/>
      <c r="AV243" s="212"/>
      <c r="AW243" s="212"/>
      <c r="AX243" s="212"/>
      <c r="AY243" s="212"/>
      <c r="AZ243" s="212"/>
      <c r="BA243" s="212"/>
      <c r="BB243" s="212"/>
      <c r="BC243" s="212"/>
      <c r="BD243" s="212"/>
      <c r="BE243" s="212"/>
      <c r="BF243" s="212"/>
      <c r="BG243" s="212"/>
    </row>
    <row r="244" spans="1:59" ht="18.75" customHeight="1">
      <c r="A244" s="213"/>
      <c r="B244" s="217"/>
      <c r="C244" s="232" t="str">
        <f>"※ "&amp;$N$4&amp;"의 교정성적서에 주어진 측정불확도가 "&amp;U246&amp;" μm (신뢰수준 약 95 %,"</f>
        <v>※ 전기 마이크로미터의 교정성적서에 주어진 측정불확도가 0 μm (신뢰수준 약 95 %,</v>
      </c>
      <c r="D244" s="232"/>
      <c r="E244" s="232"/>
      <c r="F244" s="232"/>
      <c r="G244" s="232"/>
      <c r="H244" s="232"/>
      <c r="I244" s="232"/>
      <c r="J244" s="232"/>
      <c r="K244" s="232"/>
      <c r="L244" s="232"/>
      <c r="M244" s="232"/>
      <c r="N244" s="232"/>
      <c r="O244" s="232"/>
      <c r="P244" s="232"/>
      <c r="Q244" s="232"/>
      <c r="R244" s="232"/>
      <c r="S244" s="232"/>
      <c r="T244" s="212"/>
      <c r="U244" s="212"/>
      <c r="V244" s="212"/>
      <c r="X244" s="225"/>
      <c r="Y244" s="225"/>
      <c r="Z244" s="225"/>
      <c r="AA244" s="225"/>
      <c r="AB244" s="225"/>
      <c r="AC244" s="232"/>
      <c r="AD244" s="225"/>
      <c r="AE244" s="270"/>
      <c r="AF244" s="270"/>
      <c r="AG244" s="270"/>
      <c r="AH244" s="270"/>
      <c r="AJ244" s="213"/>
      <c r="AK244" s="213" t="s">
        <v>626</v>
      </c>
      <c r="AL244" s="213"/>
      <c r="AM244" s="213"/>
      <c r="AN244" s="213"/>
      <c r="AO244" s="213"/>
      <c r="AP244" s="213"/>
      <c r="AQ244" s="213"/>
      <c r="AR244" s="213"/>
      <c r="AS244" s="213"/>
      <c r="AT244" s="213"/>
      <c r="AU244" s="213"/>
      <c r="AV244" s="213"/>
      <c r="AW244" s="213"/>
      <c r="AX244" s="213"/>
      <c r="AY244" s="213"/>
      <c r="AZ244" s="213"/>
      <c r="BA244" s="213"/>
      <c r="BB244" s="213"/>
      <c r="BC244" s="213"/>
      <c r="BD244" s="213"/>
    </row>
    <row r="245" spans="1:59" ht="18.75" customHeight="1">
      <c r="A245" s="213"/>
      <c r="B245" s="217"/>
      <c r="C245" s="232"/>
      <c r="D245" s="232" t="s">
        <v>627</v>
      </c>
      <c r="E245" s="232"/>
      <c r="F245" s="232"/>
      <c r="G245" s="232"/>
      <c r="H245" s="232"/>
      <c r="I245" s="232"/>
      <c r="J245" s="232"/>
      <c r="K245" s="232"/>
      <c r="L245" s="232"/>
      <c r="M245" s="232"/>
      <c r="N245" s="232"/>
      <c r="O245" s="232"/>
      <c r="P245" s="232"/>
      <c r="Q245" s="232"/>
      <c r="R245" s="232"/>
      <c r="S245" s="232"/>
      <c r="T245" s="212"/>
      <c r="U245" s="212"/>
      <c r="V245" s="212"/>
      <c r="X245" s="225"/>
      <c r="Y245" s="225"/>
      <c r="Z245" s="225"/>
      <c r="AA245" s="225"/>
      <c r="AB245" s="225"/>
      <c r="AC245" s="232"/>
      <c r="AD245" s="225"/>
      <c r="AE245" s="270"/>
      <c r="AF245" s="270"/>
      <c r="AG245" s="270"/>
      <c r="AH245" s="270"/>
      <c r="AJ245" s="213"/>
      <c r="AK245" s="213"/>
      <c r="AL245" s="213"/>
      <c r="AM245" s="213"/>
      <c r="AN245" s="213"/>
      <c r="AO245" s="213"/>
      <c r="AP245" s="213"/>
      <c r="AQ245" s="213"/>
      <c r="AR245" s="213"/>
      <c r="AS245" s="213"/>
      <c r="AT245" s="213"/>
      <c r="AU245" s="213"/>
      <c r="AV245" s="213"/>
      <c r="AW245" s="213"/>
      <c r="AX245" s="213"/>
      <c r="AY245" s="213"/>
      <c r="AZ245" s="213"/>
      <c r="BA245" s="213"/>
      <c r="BB245" s="213"/>
      <c r="BC245" s="213"/>
      <c r="BD245" s="213"/>
    </row>
    <row r="246" spans="1:59" ht="18.75" customHeight="1">
      <c r="A246" s="213"/>
      <c r="B246" s="213"/>
      <c r="C246" s="213" t="s">
        <v>628</v>
      </c>
      <c r="D246" s="213"/>
      <c r="E246" s="213"/>
      <c r="F246" s="213"/>
      <c r="G246" s="213"/>
      <c r="H246" s="213"/>
      <c r="I246" s="213"/>
      <c r="J246" s="418" t="s">
        <v>629</v>
      </c>
      <c r="K246" s="418"/>
      <c r="L246" s="418"/>
      <c r="M246" s="418" t="s">
        <v>475</v>
      </c>
      <c r="N246" s="420" t="s">
        <v>630</v>
      </c>
      <c r="O246" s="420"/>
      <c r="P246" s="418" t="s">
        <v>631</v>
      </c>
      <c r="Q246" s="421" t="s">
        <v>632</v>
      </c>
      <c r="R246" s="421"/>
      <c r="S246" s="421"/>
      <c r="T246" s="418" t="s">
        <v>476</v>
      </c>
      <c r="U246" s="422">
        <f>Calcu!G43</f>
        <v>0</v>
      </c>
      <c r="V246" s="422"/>
      <c r="W246" s="422"/>
      <c r="X246" s="271" t="s">
        <v>633</v>
      </c>
      <c r="Z246" s="418" t="s">
        <v>631</v>
      </c>
      <c r="AA246" s="409">
        <f>Calcu!H43</f>
        <v>0</v>
      </c>
      <c r="AB246" s="409"/>
      <c r="AC246" s="409"/>
      <c r="AD246" s="419" t="str">
        <f>Calcu!L43</f>
        <v>μm</v>
      </c>
      <c r="AE246" s="419"/>
      <c r="AF246" s="418" t="s">
        <v>476</v>
      </c>
      <c r="AG246" s="409" t="e">
        <f>U246/U247+AA246</f>
        <v>#DIV/0!</v>
      </c>
      <c r="AH246" s="409"/>
      <c r="AI246" s="409"/>
      <c r="AJ246" s="419" t="str">
        <f>AD246</f>
        <v>μm</v>
      </c>
      <c r="AK246" s="419"/>
      <c r="AL246" s="215"/>
      <c r="AM246" s="254"/>
      <c r="AN246" s="254"/>
      <c r="AO246" s="254"/>
      <c r="AP246" s="240"/>
      <c r="AQ246" s="240"/>
      <c r="AR246" s="213"/>
      <c r="AS246" s="213"/>
      <c r="AT246" s="213"/>
      <c r="AU246" s="213"/>
      <c r="AV246" s="213"/>
      <c r="AW246" s="213"/>
      <c r="AX246" s="213"/>
      <c r="AY246" s="213"/>
      <c r="AZ246" s="213"/>
      <c r="BA246" s="213"/>
      <c r="BB246" s="213"/>
    </row>
    <row r="247" spans="1:59" ht="18.75" customHeight="1">
      <c r="A247" s="213"/>
      <c r="B247" s="213"/>
      <c r="C247" s="213"/>
      <c r="D247" s="213"/>
      <c r="E247" s="213"/>
      <c r="F247" s="213"/>
      <c r="G247" s="213"/>
      <c r="H247" s="213"/>
      <c r="I247" s="213"/>
      <c r="J247" s="418"/>
      <c r="K247" s="418"/>
      <c r="L247" s="418"/>
      <c r="M247" s="418"/>
      <c r="N247" s="423" t="s">
        <v>634</v>
      </c>
      <c r="O247" s="423"/>
      <c r="P247" s="418"/>
      <c r="Q247" s="421"/>
      <c r="R247" s="421"/>
      <c r="S247" s="421"/>
      <c r="T247" s="418"/>
      <c r="U247" s="397">
        <f>Calcu!I43</f>
        <v>0</v>
      </c>
      <c r="V247" s="397"/>
      <c r="W247" s="397"/>
      <c r="X247" s="397"/>
      <c r="Y247" s="397"/>
      <c r="Z247" s="418"/>
      <c r="AA247" s="409"/>
      <c r="AB247" s="409"/>
      <c r="AC247" s="409"/>
      <c r="AD247" s="419"/>
      <c r="AE247" s="419"/>
      <c r="AF247" s="418"/>
      <c r="AG247" s="409"/>
      <c r="AH247" s="409"/>
      <c r="AI247" s="409"/>
      <c r="AJ247" s="419"/>
      <c r="AK247" s="419"/>
      <c r="AL247" s="215"/>
      <c r="AM247" s="254"/>
      <c r="AN247" s="254"/>
      <c r="AO247" s="254"/>
      <c r="AP247" s="240"/>
      <c r="AQ247" s="240"/>
      <c r="AR247" s="213"/>
      <c r="AS247" s="213"/>
      <c r="AT247" s="213"/>
      <c r="AU247" s="213"/>
      <c r="AV247" s="213"/>
      <c r="AW247" s="213"/>
      <c r="AX247" s="213"/>
      <c r="AY247" s="213"/>
      <c r="AZ247" s="213"/>
      <c r="BA247" s="213"/>
      <c r="BB247" s="213"/>
    </row>
    <row r="248" spans="1:59" ht="18.75" customHeight="1">
      <c r="A248" s="213"/>
      <c r="B248" s="213"/>
      <c r="C248" s="213" t="s">
        <v>635</v>
      </c>
      <c r="D248" s="213"/>
      <c r="E248" s="213"/>
      <c r="F248" s="213"/>
      <c r="G248" s="213"/>
      <c r="H248" s="213"/>
      <c r="I248" s="406" t="str">
        <f>AB92</f>
        <v>정규</v>
      </c>
      <c r="J248" s="406"/>
      <c r="K248" s="406"/>
      <c r="L248" s="406"/>
      <c r="M248" s="406"/>
      <c r="N248" s="406"/>
      <c r="O248" s="406"/>
      <c r="P248" s="406"/>
      <c r="Q248" s="213"/>
      <c r="R248" s="213"/>
      <c r="S248" s="213"/>
      <c r="T248" s="213"/>
      <c r="U248" s="213"/>
      <c r="V248" s="213"/>
      <c r="W248" s="213"/>
      <c r="X248" s="213"/>
      <c r="Y248" s="213"/>
      <c r="Z248" s="213"/>
      <c r="AA248" s="213"/>
      <c r="AB248" s="213"/>
      <c r="AC248" s="213"/>
      <c r="AD248" s="213"/>
      <c r="AE248" s="213"/>
      <c r="AF248" s="213"/>
      <c r="AG248" s="213"/>
      <c r="AH248" s="213"/>
      <c r="AI248" s="213"/>
      <c r="AJ248" s="213"/>
      <c r="AK248" s="213"/>
      <c r="AL248" s="213"/>
      <c r="AM248" s="213"/>
      <c r="AN248" s="213"/>
      <c r="AO248" s="213"/>
      <c r="AP248" s="213"/>
      <c r="AQ248" s="213"/>
      <c r="AR248" s="213"/>
      <c r="AS248" s="213"/>
      <c r="AT248" s="213"/>
    </row>
    <row r="249" spans="1:59" ht="18.75" customHeight="1">
      <c r="A249" s="213"/>
      <c r="B249" s="213"/>
      <c r="C249" s="389" t="s">
        <v>636</v>
      </c>
      <c r="D249" s="389"/>
      <c r="E249" s="389"/>
      <c r="F249" s="389"/>
      <c r="G249" s="389"/>
      <c r="H249" s="389"/>
      <c r="I249" s="232"/>
      <c r="J249" s="232"/>
      <c r="K249" s="213"/>
      <c r="L249" s="213"/>
      <c r="N249" s="417">
        <f>AG92</f>
        <v>1</v>
      </c>
      <c r="O249" s="417"/>
      <c r="P249" s="213"/>
      <c r="S249" s="213"/>
      <c r="X249" s="213"/>
      <c r="Y249" s="213"/>
      <c r="Z249" s="213"/>
      <c r="AA249" s="213"/>
      <c r="AB249" s="213"/>
      <c r="AC249" s="213"/>
      <c r="AD249" s="213"/>
      <c r="AE249" s="213"/>
      <c r="AF249" s="213"/>
      <c r="AG249" s="213"/>
      <c r="AH249" s="213"/>
      <c r="AI249" s="213"/>
      <c r="AJ249" s="213"/>
      <c r="AK249" s="213"/>
      <c r="AL249" s="213"/>
    </row>
    <row r="250" spans="1:59" ht="18.75" customHeight="1">
      <c r="A250" s="213"/>
      <c r="B250" s="213"/>
      <c r="C250" s="389"/>
      <c r="D250" s="389"/>
      <c r="E250" s="389"/>
      <c r="F250" s="389"/>
      <c r="G250" s="389"/>
      <c r="H250" s="389"/>
      <c r="I250" s="233"/>
      <c r="J250" s="233"/>
      <c r="K250" s="213"/>
      <c r="L250" s="213"/>
      <c r="N250" s="417"/>
      <c r="O250" s="417"/>
      <c r="P250" s="213"/>
      <c r="S250" s="213"/>
      <c r="X250" s="213"/>
      <c r="Y250" s="213"/>
      <c r="Z250" s="213"/>
      <c r="AA250" s="213"/>
      <c r="AB250" s="213"/>
      <c r="AC250" s="213"/>
      <c r="AD250" s="213"/>
      <c r="AE250" s="213"/>
      <c r="AF250" s="213"/>
      <c r="AG250" s="213"/>
      <c r="AH250" s="213"/>
      <c r="AI250" s="213"/>
      <c r="AJ250" s="213"/>
      <c r="AK250" s="213"/>
      <c r="AL250" s="213"/>
    </row>
    <row r="251" spans="1:59" s="213" customFormat="1" ht="18.75" customHeight="1">
      <c r="C251" s="213" t="s">
        <v>637</v>
      </c>
      <c r="K251" s="234" t="s">
        <v>482</v>
      </c>
      <c r="L251" s="395">
        <f>N249</f>
        <v>1</v>
      </c>
      <c r="M251" s="395"/>
      <c r="N251" s="212" t="s">
        <v>502</v>
      </c>
      <c r="O251" s="407" t="e">
        <f>AG246</f>
        <v>#DIV/0!</v>
      </c>
      <c r="P251" s="409"/>
      <c r="Q251" s="409"/>
      <c r="R251" s="410" t="str">
        <f>AJ246</f>
        <v>μm</v>
      </c>
      <c r="S251" s="409"/>
      <c r="T251" s="234" t="s">
        <v>484</v>
      </c>
      <c r="U251" s="244" t="s">
        <v>540</v>
      </c>
      <c r="V251" s="407" t="e">
        <f>L251*O251</f>
        <v>#DIV/0!</v>
      </c>
      <c r="W251" s="407"/>
      <c r="X251" s="407"/>
      <c r="Y251" s="240" t="str">
        <f>R251</f>
        <v>μm</v>
      </c>
      <c r="Z251" s="55"/>
      <c r="AA251" s="225"/>
      <c r="AB251" s="232"/>
      <c r="AC251" s="232"/>
      <c r="AD251" s="232"/>
      <c r="AE251" s="225"/>
    </row>
    <row r="252" spans="1:59" ht="18.75" customHeight="1">
      <c r="A252" s="213"/>
      <c r="B252" s="213"/>
      <c r="C252" s="232" t="s">
        <v>638</v>
      </c>
      <c r="D252" s="232"/>
      <c r="E252" s="232"/>
      <c r="F252" s="232"/>
      <c r="G252" s="232"/>
      <c r="I252" s="236" t="s">
        <v>639</v>
      </c>
      <c r="J252" s="213"/>
      <c r="K252" s="213"/>
      <c r="L252" s="213"/>
      <c r="M252" s="213"/>
      <c r="N252" s="213"/>
      <c r="O252" s="213"/>
      <c r="P252" s="213"/>
      <c r="Q252" s="213"/>
      <c r="R252" s="213"/>
      <c r="S252" s="237"/>
      <c r="T252" s="237"/>
      <c r="U252" s="213"/>
      <c r="V252" s="213"/>
      <c r="W252" s="213"/>
      <c r="X252" s="213"/>
      <c r="Y252" s="213"/>
      <c r="Z252" s="213"/>
      <c r="AA252" s="213"/>
      <c r="AB252" s="213"/>
      <c r="AC252" s="213"/>
      <c r="AD252" s="213"/>
      <c r="AG252" s="213"/>
      <c r="AH252" s="213"/>
      <c r="AI252" s="213"/>
      <c r="AJ252" s="213"/>
      <c r="AK252" s="213"/>
      <c r="AL252" s="213"/>
      <c r="AM252" s="213"/>
      <c r="AN252" s="213"/>
      <c r="AO252" s="213"/>
      <c r="AP252" s="213"/>
      <c r="AQ252" s="213"/>
      <c r="AR252" s="213"/>
      <c r="AS252" s="213"/>
      <c r="AT252" s="213"/>
    </row>
    <row r="253" spans="1:59" s="247" customFormat="1" ht="18.75" customHeight="1">
      <c r="B253" s="212"/>
      <c r="C253" s="211"/>
      <c r="D253" s="232"/>
      <c r="E253" s="232"/>
      <c r="F253" s="232"/>
      <c r="G253" s="212"/>
      <c r="H253" s="232"/>
      <c r="I253" s="232"/>
      <c r="J253" s="232"/>
      <c r="K253" s="232"/>
      <c r="L253" s="232"/>
      <c r="M253" s="232"/>
      <c r="N253" s="232"/>
      <c r="O253" s="232"/>
      <c r="P253" s="232"/>
      <c r="Q253" s="232"/>
      <c r="R253" s="232"/>
      <c r="S253" s="232"/>
      <c r="T253" s="232"/>
      <c r="U253" s="232"/>
      <c r="V253" s="232"/>
      <c r="W253" s="232"/>
      <c r="X253" s="232"/>
      <c r="Y253" s="232"/>
      <c r="Z253" s="232"/>
      <c r="AA253" s="232"/>
      <c r="AB253" s="232"/>
      <c r="AC253" s="232"/>
      <c r="AD253" s="232"/>
      <c r="AE253" s="212"/>
      <c r="AF253" s="232"/>
      <c r="AG253" s="212"/>
      <c r="AH253" s="212"/>
      <c r="AI253" s="212"/>
      <c r="AJ253" s="212"/>
      <c r="AK253" s="212"/>
      <c r="AL253" s="212"/>
      <c r="AM253" s="212"/>
      <c r="AN253" s="212"/>
      <c r="AO253" s="212"/>
      <c r="AP253" s="212"/>
      <c r="AQ253" s="212"/>
      <c r="AR253" s="212"/>
      <c r="AS253" s="212"/>
      <c r="AT253" s="212"/>
      <c r="AU253" s="212"/>
      <c r="AV253" s="212"/>
      <c r="AW253" s="212"/>
      <c r="AX253" s="212"/>
      <c r="AY253" s="212"/>
      <c r="AZ253" s="212"/>
      <c r="BA253" s="212"/>
      <c r="BB253" s="212"/>
      <c r="BC253" s="212"/>
      <c r="BD253" s="212"/>
      <c r="BE253" s="212"/>
      <c r="BF253" s="212"/>
      <c r="BG253" s="212"/>
    </row>
    <row r="254" spans="1:59" s="247" customFormat="1" ht="18.75" customHeight="1">
      <c r="B254" s="272" t="s">
        <v>640</v>
      </c>
      <c r="C254" s="211" t="s">
        <v>641</v>
      </c>
      <c r="E254" s="232"/>
      <c r="F254" s="232"/>
      <c r="G254" s="212"/>
      <c r="H254" s="232"/>
      <c r="I254" s="232"/>
      <c r="J254" s="232"/>
      <c r="K254" s="232"/>
      <c r="L254" s="232"/>
      <c r="M254" s="232"/>
      <c r="N254" s="232"/>
      <c r="O254" s="232"/>
      <c r="P254" s="232"/>
      <c r="R254" s="232"/>
      <c r="S254" s="232"/>
      <c r="T254" s="232"/>
      <c r="U254" s="232"/>
      <c r="X254" s="263" t="s">
        <v>642</v>
      </c>
      <c r="Y254" s="232"/>
      <c r="Z254" s="232"/>
      <c r="AA254" s="232"/>
      <c r="AB254" s="232"/>
      <c r="AC254" s="232"/>
      <c r="AD254" s="232"/>
      <c r="AE254" s="212"/>
      <c r="AF254" s="232"/>
      <c r="AG254" s="212"/>
      <c r="AH254" s="212"/>
      <c r="AI254" s="212"/>
      <c r="AJ254" s="212"/>
      <c r="AK254" s="212"/>
      <c r="AL254" s="212"/>
      <c r="AM254" s="212"/>
      <c r="AN254" s="212"/>
      <c r="AO254" s="212"/>
      <c r="AP254" s="212"/>
      <c r="AQ254" s="212"/>
      <c r="AR254" s="212"/>
      <c r="AS254" s="212"/>
      <c r="AT254" s="212"/>
      <c r="AU254" s="212"/>
      <c r="AV254" s="212"/>
      <c r="AW254" s="212"/>
      <c r="AX254" s="212"/>
      <c r="AY254" s="212"/>
      <c r="AZ254" s="212"/>
      <c r="BA254" s="212"/>
      <c r="BB254" s="212"/>
      <c r="BC254" s="212"/>
      <c r="BD254" s="212"/>
      <c r="BE254" s="212"/>
      <c r="BF254" s="212"/>
      <c r="BG254" s="212"/>
    </row>
    <row r="255" spans="1:59" s="247" customFormat="1" ht="18.75" customHeight="1">
      <c r="B255" s="273"/>
      <c r="C255" s="232" t="str">
        <f>"※ 정반의 교정성적서에 명기된 평면도가 "&amp;T258&amp;" μm이고, 정반의 전체면적의 1/5 영역에서 교정이 실시 되었다."</f>
        <v>※ 정반의 교정성적서에 명기된 평면도가 0 μm이고, 정반의 전체면적의 1/5 영역에서 교정이 실시 되었다.</v>
      </c>
      <c r="D255" s="232"/>
      <c r="E255" s="232"/>
      <c r="F255" s="232"/>
      <c r="G255" s="212"/>
      <c r="H255" s="232"/>
      <c r="I255" s="232"/>
      <c r="J255" s="232"/>
      <c r="K255" s="232"/>
      <c r="L255" s="232"/>
      <c r="M255" s="232"/>
      <c r="N255" s="232"/>
      <c r="O255" s="232"/>
      <c r="P255" s="232"/>
      <c r="Q255" s="263"/>
      <c r="R255" s="232"/>
      <c r="S255" s="232"/>
      <c r="T255" s="232"/>
      <c r="U255" s="232"/>
      <c r="V255" s="232"/>
      <c r="W255" s="232"/>
      <c r="X255" s="232"/>
      <c r="Y255" s="232"/>
      <c r="Z255" s="232"/>
      <c r="AA255" s="232"/>
      <c r="AB255" s="232"/>
      <c r="AC255" s="232"/>
      <c r="AD255" s="232"/>
      <c r="AE255" s="212"/>
      <c r="AF255" s="232"/>
      <c r="AG255" s="212"/>
      <c r="AH255" s="212"/>
      <c r="AI255" s="212"/>
      <c r="AJ255" s="212"/>
      <c r="AK255" s="212"/>
      <c r="AL255" s="212"/>
      <c r="AM255" s="212"/>
      <c r="AN255" s="212"/>
      <c r="AO255" s="212"/>
      <c r="AP255" s="212"/>
      <c r="AQ255" s="212"/>
      <c r="AR255" s="212"/>
      <c r="AS255" s="212"/>
      <c r="AT255" s="212"/>
      <c r="AU255" s="212"/>
      <c r="AV255" s="212"/>
      <c r="AW255" s="212"/>
      <c r="AX255" s="212"/>
      <c r="AY255" s="212"/>
      <c r="AZ255" s="212"/>
      <c r="BA255" s="212"/>
      <c r="BB255" s="212"/>
      <c r="BC255" s="212"/>
      <c r="BD255" s="212"/>
      <c r="BE255" s="212"/>
      <c r="BF255" s="212"/>
      <c r="BG255" s="212"/>
    </row>
    <row r="256" spans="1:59" s="247" customFormat="1" ht="18.75" customHeight="1">
      <c r="B256" s="273"/>
      <c r="C256" s="232"/>
      <c r="D256" s="232" t="s">
        <v>643</v>
      </c>
      <c r="E256" s="232"/>
      <c r="F256" s="232"/>
      <c r="G256" s="212"/>
      <c r="H256" s="232"/>
      <c r="I256" s="232"/>
      <c r="J256" s="232"/>
      <c r="K256" s="232"/>
      <c r="L256" s="232"/>
      <c r="M256" s="232"/>
      <c r="N256" s="232"/>
      <c r="O256" s="232"/>
      <c r="P256" s="232"/>
      <c r="Q256" s="263"/>
      <c r="R256" s="232"/>
      <c r="S256" s="232"/>
      <c r="T256" s="232"/>
      <c r="U256" s="232"/>
      <c r="V256" s="232"/>
      <c r="W256" s="232"/>
      <c r="X256" s="232"/>
      <c r="Y256" s="232"/>
      <c r="Z256" s="232"/>
      <c r="AA256" s="232"/>
      <c r="AB256" s="232"/>
      <c r="AC256" s="232"/>
      <c r="AD256" s="232"/>
      <c r="AE256" s="212"/>
      <c r="AF256" s="232"/>
      <c r="AG256" s="212"/>
      <c r="AH256" s="212"/>
      <c r="AI256" s="212"/>
      <c r="AJ256" s="212"/>
      <c r="AK256" s="212"/>
      <c r="AL256" s="212"/>
      <c r="AM256" s="212"/>
      <c r="AN256" s="212"/>
      <c r="AO256" s="212"/>
      <c r="AP256" s="212"/>
      <c r="AQ256" s="212"/>
      <c r="AR256" s="212"/>
      <c r="AS256" s="212"/>
      <c r="AT256" s="212"/>
      <c r="AU256" s="212"/>
      <c r="AV256" s="212"/>
      <c r="AW256" s="212"/>
      <c r="AX256" s="212"/>
      <c r="AY256" s="212"/>
      <c r="AZ256" s="212"/>
      <c r="BA256" s="212"/>
      <c r="BB256" s="212"/>
      <c r="BC256" s="212"/>
      <c r="BD256" s="212"/>
      <c r="BE256" s="212"/>
      <c r="BF256" s="212"/>
      <c r="BG256" s="212"/>
    </row>
    <row r="257" spans="2:65" s="247" customFormat="1" ht="18.75" customHeight="1">
      <c r="B257" s="212"/>
      <c r="C257" s="232" t="s">
        <v>644</v>
      </c>
      <c r="D257" s="232"/>
      <c r="E257" s="232"/>
      <c r="F257" s="232"/>
      <c r="G257" s="232"/>
      <c r="H257" s="232"/>
      <c r="I257" s="212"/>
      <c r="J257" s="233" t="s">
        <v>645</v>
      </c>
      <c r="K257" s="274"/>
      <c r="L257" s="274"/>
      <c r="M257" s="274"/>
      <c r="N257" s="274"/>
      <c r="O257" s="413">
        <f>Calcu!G44</f>
        <v>0</v>
      </c>
      <c r="P257" s="413"/>
      <c r="Q257" s="413"/>
      <c r="R257" s="225" t="s">
        <v>646</v>
      </c>
      <c r="S257" s="252"/>
      <c r="T257" s="252"/>
      <c r="U257" s="274"/>
      <c r="V257" s="274"/>
      <c r="W257" s="274"/>
      <c r="X257" s="274"/>
      <c r="Y257" s="274"/>
      <c r="Z257" s="274"/>
      <c r="AA257" s="274"/>
      <c r="AB257" s="274"/>
      <c r="AC257" s="274"/>
      <c r="AD257" s="274"/>
      <c r="AE257" s="274"/>
      <c r="AF257" s="274"/>
      <c r="AG257" s="274"/>
      <c r="AH257" s="274"/>
      <c r="AI257" s="274"/>
      <c r="AJ257" s="274"/>
      <c r="AK257" s="274"/>
      <c r="AL257" s="274"/>
      <c r="AM257" s="274"/>
      <c r="AN257" s="274"/>
      <c r="AO257" s="274"/>
      <c r="AP257" s="274"/>
      <c r="AQ257" s="274"/>
      <c r="AR257" s="274"/>
      <c r="AS257" s="274"/>
      <c r="AT257" s="274"/>
      <c r="AU257" s="274"/>
      <c r="AV257" s="274"/>
      <c r="AW257" s="274"/>
      <c r="AX257" s="274"/>
      <c r="AY257" s="274"/>
      <c r="AZ257" s="274"/>
      <c r="BA257" s="274"/>
      <c r="BB257" s="212"/>
      <c r="BC257" s="212"/>
      <c r="BD257" s="212"/>
      <c r="BE257" s="212"/>
      <c r="BF257" s="212"/>
      <c r="BG257" s="212"/>
    </row>
    <row r="258" spans="2:65" s="247" customFormat="1" ht="18.75" customHeight="1">
      <c r="B258" s="212"/>
      <c r="C258" s="232"/>
      <c r="D258" s="232"/>
      <c r="E258" s="232"/>
      <c r="F258" s="232"/>
      <c r="G258" s="232"/>
      <c r="H258" s="232"/>
      <c r="I258" s="232"/>
      <c r="J258" s="232"/>
      <c r="K258" s="414" t="s">
        <v>647</v>
      </c>
      <c r="L258" s="414"/>
      <c r="M258" s="414"/>
      <c r="N258" s="390" t="s">
        <v>476</v>
      </c>
      <c r="O258" s="416" t="s">
        <v>276</v>
      </c>
      <c r="P258" s="416"/>
      <c r="Q258" s="416"/>
      <c r="R258" s="416"/>
      <c r="S258" s="390" t="s">
        <v>475</v>
      </c>
      <c r="T258" s="411">
        <f>O257</f>
        <v>0</v>
      </c>
      <c r="U258" s="411"/>
      <c r="V258" s="255" t="str">
        <f>R257</f>
        <v>μm</v>
      </c>
      <c r="W258" s="255"/>
      <c r="X258" s="390" t="s">
        <v>475</v>
      </c>
      <c r="Y258" s="407">
        <f>T258/5/SQRT(3)</f>
        <v>0</v>
      </c>
      <c r="Z258" s="407"/>
      <c r="AA258" s="407"/>
      <c r="AB258" s="409" t="str">
        <f>V258</f>
        <v>μm</v>
      </c>
      <c r="AC258" s="409"/>
      <c r="AD258" s="265"/>
      <c r="AE258" s="265"/>
      <c r="AF258" s="265"/>
      <c r="AG258" s="232"/>
      <c r="AH258" s="232"/>
      <c r="AI258" s="232"/>
      <c r="AJ258" s="232"/>
      <c r="AK258" s="232"/>
      <c r="AL258" s="232"/>
      <c r="AM258" s="232"/>
      <c r="AN258" s="232"/>
      <c r="AO258" s="232"/>
      <c r="AP258" s="232"/>
      <c r="AQ258" s="232"/>
      <c r="AR258" s="232"/>
      <c r="AS258" s="212"/>
      <c r="AT258" s="212"/>
      <c r="AU258" s="212"/>
      <c r="AV258" s="212"/>
      <c r="AW258" s="232"/>
      <c r="AX258" s="232"/>
      <c r="AY258" s="232"/>
      <c r="AZ258" s="232"/>
      <c r="BA258" s="232"/>
      <c r="BB258" s="232"/>
      <c r="BC258" s="232"/>
      <c r="BD258" s="232"/>
      <c r="BE258" s="212"/>
      <c r="BF258" s="212"/>
      <c r="BG258" s="212"/>
      <c r="BH258" s="212"/>
      <c r="BI258" s="212"/>
      <c r="BJ258" s="212"/>
      <c r="BK258" s="212"/>
      <c r="BL258" s="212"/>
      <c r="BM258" s="212"/>
    </row>
    <row r="259" spans="2:65" s="247" customFormat="1" ht="18.75" customHeight="1">
      <c r="B259" s="212"/>
      <c r="C259" s="232"/>
      <c r="D259" s="232"/>
      <c r="E259" s="232"/>
      <c r="F259" s="232"/>
      <c r="G259" s="232"/>
      <c r="H259" s="232"/>
      <c r="I259" s="232"/>
      <c r="J259" s="232"/>
      <c r="K259" s="414"/>
      <c r="L259" s="414"/>
      <c r="M259" s="414"/>
      <c r="N259" s="390"/>
      <c r="O259" s="412"/>
      <c r="P259" s="412"/>
      <c r="Q259" s="412"/>
      <c r="R259" s="412"/>
      <c r="S259" s="390"/>
      <c r="T259" s="412"/>
      <c r="U259" s="412"/>
      <c r="V259" s="412"/>
      <c r="W259" s="412"/>
      <c r="X259" s="390"/>
      <c r="Y259" s="407"/>
      <c r="Z259" s="407"/>
      <c r="AA259" s="407"/>
      <c r="AB259" s="409"/>
      <c r="AC259" s="409"/>
      <c r="AD259" s="265"/>
      <c r="AE259" s="265"/>
      <c r="AF259" s="265"/>
      <c r="AG259" s="232"/>
      <c r="AH259" s="232"/>
      <c r="AI259" s="232"/>
      <c r="AJ259" s="232"/>
      <c r="AK259" s="232"/>
      <c r="AL259" s="232"/>
      <c r="AM259" s="232"/>
      <c r="AN259" s="232"/>
      <c r="AO259" s="232"/>
      <c r="AP259" s="232"/>
      <c r="AQ259" s="232"/>
      <c r="AR259" s="232"/>
      <c r="AS259" s="212"/>
      <c r="AT259" s="212"/>
      <c r="AU259" s="212"/>
      <c r="AV259" s="212"/>
      <c r="AW259" s="232"/>
      <c r="AX259" s="232"/>
      <c r="AY259" s="232"/>
      <c r="AZ259" s="232"/>
      <c r="BA259" s="232"/>
      <c r="BB259" s="232"/>
      <c r="BC259" s="232"/>
      <c r="BD259" s="232"/>
      <c r="BE259" s="212"/>
      <c r="BF259" s="212"/>
      <c r="BG259" s="212"/>
      <c r="BH259" s="212"/>
      <c r="BI259" s="212"/>
      <c r="BJ259" s="212"/>
      <c r="BK259" s="212"/>
      <c r="BL259" s="212"/>
      <c r="BM259" s="212"/>
    </row>
    <row r="260" spans="2:65" s="247" customFormat="1" ht="18.75" customHeight="1">
      <c r="B260" s="212"/>
      <c r="C260" s="232" t="s">
        <v>648</v>
      </c>
      <c r="D260" s="232"/>
      <c r="E260" s="232"/>
      <c r="F260" s="232"/>
      <c r="G260" s="232"/>
      <c r="H260" s="232"/>
      <c r="I260" s="406" t="str">
        <f>AB93</f>
        <v>직사각형</v>
      </c>
      <c r="J260" s="406"/>
      <c r="K260" s="406"/>
      <c r="L260" s="406"/>
      <c r="M260" s="406"/>
      <c r="N260" s="406"/>
      <c r="O260" s="406"/>
      <c r="P260" s="406"/>
      <c r="Q260" s="232"/>
      <c r="R260" s="232"/>
      <c r="S260" s="232"/>
      <c r="T260" s="232"/>
      <c r="U260" s="232"/>
      <c r="V260" s="232"/>
      <c r="W260" s="232"/>
      <c r="X260" s="232"/>
      <c r="Y260" s="232"/>
      <c r="Z260" s="212"/>
      <c r="AA260" s="212"/>
      <c r="AB260" s="212"/>
      <c r="AC260" s="212"/>
      <c r="AD260" s="212"/>
      <c r="AE260" s="212"/>
      <c r="AF260" s="212"/>
      <c r="AG260" s="212"/>
      <c r="AH260" s="232"/>
      <c r="AI260" s="232"/>
      <c r="AJ260" s="232"/>
      <c r="AK260" s="232"/>
      <c r="AL260" s="212"/>
      <c r="AM260" s="212"/>
      <c r="AN260" s="212"/>
      <c r="AO260" s="212"/>
      <c r="AP260" s="212"/>
      <c r="AQ260" s="212"/>
      <c r="AR260" s="212"/>
      <c r="AS260" s="232"/>
      <c r="AT260" s="232"/>
      <c r="AU260" s="232"/>
      <c r="AV260" s="232"/>
      <c r="AW260" s="232"/>
      <c r="AX260" s="232"/>
      <c r="AY260" s="212"/>
      <c r="AZ260" s="212"/>
      <c r="BA260" s="212"/>
      <c r="BB260" s="212"/>
      <c r="BC260" s="212"/>
      <c r="BD260" s="212"/>
      <c r="BE260" s="212"/>
      <c r="BF260" s="212"/>
      <c r="BG260" s="212"/>
    </row>
    <row r="261" spans="2:65" s="247" customFormat="1" ht="18.75" customHeight="1">
      <c r="B261" s="212"/>
      <c r="C261" s="389" t="s">
        <v>649</v>
      </c>
      <c r="D261" s="389"/>
      <c r="E261" s="389"/>
      <c r="F261" s="389"/>
      <c r="G261" s="389"/>
      <c r="H261" s="389"/>
      <c r="I261" s="232"/>
      <c r="J261" s="232"/>
      <c r="K261" s="232"/>
      <c r="L261" s="232"/>
      <c r="M261" s="232"/>
      <c r="N261" s="392">
        <f>AG92</f>
        <v>1</v>
      </c>
      <c r="O261" s="392"/>
      <c r="P261" s="268"/>
      <c r="Q261" s="268"/>
      <c r="R261" s="268"/>
      <c r="S261" s="232"/>
      <c r="T261" s="232"/>
      <c r="U261" s="232"/>
      <c r="V261" s="232"/>
      <c r="W261" s="232"/>
      <c r="X261" s="232"/>
      <c r="Y261" s="232"/>
      <c r="Z261" s="269"/>
      <c r="AA261" s="269"/>
      <c r="AB261" s="232"/>
      <c r="AC261" s="232"/>
      <c r="AD261" s="232"/>
      <c r="AE261" s="232"/>
      <c r="AF261" s="232"/>
      <c r="AG261" s="232"/>
      <c r="AH261" s="232"/>
      <c r="AI261" s="232"/>
      <c r="AJ261" s="232"/>
      <c r="AK261" s="232"/>
      <c r="AL261" s="212"/>
      <c r="AM261" s="212"/>
      <c r="AN261" s="212"/>
      <c r="AO261" s="232"/>
      <c r="AP261" s="232"/>
      <c r="AQ261" s="232"/>
      <c r="AR261" s="232"/>
      <c r="AS261" s="232"/>
      <c r="AT261" s="232"/>
      <c r="AU261" s="232"/>
      <c r="AV261" s="232"/>
      <c r="AW261" s="232"/>
      <c r="AX261" s="232"/>
      <c r="AY261" s="212"/>
      <c r="AZ261" s="212"/>
      <c r="BA261" s="212"/>
      <c r="BB261" s="212"/>
      <c r="BC261" s="212"/>
      <c r="BD261" s="212"/>
      <c r="BE261" s="212"/>
      <c r="BF261" s="212"/>
      <c r="BG261" s="212"/>
    </row>
    <row r="262" spans="2:65" s="247" customFormat="1" ht="18.75" customHeight="1">
      <c r="B262" s="212"/>
      <c r="C262" s="389"/>
      <c r="D262" s="389"/>
      <c r="E262" s="389"/>
      <c r="F262" s="389"/>
      <c r="G262" s="389"/>
      <c r="H262" s="389"/>
      <c r="I262" s="232"/>
      <c r="J262" s="232"/>
      <c r="K262" s="232"/>
      <c r="L262" s="232"/>
      <c r="M262" s="232"/>
      <c r="N262" s="392"/>
      <c r="O262" s="392"/>
      <c r="P262" s="268"/>
      <c r="Q262" s="268"/>
      <c r="R262" s="268"/>
      <c r="S262" s="232"/>
      <c r="T262" s="232"/>
      <c r="U262" s="232"/>
      <c r="V262" s="232"/>
      <c r="W262" s="232"/>
      <c r="X262" s="232"/>
      <c r="Y262" s="232"/>
      <c r="Z262" s="269"/>
      <c r="AA262" s="269"/>
      <c r="AB262" s="232"/>
      <c r="AC262" s="232"/>
      <c r="AD262" s="232"/>
      <c r="AE262" s="232"/>
      <c r="AF262" s="232"/>
      <c r="AG262" s="232"/>
      <c r="AH262" s="232"/>
      <c r="AI262" s="232"/>
      <c r="AJ262" s="232"/>
      <c r="AK262" s="232"/>
      <c r="AL262" s="212"/>
      <c r="AM262" s="212"/>
      <c r="AN262" s="212"/>
      <c r="AO262" s="232"/>
      <c r="AP262" s="232"/>
      <c r="AQ262" s="232"/>
      <c r="AR262" s="232"/>
      <c r="AS262" s="232"/>
      <c r="AT262" s="232"/>
      <c r="AU262" s="232"/>
      <c r="AV262" s="232"/>
      <c r="AW262" s="232"/>
      <c r="AX262" s="232"/>
      <c r="AY262" s="212"/>
      <c r="AZ262" s="212"/>
      <c r="BA262" s="212"/>
      <c r="BB262" s="212"/>
      <c r="BC262" s="212"/>
      <c r="BD262" s="212"/>
      <c r="BE262" s="212"/>
      <c r="BF262" s="212"/>
      <c r="BG262" s="212"/>
    </row>
    <row r="263" spans="2:65" s="247" customFormat="1" ht="18.75" customHeight="1">
      <c r="B263" s="212"/>
      <c r="C263" s="232" t="s">
        <v>650</v>
      </c>
      <c r="D263" s="232"/>
      <c r="E263" s="232"/>
      <c r="F263" s="232"/>
      <c r="G263" s="232"/>
      <c r="H263" s="232"/>
      <c r="I263" s="232"/>
      <c r="J263" s="212"/>
      <c r="K263" s="212" t="s">
        <v>537</v>
      </c>
      <c r="L263" s="392">
        <f>N261</f>
        <v>1</v>
      </c>
      <c r="M263" s="392"/>
      <c r="N263" s="212" t="s">
        <v>502</v>
      </c>
      <c r="O263" s="407">
        <f>Y258</f>
        <v>0</v>
      </c>
      <c r="P263" s="409"/>
      <c r="Q263" s="409"/>
      <c r="R263" s="410" t="str">
        <f>AB258</f>
        <v>μm</v>
      </c>
      <c r="S263" s="409"/>
      <c r="T263" s="234" t="s">
        <v>484</v>
      </c>
      <c r="U263" s="244" t="s">
        <v>475</v>
      </c>
      <c r="V263" s="407">
        <f>L263*O263</f>
        <v>0</v>
      </c>
      <c r="W263" s="407"/>
      <c r="X263" s="407"/>
      <c r="Y263" s="240" t="str">
        <f>R263</f>
        <v>μm</v>
      </c>
      <c r="Z263" s="55"/>
      <c r="AA263" s="225"/>
      <c r="AB263" s="266"/>
      <c r="AC263" s="251"/>
      <c r="AD263" s="212"/>
      <c r="AE263" s="232"/>
      <c r="AF263" s="212"/>
      <c r="AG263" s="212"/>
      <c r="AH263" s="212"/>
      <c r="AI263" s="212"/>
      <c r="AJ263" s="212"/>
      <c r="AK263" s="232"/>
      <c r="AL263" s="212"/>
      <c r="AM263" s="212"/>
      <c r="AN263" s="212"/>
      <c r="AO263" s="232"/>
      <c r="AP263" s="232"/>
      <c r="AQ263" s="232"/>
      <c r="AR263" s="232"/>
      <c r="AS263" s="232"/>
      <c r="AT263" s="232"/>
      <c r="AU263" s="232"/>
      <c r="AV263" s="232"/>
      <c r="AW263" s="232"/>
      <c r="AX263" s="232"/>
      <c r="AY263" s="212"/>
      <c r="AZ263" s="212"/>
      <c r="BA263" s="212"/>
      <c r="BB263" s="212"/>
      <c r="BC263" s="212"/>
      <c r="BD263" s="212"/>
      <c r="BE263" s="212"/>
      <c r="BF263" s="212"/>
      <c r="BG263" s="212"/>
    </row>
    <row r="264" spans="2:65" s="247" customFormat="1" ht="18.75" customHeight="1">
      <c r="B264" s="212"/>
      <c r="C264" s="389" t="s">
        <v>651</v>
      </c>
      <c r="D264" s="389"/>
      <c r="E264" s="389"/>
      <c r="F264" s="389"/>
      <c r="G264" s="389"/>
      <c r="H264" s="232"/>
      <c r="J264" s="232"/>
      <c r="K264" s="232"/>
      <c r="L264" s="232"/>
      <c r="M264" s="232"/>
      <c r="N264" s="232"/>
      <c r="O264" s="232"/>
      <c r="P264" s="232"/>
      <c r="Q264" s="232"/>
      <c r="R264" s="251"/>
      <c r="S264" s="232"/>
      <c r="T264" s="232"/>
      <c r="U264" s="232"/>
      <c r="W264" s="232"/>
      <c r="X264" s="213" t="s">
        <v>522</v>
      </c>
      <c r="Y264" s="232"/>
      <c r="Z264" s="232"/>
      <c r="AA264" s="232"/>
      <c r="AB264" s="232"/>
      <c r="AC264" s="232"/>
      <c r="AD264" s="232"/>
      <c r="AE264" s="212"/>
      <c r="AF264" s="212"/>
      <c r="AG264" s="212"/>
      <c r="AH264" s="212"/>
      <c r="AI264" s="212"/>
      <c r="AJ264" s="212"/>
      <c r="AK264" s="212"/>
      <c r="AL264" s="212"/>
      <c r="AM264" s="212"/>
      <c r="AN264" s="212"/>
      <c r="AO264" s="212"/>
      <c r="AP264" s="212"/>
      <c r="AQ264" s="212"/>
      <c r="AR264" s="212"/>
      <c r="AS264" s="212"/>
      <c r="AT264" s="212"/>
      <c r="AU264" s="212"/>
      <c r="AV264" s="212"/>
      <c r="AW264" s="212"/>
      <c r="AX264" s="212"/>
      <c r="AY264" s="212"/>
      <c r="AZ264" s="212"/>
      <c r="BA264" s="212"/>
      <c r="BB264" s="212"/>
      <c r="BC264" s="212"/>
      <c r="BD264" s="212"/>
      <c r="BE264" s="212"/>
      <c r="BF264" s="212"/>
      <c r="BG264" s="212"/>
    </row>
    <row r="265" spans="2:65" s="247" customFormat="1" ht="18.75" customHeight="1">
      <c r="B265" s="212"/>
      <c r="C265" s="389"/>
      <c r="D265" s="389"/>
      <c r="E265" s="389"/>
      <c r="F265" s="389"/>
      <c r="G265" s="389"/>
      <c r="H265" s="232"/>
      <c r="I265" s="232"/>
      <c r="J265" s="232"/>
      <c r="K265" s="232"/>
      <c r="L265" s="232"/>
      <c r="M265" s="232"/>
      <c r="N265" s="232"/>
      <c r="O265" s="232"/>
      <c r="P265" s="232"/>
      <c r="Q265" s="232"/>
      <c r="R265" s="251"/>
      <c r="S265" s="232"/>
      <c r="T265" s="232"/>
      <c r="U265" s="232"/>
      <c r="V265" s="232"/>
      <c r="W265" s="232"/>
      <c r="X265" s="232"/>
      <c r="Y265" s="232"/>
      <c r="Z265" s="232"/>
      <c r="AA265" s="232"/>
      <c r="AB265" s="232"/>
      <c r="AC265" s="232"/>
      <c r="AD265" s="232"/>
      <c r="AE265" s="212"/>
      <c r="AF265" s="232"/>
      <c r="AG265" s="212"/>
      <c r="AH265" s="212"/>
      <c r="AI265" s="212"/>
      <c r="AJ265" s="212"/>
      <c r="AK265" s="212"/>
      <c r="AL265" s="212"/>
      <c r="AM265" s="212"/>
      <c r="AN265" s="212"/>
      <c r="AO265" s="212"/>
      <c r="AP265" s="212"/>
      <c r="AQ265" s="212"/>
      <c r="AR265" s="212"/>
      <c r="AS265" s="212"/>
      <c r="AT265" s="212"/>
      <c r="AU265" s="212"/>
      <c r="AV265" s="212"/>
      <c r="AW265" s="212"/>
      <c r="AX265" s="212"/>
      <c r="AY265" s="212"/>
      <c r="AZ265" s="212"/>
      <c r="BA265" s="212"/>
      <c r="BB265" s="212"/>
      <c r="BC265" s="212"/>
      <c r="BD265" s="212"/>
      <c r="BE265" s="212"/>
      <c r="BF265" s="212"/>
      <c r="BG265" s="212"/>
    </row>
    <row r="266" spans="2:65" s="247" customFormat="1" ht="18.75" customHeight="1">
      <c r="B266" s="212"/>
      <c r="C266" s="232"/>
      <c r="D266" s="232"/>
      <c r="E266" s="232"/>
      <c r="F266" s="232"/>
      <c r="G266" s="212"/>
      <c r="H266" s="232"/>
      <c r="I266" s="232"/>
      <c r="J266" s="232"/>
      <c r="K266" s="232"/>
      <c r="L266" s="232"/>
      <c r="M266" s="232"/>
      <c r="N266" s="232"/>
      <c r="O266" s="232"/>
      <c r="P266" s="232"/>
      <c r="Q266" s="232"/>
      <c r="R266" s="232"/>
      <c r="S266" s="232"/>
      <c r="AB266" s="232"/>
      <c r="AC266" s="232"/>
      <c r="AD266" s="232"/>
      <c r="AE266" s="212"/>
      <c r="AF266" s="232"/>
      <c r="AG266" s="212"/>
      <c r="AH266" s="212"/>
      <c r="AI266" s="212"/>
      <c r="AJ266" s="212"/>
      <c r="AK266" s="212"/>
      <c r="AL266" s="212"/>
      <c r="AM266" s="212"/>
      <c r="AN266" s="212"/>
      <c r="AO266" s="212"/>
      <c r="AP266" s="212"/>
      <c r="AQ266" s="212"/>
      <c r="AR266" s="212"/>
      <c r="AS266" s="212"/>
      <c r="AT266" s="212"/>
      <c r="AU266" s="212"/>
      <c r="AV266" s="212"/>
      <c r="AW266" s="212"/>
      <c r="AX266" s="212"/>
      <c r="AY266" s="212"/>
      <c r="AZ266" s="212"/>
      <c r="BA266" s="212"/>
      <c r="BB266" s="212"/>
      <c r="BC266" s="212"/>
      <c r="BD266" s="212"/>
      <c r="BE266" s="212"/>
      <c r="BF266" s="212"/>
      <c r="BG266" s="212"/>
    </row>
    <row r="267" spans="2:65" s="247" customFormat="1" ht="18.75" customHeight="1">
      <c r="B267" s="272" t="s">
        <v>652</v>
      </c>
      <c r="D267" s="211" t="s">
        <v>653</v>
      </c>
      <c r="E267" s="232"/>
      <c r="F267" s="232"/>
      <c r="G267" s="212"/>
      <c r="H267" s="232"/>
      <c r="I267" s="232"/>
      <c r="J267" s="232"/>
      <c r="K267" s="232"/>
      <c r="L267" s="232"/>
      <c r="M267" s="232"/>
      <c r="N267" s="232"/>
      <c r="O267" s="232"/>
      <c r="P267" s="232"/>
      <c r="R267" s="232"/>
      <c r="S267" s="263" t="s">
        <v>654</v>
      </c>
      <c r="T267" s="232"/>
      <c r="U267" s="232"/>
      <c r="Y267" s="232"/>
      <c r="Z267" s="232"/>
      <c r="AA267" s="232"/>
      <c r="AB267" s="232"/>
      <c r="AC267" s="232"/>
      <c r="AD267" s="232"/>
      <c r="AE267" s="212"/>
      <c r="AF267" s="232"/>
      <c r="AG267" s="212"/>
      <c r="AH267" s="212"/>
      <c r="AI267" s="212"/>
      <c r="AJ267" s="212"/>
      <c r="AK267" s="212"/>
      <c r="AL267" s="212"/>
      <c r="AM267" s="212"/>
      <c r="AN267" s="212"/>
      <c r="AO267" s="212"/>
      <c r="AP267" s="212"/>
      <c r="AQ267" s="212"/>
      <c r="AR267" s="212"/>
      <c r="AS267" s="212"/>
      <c r="AT267" s="212"/>
      <c r="AU267" s="212"/>
      <c r="AV267" s="212"/>
      <c r="AW267" s="212"/>
      <c r="AX267" s="212"/>
      <c r="AY267" s="212"/>
      <c r="AZ267" s="212"/>
      <c r="BA267" s="212"/>
      <c r="BB267" s="212"/>
      <c r="BC267" s="212"/>
      <c r="BD267" s="212"/>
      <c r="BE267" s="212"/>
      <c r="BF267" s="212"/>
      <c r="BG267" s="212"/>
    </row>
    <row r="268" spans="2:65" s="247" customFormat="1" ht="18.75" customHeight="1">
      <c r="B268" s="273"/>
      <c r="C268" s="232" t="str">
        <f>"※ 전기 마이크로미터의 측정자가 블록의 중앙점에 정확히 접촉하지 않을 경우, "&amp;$B$4&amp;" 블록의 평행도가"</f>
        <v>※ 전기 마이크로미터의 측정자가 블록의 중앙점에 정확히 접촉하지 않을 경우, 스텝 게이지 블록의 평행도가</v>
      </c>
      <c r="D268" s="232"/>
      <c r="E268" s="232"/>
      <c r="F268" s="232"/>
      <c r="G268" s="212"/>
      <c r="H268" s="232"/>
      <c r="I268" s="232"/>
      <c r="J268" s="232"/>
      <c r="K268" s="232"/>
      <c r="L268" s="232"/>
      <c r="M268" s="232"/>
      <c r="N268" s="232"/>
      <c r="O268" s="232"/>
      <c r="P268" s="232"/>
      <c r="Q268" s="263"/>
      <c r="R268" s="232"/>
      <c r="S268" s="232"/>
      <c r="T268" s="232"/>
      <c r="U268" s="232"/>
      <c r="V268" s="232"/>
      <c r="W268" s="232"/>
      <c r="X268" s="232"/>
      <c r="Y268" s="232"/>
      <c r="Z268" s="232"/>
      <c r="AA268" s="232"/>
      <c r="AB268" s="232"/>
      <c r="AC268" s="232"/>
      <c r="AD268" s="232"/>
      <c r="AE268" s="212"/>
      <c r="AF268" s="232"/>
      <c r="AG268" s="212"/>
      <c r="AH268" s="212"/>
      <c r="AI268" s="212"/>
      <c r="AJ268" s="212"/>
      <c r="AK268" s="212"/>
      <c r="AL268" s="212"/>
      <c r="AM268" s="212"/>
      <c r="AN268" s="212"/>
      <c r="AO268" s="212"/>
      <c r="AP268" s="212"/>
      <c r="AQ268" s="212"/>
      <c r="AR268" s="212"/>
      <c r="AS268" s="212"/>
      <c r="AT268" s="212"/>
      <c r="AU268" s="212"/>
      <c r="AV268" s="212"/>
      <c r="AW268" s="212"/>
      <c r="AX268" s="212"/>
      <c r="AY268" s="212"/>
      <c r="AZ268" s="212"/>
      <c r="BA268" s="212"/>
      <c r="BB268" s="212"/>
      <c r="BC268" s="212"/>
      <c r="BD268" s="212"/>
      <c r="BE268" s="212"/>
      <c r="BF268" s="212"/>
      <c r="BG268" s="212"/>
    </row>
    <row r="269" spans="2:65" s="247" customFormat="1" ht="18.75" customHeight="1">
      <c r="B269" s="273"/>
      <c r="C269" s="232"/>
      <c r="D269" s="232" t="s">
        <v>655</v>
      </c>
      <c r="E269" s="232"/>
      <c r="F269" s="232"/>
      <c r="G269" s="212"/>
      <c r="H269" s="232"/>
      <c r="I269" s="232"/>
      <c r="J269" s="232"/>
      <c r="K269" s="232"/>
      <c r="L269" s="232"/>
      <c r="M269" s="232"/>
      <c r="N269" s="232"/>
      <c r="O269" s="232"/>
      <c r="P269" s="232"/>
      <c r="Q269" s="263"/>
      <c r="R269" s="232"/>
      <c r="S269" s="232"/>
      <c r="T269" s="232"/>
      <c r="U269" s="232"/>
      <c r="V269" s="232"/>
      <c r="W269" s="232"/>
      <c r="X269" s="232"/>
      <c r="Y269" s="232"/>
      <c r="Z269" s="232"/>
      <c r="AA269" s="232"/>
      <c r="AB269" s="232"/>
      <c r="AC269" s="232"/>
      <c r="AD269" s="232"/>
      <c r="AE269" s="212"/>
      <c r="AF269" s="232"/>
      <c r="AG269" s="212"/>
      <c r="AH269" s="212"/>
      <c r="AI269" s="212"/>
      <c r="AJ269" s="212"/>
      <c r="AK269" s="212"/>
      <c r="AL269" s="212"/>
      <c r="AM269" s="212"/>
      <c r="AN269" s="212"/>
      <c r="AO269" s="212"/>
      <c r="AP269" s="212"/>
      <c r="AQ269" s="212"/>
      <c r="AR269" s="212"/>
      <c r="AS269" s="212"/>
      <c r="AT269" s="212"/>
      <c r="AU269" s="212"/>
      <c r="AV269" s="212"/>
      <c r="AW269" s="212"/>
      <c r="AX269" s="212"/>
      <c r="AY269" s="212"/>
      <c r="AZ269" s="212"/>
      <c r="BA269" s="212"/>
      <c r="BB269" s="212"/>
      <c r="BC269" s="212"/>
      <c r="BD269" s="212"/>
      <c r="BE269" s="212"/>
      <c r="BF269" s="212"/>
      <c r="BG269" s="212"/>
    </row>
    <row r="270" spans="2:65" s="247" customFormat="1" ht="18.75" customHeight="1">
      <c r="B270" s="273"/>
      <c r="C270" s="232"/>
      <c r="D270" s="232" t="str">
        <f>"블록의 평행도 측정값 중 가장 큰 값이 "&amp;O272&amp;" μm이고, 측정자가 블록의 좁은 폭(W=9 mm)의 반경 2 mm"</f>
        <v>블록의 평행도 측정값 중 가장 큰 값이 0 μm이고, 측정자가 블록의 좁은 폭(W=9 mm)의 반경 2 mm</v>
      </c>
      <c r="E270" s="232"/>
      <c r="F270" s="232"/>
      <c r="G270" s="212"/>
      <c r="H270" s="232"/>
      <c r="I270" s="232"/>
      <c r="J270" s="232"/>
      <c r="K270" s="232"/>
      <c r="L270" s="232"/>
      <c r="M270" s="232"/>
      <c r="N270" s="232"/>
      <c r="O270" s="232"/>
      <c r="P270" s="232"/>
      <c r="Q270" s="263"/>
      <c r="R270" s="232"/>
      <c r="S270" s="232"/>
      <c r="T270" s="232"/>
      <c r="U270" s="232"/>
      <c r="V270" s="232"/>
      <c r="W270" s="232"/>
      <c r="X270" s="232"/>
      <c r="Y270" s="232"/>
      <c r="Z270" s="232"/>
      <c r="AA270" s="232"/>
      <c r="AB270" s="232"/>
      <c r="AC270" s="232"/>
      <c r="AD270" s="232"/>
      <c r="AE270" s="212"/>
      <c r="AF270" s="232"/>
      <c r="AG270" s="212"/>
      <c r="AH270" s="212"/>
      <c r="AI270" s="212"/>
      <c r="AJ270" s="212"/>
      <c r="AK270" s="212"/>
      <c r="AL270" s="212"/>
      <c r="AM270" s="212"/>
      <c r="AN270" s="212"/>
      <c r="AO270" s="212"/>
      <c r="AP270" s="212"/>
      <c r="AQ270" s="212"/>
      <c r="AR270" s="212"/>
      <c r="AS270" s="212"/>
      <c r="AT270" s="212"/>
      <c r="AU270" s="212"/>
      <c r="AV270" s="212"/>
      <c r="AW270" s="212"/>
      <c r="AX270" s="212"/>
      <c r="AY270" s="212"/>
      <c r="AZ270" s="212"/>
      <c r="BA270" s="212"/>
      <c r="BB270" s="212"/>
      <c r="BC270" s="212"/>
      <c r="BD270" s="212"/>
      <c r="BE270" s="212"/>
      <c r="BF270" s="212"/>
      <c r="BG270" s="212"/>
    </row>
    <row r="271" spans="2:65" s="247" customFormat="1" ht="18.75" customHeight="1">
      <c r="B271" s="273"/>
      <c r="C271" s="232"/>
      <c r="D271" s="232" t="s">
        <v>656</v>
      </c>
      <c r="E271" s="232"/>
      <c r="F271" s="232"/>
      <c r="G271" s="212"/>
      <c r="H271" s="232"/>
      <c r="I271" s="232"/>
      <c r="J271" s="232"/>
      <c r="K271" s="232"/>
      <c r="L271" s="232"/>
      <c r="M271" s="232"/>
      <c r="N271" s="232"/>
      <c r="O271" s="232"/>
      <c r="P271" s="232"/>
      <c r="Q271" s="263"/>
      <c r="R271" s="232"/>
      <c r="S271" s="232"/>
      <c r="T271" s="232"/>
      <c r="U271" s="232"/>
      <c r="V271" s="232"/>
      <c r="W271" s="232"/>
      <c r="X271" s="232"/>
      <c r="Y271" s="232"/>
      <c r="Z271" s="232"/>
      <c r="AA271" s="232"/>
      <c r="AB271" s="232"/>
      <c r="AC271" s="232"/>
      <c r="AD271" s="232"/>
      <c r="AE271" s="212"/>
      <c r="AF271" s="232"/>
      <c r="AG271" s="212"/>
      <c r="AH271" s="212"/>
      <c r="AI271" s="212"/>
      <c r="AJ271" s="212"/>
      <c r="AK271" s="212"/>
      <c r="AL271" s="212"/>
      <c r="AM271" s="212"/>
      <c r="AN271" s="212"/>
      <c r="AO271" s="212"/>
      <c r="AP271" s="212"/>
      <c r="AQ271" s="212"/>
      <c r="AR271" s="212"/>
      <c r="AS271" s="212"/>
      <c r="AT271" s="212"/>
      <c r="AU271" s="212"/>
      <c r="AV271" s="212"/>
      <c r="AW271" s="212"/>
      <c r="AX271" s="212"/>
      <c r="AY271" s="212"/>
      <c r="AZ271" s="212"/>
      <c r="BA271" s="212"/>
      <c r="BB271" s="212"/>
      <c r="BC271" s="212"/>
      <c r="BD271" s="212"/>
      <c r="BE271" s="212"/>
      <c r="BF271" s="212"/>
      <c r="BG271" s="212"/>
    </row>
    <row r="272" spans="2:65" s="247" customFormat="1" ht="18.75" customHeight="1">
      <c r="B272" s="212"/>
      <c r="C272" s="232" t="s">
        <v>657</v>
      </c>
      <c r="D272" s="232"/>
      <c r="E272" s="232"/>
      <c r="F272" s="232"/>
      <c r="G272" s="232"/>
      <c r="H272" s="232"/>
      <c r="I272" s="212"/>
      <c r="J272" s="233" t="s">
        <v>645</v>
      </c>
      <c r="K272" s="274"/>
      <c r="L272" s="274"/>
      <c r="M272" s="274"/>
      <c r="N272" s="274"/>
      <c r="O272" s="413">
        <f>Calcu!G45</f>
        <v>0</v>
      </c>
      <c r="P272" s="413"/>
      <c r="Q272" s="225" t="s">
        <v>230</v>
      </c>
      <c r="S272" s="252"/>
      <c r="T272" s="252"/>
      <c r="U272" s="274"/>
      <c r="V272" s="274"/>
      <c r="W272" s="274"/>
      <c r="X272" s="274"/>
      <c r="Y272" s="274"/>
      <c r="Z272" s="274"/>
      <c r="AA272" s="274"/>
      <c r="AB272" s="274"/>
      <c r="AC272" s="274"/>
      <c r="AD272" s="274"/>
      <c r="AE272" s="274"/>
      <c r="AF272" s="274"/>
      <c r="AG272" s="274"/>
      <c r="AH272" s="274"/>
      <c r="AI272" s="274"/>
      <c r="AJ272" s="274"/>
      <c r="AK272" s="274"/>
      <c r="AL272" s="274"/>
      <c r="AM272" s="274"/>
      <c r="AN272" s="274"/>
      <c r="AO272" s="274"/>
      <c r="AP272" s="274"/>
      <c r="AQ272" s="274"/>
      <c r="AR272" s="274"/>
      <c r="AS272" s="274"/>
      <c r="AT272" s="274"/>
      <c r="AU272" s="274"/>
      <c r="AV272" s="274"/>
      <c r="AW272" s="274"/>
      <c r="AX272" s="274"/>
      <c r="AY272" s="274"/>
      <c r="AZ272" s="274"/>
      <c r="BA272" s="274"/>
      <c r="BB272" s="212"/>
      <c r="BC272" s="212"/>
      <c r="BD272" s="212"/>
      <c r="BE272" s="212"/>
      <c r="BF272" s="212"/>
      <c r="BG272" s="212"/>
    </row>
    <row r="273" spans="2:68" s="247" customFormat="1" ht="18.75" customHeight="1">
      <c r="B273" s="212"/>
      <c r="C273" s="232"/>
      <c r="D273" s="232"/>
      <c r="E273" s="232"/>
      <c r="F273" s="232"/>
      <c r="G273" s="232"/>
      <c r="H273" s="232"/>
      <c r="I273" s="232"/>
      <c r="J273" s="232"/>
      <c r="K273" s="414" t="s">
        <v>658</v>
      </c>
      <c r="L273" s="414"/>
      <c r="M273" s="414"/>
      <c r="N273" s="390" t="s">
        <v>476</v>
      </c>
      <c r="O273" s="415">
        <v>2</v>
      </c>
      <c r="P273" s="415"/>
      <c r="Q273" s="390" t="s">
        <v>483</v>
      </c>
      <c r="R273" s="411">
        <f>O272</f>
        <v>0</v>
      </c>
      <c r="S273" s="411"/>
      <c r="T273" s="255" t="str">
        <f>Q272</f>
        <v>μm</v>
      </c>
      <c r="U273" s="255"/>
      <c r="V273" s="390" t="s">
        <v>476</v>
      </c>
      <c r="W273" s="407">
        <f>O273/O274*R273/SQRT(3)</f>
        <v>0</v>
      </c>
      <c r="X273" s="407"/>
      <c r="Y273" s="407"/>
      <c r="Z273" s="409" t="str">
        <f>T273</f>
        <v>μm</v>
      </c>
      <c r="AA273" s="409"/>
      <c r="AB273" s="265"/>
      <c r="AC273" s="265"/>
      <c r="AI273" s="265"/>
      <c r="AJ273" s="232"/>
      <c r="AK273" s="232"/>
      <c r="AL273" s="232"/>
      <c r="AM273" s="232"/>
      <c r="AN273" s="232"/>
      <c r="AO273" s="232"/>
      <c r="AP273" s="232"/>
      <c r="AQ273" s="232"/>
      <c r="AR273" s="232"/>
      <c r="AS273" s="232"/>
      <c r="AT273" s="232"/>
      <c r="AU273" s="232"/>
      <c r="AV273" s="212"/>
      <c r="AW273" s="212"/>
      <c r="AX273" s="212"/>
      <c r="AY273" s="212"/>
      <c r="AZ273" s="232"/>
      <c r="BA273" s="232"/>
      <c r="BB273" s="232"/>
      <c r="BC273" s="232"/>
      <c r="BD273" s="232"/>
      <c r="BE273" s="232"/>
      <c r="BF273" s="232"/>
      <c r="BG273" s="232"/>
      <c r="BH273" s="212"/>
      <c r="BI273" s="212"/>
      <c r="BJ273" s="212"/>
      <c r="BK273" s="212"/>
      <c r="BL273" s="212"/>
      <c r="BM273" s="212"/>
      <c r="BN273" s="212"/>
      <c r="BO273" s="212"/>
      <c r="BP273" s="212"/>
    </row>
    <row r="274" spans="2:68" s="247" customFormat="1" ht="18.75" customHeight="1">
      <c r="B274" s="212"/>
      <c r="C274" s="232"/>
      <c r="D274" s="232"/>
      <c r="E274" s="232"/>
      <c r="F274" s="232"/>
      <c r="G274" s="232"/>
      <c r="H274" s="232"/>
      <c r="I274" s="232"/>
      <c r="J274" s="232"/>
      <c r="K274" s="414"/>
      <c r="L274" s="414"/>
      <c r="M274" s="414"/>
      <c r="N274" s="390"/>
      <c r="O274" s="412">
        <v>9</v>
      </c>
      <c r="P274" s="412"/>
      <c r="Q274" s="390"/>
      <c r="R274" s="412"/>
      <c r="S274" s="412"/>
      <c r="T274" s="412"/>
      <c r="U274" s="412"/>
      <c r="V274" s="390"/>
      <c r="W274" s="407"/>
      <c r="X274" s="407"/>
      <c r="Y274" s="407"/>
      <c r="Z274" s="409"/>
      <c r="AA274" s="409"/>
      <c r="AB274" s="265"/>
      <c r="AC274" s="265"/>
      <c r="AI274" s="265"/>
      <c r="AJ274" s="232"/>
      <c r="AK274" s="232"/>
      <c r="AL274" s="232"/>
      <c r="AM274" s="232"/>
      <c r="AN274" s="232"/>
      <c r="AO274" s="232"/>
      <c r="AP274" s="232"/>
      <c r="AQ274" s="232"/>
      <c r="AR274" s="232"/>
      <c r="AS274" s="232"/>
      <c r="AT274" s="232"/>
      <c r="AU274" s="232"/>
      <c r="AV274" s="212"/>
      <c r="AW274" s="212"/>
      <c r="AX274" s="212"/>
      <c r="AY274" s="212"/>
      <c r="AZ274" s="232"/>
      <c r="BA274" s="232"/>
      <c r="BB274" s="232"/>
      <c r="BC274" s="232"/>
      <c r="BD274" s="232"/>
      <c r="BE274" s="232"/>
      <c r="BF274" s="232"/>
      <c r="BG274" s="232"/>
      <c r="BH274" s="212"/>
      <c r="BI274" s="212"/>
      <c r="BJ274" s="212"/>
      <c r="BK274" s="212"/>
      <c r="BL274" s="212"/>
      <c r="BM274" s="212"/>
      <c r="BN274" s="212"/>
      <c r="BO274" s="212"/>
      <c r="BP274" s="212"/>
    </row>
    <row r="275" spans="2:68" s="247" customFormat="1" ht="18.75" customHeight="1">
      <c r="B275" s="212"/>
      <c r="C275" s="232" t="s">
        <v>659</v>
      </c>
      <c r="D275" s="232"/>
      <c r="E275" s="232"/>
      <c r="F275" s="232"/>
      <c r="G275" s="232"/>
      <c r="H275" s="232"/>
      <c r="I275" s="406" t="str">
        <f>AB94</f>
        <v>직사각형</v>
      </c>
      <c r="J275" s="406"/>
      <c r="K275" s="406"/>
      <c r="L275" s="406"/>
      <c r="M275" s="406"/>
      <c r="N275" s="406"/>
      <c r="O275" s="406"/>
      <c r="P275" s="406"/>
      <c r="Q275" s="232"/>
      <c r="R275" s="232"/>
      <c r="S275" s="232"/>
      <c r="T275" s="232"/>
      <c r="U275" s="232"/>
      <c r="V275" s="232"/>
      <c r="W275" s="232"/>
      <c r="X275" s="232"/>
      <c r="Y275" s="232"/>
      <c r="Z275" s="212"/>
      <c r="AA275" s="212"/>
      <c r="AB275" s="212"/>
      <c r="AC275" s="212"/>
      <c r="AD275" s="212"/>
      <c r="AE275" s="212"/>
      <c r="AF275" s="212"/>
      <c r="AG275" s="212"/>
      <c r="AH275" s="232"/>
      <c r="AI275" s="232"/>
      <c r="AJ275" s="232"/>
      <c r="AK275" s="232"/>
      <c r="AL275" s="212"/>
      <c r="AM275" s="212"/>
      <c r="AN275" s="212"/>
      <c r="AO275" s="212"/>
      <c r="AP275" s="212"/>
      <c r="AQ275" s="212"/>
      <c r="AR275" s="212"/>
      <c r="AS275" s="232"/>
      <c r="AT275" s="232"/>
      <c r="AU275" s="232"/>
      <c r="AV275" s="232"/>
      <c r="AW275" s="232"/>
      <c r="AX275" s="232"/>
      <c r="AY275" s="212"/>
      <c r="AZ275" s="212"/>
      <c r="BA275" s="212"/>
      <c r="BB275" s="212"/>
      <c r="BC275" s="212"/>
      <c r="BD275" s="212"/>
      <c r="BE275" s="212"/>
      <c r="BF275" s="212"/>
      <c r="BG275" s="212"/>
    </row>
    <row r="276" spans="2:68" s="247" customFormat="1" ht="18.75" customHeight="1">
      <c r="B276" s="212"/>
      <c r="C276" s="389" t="s">
        <v>660</v>
      </c>
      <c r="D276" s="389"/>
      <c r="E276" s="389"/>
      <c r="F276" s="389"/>
      <c r="G276" s="389"/>
      <c r="H276" s="389"/>
      <c r="I276" s="232"/>
      <c r="J276" s="232"/>
      <c r="K276" s="232"/>
      <c r="L276" s="232"/>
      <c r="M276" s="232"/>
      <c r="N276" s="408">
        <f>AG94</f>
        <v>1</v>
      </c>
      <c r="O276" s="408"/>
      <c r="P276" s="268"/>
      <c r="Q276" s="268"/>
      <c r="R276" s="268"/>
      <c r="S276" s="232"/>
      <c r="T276" s="232"/>
      <c r="U276" s="232"/>
      <c r="V276" s="232"/>
      <c r="W276" s="232"/>
      <c r="X276" s="232"/>
      <c r="Y276" s="232"/>
      <c r="Z276" s="269"/>
      <c r="AA276" s="269"/>
      <c r="AB276" s="232"/>
      <c r="AC276" s="232"/>
      <c r="AD276" s="232"/>
      <c r="AE276" s="232"/>
      <c r="AF276" s="232"/>
      <c r="AG276" s="232"/>
      <c r="AH276" s="232"/>
      <c r="AI276" s="232"/>
      <c r="AJ276" s="232"/>
      <c r="AK276" s="232"/>
      <c r="AL276" s="212"/>
      <c r="AM276" s="212"/>
      <c r="AN276" s="212"/>
      <c r="AO276" s="232"/>
      <c r="AP276" s="232"/>
      <c r="AQ276" s="232"/>
      <c r="AR276" s="232"/>
      <c r="AS276" s="232"/>
      <c r="AT276" s="232"/>
      <c r="AU276" s="232"/>
      <c r="AV276" s="232"/>
      <c r="AW276" s="232"/>
      <c r="AX276" s="232"/>
      <c r="AY276" s="212"/>
      <c r="AZ276" s="212"/>
      <c r="BA276" s="212"/>
      <c r="BB276" s="212"/>
      <c r="BC276" s="212"/>
      <c r="BD276" s="212"/>
      <c r="BE276" s="212"/>
      <c r="BF276" s="212"/>
      <c r="BG276" s="212"/>
    </row>
    <row r="277" spans="2:68" s="247" customFormat="1" ht="18.75" customHeight="1">
      <c r="B277" s="212"/>
      <c r="C277" s="389"/>
      <c r="D277" s="389"/>
      <c r="E277" s="389"/>
      <c r="F277" s="389"/>
      <c r="G277" s="389"/>
      <c r="H277" s="389"/>
      <c r="I277" s="232"/>
      <c r="J277" s="232"/>
      <c r="K277" s="232"/>
      <c r="L277" s="232"/>
      <c r="M277" s="232"/>
      <c r="N277" s="408"/>
      <c r="O277" s="408"/>
      <c r="P277" s="268"/>
      <c r="Q277" s="268"/>
      <c r="R277" s="268"/>
      <c r="S277" s="232"/>
      <c r="T277" s="232"/>
      <c r="U277" s="232"/>
      <c r="V277" s="232"/>
      <c r="W277" s="232"/>
      <c r="X277" s="232"/>
      <c r="Y277" s="232"/>
      <c r="Z277" s="269"/>
      <c r="AA277" s="269"/>
      <c r="AB277" s="232"/>
      <c r="AC277" s="232"/>
      <c r="AD277" s="232"/>
      <c r="AE277" s="232"/>
      <c r="AF277" s="232"/>
      <c r="AG277" s="232"/>
      <c r="AH277" s="232"/>
      <c r="AI277" s="232"/>
      <c r="AJ277" s="232"/>
      <c r="AK277" s="232"/>
      <c r="AL277" s="212"/>
      <c r="AM277" s="212"/>
      <c r="AN277" s="212"/>
      <c r="AO277" s="232"/>
      <c r="AP277" s="232"/>
      <c r="AQ277" s="232"/>
      <c r="AR277" s="232"/>
      <c r="AS277" s="232"/>
      <c r="AT277" s="232"/>
      <c r="AU277" s="232"/>
      <c r="AV277" s="232"/>
      <c r="AW277" s="232"/>
      <c r="AX277" s="232"/>
      <c r="AY277" s="212"/>
      <c r="AZ277" s="212"/>
      <c r="BA277" s="212"/>
      <c r="BB277" s="212"/>
      <c r="BC277" s="212"/>
      <c r="BD277" s="212"/>
      <c r="BE277" s="212"/>
      <c r="BF277" s="212"/>
      <c r="BG277" s="212"/>
    </row>
    <row r="278" spans="2:68" s="247" customFormat="1" ht="18.75" customHeight="1">
      <c r="B278" s="212"/>
      <c r="C278" s="232" t="s">
        <v>661</v>
      </c>
      <c r="D278" s="232"/>
      <c r="E278" s="232"/>
      <c r="F278" s="232"/>
      <c r="G278" s="232"/>
      <c r="H278" s="232"/>
      <c r="I278" s="232"/>
      <c r="J278" s="212"/>
      <c r="K278" s="212" t="s">
        <v>519</v>
      </c>
      <c r="L278" s="392">
        <f>N276</f>
        <v>1</v>
      </c>
      <c r="M278" s="392"/>
      <c r="N278" s="212" t="s">
        <v>483</v>
      </c>
      <c r="O278" s="407">
        <f>W273</f>
        <v>0</v>
      </c>
      <c r="P278" s="409"/>
      <c r="Q278" s="409"/>
      <c r="R278" s="410" t="str">
        <f>Z273</f>
        <v>μm</v>
      </c>
      <c r="S278" s="409"/>
      <c r="T278" s="234" t="s">
        <v>662</v>
      </c>
      <c r="U278" s="244" t="s">
        <v>476</v>
      </c>
      <c r="V278" s="407">
        <f>L278*O278</f>
        <v>0</v>
      </c>
      <c r="W278" s="407"/>
      <c r="X278" s="407"/>
      <c r="Y278" s="240" t="str">
        <f>R278</f>
        <v>μm</v>
      </c>
      <c r="Z278" s="55"/>
      <c r="AA278" s="225"/>
      <c r="AB278" s="266"/>
      <c r="AC278" s="251"/>
      <c r="AD278" s="212"/>
      <c r="AE278" s="232"/>
      <c r="AF278" s="212"/>
      <c r="AG278" s="212"/>
      <c r="AH278" s="212"/>
      <c r="AI278" s="212"/>
      <c r="AJ278" s="212"/>
      <c r="AK278" s="232"/>
      <c r="AL278" s="212"/>
      <c r="AM278" s="212"/>
      <c r="AN278" s="212"/>
      <c r="AO278" s="232"/>
      <c r="AP278" s="232"/>
      <c r="AQ278" s="232"/>
      <c r="AR278" s="232"/>
      <c r="AS278" s="232"/>
      <c r="AT278" s="232"/>
      <c r="AU278" s="232"/>
      <c r="AV278" s="232"/>
      <c r="AW278" s="232"/>
      <c r="AX278" s="232"/>
      <c r="AY278" s="212"/>
      <c r="AZ278" s="212"/>
      <c r="BA278" s="212"/>
      <c r="BB278" s="212"/>
      <c r="BC278" s="212"/>
      <c r="BD278" s="212"/>
      <c r="BE278" s="212"/>
      <c r="BF278" s="212"/>
      <c r="BG278" s="212"/>
    </row>
    <row r="279" spans="2:68" s="247" customFormat="1" ht="18.75" customHeight="1">
      <c r="B279" s="212"/>
      <c r="C279" s="389" t="s">
        <v>663</v>
      </c>
      <c r="D279" s="389"/>
      <c r="E279" s="389"/>
      <c r="F279" s="389"/>
      <c r="G279" s="389"/>
      <c r="H279" s="232"/>
      <c r="J279" s="232"/>
      <c r="K279" s="232"/>
      <c r="L279" s="232"/>
      <c r="M279" s="232"/>
      <c r="N279" s="232"/>
      <c r="O279" s="232"/>
      <c r="P279" s="232"/>
      <c r="Q279" s="232"/>
      <c r="R279" s="251"/>
      <c r="S279" s="232"/>
      <c r="T279" s="232"/>
      <c r="U279" s="232"/>
      <c r="W279" s="232"/>
      <c r="X279" s="213" t="s">
        <v>664</v>
      </c>
      <c r="Y279" s="232"/>
      <c r="Z279" s="232"/>
      <c r="AA279" s="232"/>
      <c r="AB279" s="232"/>
      <c r="AC279" s="232"/>
      <c r="AD279" s="232"/>
      <c r="AE279" s="212"/>
      <c r="AF279" s="212"/>
      <c r="AG279" s="212"/>
      <c r="AH279" s="212"/>
      <c r="AI279" s="212"/>
      <c r="AJ279" s="212"/>
      <c r="AK279" s="212"/>
      <c r="AL279" s="212"/>
      <c r="AM279" s="212"/>
      <c r="AN279" s="212"/>
      <c r="AO279" s="212"/>
      <c r="AP279" s="212"/>
      <c r="AQ279" s="212"/>
      <c r="AR279" s="212"/>
      <c r="AS279" s="212"/>
      <c r="AT279" s="212"/>
      <c r="AU279" s="212"/>
      <c r="AV279" s="212"/>
      <c r="AW279" s="212"/>
      <c r="AX279" s="212"/>
      <c r="AY279" s="212"/>
      <c r="AZ279" s="212"/>
      <c r="BA279" s="212"/>
      <c r="BB279" s="212"/>
      <c r="BC279" s="212"/>
      <c r="BD279" s="212"/>
      <c r="BE279" s="212"/>
      <c r="BF279" s="212"/>
      <c r="BG279" s="212"/>
    </row>
    <row r="280" spans="2:68" s="247" customFormat="1" ht="18.75" customHeight="1">
      <c r="B280" s="212"/>
      <c r="C280" s="389"/>
      <c r="D280" s="389"/>
      <c r="E280" s="389"/>
      <c r="F280" s="389"/>
      <c r="G280" s="389"/>
      <c r="H280" s="232"/>
      <c r="I280" s="232"/>
      <c r="J280" s="232"/>
      <c r="K280" s="232"/>
      <c r="L280" s="232"/>
      <c r="M280" s="232"/>
      <c r="N280" s="232"/>
      <c r="O280" s="232"/>
      <c r="P280" s="232"/>
      <c r="Q280" s="232"/>
      <c r="R280" s="251"/>
      <c r="S280" s="232"/>
      <c r="T280" s="232"/>
      <c r="U280" s="232"/>
      <c r="V280" s="232"/>
      <c r="W280" s="232"/>
      <c r="X280" s="232"/>
      <c r="Y280" s="232"/>
      <c r="Z280" s="232"/>
      <c r="AA280" s="232"/>
      <c r="AB280" s="232"/>
      <c r="AC280" s="232"/>
      <c r="AD280" s="232"/>
      <c r="AE280" s="212"/>
      <c r="AF280" s="232"/>
      <c r="AG280" s="212"/>
      <c r="AH280" s="212"/>
      <c r="AI280" s="212"/>
      <c r="AJ280" s="212"/>
      <c r="AK280" s="212"/>
      <c r="AL280" s="212"/>
      <c r="AM280" s="212"/>
      <c r="AN280" s="212"/>
      <c r="AO280" s="212"/>
      <c r="AP280" s="212"/>
      <c r="AQ280" s="212"/>
      <c r="AR280" s="212"/>
      <c r="AS280" s="212"/>
      <c r="AT280" s="212"/>
      <c r="AU280" s="212"/>
      <c r="AV280" s="212"/>
      <c r="AW280" s="212"/>
      <c r="AX280" s="212"/>
      <c r="AY280" s="212"/>
      <c r="AZ280" s="212"/>
      <c r="BA280" s="212"/>
      <c r="BB280" s="212"/>
      <c r="BC280" s="212"/>
      <c r="BD280" s="212"/>
      <c r="BE280" s="212"/>
      <c r="BF280" s="212"/>
      <c r="BG280" s="212"/>
    </row>
    <row r="281" spans="2:68" s="247" customFormat="1" ht="18.75" customHeight="1">
      <c r="B281" s="212"/>
      <c r="C281" s="232"/>
      <c r="D281" s="232"/>
      <c r="E281" s="232"/>
      <c r="F281" s="232"/>
      <c r="G281" s="212"/>
      <c r="H281" s="232"/>
      <c r="I281" s="232"/>
      <c r="J281" s="232"/>
      <c r="K281" s="232"/>
      <c r="L281" s="232"/>
      <c r="M281" s="232"/>
      <c r="N281" s="232"/>
      <c r="O281" s="232"/>
      <c r="P281" s="232"/>
      <c r="Q281" s="232"/>
      <c r="R281" s="232"/>
      <c r="S281" s="232"/>
      <c r="AB281" s="232"/>
      <c r="AC281" s="232"/>
      <c r="AD281" s="232"/>
      <c r="AE281" s="212"/>
      <c r="AF281" s="232"/>
      <c r="AG281" s="212"/>
      <c r="AH281" s="212"/>
      <c r="AI281" s="212"/>
      <c r="AJ281" s="212"/>
      <c r="AK281" s="212"/>
      <c r="AL281" s="212"/>
      <c r="AM281" s="212"/>
      <c r="AN281" s="212"/>
      <c r="AO281" s="212"/>
      <c r="AP281" s="212"/>
      <c r="AQ281" s="212"/>
      <c r="AR281" s="212"/>
      <c r="AS281" s="212"/>
      <c r="AT281" s="212"/>
      <c r="AU281" s="212"/>
      <c r="AV281" s="212"/>
      <c r="AW281" s="212"/>
      <c r="AX281" s="212"/>
      <c r="AY281" s="212"/>
      <c r="AZ281" s="212"/>
      <c r="BA281" s="212"/>
      <c r="BB281" s="212"/>
      <c r="BC281" s="212"/>
      <c r="BD281" s="212"/>
      <c r="BE281" s="212"/>
      <c r="BF281" s="212"/>
      <c r="BG281" s="212"/>
    </row>
    <row r="282" spans="2:68" s="247" customFormat="1" ht="18.75" customHeight="1">
      <c r="B282" s="272" t="s">
        <v>665</v>
      </c>
      <c r="C282" s="211" t="s">
        <v>666</v>
      </c>
      <c r="E282" s="232"/>
      <c r="F282" s="232"/>
      <c r="G282" s="212"/>
      <c r="H282" s="232"/>
      <c r="I282" s="232"/>
      <c r="J282" s="232"/>
      <c r="K282" s="232"/>
      <c r="L282" s="232"/>
      <c r="M282" s="232"/>
      <c r="N282" s="232"/>
      <c r="O282" s="232"/>
      <c r="P282" s="232"/>
      <c r="R282" s="232"/>
      <c r="S282" s="263"/>
      <c r="T282" s="232"/>
      <c r="U282" s="232"/>
      <c r="Y282" s="232"/>
      <c r="Z282" s="232"/>
      <c r="AA282" s="232"/>
      <c r="AB282" s="232"/>
      <c r="AC282" s="232"/>
      <c r="AD282" s="232"/>
      <c r="AE282" s="212"/>
      <c r="AF282" s="232"/>
      <c r="AG282" s="212"/>
      <c r="AH282" s="212"/>
      <c r="AI282" s="212"/>
      <c r="AJ282" s="212"/>
      <c r="AK282" s="212"/>
      <c r="AL282" s="212"/>
      <c r="AM282" s="212"/>
      <c r="AN282" s="212"/>
      <c r="AO282" s="212"/>
      <c r="AP282" s="212"/>
      <c r="AQ282" s="212"/>
      <c r="AR282" s="212"/>
      <c r="AS282" s="212"/>
      <c r="AT282" s="212"/>
      <c r="AU282" s="212"/>
      <c r="AV282" s="212"/>
      <c r="AW282" s="212"/>
      <c r="AX282" s="212"/>
      <c r="AY282" s="212"/>
      <c r="AZ282" s="212"/>
      <c r="BA282" s="212"/>
      <c r="BB282" s="212"/>
      <c r="BC282" s="212"/>
      <c r="BD282" s="212"/>
      <c r="BE282" s="212"/>
      <c r="BF282" s="212"/>
      <c r="BG282" s="212"/>
    </row>
    <row r="283" spans="2:68" s="247" customFormat="1" ht="18.75" customHeight="1">
      <c r="B283" s="273"/>
      <c r="C283" s="232" t="s">
        <v>667</v>
      </c>
      <c r="D283" s="232"/>
      <c r="E283" s="232"/>
      <c r="F283" s="232"/>
      <c r="G283" s="212"/>
      <c r="H283" s="232"/>
      <c r="I283" s="232"/>
      <c r="J283" s="232"/>
      <c r="K283" s="232"/>
      <c r="L283" s="232"/>
      <c r="M283" s="232"/>
      <c r="N283" s="232"/>
      <c r="O283" s="232"/>
      <c r="P283" s="232"/>
      <c r="Q283" s="263"/>
      <c r="R283" s="232"/>
      <c r="S283" s="232"/>
      <c r="T283" s="232"/>
      <c r="U283" s="232"/>
      <c r="V283" s="232"/>
      <c r="W283" s="232"/>
      <c r="X283" s="232"/>
      <c r="Y283" s="232"/>
      <c r="Z283" s="232"/>
      <c r="AA283" s="232"/>
      <c r="AB283" s="232"/>
      <c r="AC283" s="232"/>
      <c r="AD283" s="232"/>
      <c r="AE283" s="212"/>
      <c r="AF283" s="232"/>
      <c r="AG283" s="212"/>
      <c r="AH283" s="212"/>
      <c r="AI283" s="212"/>
      <c r="AJ283" s="212"/>
      <c r="AK283" s="212"/>
      <c r="AL283" s="212"/>
      <c r="AM283" s="212"/>
      <c r="AN283" s="212"/>
      <c r="AO283" s="212"/>
      <c r="AP283" s="212"/>
      <c r="AQ283" s="212"/>
      <c r="AR283" s="212"/>
      <c r="AS283" s="212"/>
      <c r="AT283" s="212"/>
      <c r="AU283" s="212"/>
      <c r="AV283" s="212"/>
      <c r="AW283" s="212"/>
      <c r="AX283" s="212"/>
      <c r="AY283" s="212"/>
      <c r="AZ283" s="212"/>
      <c r="BA283" s="212"/>
      <c r="BB283" s="212"/>
      <c r="BC283" s="212"/>
      <c r="BD283" s="212"/>
      <c r="BE283" s="212"/>
      <c r="BF283" s="212"/>
      <c r="BG283" s="212"/>
    </row>
    <row r="284" spans="2:68" s="247" customFormat="1" ht="18.75" customHeight="1">
      <c r="B284" s="273"/>
      <c r="C284" s="275" t="s">
        <v>582</v>
      </c>
      <c r="D284" s="232"/>
      <c r="E284" s="232"/>
      <c r="F284" s="232"/>
      <c r="G284" s="212"/>
      <c r="H284" s="232"/>
      <c r="I284" s="232" t="s">
        <v>668</v>
      </c>
      <c r="J284" s="232"/>
      <c r="K284" s="232"/>
      <c r="L284" s="232"/>
      <c r="M284" s="232"/>
      <c r="N284" s="232"/>
      <c r="O284" s="232"/>
      <c r="P284" s="232"/>
      <c r="Q284" s="263"/>
      <c r="R284" s="232"/>
      <c r="S284" s="232"/>
      <c r="T284" s="232"/>
      <c r="U284" s="232"/>
      <c r="V284" s="232"/>
      <c r="W284" s="232"/>
      <c r="X284" s="232"/>
      <c r="Y284" s="232"/>
      <c r="Z284" s="232"/>
      <c r="AA284" s="232"/>
      <c r="AB284" s="232"/>
      <c r="AC284" s="232"/>
      <c r="AD284" s="232"/>
      <c r="AE284" s="212"/>
      <c r="AF284" s="232"/>
      <c r="AG284" s="212"/>
      <c r="AH284" s="212"/>
      <c r="AI284" s="212"/>
      <c r="AJ284" s="212"/>
      <c r="AK284" s="212"/>
      <c r="AL284" s="212"/>
      <c r="AM284" s="212"/>
      <c r="AN284" s="212"/>
      <c r="AO284" s="212"/>
      <c r="AP284" s="212"/>
      <c r="AQ284" s="212"/>
      <c r="AR284" s="212"/>
      <c r="AS284" s="212"/>
      <c r="AT284" s="212"/>
      <c r="AU284" s="212"/>
      <c r="AV284" s="212"/>
      <c r="AW284" s="212"/>
      <c r="AX284" s="212"/>
      <c r="AY284" s="212"/>
      <c r="AZ284" s="212"/>
      <c r="BA284" s="212"/>
      <c r="BB284" s="212"/>
      <c r="BC284" s="212"/>
      <c r="BD284" s="212"/>
      <c r="BE284" s="212"/>
      <c r="BF284" s="212"/>
      <c r="BG284" s="212"/>
    </row>
    <row r="285" spans="2:68" s="247" customFormat="1" ht="18.75" customHeight="1">
      <c r="C285" s="212"/>
      <c r="D285" s="232" t="s">
        <v>669</v>
      </c>
      <c r="E285" s="232"/>
      <c r="F285" s="232"/>
      <c r="G285" s="232"/>
      <c r="H285" s="232"/>
      <c r="I285" s="232"/>
      <c r="J285" s="212"/>
      <c r="K285" s="233"/>
      <c r="L285" s="274"/>
      <c r="M285" s="274"/>
      <c r="N285" s="274"/>
      <c r="O285" s="274"/>
      <c r="P285" s="276"/>
      <c r="Q285" s="276"/>
      <c r="R285" s="225"/>
      <c r="T285" s="252"/>
      <c r="U285" s="252"/>
      <c r="V285" s="274"/>
      <c r="W285" s="274"/>
      <c r="X285" s="404" t="e">
        <f>O85</f>
        <v>#VALUE!</v>
      </c>
      <c r="Y285" s="405"/>
      <c r="Z285" s="405"/>
      <c r="AA285" s="405" t="str">
        <f>V85</f>
        <v>℃</v>
      </c>
      <c r="AB285" s="405"/>
      <c r="AC285" s="274"/>
      <c r="AD285" s="274"/>
      <c r="AE285" s="274"/>
      <c r="AF285" s="274"/>
      <c r="AG285" s="274"/>
      <c r="AH285" s="274"/>
      <c r="AI285" s="274"/>
      <c r="AJ285" s="274"/>
      <c r="AK285" s="274"/>
      <c r="AL285" s="274"/>
      <c r="AM285" s="274"/>
      <c r="AN285" s="274"/>
      <c r="AO285" s="274"/>
      <c r="AP285" s="274"/>
      <c r="AQ285" s="274"/>
      <c r="AR285" s="274"/>
      <c r="AS285" s="274"/>
      <c r="AT285" s="274"/>
      <c r="AU285" s="274"/>
      <c r="AV285" s="274"/>
      <c r="AW285" s="274"/>
      <c r="AX285" s="274"/>
      <c r="AY285" s="274"/>
      <c r="AZ285" s="274"/>
      <c r="BA285" s="274"/>
      <c r="BB285" s="274"/>
      <c r="BC285" s="212"/>
      <c r="BD285" s="212"/>
      <c r="BE285" s="212"/>
      <c r="BF285" s="212"/>
      <c r="BG285" s="212"/>
      <c r="BH285" s="212"/>
    </row>
    <row r="286" spans="2:68" s="247" customFormat="1" ht="18.75" customHeight="1">
      <c r="C286" s="212"/>
      <c r="D286" s="232" t="s">
        <v>670</v>
      </c>
      <c r="E286" s="232"/>
      <c r="F286" s="232"/>
      <c r="G286" s="232"/>
      <c r="H286" s="232"/>
      <c r="I286" s="232"/>
      <c r="J286" s="406" t="str">
        <f>AB95</f>
        <v>정규</v>
      </c>
      <c r="K286" s="406"/>
      <c r="L286" s="406"/>
      <c r="M286" s="406"/>
      <c r="N286" s="406"/>
      <c r="O286" s="406"/>
      <c r="P286" s="406"/>
      <c r="Q286" s="406"/>
      <c r="R286" s="232"/>
      <c r="S286" s="232"/>
      <c r="T286" s="232"/>
      <c r="U286" s="232"/>
      <c r="V286" s="232"/>
      <c r="W286" s="232"/>
      <c r="X286" s="232"/>
      <c r="Y286" s="232"/>
      <c r="Z286" s="232"/>
      <c r="AA286" s="212"/>
      <c r="AB286" s="212"/>
      <c r="AC286" s="212"/>
      <c r="AD286" s="212"/>
      <c r="AE286" s="212"/>
      <c r="AF286" s="212"/>
      <c r="AG286" s="212"/>
      <c r="AH286" s="212"/>
      <c r="AI286" s="232"/>
      <c r="AJ286" s="232"/>
      <c r="AK286" s="232"/>
      <c r="AL286" s="232"/>
      <c r="AM286" s="212"/>
      <c r="AN286" s="212"/>
      <c r="AO286" s="212"/>
      <c r="AP286" s="212"/>
      <c r="AQ286" s="212"/>
      <c r="AR286" s="212"/>
      <c r="AS286" s="212"/>
      <c r="AT286" s="232"/>
      <c r="AU286" s="232"/>
      <c r="AV286" s="232"/>
      <c r="AW286" s="232"/>
      <c r="AX286" s="232"/>
      <c r="AY286" s="232"/>
      <c r="AZ286" s="212"/>
      <c r="BA286" s="212"/>
      <c r="BB286" s="212"/>
      <c r="BC286" s="212"/>
      <c r="BD286" s="212"/>
      <c r="BE286" s="212"/>
      <c r="BF286" s="212"/>
      <c r="BG286" s="212"/>
      <c r="BH286" s="212"/>
    </row>
    <row r="287" spans="2:68" s="247" customFormat="1" ht="18.75" customHeight="1">
      <c r="C287" s="212"/>
      <c r="D287" s="232" t="s">
        <v>671</v>
      </c>
      <c r="E287" s="232"/>
      <c r="F287" s="232"/>
      <c r="G287" s="232"/>
      <c r="H287" s="232"/>
      <c r="I287" s="232"/>
      <c r="J287" s="232"/>
      <c r="K287" s="232"/>
      <c r="L287" s="232"/>
      <c r="M287" s="232"/>
      <c r="N287" s="232"/>
      <c r="O287" s="232"/>
      <c r="P287" s="232"/>
      <c r="Q287" s="268"/>
      <c r="R287" s="268"/>
      <c r="S287" s="268"/>
      <c r="T287" s="232"/>
      <c r="U287" s="232"/>
      <c r="V287" s="232"/>
      <c r="W287" s="232"/>
      <c r="X287" s="232"/>
      <c r="Y287" s="232"/>
      <c r="Z287" s="232"/>
      <c r="AA287" s="269"/>
      <c r="AB287" s="269"/>
      <c r="AC287" s="232"/>
      <c r="AD287" s="232"/>
      <c r="AE287" s="232"/>
      <c r="AF287" s="232"/>
      <c r="AG287" s="232"/>
      <c r="AH287" s="232"/>
      <c r="AI287" s="232"/>
      <c r="AJ287" s="232"/>
      <c r="AK287" s="232"/>
      <c r="AL287" s="232"/>
      <c r="AM287" s="212"/>
      <c r="AN287" s="212"/>
      <c r="AO287" s="212"/>
      <c r="AP287" s="232"/>
      <c r="AQ287" s="232"/>
      <c r="AR287" s="232"/>
      <c r="AS287" s="232"/>
      <c r="AT287" s="232"/>
      <c r="AU287" s="232"/>
      <c r="AV287" s="232"/>
      <c r="AW287" s="232"/>
      <c r="AX287" s="232"/>
      <c r="AY287" s="232"/>
      <c r="AZ287" s="212"/>
      <c r="BA287" s="212"/>
      <c r="BB287" s="212"/>
      <c r="BC287" s="212"/>
      <c r="BD287" s="212"/>
      <c r="BE287" s="212"/>
      <c r="BF287" s="212"/>
      <c r="BG287" s="212"/>
      <c r="BH287" s="212"/>
    </row>
    <row r="288" spans="2:68" s="247" customFormat="1" ht="18.75" customHeight="1">
      <c r="C288" s="212"/>
      <c r="D288" s="232" t="s">
        <v>672</v>
      </c>
      <c r="E288" s="232"/>
      <c r="F288" s="232"/>
      <c r="G288" s="232"/>
      <c r="H288" s="232"/>
      <c r="I288" s="232"/>
      <c r="J288" s="232"/>
      <c r="K288" s="212"/>
      <c r="L288" s="216" t="s">
        <v>673</v>
      </c>
      <c r="P288" s="216" t="str">
        <f>IF(H85=0,"0 이므로 2차항을 적용한다.","0 이 아니므로 2차항을 적용하지 않는다.")</f>
        <v>0 이 아니므로 2차항을 적용하지 않는다.</v>
      </c>
      <c r="AO288" s="212"/>
      <c r="AP288" s="232"/>
      <c r="AQ288" s="232"/>
      <c r="AR288" s="232"/>
      <c r="AS288" s="232"/>
      <c r="AT288" s="232"/>
      <c r="AU288" s="232"/>
      <c r="AV288" s="232"/>
      <c r="AW288" s="232"/>
      <c r="AX288" s="232"/>
      <c r="AY288" s="232"/>
      <c r="AZ288" s="212"/>
      <c r="BA288" s="212"/>
      <c r="BB288" s="212"/>
      <c r="BC288" s="212"/>
      <c r="BD288" s="212"/>
      <c r="BE288" s="212"/>
      <c r="BF288" s="212"/>
      <c r="BG288" s="212"/>
      <c r="BH288" s="212"/>
    </row>
    <row r="289" spans="1:60" s="247" customFormat="1" ht="18.75" customHeight="1">
      <c r="C289" s="212"/>
      <c r="D289" s="232"/>
      <c r="E289" s="232"/>
      <c r="F289" s="232"/>
      <c r="G289" s="232"/>
      <c r="H289" s="232"/>
      <c r="I289" s="232"/>
      <c r="J289" s="232"/>
      <c r="K289" s="212"/>
      <c r="L289" s="233"/>
      <c r="M289" s="274"/>
      <c r="N289" s="274"/>
      <c r="O289" s="274"/>
      <c r="P289" s="274"/>
      <c r="Q289" s="276"/>
      <c r="R289" s="276"/>
      <c r="S289" s="404" t="e">
        <f>X285</f>
        <v>#VALUE!</v>
      </c>
      <c r="T289" s="405"/>
      <c r="U289" s="405"/>
      <c r="V289" s="405" t="str">
        <f>AA285</f>
        <v>℃</v>
      </c>
      <c r="W289" s="405"/>
      <c r="X289" s="277" t="s">
        <v>674</v>
      </c>
      <c r="AD289" s="251"/>
      <c r="AE289" s="403" t="e">
        <f>AP95</f>
        <v>#VALUE!</v>
      </c>
      <c r="AF289" s="389"/>
      <c r="AG289" s="389"/>
      <c r="AH289" s="389"/>
      <c r="AI289" s="389" t="s">
        <v>443</v>
      </c>
      <c r="AJ289" s="389"/>
      <c r="AK289" s="389"/>
      <c r="AL289" s="389"/>
      <c r="AM289" s="389"/>
      <c r="AN289" s="389"/>
      <c r="AO289" s="212"/>
      <c r="AP289" s="232"/>
      <c r="AQ289" s="232"/>
      <c r="AR289" s="232"/>
      <c r="AS289" s="232"/>
      <c r="AT289" s="232"/>
      <c r="AU289" s="232"/>
      <c r="AV289" s="232"/>
      <c r="AW289" s="232"/>
      <c r="AX289" s="232"/>
      <c r="AY289" s="232"/>
      <c r="AZ289" s="212"/>
      <c r="BA289" s="212"/>
      <c r="BB289" s="212"/>
      <c r="BC289" s="212"/>
      <c r="BD289" s="212"/>
      <c r="BE289" s="212"/>
      <c r="BF289" s="212"/>
      <c r="BG289" s="212"/>
      <c r="BH289" s="212"/>
    </row>
    <row r="290" spans="1:60" s="247" customFormat="1" ht="18.75" customHeight="1">
      <c r="C290" s="212"/>
      <c r="D290" s="232" t="s">
        <v>675</v>
      </c>
      <c r="E290" s="232"/>
      <c r="F290" s="232"/>
      <c r="G290" s="232"/>
      <c r="H290" s="232"/>
      <c r="I290" s="232" t="s">
        <v>676</v>
      </c>
      <c r="K290" s="232"/>
      <c r="L290" s="232"/>
      <c r="M290" s="232"/>
      <c r="N290" s="232"/>
      <c r="O290" s="232"/>
      <c r="P290" s="232"/>
      <c r="Q290" s="232"/>
      <c r="R290" s="232"/>
      <c r="S290" s="251"/>
      <c r="T290" s="232"/>
      <c r="U290" s="232"/>
      <c r="V290" s="232"/>
      <c r="X290" s="232"/>
      <c r="Y290" s="213"/>
      <c r="Z290" s="232"/>
      <c r="AA290" s="232"/>
      <c r="AB290" s="232"/>
      <c r="AC290" s="232"/>
      <c r="AD290" s="232"/>
      <c r="AE290" s="232"/>
      <c r="AF290" s="212"/>
      <c r="AG290" s="212"/>
      <c r="AH290" s="212"/>
      <c r="AI290" s="212"/>
      <c r="AJ290" s="212"/>
      <c r="AK290" s="212"/>
      <c r="AL290" s="212"/>
      <c r="AM290" s="212"/>
      <c r="AN290" s="212"/>
      <c r="AO290" s="212"/>
      <c r="AP290" s="212"/>
      <c r="AQ290" s="212"/>
      <c r="AR290" s="212"/>
      <c r="AS290" s="212"/>
      <c r="AT290" s="212"/>
      <c r="AU290" s="212"/>
      <c r="AV290" s="212"/>
      <c r="AW290" s="212"/>
      <c r="AX290" s="212"/>
      <c r="AY290" s="212"/>
      <c r="AZ290" s="212"/>
      <c r="BA290" s="212"/>
      <c r="BB290" s="212"/>
      <c r="BC290" s="212"/>
      <c r="BD290" s="212"/>
      <c r="BE290" s="212"/>
      <c r="BF290" s="212"/>
      <c r="BG290" s="212"/>
      <c r="BH290" s="212"/>
    </row>
    <row r="291" spans="1:60" s="247" customFormat="1" ht="18.75" customHeight="1">
      <c r="C291" s="212"/>
      <c r="D291" s="232"/>
      <c r="E291" s="232"/>
      <c r="F291" s="232"/>
      <c r="G291" s="232"/>
      <c r="H291" s="232"/>
      <c r="I291" s="232"/>
      <c r="J291" s="232"/>
      <c r="K291" s="232"/>
      <c r="L291" s="232"/>
      <c r="M291" s="232"/>
      <c r="N291" s="232"/>
      <c r="O291" s="232"/>
      <c r="P291" s="232"/>
      <c r="Q291" s="232"/>
      <c r="R291" s="232"/>
      <c r="S291" s="251"/>
      <c r="T291" s="232"/>
      <c r="U291" s="232"/>
      <c r="V291" s="232"/>
      <c r="W291" s="232"/>
      <c r="X291" s="232"/>
      <c r="Y291" s="232"/>
      <c r="Z291" s="232"/>
      <c r="AA291" s="232"/>
      <c r="AB291" s="232"/>
      <c r="AC291" s="232"/>
      <c r="AD291" s="232"/>
      <c r="AE291" s="232"/>
      <c r="AF291" s="212"/>
      <c r="AG291" s="232"/>
      <c r="AH291" s="212"/>
      <c r="AI291" s="212"/>
      <c r="AJ291" s="212"/>
      <c r="AK291" s="212"/>
      <c r="AL291" s="212"/>
      <c r="AM291" s="212"/>
      <c r="AN291" s="212"/>
      <c r="AO291" s="212"/>
      <c r="AP291" s="212"/>
      <c r="AQ291" s="212"/>
      <c r="AR291" s="212"/>
      <c r="AS291" s="212"/>
      <c r="AT291" s="212"/>
      <c r="AU291" s="212"/>
      <c r="AV291" s="212"/>
      <c r="AW291" s="212"/>
      <c r="AX291" s="212"/>
      <c r="AY291" s="212"/>
      <c r="AZ291" s="212"/>
      <c r="BA291" s="212"/>
      <c r="BB291" s="212"/>
      <c r="BC291" s="212"/>
      <c r="BD291" s="212"/>
      <c r="BE291" s="212"/>
      <c r="BF291" s="212"/>
      <c r="BG291" s="212"/>
      <c r="BH291" s="212"/>
    </row>
    <row r="292" spans="1:60" s="247" customFormat="1" ht="18.75" customHeight="1">
      <c r="B292" s="273"/>
      <c r="C292" s="275" t="s">
        <v>593</v>
      </c>
      <c r="D292" s="232"/>
      <c r="E292" s="232"/>
      <c r="F292" s="232"/>
      <c r="G292" s="212"/>
      <c r="H292" s="232"/>
      <c r="I292" s="232" t="s">
        <v>677</v>
      </c>
      <c r="J292" s="232"/>
      <c r="K292" s="232"/>
      <c r="L292" s="232"/>
      <c r="M292" s="232"/>
      <c r="N292" s="232"/>
      <c r="O292" s="232"/>
      <c r="P292" s="232"/>
      <c r="Q292" s="263"/>
      <c r="R292" s="232"/>
      <c r="S292" s="232"/>
      <c r="T292" s="232"/>
      <c r="U292" s="232"/>
      <c r="V292" s="232"/>
      <c r="W292" s="232"/>
      <c r="X292" s="232"/>
      <c r="Y292" s="232"/>
      <c r="AE292" s="212"/>
      <c r="AF292" s="232"/>
      <c r="AG292" s="212"/>
      <c r="AH292" s="212"/>
      <c r="AI292" s="212"/>
      <c r="AJ292" s="212"/>
      <c r="AK292" s="212"/>
      <c r="AL292" s="212"/>
      <c r="AM292" s="212"/>
      <c r="AN292" s="212"/>
      <c r="AO292" s="212"/>
      <c r="AP292" s="212"/>
      <c r="AQ292" s="212"/>
      <c r="AR292" s="212"/>
      <c r="AS292" s="212"/>
      <c r="AT292" s="212"/>
      <c r="AU292" s="212"/>
      <c r="AV292" s="212"/>
      <c r="AW292" s="212"/>
      <c r="AX292" s="212"/>
      <c r="AY292" s="212"/>
      <c r="AZ292" s="212"/>
      <c r="BA292" s="212"/>
      <c r="BB292" s="212"/>
      <c r="BC292" s="212"/>
      <c r="BD292" s="212"/>
      <c r="BE292" s="212"/>
      <c r="BF292" s="212"/>
      <c r="BG292" s="212"/>
    </row>
    <row r="293" spans="1:60" s="247" customFormat="1" ht="18.75" customHeight="1">
      <c r="C293" s="212"/>
      <c r="D293" s="232" t="s">
        <v>678</v>
      </c>
      <c r="E293" s="232"/>
      <c r="F293" s="232"/>
      <c r="G293" s="232"/>
      <c r="H293" s="232"/>
      <c r="I293" s="232"/>
      <c r="J293" s="212"/>
      <c r="K293" s="233"/>
      <c r="L293" s="274"/>
      <c r="M293" s="274"/>
      <c r="N293" s="274"/>
      <c r="O293" s="274"/>
      <c r="P293" s="276"/>
      <c r="Q293" s="276"/>
      <c r="R293" s="225"/>
      <c r="T293" s="252"/>
      <c r="U293" s="252"/>
      <c r="V293" s="274"/>
      <c r="W293" s="274"/>
      <c r="Y293" s="404">
        <f>O87</f>
        <v>0.66833125519211412</v>
      </c>
      <c r="Z293" s="405"/>
      <c r="AA293" s="405"/>
      <c r="AB293" s="405" t="str">
        <f>V87</f>
        <v>℃</v>
      </c>
      <c r="AC293" s="405"/>
      <c r="AD293" s="274"/>
      <c r="AE293" s="274"/>
      <c r="AF293" s="274"/>
      <c r="AG293" s="274"/>
      <c r="AH293" s="274"/>
      <c r="AI293" s="274"/>
      <c r="AJ293" s="274"/>
      <c r="AK293" s="274"/>
      <c r="AL293" s="274"/>
      <c r="AM293" s="274"/>
      <c r="AN293" s="274"/>
      <c r="AO293" s="274"/>
      <c r="AP293" s="274"/>
      <c r="AQ293" s="274"/>
      <c r="AR293" s="274"/>
      <c r="AS293" s="274"/>
      <c r="AT293" s="274"/>
      <c r="AU293" s="274"/>
      <c r="AV293" s="274"/>
      <c r="AW293" s="274"/>
      <c r="AX293" s="274"/>
      <c r="AY293" s="274"/>
      <c r="AZ293" s="274"/>
      <c r="BA293" s="274"/>
      <c r="BB293" s="274"/>
      <c r="BC293" s="212"/>
      <c r="BD293" s="212"/>
      <c r="BE293" s="212"/>
      <c r="BF293" s="212"/>
      <c r="BG293" s="212"/>
      <c r="BH293" s="212"/>
    </row>
    <row r="294" spans="1:60" s="247" customFormat="1" ht="18.75" customHeight="1">
      <c r="C294" s="212"/>
      <c r="D294" s="232" t="s">
        <v>679</v>
      </c>
      <c r="E294" s="232"/>
      <c r="F294" s="232"/>
      <c r="G294" s="232"/>
      <c r="H294" s="232"/>
      <c r="I294" s="232"/>
      <c r="J294" s="406" t="str">
        <f>AB96</f>
        <v>정규</v>
      </c>
      <c r="K294" s="406"/>
      <c r="L294" s="406"/>
      <c r="M294" s="406"/>
      <c r="N294" s="406"/>
      <c r="O294" s="406"/>
      <c r="P294" s="406"/>
      <c r="Q294" s="406"/>
      <c r="R294" s="232"/>
      <c r="S294" s="232"/>
      <c r="T294" s="232"/>
      <c r="U294" s="232"/>
      <c r="V294" s="232"/>
      <c r="W294" s="232"/>
      <c r="X294" s="232"/>
      <c r="Y294" s="232"/>
      <c r="Z294" s="232"/>
      <c r="AA294" s="212"/>
      <c r="AB294" s="212"/>
      <c r="AC294" s="212"/>
      <c r="AD294" s="212"/>
      <c r="AE294" s="212"/>
      <c r="AF294" s="212"/>
      <c r="AG294" s="212"/>
      <c r="AH294" s="212"/>
      <c r="AI294" s="232"/>
      <c r="AJ294" s="232"/>
      <c r="AK294" s="232"/>
      <c r="AL294" s="232"/>
      <c r="AM294" s="212"/>
      <c r="AN294" s="212"/>
      <c r="AO294" s="212"/>
      <c r="AP294" s="212"/>
      <c r="AQ294" s="212"/>
      <c r="AR294" s="212"/>
      <c r="AS294" s="212"/>
      <c r="AT294" s="232"/>
      <c r="AU294" s="232"/>
      <c r="AV294" s="232"/>
      <c r="AW294" s="232"/>
      <c r="AX294" s="232"/>
      <c r="AY294" s="232"/>
      <c r="AZ294" s="212"/>
      <c r="BA294" s="212"/>
      <c r="BB294" s="212"/>
      <c r="BC294" s="212"/>
      <c r="BD294" s="212"/>
      <c r="BE294" s="212"/>
      <c r="BF294" s="212"/>
      <c r="BG294" s="212"/>
      <c r="BH294" s="212"/>
    </row>
    <row r="295" spans="1:60" s="247" customFormat="1" ht="18.75" customHeight="1">
      <c r="C295" s="212"/>
      <c r="D295" s="232" t="s">
        <v>680</v>
      </c>
      <c r="E295" s="232"/>
      <c r="F295" s="232"/>
      <c r="G295" s="232"/>
      <c r="H295" s="232"/>
      <c r="I295" s="232"/>
      <c r="J295" s="232"/>
      <c r="K295" s="232"/>
      <c r="L295" s="232"/>
      <c r="M295" s="232"/>
      <c r="N295" s="232"/>
      <c r="O295" s="232"/>
      <c r="P295" s="232"/>
      <c r="Q295" s="268"/>
      <c r="R295" s="268"/>
      <c r="S295" s="268"/>
      <c r="T295" s="232"/>
      <c r="U295" s="232"/>
      <c r="V295" s="232"/>
      <c r="W295" s="232"/>
      <c r="X295" s="232"/>
      <c r="Y295" s="232"/>
      <c r="Z295" s="232"/>
      <c r="AA295" s="269"/>
      <c r="AB295" s="269"/>
      <c r="AC295" s="232"/>
      <c r="AD295" s="232"/>
      <c r="AE295" s="232"/>
      <c r="AF295" s="232"/>
      <c r="AG295" s="232"/>
      <c r="AH295" s="232"/>
      <c r="AI295" s="232"/>
      <c r="AJ295" s="232"/>
      <c r="AK295" s="232"/>
      <c r="AL295" s="232"/>
      <c r="AM295" s="212"/>
      <c r="AN295" s="212"/>
      <c r="AO295" s="212"/>
      <c r="AP295" s="232"/>
      <c r="AQ295" s="232"/>
      <c r="AR295" s="232"/>
      <c r="AS295" s="232"/>
      <c r="AT295" s="232"/>
      <c r="AU295" s="232"/>
      <c r="AV295" s="232"/>
      <c r="AW295" s="232"/>
      <c r="AX295" s="232"/>
      <c r="AY295" s="232"/>
      <c r="AZ295" s="212"/>
      <c r="BA295" s="212"/>
      <c r="BB295" s="212"/>
      <c r="BC295" s="212"/>
      <c r="BD295" s="212"/>
      <c r="BE295" s="212"/>
      <c r="BF295" s="212"/>
      <c r="BG295" s="212"/>
      <c r="BH295" s="212"/>
    </row>
    <row r="296" spans="1:60" s="247" customFormat="1" ht="18.75" customHeight="1">
      <c r="C296" s="212"/>
      <c r="D296" s="232" t="s">
        <v>681</v>
      </c>
      <c r="E296" s="232"/>
      <c r="F296" s="232"/>
      <c r="G296" s="232"/>
      <c r="H296" s="232"/>
      <c r="I296" s="232"/>
      <c r="J296" s="232"/>
      <c r="K296" s="232"/>
      <c r="L296" s="216" t="s">
        <v>682</v>
      </c>
      <c r="P296" s="216" t="e">
        <f ca="1">IF(H86=0,"0 이므로 2차항을 적용한다.","0 이 아니므로 2차항을 적용하지 않는다.")</f>
        <v>#N/A</v>
      </c>
      <c r="R296" s="268"/>
      <c r="S296" s="268"/>
      <c r="T296" s="232"/>
      <c r="U296" s="232"/>
      <c r="V296" s="232"/>
      <c r="W296" s="232"/>
      <c r="X296" s="232"/>
      <c r="Y296" s="232"/>
      <c r="Z296" s="232"/>
      <c r="AA296" s="269"/>
      <c r="AB296" s="269"/>
      <c r="AC296" s="232"/>
      <c r="AD296" s="232"/>
      <c r="AE296" s="232"/>
      <c r="AF296" s="232"/>
      <c r="AG296" s="232"/>
      <c r="AH296" s="232"/>
      <c r="AI296" s="232"/>
      <c r="AJ296" s="232"/>
      <c r="AK296" s="232"/>
      <c r="AL296" s="232"/>
      <c r="AM296" s="212"/>
      <c r="AN296" s="212"/>
      <c r="AO296" s="212"/>
      <c r="AP296" s="232"/>
      <c r="AQ296" s="232"/>
      <c r="AR296" s="232"/>
      <c r="AS296" s="232"/>
      <c r="AT296" s="232"/>
      <c r="AU296" s="232"/>
      <c r="AV296" s="232"/>
      <c r="AW296" s="232"/>
      <c r="AX296" s="232"/>
      <c r="AY296" s="232"/>
      <c r="AZ296" s="212"/>
      <c r="BA296" s="212"/>
      <c r="BB296" s="212"/>
      <c r="BC296" s="212"/>
      <c r="BD296" s="212"/>
      <c r="BE296" s="212"/>
      <c r="BF296" s="212"/>
      <c r="BG296" s="212"/>
      <c r="BH296" s="212"/>
    </row>
    <row r="297" spans="1:60" s="247" customFormat="1" ht="18.75" customHeight="1">
      <c r="C297" s="212"/>
      <c r="E297" s="232"/>
      <c r="F297" s="232"/>
      <c r="G297" s="232"/>
      <c r="H297" s="232"/>
      <c r="I297" s="232"/>
      <c r="J297" s="232"/>
      <c r="K297" s="212"/>
      <c r="L297" s="233"/>
      <c r="M297" s="274"/>
      <c r="N297" s="274"/>
      <c r="O297" s="274"/>
      <c r="P297" s="274"/>
      <c r="Q297" s="276"/>
      <c r="R297" s="276"/>
      <c r="S297" s="404">
        <f>Y293</f>
        <v>0.66833125519211412</v>
      </c>
      <c r="T297" s="405"/>
      <c r="U297" s="405"/>
      <c r="V297" s="405" t="str">
        <f>AB293</f>
        <v>℃</v>
      </c>
      <c r="W297" s="405"/>
      <c r="X297" s="277" t="s">
        <v>674</v>
      </c>
      <c r="AD297" s="251"/>
      <c r="AE297" s="403" t="e">
        <f ca="1">AP96</f>
        <v>#N/A</v>
      </c>
      <c r="AF297" s="389"/>
      <c r="AG297" s="389"/>
      <c r="AH297" s="389"/>
      <c r="AI297" s="389" t="s">
        <v>443</v>
      </c>
      <c r="AJ297" s="389"/>
      <c r="AK297" s="389"/>
      <c r="AL297" s="389"/>
      <c r="AM297" s="389"/>
      <c r="AN297" s="389"/>
      <c r="AO297" s="212"/>
      <c r="AP297" s="232"/>
      <c r="AQ297" s="232"/>
      <c r="AR297" s="232"/>
      <c r="AS297" s="232"/>
      <c r="AT297" s="232"/>
      <c r="AU297" s="232"/>
      <c r="AV297" s="232"/>
      <c r="AW297" s="232"/>
      <c r="AX297" s="232"/>
      <c r="AY297" s="232"/>
      <c r="AZ297" s="212"/>
      <c r="BA297" s="212"/>
      <c r="BB297" s="212"/>
      <c r="BC297" s="212"/>
      <c r="BD297" s="212"/>
      <c r="BE297" s="212"/>
      <c r="BF297" s="212"/>
      <c r="BG297" s="212"/>
      <c r="BH297" s="212"/>
    </row>
    <row r="298" spans="1:60" s="247" customFormat="1" ht="18.75" customHeight="1">
      <c r="C298" s="212"/>
      <c r="D298" s="232" t="s">
        <v>683</v>
      </c>
      <c r="E298" s="232"/>
      <c r="F298" s="232"/>
      <c r="G298" s="232"/>
      <c r="H298" s="232"/>
      <c r="I298" s="232" t="s">
        <v>676</v>
      </c>
      <c r="K298" s="232"/>
      <c r="L298" s="232"/>
      <c r="M298" s="232"/>
      <c r="N298" s="232"/>
      <c r="O298" s="232"/>
      <c r="P298" s="232"/>
      <c r="Q298" s="232"/>
      <c r="R298" s="232"/>
      <c r="S298" s="251"/>
      <c r="T298" s="232"/>
      <c r="U298" s="232"/>
      <c r="V298" s="232"/>
      <c r="X298" s="232"/>
      <c r="Y298" s="213"/>
      <c r="Z298" s="232"/>
      <c r="AA298" s="232"/>
      <c r="AB298" s="232"/>
      <c r="AC298" s="232"/>
      <c r="AD298" s="232"/>
      <c r="AE298" s="232"/>
      <c r="AF298" s="212"/>
      <c r="AG298" s="212"/>
      <c r="AH298" s="212"/>
      <c r="AI298" s="212"/>
      <c r="AJ298" s="212"/>
      <c r="AK298" s="212"/>
      <c r="AL298" s="212"/>
      <c r="AM298" s="212"/>
      <c r="AN298" s="212"/>
      <c r="AO298" s="212"/>
      <c r="AP298" s="212"/>
      <c r="AQ298" s="212"/>
      <c r="AR298" s="212"/>
      <c r="AS298" s="212"/>
      <c r="AT298" s="212"/>
      <c r="AU298" s="212"/>
      <c r="AV298" s="212"/>
      <c r="AW298" s="212"/>
      <c r="AX298" s="212"/>
      <c r="AY298" s="212"/>
      <c r="AZ298" s="212"/>
      <c r="BA298" s="212"/>
      <c r="BB298" s="212"/>
      <c r="BC298" s="212"/>
      <c r="BD298" s="212"/>
      <c r="BE298" s="212"/>
      <c r="BF298" s="212"/>
      <c r="BG298" s="212"/>
      <c r="BH298" s="212"/>
    </row>
    <row r="299" spans="1:60" s="247" customFormat="1" ht="18.75" customHeight="1">
      <c r="B299" s="212"/>
      <c r="C299" s="232"/>
      <c r="D299" s="232"/>
      <c r="E299" s="232"/>
      <c r="F299" s="232"/>
      <c r="G299" s="212"/>
      <c r="H299" s="232"/>
      <c r="I299" s="232"/>
      <c r="J299" s="232"/>
      <c r="K299" s="232"/>
      <c r="L299" s="232"/>
      <c r="M299" s="232"/>
      <c r="N299" s="232"/>
      <c r="O299" s="232"/>
      <c r="P299" s="232"/>
      <c r="Q299" s="232"/>
      <c r="R299" s="232"/>
      <c r="S299" s="232"/>
      <c r="AB299" s="232"/>
      <c r="AC299" s="232"/>
      <c r="AD299" s="232"/>
      <c r="AE299" s="212"/>
      <c r="AF299" s="232"/>
      <c r="AG299" s="212"/>
      <c r="AH299" s="212"/>
      <c r="AI299" s="212"/>
      <c r="AJ299" s="212"/>
      <c r="AK299" s="212"/>
      <c r="AL299" s="212"/>
      <c r="AM299" s="212"/>
      <c r="AN299" s="212"/>
      <c r="AO299" s="212"/>
      <c r="AP299" s="212"/>
      <c r="AQ299" s="212"/>
      <c r="AR299" s="212"/>
      <c r="AS299" s="212"/>
      <c r="AT299" s="212"/>
      <c r="AU299" s="212"/>
      <c r="AV299" s="212"/>
      <c r="AW299" s="212"/>
      <c r="AX299" s="212"/>
      <c r="AY299" s="212"/>
      <c r="AZ299" s="212"/>
      <c r="BA299" s="212"/>
      <c r="BB299" s="212"/>
      <c r="BC299" s="212"/>
      <c r="BD299" s="212"/>
      <c r="BE299" s="212"/>
      <c r="BF299" s="212"/>
      <c r="BG299" s="212"/>
    </row>
    <row r="300" spans="1:60" s="247" customFormat="1" ht="18.75" customHeight="1">
      <c r="A300" s="211" t="s">
        <v>684</v>
      </c>
      <c r="B300" s="212"/>
      <c r="C300" s="212"/>
      <c r="D300" s="212"/>
      <c r="E300" s="212"/>
      <c r="F300" s="212"/>
      <c r="G300" s="212"/>
      <c r="H300" s="212"/>
      <c r="I300" s="212"/>
      <c r="J300" s="212"/>
      <c r="K300" s="212"/>
      <c r="L300" s="212"/>
      <c r="M300" s="212"/>
      <c r="N300" s="212"/>
      <c r="O300" s="212"/>
      <c r="P300" s="212"/>
      <c r="Q300" s="212"/>
      <c r="R300" s="212"/>
      <c r="S300" s="212"/>
      <c r="T300" s="212"/>
      <c r="U300" s="212"/>
      <c r="V300" s="212"/>
      <c r="W300" s="212"/>
      <c r="X300" s="212"/>
      <c r="Y300" s="212"/>
      <c r="Z300" s="212"/>
      <c r="AA300" s="212"/>
      <c r="AB300" s="212"/>
      <c r="AC300" s="212"/>
      <c r="AD300" s="212"/>
      <c r="AE300" s="212"/>
      <c r="AF300" s="212"/>
      <c r="AG300" s="212"/>
      <c r="AH300" s="212"/>
      <c r="AI300" s="212"/>
      <c r="AJ300" s="212"/>
      <c r="AK300" s="212"/>
      <c r="AL300" s="212"/>
      <c r="AM300" s="212"/>
      <c r="AN300" s="212"/>
      <c r="AO300" s="212"/>
      <c r="AP300" s="212"/>
      <c r="AQ300" s="212"/>
      <c r="AR300" s="212"/>
      <c r="AS300" s="212"/>
      <c r="AT300" s="212"/>
      <c r="AU300" s="212"/>
      <c r="AV300" s="212"/>
      <c r="AW300" s="212"/>
      <c r="AX300" s="212"/>
      <c r="AY300" s="212"/>
      <c r="AZ300" s="212"/>
      <c r="BA300" s="212"/>
      <c r="BB300" s="212"/>
      <c r="BC300" s="212"/>
      <c r="BD300" s="212"/>
      <c r="BE300" s="212"/>
      <c r="BF300" s="212"/>
    </row>
    <row r="301" spans="1:60" s="247" customFormat="1" ht="18.75" customHeight="1">
      <c r="A301" s="212"/>
      <c r="B301" s="212"/>
      <c r="C301" s="212"/>
      <c r="D301" s="212"/>
      <c r="E301" s="212"/>
      <c r="F301" s="212"/>
      <c r="G301" s="212"/>
      <c r="H301" s="212"/>
      <c r="I301" s="212"/>
      <c r="J301" s="212"/>
      <c r="K301" s="212"/>
      <c r="L301" s="212"/>
      <c r="M301" s="212"/>
      <c r="N301" s="212"/>
      <c r="O301" s="212"/>
      <c r="P301" s="212"/>
      <c r="Q301" s="212"/>
      <c r="R301" s="212"/>
      <c r="S301" s="212"/>
      <c r="T301" s="212"/>
      <c r="U301" s="212"/>
      <c r="V301" s="212"/>
      <c r="W301" s="212"/>
      <c r="X301" s="212"/>
      <c r="Y301" s="212"/>
      <c r="Z301" s="212"/>
      <c r="AA301" s="212"/>
      <c r="AB301" s="212"/>
      <c r="AC301" s="212"/>
      <c r="AD301" s="212"/>
      <c r="AE301" s="232"/>
      <c r="AF301" s="212"/>
      <c r="AG301" s="212"/>
      <c r="AH301" s="212"/>
      <c r="AI301" s="212"/>
      <c r="AJ301" s="212"/>
      <c r="AK301" s="232"/>
      <c r="AL301" s="232"/>
      <c r="AM301" s="278"/>
      <c r="AN301" s="278"/>
      <c r="AO301" s="278"/>
      <c r="AP301" s="278"/>
      <c r="AQ301" s="232"/>
      <c r="AR301" s="212"/>
      <c r="AT301" s="279"/>
      <c r="AU301" s="279"/>
      <c r="AV301" s="279"/>
      <c r="AW301" s="232"/>
      <c r="AX301" s="232"/>
      <c r="AY301" s="212"/>
      <c r="BA301" s="212"/>
      <c r="BB301" s="212"/>
      <c r="BC301" s="212"/>
      <c r="BD301" s="212"/>
      <c r="BE301" s="212"/>
      <c r="BF301" s="212"/>
    </row>
    <row r="302" spans="1:60" s="247" customFormat="1" ht="18.75" customHeight="1">
      <c r="A302" s="212"/>
      <c r="B302" s="212"/>
      <c r="C302" s="212"/>
      <c r="D302" s="212"/>
      <c r="E302" s="212" t="s">
        <v>476</v>
      </c>
      <c r="F302" s="401" t="e">
        <f ca="1">AP82</f>
        <v>#N/A</v>
      </c>
      <c r="G302" s="401"/>
      <c r="H302" s="401"/>
      <c r="I302" s="232" t="s">
        <v>230</v>
      </c>
      <c r="J302" s="232"/>
      <c r="K302" s="392" t="s">
        <v>581</v>
      </c>
      <c r="L302" s="392"/>
      <c r="M302" s="402" t="e">
        <f ca="1">AT82</f>
        <v>#N/A</v>
      </c>
      <c r="N302" s="402"/>
      <c r="O302" s="402"/>
      <c r="P302" s="402"/>
      <c r="Q302" s="232" t="s">
        <v>463</v>
      </c>
      <c r="R302" s="232"/>
      <c r="S302" s="212"/>
      <c r="U302" s="392" t="s">
        <v>581</v>
      </c>
      <c r="V302" s="392"/>
      <c r="W302" s="401">
        <f>AP83</f>
        <v>0</v>
      </c>
      <c r="X302" s="401"/>
      <c r="Y302" s="401"/>
      <c r="Z302" s="232" t="s">
        <v>230</v>
      </c>
      <c r="AA302" s="232"/>
      <c r="AB302" s="392" t="s">
        <v>581</v>
      </c>
      <c r="AC302" s="392"/>
      <c r="AD302" s="402" t="e">
        <f>AP84</f>
        <v>#VALUE!</v>
      </c>
      <c r="AE302" s="402"/>
      <c r="AF302" s="402"/>
      <c r="AG302" s="402"/>
      <c r="AH302" s="232" t="s">
        <v>443</v>
      </c>
      <c r="AI302" s="212"/>
      <c r="AL302" s="392" t="s">
        <v>581</v>
      </c>
      <c r="AM302" s="392"/>
      <c r="AN302" s="402" t="e">
        <f ca="1">AP85</f>
        <v>#VALUE!</v>
      </c>
      <c r="AO302" s="402"/>
      <c r="AP302" s="402"/>
      <c r="AQ302" s="402"/>
      <c r="AR302" s="232" t="s">
        <v>443</v>
      </c>
      <c r="AS302" s="212"/>
    </row>
    <row r="303" spans="1:60" s="247" customFormat="1" ht="18.75" customHeight="1">
      <c r="A303" s="212"/>
      <c r="B303" s="212"/>
      <c r="C303" s="212"/>
      <c r="D303" s="212"/>
      <c r="E303" s="212"/>
      <c r="F303" s="392" t="s">
        <v>581</v>
      </c>
      <c r="G303" s="392"/>
      <c r="H303" s="402" t="e">
        <f>AP86</f>
        <v>#VALUE!</v>
      </c>
      <c r="I303" s="402"/>
      <c r="J303" s="402"/>
      <c r="K303" s="402"/>
      <c r="L303" s="232" t="s">
        <v>443</v>
      </c>
      <c r="M303" s="212"/>
      <c r="P303" s="392" t="s">
        <v>581</v>
      </c>
      <c r="Q303" s="392"/>
      <c r="R303" s="402" t="e">
        <f ca="1">AP87</f>
        <v>#N/A</v>
      </c>
      <c r="S303" s="402"/>
      <c r="T303" s="402"/>
      <c r="U303" s="402"/>
      <c r="V303" s="232" t="s">
        <v>443</v>
      </c>
      <c r="W303" s="212"/>
      <c r="Z303" s="392" t="s">
        <v>580</v>
      </c>
      <c r="AA303" s="392"/>
      <c r="AB303" s="401">
        <f>AP91</f>
        <v>0</v>
      </c>
      <c r="AC303" s="401"/>
      <c r="AD303" s="401"/>
      <c r="AE303" s="232" t="s">
        <v>230</v>
      </c>
      <c r="AF303" s="232"/>
      <c r="AG303" s="254"/>
      <c r="AH303" s="392" t="s">
        <v>580</v>
      </c>
      <c r="AI303" s="392"/>
      <c r="AJ303" s="401" t="e">
        <f>AP92</f>
        <v>#DIV/0!</v>
      </c>
      <c r="AK303" s="401"/>
      <c r="AL303" s="401"/>
      <c r="AM303" s="232" t="s">
        <v>646</v>
      </c>
      <c r="AN303" s="232"/>
      <c r="AO303" s="232"/>
      <c r="AP303" s="392" t="s">
        <v>580</v>
      </c>
      <c r="AQ303" s="392"/>
      <c r="AR303" s="401">
        <f>AP93</f>
        <v>0</v>
      </c>
      <c r="AS303" s="401"/>
      <c r="AT303" s="401"/>
      <c r="AU303" s="232" t="s">
        <v>230</v>
      </c>
      <c r="AV303" s="232"/>
      <c r="AW303" s="212"/>
    </row>
    <row r="304" spans="1:60" s="247" customFormat="1" ht="18.75" customHeight="1">
      <c r="A304" s="212"/>
      <c r="B304" s="212"/>
      <c r="C304" s="212"/>
      <c r="D304" s="212"/>
      <c r="E304" s="212"/>
      <c r="F304" s="392" t="s">
        <v>581</v>
      </c>
      <c r="G304" s="392"/>
      <c r="H304" s="401">
        <f>AP94</f>
        <v>0</v>
      </c>
      <c r="I304" s="401"/>
      <c r="J304" s="401"/>
      <c r="K304" s="232" t="s">
        <v>646</v>
      </c>
      <c r="L304" s="232"/>
      <c r="M304" s="392" t="s">
        <v>581</v>
      </c>
      <c r="N304" s="392"/>
      <c r="O304" s="402" t="e">
        <f>AP95</f>
        <v>#VALUE!</v>
      </c>
      <c r="P304" s="402"/>
      <c r="Q304" s="402"/>
      <c r="R304" s="402"/>
      <c r="S304" s="232" t="s">
        <v>443</v>
      </c>
      <c r="T304" s="212"/>
      <c r="W304" s="392" t="s">
        <v>581</v>
      </c>
      <c r="X304" s="392"/>
      <c r="Y304" s="402" t="e">
        <f ca="1">AP96</f>
        <v>#N/A</v>
      </c>
      <c r="Z304" s="402"/>
      <c r="AA304" s="402"/>
      <c r="AB304" s="402"/>
      <c r="AC304" s="232" t="s">
        <v>443</v>
      </c>
      <c r="AD304" s="212"/>
      <c r="AG304" s="212"/>
      <c r="AH304" s="280"/>
      <c r="AI304" s="280"/>
      <c r="AJ304" s="280"/>
      <c r="AK304" s="232"/>
      <c r="AL304" s="232"/>
      <c r="AM304" s="212"/>
      <c r="AN304" s="212"/>
      <c r="AO304" s="212"/>
      <c r="AP304" s="280"/>
      <c r="AQ304" s="280"/>
      <c r="AR304" s="280"/>
      <c r="AS304" s="232"/>
      <c r="AT304" s="232"/>
    </row>
    <row r="305" spans="1:81" s="216" customFormat="1" ht="18.75" customHeight="1">
      <c r="A305" s="232"/>
      <c r="B305" s="232"/>
      <c r="C305" s="232"/>
      <c r="D305" s="232"/>
      <c r="E305" s="212" t="s">
        <v>476</v>
      </c>
      <c r="F305" s="393" t="e">
        <f ca="1">AP97</f>
        <v>#N/A</v>
      </c>
      <c r="G305" s="393"/>
      <c r="H305" s="393"/>
      <c r="I305" s="232" t="s">
        <v>230</v>
      </c>
      <c r="J305" s="232"/>
      <c r="K305" s="392" t="s">
        <v>580</v>
      </c>
      <c r="L305" s="392"/>
      <c r="M305" s="400" t="e">
        <f ca="1">AU97</f>
        <v>#N/A</v>
      </c>
      <c r="N305" s="400"/>
      <c r="O305" s="400"/>
      <c r="P305" s="232" t="s">
        <v>443</v>
      </c>
      <c r="Q305" s="232"/>
      <c r="R305" s="212"/>
      <c r="S305" s="247"/>
      <c r="T305" s="232"/>
      <c r="U305" s="232"/>
      <c r="V305" s="232"/>
      <c r="W305" s="232"/>
      <c r="X305" s="232"/>
      <c r="Y305" s="232"/>
      <c r="Z305" s="232"/>
      <c r="AA305" s="232"/>
      <c r="AB305" s="232"/>
      <c r="AC305" s="232"/>
      <c r="AD305" s="232"/>
      <c r="AE305" s="232"/>
      <c r="AF305" s="232"/>
      <c r="AG305" s="212"/>
      <c r="AH305" s="232"/>
      <c r="AI305" s="232"/>
      <c r="AJ305" s="232"/>
      <c r="AK305" s="232"/>
      <c r="AL305" s="232"/>
      <c r="AM305" s="232"/>
      <c r="AN305" s="232"/>
      <c r="AO305" s="232"/>
      <c r="AW305" s="212"/>
      <c r="AX305" s="232"/>
      <c r="AY305" s="232"/>
      <c r="AZ305" s="232"/>
      <c r="BA305" s="232"/>
      <c r="BB305" s="232"/>
      <c r="BC305" s="232"/>
      <c r="BD305" s="232"/>
      <c r="BE305" s="232"/>
      <c r="BF305" s="232"/>
      <c r="BG305" s="232"/>
      <c r="BH305" s="232"/>
    </row>
    <row r="306" spans="1:81" s="216" customFormat="1" ht="18.75" customHeight="1">
      <c r="A306" s="232"/>
      <c r="B306" s="232"/>
      <c r="C306" s="232"/>
      <c r="D306" s="281"/>
      <c r="E306" s="281"/>
      <c r="F306" s="281"/>
      <c r="G306" s="232"/>
      <c r="H306" s="232"/>
      <c r="I306" s="212"/>
      <c r="J306" s="212"/>
      <c r="K306" s="282"/>
      <c r="L306" s="282"/>
      <c r="M306" s="282"/>
      <c r="N306" s="282"/>
      <c r="O306" s="232"/>
      <c r="P306" s="232"/>
      <c r="Q306" s="232"/>
      <c r="R306" s="232"/>
      <c r="S306" s="232"/>
      <c r="T306" s="232"/>
      <c r="U306" s="232"/>
      <c r="V306" s="232"/>
      <c r="W306" s="232"/>
      <c r="X306" s="232"/>
      <c r="Y306" s="232"/>
      <c r="Z306" s="232"/>
      <c r="AA306" s="232"/>
      <c r="AB306" s="232"/>
      <c r="AC306" s="232"/>
      <c r="AD306" s="232"/>
      <c r="AE306" s="232"/>
      <c r="AF306" s="232"/>
      <c r="AG306" s="232"/>
      <c r="AH306" s="232"/>
      <c r="AI306" s="232"/>
      <c r="AJ306" s="232"/>
      <c r="AK306" s="232"/>
      <c r="AL306" s="232"/>
      <c r="AM306" s="232"/>
      <c r="AN306" s="232"/>
      <c r="AO306" s="232"/>
      <c r="AP306" s="232"/>
      <c r="AQ306" s="232"/>
      <c r="AR306" s="232"/>
      <c r="AS306" s="232"/>
      <c r="AT306" s="232"/>
      <c r="AU306" s="232"/>
      <c r="AV306" s="232"/>
      <c r="AW306" s="232"/>
      <c r="AX306" s="232"/>
      <c r="AY306" s="232"/>
      <c r="AZ306" s="232"/>
      <c r="BA306" s="232"/>
      <c r="BB306" s="232"/>
      <c r="BC306" s="232"/>
      <c r="BD306" s="232"/>
      <c r="BE306" s="232"/>
      <c r="BF306" s="232"/>
    </row>
    <row r="307" spans="1:81" s="247" customFormat="1" ht="18.75" customHeight="1">
      <c r="A307" s="212"/>
      <c r="B307" s="212"/>
      <c r="C307" s="212"/>
      <c r="D307" s="259" t="s">
        <v>685</v>
      </c>
      <c r="E307" s="212" t="s">
        <v>476</v>
      </c>
      <c r="F307" s="393" t="e">
        <f ca="1">F305</f>
        <v>#N/A</v>
      </c>
      <c r="G307" s="393"/>
      <c r="H307" s="393"/>
      <c r="I307" s="235"/>
      <c r="J307" s="225"/>
      <c r="K307" s="394" t="e">
        <f ca="1">M305</f>
        <v>#N/A</v>
      </c>
      <c r="L307" s="395"/>
      <c r="M307" s="395"/>
      <c r="N307" s="213"/>
      <c r="O307" s="213"/>
      <c r="P307" s="213"/>
      <c r="Q307" s="389" t="str">
        <f>BA97</f>
        <v>μm</v>
      </c>
      <c r="R307" s="389"/>
      <c r="T307" s="232"/>
      <c r="U307" s="232"/>
      <c r="V307" s="232"/>
      <c r="W307" s="232"/>
      <c r="X307" s="232"/>
      <c r="Y307" s="212"/>
      <c r="Z307" s="212"/>
      <c r="AA307" s="212"/>
      <c r="AB307" s="212"/>
      <c r="AC307" s="212"/>
      <c r="AD307" s="212"/>
      <c r="AE307" s="232"/>
      <c r="AF307" s="212"/>
      <c r="AG307" s="212"/>
      <c r="AH307" s="212"/>
      <c r="AI307" s="212"/>
      <c r="AJ307" s="212"/>
      <c r="AK307" s="212"/>
      <c r="AL307" s="212"/>
      <c r="AM307" s="212"/>
      <c r="AN307" s="212"/>
      <c r="AO307" s="212"/>
      <c r="AP307" s="212"/>
      <c r="AQ307" s="212"/>
      <c r="AR307" s="212"/>
      <c r="AS307" s="212"/>
      <c r="AT307" s="212"/>
      <c r="AU307" s="212"/>
      <c r="AV307" s="212"/>
      <c r="AW307" s="212"/>
      <c r="AX307" s="212"/>
      <c r="AY307" s="212"/>
      <c r="AZ307" s="212"/>
      <c r="BA307" s="212"/>
      <c r="BB307" s="212"/>
      <c r="BC307" s="212"/>
      <c r="BD307" s="212"/>
      <c r="BE307" s="212"/>
      <c r="BF307" s="212"/>
    </row>
    <row r="308" spans="1:81" s="232" customFormat="1" ht="18.75" customHeight="1"/>
    <row r="309" spans="1:81" ht="18.75" customHeight="1">
      <c r="A309" s="211" t="s">
        <v>686</v>
      </c>
      <c r="B309" s="213"/>
      <c r="C309" s="213"/>
      <c r="D309" s="213"/>
      <c r="E309" s="213"/>
      <c r="F309" s="213"/>
      <c r="G309" s="213"/>
      <c r="H309" s="213"/>
      <c r="I309" s="213"/>
      <c r="J309" s="213"/>
      <c r="K309" s="213"/>
      <c r="L309" s="213"/>
      <c r="M309" s="213"/>
      <c r="N309" s="213"/>
      <c r="O309" s="213"/>
      <c r="P309" s="213"/>
      <c r="Q309" s="213"/>
      <c r="R309" s="213"/>
      <c r="S309" s="213"/>
      <c r="T309" s="213"/>
      <c r="U309" s="213"/>
      <c r="V309" s="213"/>
      <c r="W309" s="213"/>
      <c r="X309" s="213"/>
      <c r="Y309" s="213"/>
      <c r="Z309" s="213"/>
      <c r="AA309" s="213"/>
      <c r="AB309" s="213"/>
      <c r="AC309" s="213"/>
      <c r="AD309" s="213"/>
      <c r="AE309" s="213"/>
      <c r="AF309" s="213"/>
      <c r="AG309" s="213"/>
      <c r="AH309" s="213"/>
      <c r="AI309" s="213"/>
      <c r="AJ309" s="213"/>
      <c r="AK309" s="213"/>
      <c r="AL309" s="213"/>
      <c r="AM309" s="213"/>
      <c r="AN309" s="213"/>
      <c r="AO309" s="213"/>
      <c r="AP309" s="213"/>
      <c r="AQ309" s="213"/>
      <c r="AR309" s="213"/>
      <c r="AS309" s="213"/>
      <c r="AT309" s="213"/>
      <c r="AU309" s="213"/>
      <c r="AV309" s="213"/>
      <c r="AW309" s="213"/>
      <c r="AX309" s="213"/>
      <c r="AY309" s="213"/>
      <c r="AZ309" s="213"/>
      <c r="BA309" s="213"/>
      <c r="BB309" s="213"/>
      <c r="BC309" s="213"/>
      <c r="BD309" s="213"/>
      <c r="BE309" s="213"/>
      <c r="BF309" s="213"/>
    </row>
    <row r="310" spans="1:81" ht="18.75" customHeight="1">
      <c r="A310" s="213"/>
      <c r="B310" s="213"/>
      <c r="C310" s="213"/>
      <c r="D310" s="213"/>
      <c r="E310" s="213"/>
      <c r="F310" s="213"/>
      <c r="G310" s="213"/>
      <c r="H310" s="213"/>
      <c r="I310" s="213"/>
      <c r="J310" s="213"/>
      <c r="K310" s="213"/>
      <c r="L310" s="396" t="e">
        <f ca="1">Calcu!V48</f>
        <v>#N/A</v>
      </c>
      <c r="M310" s="396"/>
      <c r="N310" s="396"/>
      <c r="O310" s="396"/>
      <c r="P310" s="396"/>
      <c r="Q310" s="396"/>
      <c r="R310" s="396"/>
      <c r="S310" s="396"/>
      <c r="T310" s="396"/>
      <c r="U310" s="396"/>
      <c r="V310" s="396"/>
      <c r="W310" s="396"/>
      <c r="X310" s="396"/>
      <c r="Y310" s="396"/>
      <c r="Z310" s="396"/>
      <c r="AA310" s="396"/>
      <c r="AB310" s="396"/>
      <c r="AC310" s="396"/>
      <c r="AD310" s="396"/>
      <c r="AE310" s="396"/>
      <c r="AF310" s="396"/>
      <c r="AG310" s="396"/>
      <c r="AH310" s="396"/>
      <c r="AI310" s="396"/>
      <c r="AJ310" s="396"/>
      <c r="AK310" s="396"/>
      <c r="AL310" s="396"/>
      <c r="AM310" s="396"/>
      <c r="AN310" s="396"/>
      <c r="AO310" s="396"/>
      <c r="AP310" s="396"/>
      <c r="AQ310" s="396"/>
      <c r="AR310" s="392" t="s">
        <v>476</v>
      </c>
      <c r="AS310" s="398" t="e">
        <f>TRIM(BC97)</f>
        <v>#VALUE!</v>
      </c>
      <c r="AT310" s="398"/>
      <c r="AU310" s="398"/>
      <c r="AV310" s="398"/>
      <c r="AW310" s="398"/>
      <c r="AX310" s="213"/>
      <c r="AY310" s="213"/>
      <c r="AZ310" s="213"/>
      <c r="BF310" s="213"/>
      <c r="BG310" s="213"/>
      <c r="BH310" s="232"/>
      <c r="BI310" s="232"/>
      <c r="BL310" s="283"/>
      <c r="BM310" s="283"/>
      <c r="BN310" s="283"/>
      <c r="BO310" s="283"/>
      <c r="BP310" s="283"/>
      <c r="BQ310" s="216"/>
      <c r="BR310" s="216"/>
      <c r="BS310" s="216"/>
      <c r="BT310" s="216"/>
      <c r="BU310" s="216"/>
      <c r="BV310" s="216"/>
      <c r="BW310" s="216"/>
      <c r="BX310" s="216"/>
      <c r="BY310" s="216"/>
      <c r="BZ310" s="216"/>
      <c r="CA310" s="216"/>
      <c r="CB310" s="216"/>
      <c r="CC310" s="216"/>
    </row>
    <row r="311" spans="1:81" ht="18.75" customHeight="1">
      <c r="A311" s="213"/>
      <c r="B311" s="213"/>
      <c r="C311" s="213"/>
      <c r="D311" s="213"/>
      <c r="E311" s="213"/>
      <c r="F311" s="213"/>
      <c r="G311" s="213"/>
      <c r="H311" s="213"/>
      <c r="I311" s="213"/>
      <c r="J311" s="213"/>
      <c r="K311" s="213"/>
      <c r="L311" s="213"/>
      <c r="M311" s="399" t="e">
        <f ca="1">Calcu!V33</f>
        <v>#N/A</v>
      </c>
      <c r="N311" s="399"/>
      <c r="O311" s="399"/>
      <c r="P311" s="399"/>
      <c r="Q311" s="392" t="s">
        <v>581</v>
      </c>
      <c r="R311" s="399">
        <f>Calcu!V34</f>
        <v>0</v>
      </c>
      <c r="S311" s="399"/>
      <c r="T311" s="399"/>
      <c r="U311" s="399"/>
      <c r="V311" s="392" t="s">
        <v>581</v>
      </c>
      <c r="W311" s="396" t="e">
        <f>Calcu!V35</f>
        <v>#VALUE!</v>
      </c>
      <c r="X311" s="396"/>
      <c r="Y311" s="396"/>
      <c r="Z311" s="396"/>
      <c r="AA311" s="392" t="s">
        <v>580</v>
      </c>
      <c r="AB311" s="399" t="e">
        <f ca="1">Calcu!V36</f>
        <v>#VALUE!</v>
      </c>
      <c r="AC311" s="399"/>
      <c r="AD311" s="399"/>
      <c r="AE311" s="399"/>
      <c r="AF311" s="392" t="s">
        <v>581</v>
      </c>
      <c r="AG311" s="396" t="e">
        <f>Calcu!V37</f>
        <v>#VALUE!</v>
      </c>
      <c r="AH311" s="396"/>
      <c r="AI311" s="396"/>
      <c r="AJ311" s="396"/>
      <c r="AK311" s="392" t="s">
        <v>581</v>
      </c>
      <c r="AL311" s="396" t="e">
        <f ca="1">Calcu!V38</f>
        <v>#N/A</v>
      </c>
      <c r="AM311" s="396"/>
      <c r="AN311" s="396"/>
      <c r="AO311" s="396"/>
      <c r="AR311" s="392"/>
      <c r="AS311" s="398"/>
      <c r="AT311" s="398"/>
      <c r="AU311" s="398"/>
      <c r="AV311" s="398"/>
      <c r="AW311" s="398"/>
      <c r="AX311" s="213"/>
      <c r="AY311" s="213"/>
      <c r="AZ311" s="213"/>
      <c r="BF311" s="213"/>
      <c r="BG311" s="213"/>
      <c r="BH311" s="213"/>
      <c r="BI311" s="213"/>
      <c r="BL311" s="283"/>
      <c r="BM311" s="283"/>
      <c r="BN311" s="283"/>
      <c r="BO311" s="283"/>
      <c r="BP311" s="283"/>
    </row>
    <row r="312" spans="1:81" ht="18.75" customHeight="1">
      <c r="A312" s="213"/>
      <c r="B312" s="213"/>
      <c r="C312" s="213"/>
      <c r="D312" s="213"/>
      <c r="E312" s="213"/>
      <c r="F312" s="213"/>
      <c r="G312" s="213"/>
      <c r="H312" s="213"/>
      <c r="I312" s="213"/>
      <c r="J312" s="213"/>
      <c r="K312" s="213"/>
      <c r="L312" s="213"/>
      <c r="M312" s="392" t="str">
        <f>Calcu!U33</f>
        <v>∞</v>
      </c>
      <c r="N312" s="392"/>
      <c r="O312" s="392"/>
      <c r="P312" s="392"/>
      <c r="Q312" s="392"/>
      <c r="R312" s="392" t="str">
        <f>Calcu!U34</f>
        <v>∞</v>
      </c>
      <c r="S312" s="392"/>
      <c r="T312" s="392"/>
      <c r="U312" s="392"/>
      <c r="V312" s="392"/>
      <c r="W312" s="392">
        <f>Calcu!U35</f>
        <v>100</v>
      </c>
      <c r="X312" s="392"/>
      <c r="Y312" s="392"/>
      <c r="Z312" s="392"/>
      <c r="AA312" s="392"/>
      <c r="AB312" s="392">
        <f>Calcu!U36</f>
        <v>12</v>
      </c>
      <c r="AC312" s="392"/>
      <c r="AD312" s="392"/>
      <c r="AE312" s="392"/>
      <c r="AF312" s="392"/>
      <c r="AG312" s="397">
        <f>Calcu!U37</f>
        <v>100</v>
      </c>
      <c r="AH312" s="397"/>
      <c r="AI312" s="397"/>
      <c r="AJ312" s="397"/>
      <c r="AK312" s="392"/>
      <c r="AL312" s="392">
        <f>Calcu!U38</f>
        <v>305</v>
      </c>
      <c r="AM312" s="392"/>
      <c r="AN312" s="392"/>
      <c r="AO312" s="392"/>
      <c r="AX312" s="213"/>
      <c r="AY312" s="213"/>
      <c r="AZ312" s="213"/>
      <c r="BA312" s="213"/>
      <c r="BB312" s="213"/>
      <c r="BC312" s="213"/>
      <c r="BD312" s="213"/>
      <c r="BE312" s="213"/>
      <c r="BF312" s="213"/>
      <c r="BG312" s="213"/>
      <c r="BH312" s="213"/>
      <c r="BI312" s="213"/>
    </row>
    <row r="313" spans="1:81" ht="18.75" customHeight="1">
      <c r="A313" s="213"/>
      <c r="B313" s="213"/>
      <c r="C313" s="213"/>
      <c r="D313" s="213"/>
      <c r="E313" s="213"/>
      <c r="F313" s="213"/>
      <c r="G313" s="213"/>
      <c r="H313" s="213"/>
      <c r="I313" s="213"/>
      <c r="J313" s="213"/>
      <c r="K313" s="213"/>
      <c r="L313" s="213"/>
      <c r="M313" s="392" t="s">
        <v>580</v>
      </c>
      <c r="N313" s="396">
        <f>Calcu!V42</f>
        <v>0</v>
      </c>
      <c r="O313" s="396"/>
      <c r="P313" s="396"/>
      <c r="Q313" s="396"/>
      <c r="R313" s="392" t="s">
        <v>580</v>
      </c>
      <c r="S313" s="396" t="e">
        <f>Calcu!V43</f>
        <v>#DIV/0!</v>
      </c>
      <c r="T313" s="396"/>
      <c r="U313" s="396"/>
      <c r="V313" s="396"/>
      <c r="W313" s="392" t="s">
        <v>580</v>
      </c>
      <c r="X313" s="396">
        <f>Calcu!V44</f>
        <v>0</v>
      </c>
      <c r="Y313" s="396"/>
      <c r="Z313" s="396"/>
      <c r="AA313" s="396"/>
      <c r="AB313" s="392" t="s">
        <v>581</v>
      </c>
      <c r="AC313" s="396">
        <f>Calcu!V45</f>
        <v>0</v>
      </c>
      <c r="AD313" s="396"/>
      <c r="AE313" s="396"/>
      <c r="AF313" s="396"/>
      <c r="AG313" s="392" t="s">
        <v>580</v>
      </c>
      <c r="AH313" s="396" t="e">
        <f>Calcu!V46</f>
        <v>#VALUE!</v>
      </c>
      <c r="AI313" s="396"/>
      <c r="AJ313" s="396"/>
      <c r="AK313" s="396"/>
      <c r="AL313" s="392" t="s">
        <v>580</v>
      </c>
      <c r="AM313" s="396" t="e">
        <f ca="1">Calcu!V47</f>
        <v>#N/A</v>
      </c>
      <c r="AN313" s="396"/>
      <c r="AO313" s="396"/>
      <c r="AP313" s="396"/>
      <c r="AQ313" s="212"/>
      <c r="AR313" s="212"/>
      <c r="AS313" s="212"/>
      <c r="AT313" s="212"/>
      <c r="AU313" s="212"/>
      <c r="AV313" s="212"/>
      <c r="AW313" s="212"/>
      <c r="AX313" s="213"/>
      <c r="AY313" s="213"/>
      <c r="AZ313" s="213"/>
      <c r="BA313" s="213"/>
      <c r="BB313" s="213"/>
      <c r="BC313" s="213"/>
      <c r="BD313" s="213"/>
      <c r="BE313" s="213"/>
      <c r="BF313" s="213"/>
      <c r="BG313" s="213"/>
      <c r="BH313" s="213"/>
    </row>
    <row r="314" spans="1:81" ht="18.75" customHeight="1">
      <c r="A314" s="213"/>
      <c r="B314" s="213"/>
      <c r="C314" s="213"/>
      <c r="D314" s="213"/>
      <c r="E314" s="213"/>
      <c r="F314" s="213"/>
      <c r="G314" s="213"/>
      <c r="H314" s="213"/>
      <c r="I314" s="213"/>
      <c r="J314" s="213"/>
      <c r="K314" s="213"/>
      <c r="L314" s="213"/>
      <c r="M314" s="392"/>
      <c r="N314" s="397" t="str">
        <f>Calcu!U42</f>
        <v>∞</v>
      </c>
      <c r="O314" s="397"/>
      <c r="P314" s="397"/>
      <c r="Q314" s="397"/>
      <c r="R314" s="392"/>
      <c r="S314" s="392" t="str">
        <f>Calcu!U43</f>
        <v>∞</v>
      </c>
      <c r="T314" s="392"/>
      <c r="U314" s="392"/>
      <c r="V314" s="392"/>
      <c r="W314" s="392"/>
      <c r="X314" s="392">
        <f>Calcu!U44</f>
        <v>50</v>
      </c>
      <c r="Y314" s="392"/>
      <c r="Z314" s="392"/>
      <c r="AA314" s="392"/>
      <c r="AB314" s="392"/>
      <c r="AC314" s="392">
        <f>Calcu!U45</f>
        <v>50</v>
      </c>
      <c r="AD314" s="392"/>
      <c r="AE314" s="392"/>
      <c r="AF314" s="392"/>
      <c r="AG314" s="392"/>
      <c r="AH314" s="392" t="str">
        <f>Calcu!U46</f>
        <v>∞</v>
      </c>
      <c r="AI314" s="392"/>
      <c r="AJ314" s="392"/>
      <c r="AK314" s="392"/>
      <c r="AL314" s="392"/>
      <c r="AM314" s="392" t="str">
        <f>Calcu!U47</f>
        <v>∞</v>
      </c>
      <c r="AN314" s="392"/>
      <c r="AO314" s="392"/>
      <c r="AP314" s="392"/>
      <c r="AQ314" s="212"/>
      <c r="AR314" s="212"/>
      <c r="AS314" s="212"/>
      <c r="AT314" s="212"/>
      <c r="AU314" s="212"/>
      <c r="AV314" s="212"/>
      <c r="AW314" s="212"/>
      <c r="AX314" s="212"/>
      <c r="AY314" s="213"/>
      <c r="AZ314" s="213"/>
      <c r="BA314" s="213"/>
      <c r="BB314" s="213"/>
      <c r="BC314" s="213"/>
      <c r="BD314" s="213"/>
      <c r="BE314" s="213"/>
      <c r="BF314" s="213"/>
      <c r="BG314" s="213"/>
      <c r="BH314" s="213"/>
    </row>
    <row r="315" spans="1:81" ht="18.75" customHeight="1">
      <c r="A315" s="213"/>
      <c r="B315" s="213"/>
      <c r="C315" s="213"/>
      <c r="D315" s="213"/>
      <c r="E315" s="213"/>
      <c r="F315" s="213"/>
      <c r="G315" s="213"/>
      <c r="H315" s="213"/>
      <c r="I315" s="213"/>
      <c r="J315" s="213"/>
      <c r="K315" s="213"/>
      <c r="L315" s="213"/>
      <c r="M315" s="213"/>
      <c r="N315" s="213"/>
      <c r="O315" s="213"/>
      <c r="P315" s="213"/>
      <c r="Q315" s="213"/>
      <c r="R315" s="213"/>
      <c r="S315" s="213"/>
      <c r="T315" s="213"/>
      <c r="U315" s="213"/>
      <c r="V315" s="213"/>
      <c r="W315" s="213"/>
      <c r="X315" s="213"/>
      <c r="Y315" s="213"/>
      <c r="Z315" s="213"/>
      <c r="AA315" s="213"/>
      <c r="AB315" s="213"/>
      <c r="AC315" s="213"/>
      <c r="AD315" s="213"/>
      <c r="AE315" s="213"/>
      <c r="AF315" s="213"/>
      <c r="AG315" s="213"/>
      <c r="AH315" s="213"/>
      <c r="AI315" s="213"/>
      <c r="AJ315" s="213"/>
      <c r="AK315" s="213"/>
      <c r="AL315" s="213"/>
      <c r="AM315" s="213"/>
      <c r="AN315" s="213"/>
      <c r="AO315" s="213"/>
      <c r="AP315" s="213"/>
      <c r="AQ315" s="213"/>
      <c r="AR315" s="213"/>
      <c r="AS315" s="213"/>
      <c r="AT315" s="213"/>
      <c r="AU315" s="213"/>
      <c r="AV315" s="213"/>
      <c r="AW315" s="213"/>
      <c r="AX315" s="213"/>
      <c r="AY315" s="213"/>
      <c r="AZ315" s="213"/>
      <c r="BA315" s="213"/>
      <c r="BB315" s="213"/>
      <c r="BC315" s="213"/>
      <c r="BD315" s="213"/>
      <c r="BE315" s="213"/>
      <c r="BF315" s="213"/>
      <c r="BG315" s="213"/>
      <c r="BH315" s="213"/>
    </row>
    <row r="316" spans="1:81" ht="18.75" customHeight="1">
      <c r="A316" s="211" t="s">
        <v>687</v>
      </c>
      <c r="B316" s="213"/>
      <c r="C316" s="213"/>
      <c r="D316" s="213"/>
      <c r="E316" s="213"/>
      <c r="F316" s="213"/>
      <c r="G316" s="213"/>
      <c r="H316" s="213"/>
      <c r="I316" s="213"/>
      <c r="J316" s="213"/>
      <c r="K316" s="213"/>
      <c r="L316" s="213"/>
      <c r="M316" s="213"/>
      <c r="N316" s="213"/>
      <c r="O316" s="213"/>
      <c r="P316" s="213"/>
      <c r="Q316" s="213"/>
      <c r="R316" s="213"/>
      <c r="S316" s="213"/>
      <c r="T316" s="213"/>
      <c r="U316" s="213"/>
      <c r="V316" s="213"/>
      <c r="W316" s="213"/>
      <c r="X316" s="213"/>
      <c r="Y316" s="213"/>
      <c r="Z316" s="213"/>
      <c r="AA316" s="213"/>
      <c r="AB316" s="213"/>
      <c r="AC316" s="213"/>
      <c r="AD316" s="213"/>
      <c r="AE316" s="213"/>
      <c r="AF316" s="213"/>
      <c r="AG316" s="213"/>
      <c r="AH316" s="213"/>
      <c r="AI316" s="213"/>
      <c r="AJ316" s="213"/>
      <c r="AK316" s="213"/>
      <c r="AL316" s="213"/>
      <c r="AM316" s="213"/>
      <c r="AN316" s="213"/>
      <c r="AO316" s="213"/>
      <c r="AP316" s="213"/>
      <c r="AQ316" s="213"/>
      <c r="AR316" s="213"/>
      <c r="AS316" s="213"/>
      <c r="AT316" s="213"/>
      <c r="AU316" s="213"/>
      <c r="AV316" s="213"/>
      <c r="AW316" s="213"/>
      <c r="AX316" s="213"/>
      <c r="AY316" s="213"/>
      <c r="AZ316" s="213"/>
      <c r="BA316" s="213"/>
      <c r="BB316" s="213"/>
      <c r="BC316" s="213"/>
      <c r="BD316" s="213"/>
    </row>
    <row r="317" spans="1:81" ht="18.75" customHeight="1">
      <c r="A317" s="211"/>
      <c r="B317" s="213" t="s">
        <v>688</v>
      </c>
      <c r="C317" s="213"/>
      <c r="D317" s="213"/>
      <c r="E317" s="213"/>
      <c r="F317" s="213"/>
      <c r="G317" s="213"/>
      <c r="H317" s="213"/>
      <c r="I317" s="213"/>
      <c r="J317" s="213"/>
      <c r="K317" s="213"/>
      <c r="L317" s="213"/>
      <c r="M317" s="213"/>
      <c r="N317" s="213"/>
      <c r="O317" s="213"/>
      <c r="P317" s="213"/>
      <c r="Q317" s="213"/>
      <c r="R317" s="213"/>
      <c r="S317" s="213"/>
      <c r="T317" s="213"/>
      <c r="U317" s="213"/>
      <c r="V317" s="213"/>
      <c r="W317" s="213"/>
      <c r="X317" s="213"/>
      <c r="Y317" s="213"/>
      <c r="Z317" s="213"/>
      <c r="AA317" s="213"/>
      <c r="AB317" s="213"/>
      <c r="AC317" s="213"/>
      <c r="AD317" s="213"/>
      <c r="AE317" s="213"/>
      <c r="AF317" s="213"/>
      <c r="AG317" s="213"/>
      <c r="AH317" s="213"/>
      <c r="AI317" s="213"/>
      <c r="AJ317" s="213"/>
      <c r="AK317" s="213"/>
      <c r="AL317" s="213"/>
      <c r="AM317" s="213"/>
      <c r="AN317" s="213"/>
      <c r="AO317" s="213"/>
      <c r="AP317" s="213"/>
      <c r="AQ317" s="213"/>
      <c r="AR317" s="213"/>
      <c r="AS317" s="213"/>
      <c r="AT317" s="213"/>
      <c r="AU317" s="213"/>
      <c r="AV317" s="213"/>
      <c r="AW317" s="213"/>
      <c r="AX317" s="213"/>
      <c r="AY317" s="213"/>
    </row>
    <row r="318" spans="1:81" ht="18.75" customHeight="1">
      <c r="A318" s="211"/>
      <c r="B318" s="213"/>
      <c r="C318" s="213" t="s">
        <v>689</v>
      </c>
      <c r="D318" s="213"/>
      <c r="E318" s="213"/>
      <c r="F318" s="213"/>
      <c r="G318" s="213"/>
      <c r="H318" s="213"/>
      <c r="I318" s="213"/>
      <c r="J318" s="213"/>
      <c r="K318" s="213"/>
      <c r="L318" s="213"/>
      <c r="M318" s="213"/>
      <c r="N318" s="213"/>
      <c r="O318" s="213"/>
      <c r="P318" s="213"/>
      <c r="Q318" s="213"/>
      <c r="R318" s="213"/>
      <c r="S318" s="213"/>
      <c r="T318" s="213"/>
      <c r="U318" s="213"/>
      <c r="V318" s="213"/>
      <c r="W318" s="213"/>
      <c r="X318" s="213"/>
      <c r="Y318" s="213"/>
      <c r="Z318" s="213"/>
      <c r="AA318" s="213"/>
      <c r="AB318" s="213"/>
      <c r="AC318" s="213"/>
      <c r="AD318" s="213"/>
      <c r="AE318" s="213"/>
      <c r="AF318" s="213"/>
      <c r="AG318" s="213"/>
      <c r="AH318" s="213"/>
      <c r="AI318" s="213"/>
      <c r="AJ318" s="213"/>
      <c r="AK318" s="213"/>
      <c r="AL318" s="213"/>
      <c r="AM318" s="213"/>
      <c r="AN318" s="213"/>
      <c r="AO318" s="213"/>
      <c r="AP318" s="213"/>
      <c r="AQ318" s="213"/>
      <c r="AR318" s="213"/>
      <c r="AS318" s="213"/>
      <c r="AT318" s="213"/>
      <c r="AU318" s="213"/>
      <c r="AV318" s="213"/>
      <c r="AW318" s="213"/>
      <c r="AX318" s="213"/>
      <c r="AY318" s="213"/>
    </row>
    <row r="319" spans="1:81" ht="18.75" customHeight="1">
      <c r="A319" s="211"/>
      <c r="B319" s="213"/>
      <c r="C319" s="55" t="s">
        <v>690</v>
      </c>
      <c r="D319" s="213"/>
      <c r="E319" s="213"/>
      <c r="F319" s="213"/>
      <c r="G319" s="213"/>
      <c r="H319" s="213"/>
      <c r="I319" s="213"/>
      <c r="J319" s="213"/>
      <c r="K319" s="213"/>
      <c r="L319" s="213"/>
      <c r="M319" s="213"/>
      <c r="N319" s="213"/>
      <c r="O319" s="213"/>
      <c r="P319" s="213"/>
      <c r="Q319" s="213"/>
      <c r="R319" s="213"/>
      <c r="S319" s="213"/>
      <c r="T319" s="213"/>
      <c r="U319" s="213"/>
      <c r="V319" s="213"/>
      <c r="W319" s="213"/>
      <c r="X319" s="213"/>
      <c r="Y319" s="213"/>
      <c r="Z319" s="213"/>
      <c r="AA319" s="213"/>
      <c r="AB319" s="213"/>
      <c r="AC319" s="213"/>
      <c r="AD319" s="213"/>
      <c r="AE319" s="213"/>
      <c r="AF319" s="213"/>
      <c r="AG319" s="213"/>
      <c r="AH319" s="213"/>
      <c r="AI319" s="213"/>
      <c r="AJ319" s="213"/>
      <c r="AK319" s="213"/>
      <c r="AL319" s="213"/>
      <c r="AM319" s="213"/>
      <c r="AN319" s="213"/>
      <c r="AO319" s="213"/>
      <c r="AP319" s="213"/>
      <c r="AQ319" s="213"/>
      <c r="AR319" s="213"/>
      <c r="AS319" s="213"/>
      <c r="AT319" s="213"/>
      <c r="AU319" s="213"/>
      <c r="AV319" s="213"/>
      <c r="AW319" s="213"/>
      <c r="AX319" s="213"/>
      <c r="AY319" s="213"/>
      <c r="AZ319" s="213"/>
      <c r="BA319" s="213"/>
      <c r="BB319" s="213"/>
      <c r="BC319" s="213"/>
      <c r="BD319" s="213"/>
    </row>
    <row r="320" spans="1:81" ht="18.75" customHeight="1">
      <c r="A320" s="211"/>
      <c r="B320" s="213"/>
      <c r="C320" s="232" t="s">
        <v>691</v>
      </c>
      <c r="D320" s="213"/>
      <c r="E320" s="213"/>
      <c r="F320" s="213"/>
      <c r="G320" s="213"/>
      <c r="H320" s="213"/>
      <c r="I320" s="213"/>
      <c r="J320" s="213"/>
      <c r="K320" s="213"/>
      <c r="L320" s="213"/>
      <c r="M320" s="213"/>
      <c r="N320" s="213"/>
      <c r="O320" s="213"/>
      <c r="P320" s="213"/>
      <c r="Q320" s="213"/>
      <c r="R320" s="213"/>
      <c r="S320" s="213"/>
      <c r="T320" s="213"/>
      <c r="U320" s="213"/>
      <c r="V320" s="213"/>
      <c r="W320" s="213"/>
      <c r="X320" s="213"/>
      <c r="Y320" s="213"/>
      <c r="Z320" s="213"/>
      <c r="AA320" s="213"/>
      <c r="AB320" s="213"/>
      <c r="AC320" s="213"/>
      <c r="AD320" s="213"/>
      <c r="AE320" s="213"/>
      <c r="AF320" s="213"/>
      <c r="AG320" s="213"/>
      <c r="AH320" s="213"/>
      <c r="AI320" s="213"/>
      <c r="AJ320" s="213"/>
      <c r="AK320" s="213"/>
      <c r="AL320" s="213"/>
      <c r="AM320" s="213"/>
      <c r="AN320" s="213"/>
      <c r="AO320" s="213"/>
      <c r="AP320" s="213"/>
      <c r="AQ320" s="213"/>
      <c r="AR320" s="213"/>
      <c r="AS320" s="213"/>
      <c r="AT320" s="213"/>
      <c r="AU320" s="213"/>
      <c r="AV320" s="213"/>
      <c r="AW320" s="213"/>
      <c r="AX320" s="213"/>
      <c r="AY320" s="213"/>
      <c r="AZ320" s="213"/>
      <c r="BA320" s="213"/>
      <c r="BB320" s="213"/>
      <c r="BC320" s="213"/>
      <c r="BD320" s="213"/>
    </row>
    <row r="321" spans="1:56" ht="18.75" customHeight="1">
      <c r="A321" s="211"/>
      <c r="B321" s="213"/>
      <c r="D321" s="213"/>
      <c r="E321" s="259"/>
      <c r="F321" s="213"/>
      <c r="G321" s="242"/>
      <c r="H321" s="212"/>
      <c r="I321" s="212"/>
      <c r="J321" s="212"/>
      <c r="R321" s="259"/>
      <c r="S321" s="284"/>
      <c r="T321" s="284"/>
      <c r="U321" s="284"/>
      <c r="V321" s="284"/>
      <c r="W321" s="284"/>
      <c r="X321" s="213"/>
      <c r="Y321" s="213"/>
      <c r="Z321" s="213"/>
      <c r="AA321" s="213"/>
      <c r="AB321" s="213"/>
      <c r="AC321" s="213"/>
      <c r="AD321" s="213"/>
      <c r="AE321" s="213"/>
      <c r="AF321" s="213"/>
      <c r="AG321" s="213"/>
      <c r="AH321" s="213"/>
      <c r="AI321" s="213"/>
      <c r="AJ321" s="213"/>
      <c r="AK321" s="213"/>
      <c r="AL321" s="213"/>
      <c r="AM321" s="213"/>
      <c r="AN321" s="213"/>
      <c r="AO321" s="213"/>
      <c r="AP321" s="213"/>
      <c r="AQ321" s="213"/>
      <c r="AR321" s="213"/>
      <c r="AS321" s="213"/>
      <c r="AT321" s="213"/>
      <c r="AU321" s="213"/>
      <c r="AV321" s="213"/>
      <c r="AW321" s="213"/>
      <c r="AX321" s="213"/>
      <c r="AY321" s="213"/>
      <c r="AZ321" s="213"/>
      <c r="BA321" s="213"/>
      <c r="BB321" s="213"/>
      <c r="BC321" s="213"/>
      <c r="BD321" s="213"/>
    </row>
    <row r="322" spans="1:56" ht="18.75" customHeight="1">
      <c r="A322" s="211"/>
      <c r="B322" s="213" t="s">
        <v>692</v>
      </c>
      <c r="C322" s="213"/>
      <c r="D322" s="213"/>
      <c r="E322" s="213"/>
      <c r="F322" s="213"/>
      <c r="G322" s="213"/>
      <c r="H322" s="213"/>
      <c r="I322" s="213"/>
      <c r="J322" s="213"/>
      <c r="K322" s="213"/>
      <c r="L322" s="213"/>
      <c r="M322" s="213"/>
      <c r="N322" s="213"/>
      <c r="O322" s="213"/>
      <c r="P322" s="213"/>
      <c r="Q322" s="213"/>
      <c r="R322" s="213"/>
      <c r="S322" s="213"/>
      <c r="T322" s="213"/>
      <c r="U322" s="213"/>
      <c r="V322" s="213"/>
      <c r="W322" s="213"/>
      <c r="X322" s="213"/>
      <c r="Y322" s="213"/>
      <c r="Z322" s="213"/>
      <c r="AA322" s="213"/>
      <c r="AB322" s="213"/>
      <c r="AC322" s="213"/>
      <c r="AD322" s="213"/>
      <c r="AE322" s="213"/>
      <c r="AF322" s="213"/>
      <c r="AG322" s="213"/>
      <c r="AH322" s="213"/>
      <c r="AI322" s="213"/>
      <c r="AJ322" s="213"/>
      <c r="AK322" s="213"/>
      <c r="AL322" s="213"/>
      <c r="AM322" s="213"/>
      <c r="AN322" s="213"/>
      <c r="AO322" s="213"/>
      <c r="AP322" s="213"/>
      <c r="AQ322" s="213"/>
      <c r="AR322" s="213"/>
      <c r="AS322" s="213"/>
      <c r="AT322" s="213"/>
      <c r="AU322" s="213"/>
      <c r="AV322" s="213"/>
      <c r="AW322" s="213"/>
      <c r="AX322" s="213"/>
      <c r="AY322" s="213"/>
      <c r="AZ322" s="213"/>
      <c r="BA322" s="213"/>
      <c r="BB322" s="213"/>
      <c r="BC322" s="213"/>
      <c r="BD322" s="213"/>
    </row>
    <row r="323" spans="1:56" ht="18.75" customHeight="1">
      <c r="A323" s="211"/>
      <c r="B323" s="213"/>
      <c r="C323" s="213" t="s">
        <v>693</v>
      </c>
      <c r="D323" s="213"/>
      <c r="E323" s="213"/>
      <c r="F323" s="213"/>
      <c r="G323" s="213"/>
      <c r="H323" s="213"/>
      <c r="I323" s="213"/>
      <c r="J323" s="213"/>
      <c r="K323" s="213"/>
      <c r="L323" s="213"/>
      <c r="M323" s="213"/>
      <c r="N323" s="213"/>
      <c r="O323" s="213"/>
      <c r="P323" s="213"/>
      <c r="Q323" s="213"/>
      <c r="R323" s="213"/>
      <c r="S323" s="213"/>
      <c r="T323" s="213"/>
      <c r="U323" s="213"/>
      <c r="V323" s="213"/>
      <c r="W323" s="213"/>
      <c r="X323" s="213"/>
      <c r="Y323" s="213"/>
      <c r="Z323" s="213"/>
      <c r="AA323" s="213"/>
      <c r="AB323" s="213"/>
      <c r="AC323" s="213"/>
      <c r="AD323" s="213"/>
      <c r="AE323" s="213"/>
      <c r="AF323" s="213"/>
      <c r="AG323" s="213"/>
      <c r="AH323" s="213"/>
      <c r="AI323" s="213"/>
      <c r="AJ323" s="213"/>
      <c r="AK323" s="213"/>
      <c r="AL323" s="213"/>
      <c r="AM323" s="213"/>
      <c r="AN323" s="213"/>
      <c r="AO323" s="213"/>
      <c r="AP323" s="213"/>
      <c r="AQ323" s="213"/>
      <c r="AR323" s="213"/>
      <c r="AS323" s="213"/>
      <c r="AT323" s="213"/>
      <c r="AU323" s="213"/>
      <c r="AV323" s="213"/>
      <c r="AW323" s="213"/>
      <c r="AX323" s="213"/>
      <c r="AY323" s="213"/>
      <c r="AZ323" s="213"/>
      <c r="BA323" s="213"/>
      <c r="BB323" s="213"/>
      <c r="BC323" s="213"/>
      <c r="BD323" s="213"/>
    </row>
    <row r="324" spans="1:56" ht="18.75" customHeight="1">
      <c r="B324" s="213"/>
      <c r="C324" s="213" t="s">
        <v>694</v>
      </c>
      <c r="D324" s="213"/>
      <c r="E324" s="213"/>
      <c r="F324" s="213"/>
      <c r="G324" s="213"/>
      <c r="H324" s="213"/>
      <c r="I324" s="213"/>
      <c r="J324" s="213"/>
      <c r="K324" s="213"/>
      <c r="L324" s="213"/>
      <c r="M324" s="213"/>
      <c r="N324" s="213"/>
      <c r="O324" s="213"/>
      <c r="P324" s="213"/>
      <c r="Q324" s="213"/>
      <c r="R324" s="213"/>
      <c r="S324" s="213"/>
      <c r="T324" s="213"/>
      <c r="U324" s="213"/>
      <c r="V324" s="213"/>
      <c r="W324" s="213"/>
      <c r="X324" s="213"/>
      <c r="Y324" s="213"/>
      <c r="Z324" s="213"/>
      <c r="AA324" s="213"/>
      <c r="AB324" s="213"/>
      <c r="AC324" s="213"/>
      <c r="AD324" s="213"/>
      <c r="AE324" s="213"/>
      <c r="AF324" s="213"/>
      <c r="AG324" s="213"/>
      <c r="AH324" s="213"/>
      <c r="AI324" s="213"/>
      <c r="AJ324" s="213"/>
      <c r="AK324" s="213"/>
      <c r="AL324" s="213"/>
      <c r="AM324" s="213"/>
      <c r="AN324" s="213"/>
      <c r="AO324" s="213"/>
      <c r="AP324" s="213"/>
      <c r="AQ324" s="213"/>
      <c r="AR324" s="213"/>
      <c r="AS324" s="213"/>
      <c r="AT324" s="213"/>
      <c r="AU324" s="213"/>
      <c r="AV324" s="213"/>
      <c r="AW324" s="213"/>
      <c r="AX324" s="213"/>
      <c r="AY324" s="213"/>
      <c r="AZ324" s="213"/>
      <c r="BA324" s="213"/>
      <c r="BB324" s="213"/>
      <c r="BC324" s="213"/>
      <c r="BD324" s="213"/>
    </row>
    <row r="325" spans="1:56" ht="18.75" customHeight="1">
      <c r="A325" s="213"/>
      <c r="B325" s="213"/>
      <c r="C325" s="55" t="s">
        <v>695</v>
      </c>
      <c r="AL325" s="213"/>
      <c r="AM325" s="213"/>
      <c r="AN325" s="213"/>
      <c r="AO325" s="213"/>
      <c r="AP325" s="213"/>
      <c r="AQ325" s="213"/>
      <c r="AR325" s="213"/>
      <c r="AS325" s="213"/>
      <c r="AT325" s="213"/>
      <c r="AU325" s="213"/>
      <c r="AV325" s="213"/>
      <c r="AW325" s="213"/>
      <c r="AX325" s="213"/>
      <c r="AY325" s="213"/>
      <c r="AZ325" s="213"/>
      <c r="BA325" s="213"/>
      <c r="BB325" s="213"/>
    </row>
    <row r="326" spans="1:56" ht="18.75" customHeight="1">
      <c r="A326" s="213"/>
      <c r="B326" s="213"/>
      <c r="AL326" s="213"/>
      <c r="AM326" s="213"/>
      <c r="AN326" s="213"/>
      <c r="AO326" s="213"/>
      <c r="AP326" s="213"/>
      <c r="AQ326" s="213"/>
      <c r="AR326" s="213"/>
      <c r="AS326" s="213"/>
      <c r="AT326" s="213"/>
      <c r="AU326" s="213"/>
      <c r="AV326" s="213"/>
      <c r="AW326" s="213"/>
      <c r="AX326" s="213"/>
      <c r="AY326" s="213"/>
      <c r="AZ326" s="213"/>
      <c r="BA326" s="213"/>
      <c r="BB326" s="213"/>
    </row>
    <row r="327" spans="1:56" ht="18.75" customHeight="1">
      <c r="A327" s="213"/>
      <c r="B327" s="213"/>
      <c r="C327" s="213"/>
      <c r="D327" s="213"/>
      <c r="E327" s="215"/>
      <c r="F327" s="213"/>
      <c r="G327" s="213"/>
      <c r="H327" s="242" t="s">
        <v>696</v>
      </c>
      <c r="I327" s="392" t="e">
        <f ca="1">Calcu!E63</f>
        <v>#N/A</v>
      </c>
      <c r="J327" s="392"/>
      <c r="K327" s="392"/>
      <c r="L327" s="285" t="s">
        <v>483</v>
      </c>
      <c r="M327" s="393" t="e">
        <f ca="1">F307</f>
        <v>#N/A</v>
      </c>
      <c r="N327" s="393"/>
      <c r="O327" s="393"/>
      <c r="P327" s="235"/>
      <c r="Q327" s="225"/>
      <c r="R327" s="394" t="e">
        <f ca="1">K307</f>
        <v>#N/A</v>
      </c>
      <c r="S327" s="395"/>
      <c r="T327" s="395"/>
      <c r="U327" s="213"/>
      <c r="V327" s="213"/>
      <c r="W327" s="213"/>
      <c r="X327" s="389" t="str">
        <f>Q307</f>
        <v>μm</v>
      </c>
      <c r="Y327" s="389"/>
      <c r="Z327" s="285" t="s">
        <v>476</v>
      </c>
      <c r="AA327" s="393" t="e">
        <f ca="1">Calcu!C52</f>
        <v>#N/A</v>
      </c>
      <c r="AB327" s="393"/>
      <c r="AC327" s="393"/>
      <c r="AD327" s="235"/>
      <c r="AE327" s="225"/>
      <c r="AF327" s="394" t="e">
        <f ca="1">Calcu!D52</f>
        <v>#N/A</v>
      </c>
      <c r="AG327" s="395"/>
      <c r="AH327" s="395"/>
      <c r="AI327" s="213"/>
      <c r="AJ327" s="213"/>
      <c r="AK327" s="213"/>
      <c r="AL327" s="389" t="str">
        <f>X327</f>
        <v>μm</v>
      </c>
      <c r="AM327" s="389"/>
      <c r="AN327" s="212" t="s">
        <v>697</v>
      </c>
      <c r="AO327" s="390" t="e">
        <f ca="1">Calcu!T52</f>
        <v>#N/A</v>
      </c>
      <c r="AP327" s="390"/>
      <c r="AQ327" s="390"/>
      <c r="AR327" s="235"/>
      <c r="AS327" s="391" t="e">
        <f ca="1">Calcu!U52</f>
        <v>#N/A</v>
      </c>
      <c r="AT327" s="391"/>
      <c r="AU327" s="391"/>
      <c r="AV327" s="254"/>
      <c r="AW327" s="213"/>
      <c r="AX327" s="213"/>
      <c r="AY327" s="213"/>
      <c r="AZ327" s="389" t="str">
        <f>AL327</f>
        <v>μm</v>
      </c>
      <c r="BA327" s="389"/>
    </row>
  </sheetData>
  <mergeCells count="888">
    <mergeCell ref="B3:G3"/>
    <mergeCell ref="H3:M3"/>
    <mergeCell ref="N3:S3"/>
    <mergeCell ref="B4:G4"/>
    <mergeCell ref="H4:M4"/>
    <mergeCell ref="N4:S4"/>
    <mergeCell ref="AZ7:BD8"/>
    <mergeCell ref="G8:K8"/>
    <mergeCell ref="L8:P8"/>
    <mergeCell ref="Q8:U8"/>
    <mergeCell ref="V8:Z8"/>
    <mergeCell ref="AA8:AE8"/>
    <mergeCell ref="B7:F8"/>
    <mergeCell ref="G7:AE7"/>
    <mergeCell ref="AF7:AJ8"/>
    <mergeCell ref="AK7:AO8"/>
    <mergeCell ref="AP7:AT8"/>
    <mergeCell ref="AU7:AY8"/>
    <mergeCell ref="B10:F10"/>
    <mergeCell ref="G10:K10"/>
    <mergeCell ref="L10:P10"/>
    <mergeCell ref="Q10:U10"/>
    <mergeCell ref="V10:Z10"/>
    <mergeCell ref="B9:F9"/>
    <mergeCell ref="G9:K9"/>
    <mergeCell ref="L9:P9"/>
    <mergeCell ref="Q9:U9"/>
    <mergeCell ref="V9:Z9"/>
    <mergeCell ref="AA10:AE10"/>
    <mergeCell ref="AF10:AJ10"/>
    <mergeCell ref="AK10:AO10"/>
    <mergeCell ref="AP10:AT10"/>
    <mergeCell ref="AU10:AY10"/>
    <mergeCell ref="AZ10:BD10"/>
    <mergeCell ref="AF9:AJ9"/>
    <mergeCell ref="AK9:AO9"/>
    <mergeCell ref="AP9:AT9"/>
    <mergeCell ref="AU9:AY9"/>
    <mergeCell ref="AZ9:BD9"/>
    <mergeCell ref="AA9:AE9"/>
    <mergeCell ref="B12:F12"/>
    <mergeCell ref="G12:K12"/>
    <mergeCell ref="L12:P12"/>
    <mergeCell ref="Q12:U12"/>
    <mergeCell ref="V12:Z12"/>
    <mergeCell ref="B11:F11"/>
    <mergeCell ref="G11:K11"/>
    <mergeCell ref="L11:P11"/>
    <mergeCell ref="Q11:U11"/>
    <mergeCell ref="V11:Z11"/>
    <mergeCell ref="AA12:AE12"/>
    <mergeCell ref="AF12:AJ12"/>
    <mergeCell ref="AK12:AO12"/>
    <mergeCell ref="AP12:AT12"/>
    <mergeCell ref="AU12:AY12"/>
    <mergeCell ref="AZ12:BD12"/>
    <mergeCell ref="AF11:AJ11"/>
    <mergeCell ref="AK11:AO11"/>
    <mergeCell ref="AP11:AT11"/>
    <mergeCell ref="AU11:AY11"/>
    <mergeCell ref="AZ11:BD11"/>
    <mergeCell ref="AA11:AE11"/>
    <mergeCell ref="B14:F14"/>
    <mergeCell ref="G14:K14"/>
    <mergeCell ref="L14:P14"/>
    <mergeCell ref="Q14:U14"/>
    <mergeCell ref="V14:Z14"/>
    <mergeCell ref="B13:F13"/>
    <mergeCell ref="G13:K13"/>
    <mergeCell ref="L13:P13"/>
    <mergeCell ref="Q13:U13"/>
    <mergeCell ref="V13:Z13"/>
    <mergeCell ref="AA14:AE14"/>
    <mergeCell ref="AF14:AJ14"/>
    <mergeCell ref="AK14:AO14"/>
    <mergeCell ref="AP14:AT14"/>
    <mergeCell ref="AU14:AY14"/>
    <mergeCell ref="AZ14:BD14"/>
    <mergeCell ref="AF13:AJ13"/>
    <mergeCell ref="AK13:AO13"/>
    <mergeCell ref="AP13:AT13"/>
    <mergeCell ref="AU13:AY13"/>
    <mergeCell ref="AZ13:BD13"/>
    <mergeCell ref="AA13:AE13"/>
    <mergeCell ref="B16:F16"/>
    <mergeCell ref="G16:K16"/>
    <mergeCell ref="L16:P16"/>
    <mergeCell ref="Q16:U16"/>
    <mergeCell ref="V16:Z16"/>
    <mergeCell ref="B15:F15"/>
    <mergeCell ref="G15:K15"/>
    <mergeCell ref="L15:P15"/>
    <mergeCell ref="Q15:U15"/>
    <mergeCell ref="V15:Z15"/>
    <mergeCell ref="AA16:AE16"/>
    <mergeCell ref="AF16:AJ16"/>
    <mergeCell ref="AK16:AO16"/>
    <mergeCell ref="AP16:AT16"/>
    <mergeCell ref="AU16:AY16"/>
    <mergeCell ref="AZ16:BD16"/>
    <mergeCell ref="AF15:AJ15"/>
    <mergeCell ref="AK15:AO15"/>
    <mergeCell ref="AP15:AT15"/>
    <mergeCell ref="AU15:AY15"/>
    <mergeCell ref="AZ15:BD15"/>
    <mergeCell ref="AA15:AE15"/>
    <mergeCell ref="B18:F18"/>
    <mergeCell ref="G18:K18"/>
    <mergeCell ref="L18:P18"/>
    <mergeCell ref="Q18:U18"/>
    <mergeCell ref="V18:Z18"/>
    <mergeCell ref="B17:F17"/>
    <mergeCell ref="G17:K17"/>
    <mergeCell ref="L17:P17"/>
    <mergeCell ref="Q17:U17"/>
    <mergeCell ref="V17:Z17"/>
    <mergeCell ref="AA18:AE18"/>
    <mergeCell ref="AF18:AJ18"/>
    <mergeCell ref="AK18:AO18"/>
    <mergeCell ref="AP18:AT18"/>
    <mergeCell ref="AU18:AY18"/>
    <mergeCell ref="AZ18:BD18"/>
    <mergeCell ref="AF17:AJ17"/>
    <mergeCell ref="AK17:AO17"/>
    <mergeCell ref="AP17:AT17"/>
    <mergeCell ref="AU17:AY17"/>
    <mergeCell ref="AZ17:BD17"/>
    <mergeCell ref="AA17:AE17"/>
    <mergeCell ref="B20:F20"/>
    <mergeCell ref="G20:K20"/>
    <mergeCell ref="L20:P20"/>
    <mergeCell ref="Q20:U20"/>
    <mergeCell ref="V20:Z20"/>
    <mergeCell ref="B19:F19"/>
    <mergeCell ref="G19:K19"/>
    <mergeCell ref="L19:P19"/>
    <mergeCell ref="Q19:U19"/>
    <mergeCell ref="V19:Z19"/>
    <mergeCell ref="AA20:AE20"/>
    <mergeCell ref="AF20:AJ20"/>
    <mergeCell ref="AK20:AO20"/>
    <mergeCell ref="AP20:AT20"/>
    <mergeCell ref="AU20:AY20"/>
    <mergeCell ref="AZ20:BD20"/>
    <mergeCell ref="AF19:AJ19"/>
    <mergeCell ref="AK19:AO19"/>
    <mergeCell ref="AP19:AT19"/>
    <mergeCell ref="AU19:AY19"/>
    <mergeCell ref="AZ19:BD19"/>
    <mergeCell ref="AA19:AE19"/>
    <mergeCell ref="B22:F22"/>
    <mergeCell ref="G22:K22"/>
    <mergeCell ref="L22:P22"/>
    <mergeCell ref="Q22:U22"/>
    <mergeCell ref="V22:Z22"/>
    <mergeCell ref="B21:F21"/>
    <mergeCell ref="G21:K21"/>
    <mergeCell ref="L21:P21"/>
    <mergeCell ref="Q21:U21"/>
    <mergeCell ref="V21:Z21"/>
    <mergeCell ref="AA22:AE22"/>
    <mergeCell ref="AF22:AJ22"/>
    <mergeCell ref="AK22:AO22"/>
    <mergeCell ref="AP22:AT22"/>
    <mergeCell ref="AU22:AY22"/>
    <mergeCell ref="AZ22:BD22"/>
    <mergeCell ref="AF21:AJ21"/>
    <mergeCell ref="AK21:AO21"/>
    <mergeCell ref="AP21:AT21"/>
    <mergeCell ref="AU21:AY21"/>
    <mergeCell ref="AZ21:BD21"/>
    <mergeCell ref="AA21:AE21"/>
    <mergeCell ref="B24:F24"/>
    <mergeCell ref="G24:K24"/>
    <mergeCell ref="L24:P24"/>
    <mergeCell ref="Q24:U24"/>
    <mergeCell ref="V24:Z24"/>
    <mergeCell ref="B23:F23"/>
    <mergeCell ref="G23:K23"/>
    <mergeCell ref="L23:P23"/>
    <mergeCell ref="Q23:U23"/>
    <mergeCell ref="V23:Z23"/>
    <mergeCell ref="AA24:AE24"/>
    <mergeCell ref="AF24:AJ24"/>
    <mergeCell ref="AK24:AO24"/>
    <mergeCell ref="AP24:AT24"/>
    <mergeCell ref="AU24:AY24"/>
    <mergeCell ref="AZ24:BD24"/>
    <mergeCell ref="AF23:AJ23"/>
    <mergeCell ref="AK23:AO23"/>
    <mergeCell ref="AP23:AT23"/>
    <mergeCell ref="AU23:AY23"/>
    <mergeCell ref="AZ23:BD23"/>
    <mergeCell ref="AA23:AE23"/>
    <mergeCell ref="B26:F26"/>
    <mergeCell ref="G26:K26"/>
    <mergeCell ref="L26:P26"/>
    <mergeCell ref="Q26:U26"/>
    <mergeCell ref="V26:Z26"/>
    <mergeCell ref="B25:F25"/>
    <mergeCell ref="G25:K25"/>
    <mergeCell ref="L25:P25"/>
    <mergeCell ref="Q25:U25"/>
    <mergeCell ref="V25:Z25"/>
    <mergeCell ref="AA26:AE26"/>
    <mergeCell ref="AF26:AJ26"/>
    <mergeCell ref="AK26:AO26"/>
    <mergeCell ref="AP26:AT26"/>
    <mergeCell ref="AU26:AY26"/>
    <mergeCell ref="AZ26:BD26"/>
    <mergeCell ref="AF25:AJ25"/>
    <mergeCell ref="AK25:AO25"/>
    <mergeCell ref="AP25:AT25"/>
    <mergeCell ref="AU25:AY25"/>
    <mergeCell ref="AZ25:BD25"/>
    <mergeCell ref="AA25:AE25"/>
    <mergeCell ref="B28:F28"/>
    <mergeCell ref="G28:K28"/>
    <mergeCell ref="L28:P28"/>
    <mergeCell ref="Q28:U28"/>
    <mergeCell ref="V28:Z28"/>
    <mergeCell ref="B27:F27"/>
    <mergeCell ref="G27:K27"/>
    <mergeCell ref="L27:P27"/>
    <mergeCell ref="Q27:U27"/>
    <mergeCell ref="V27:Z27"/>
    <mergeCell ref="AA28:AE28"/>
    <mergeCell ref="AF28:AJ28"/>
    <mergeCell ref="AK28:AO28"/>
    <mergeCell ref="AP28:AT28"/>
    <mergeCell ref="AU28:AY28"/>
    <mergeCell ref="AZ28:BD28"/>
    <mergeCell ref="AF27:AJ27"/>
    <mergeCell ref="AK27:AO27"/>
    <mergeCell ref="AP27:AT27"/>
    <mergeCell ref="AU27:AY27"/>
    <mergeCell ref="AZ27:BD27"/>
    <mergeCell ref="AA27:AE27"/>
    <mergeCell ref="B31:F32"/>
    <mergeCell ref="G31:T31"/>
    <mergeCell ref="U31:Z32"/>
    <mergeCell ref="G32:M32"/>
    <mergeCell ref="N32:T32"/>
    <mergeCell ref="B33:F33"/>
    <mergeCell ref="G33:M33"/>
    <mergeCell ref="N33:T33"/>
    <mergeCell ref="U33:Z33"/>
    <mergeCell ref="B36:F36"/>
    <mergeCell ref="G36:M36"/>
    <mergeCell ref="N36:T36"/>
    <mergeCell ref="U36:Z36"/>
    <mergeCell ref="B37:F37"/>
    <mergeCell ref="G37:M37"/>
    <mergeCell ref="N37:T37"/>
    <mergeCell ref="U37:Z37"/>
    <mergeCell ref="B34:F34"/>
    <mergeCell ref="G34:M34"/>
    <mergeCell ref="N34:T34"/>
    <mergeCell ref="U34:Z34"/>
    <mergeCell ref="B35:F35"/>
    <mergeCell ref="G35:M35"/>
    <mergeCell ref="N35:T35"/>
    <mergeCell ref="U35:Z35"/>
    <mergeCell ref="B40:F40"/>
    <mergeCell ref="G40:M40"/>
    <mergeCell ref="N40:T40"/>
    <mergeCell ref="U40:Z40"/>
    <mergeCell ref="B41:F41"/>
    <mergeCell ref="G41:M41"/>
    <mergeCell ref="N41:T41"/>
    <mergeCell ref="U41:Z41"/>
    <mergeCell ref="B38:F38"/>
    <mergeCell ref="G38:M38"/>
    <mergeCell ref="N38:T38"/>
    <mergeCell ref="U38:Z38"/>
    <mergeCell ref="B39:F39"/>
    <mergeCell ref="G39:M39"/>
    <mergeCell ref="N39:T39"/>
    <mergeCell ref="U39:Z39"/>
    <mergeCell ref="B44:F44"/>
    <mergeCell ref="G44:M44"/>
    <mergeCell ref="N44:T44"/>
    <mergeCell ref="U44:Z44"/>
    <mergeCell ref="B45:F45"/>
    <mergeCell ref="G45:M45"/>
    <mergeCell ref="N45:T45"/>
    <mergeCell ref="U45:Z45"/>
    <mergeCell ref="B42:F42"/>
    <mergeCell ref="G42:M42"/>
    <mergeCell ref="N42:T42"/>
    <mergeCell ref="U42:Z42"/>
    <mergeCell ref="B43:F43"/>
    <mergeCell ref="G43:M43"/>
    <mergeCell ref="N43:T43"/>
    <mergeCell ref="U43:Z43"/>
    <mergeCell ref="B48:F48"/>
    <mergeCell ref="G48:M48"/>
    <mergeCell ref="N48:T48"/>
    <mergeCell ref="U48:Z48"/>
    <mergeCell ref="B49:F49"/>
    <mergeCell ref="G49:M49"/>
    <mergeCell ref="N49:T49"/>
    <mergeCell ref="U49:Z49"/>
    <mergeCell ref="B46:F46"/>
    <mergeCell ref="G46:M46"/>
    <mergeCell ref="N46:T46"/>
    <mergeCell ref="U46:Z46"/>
    <mergeCell ref="B47:F47"/>
    <mergeCell ref="G47:M47"/>
    <mergeCell ref="N47:T47"/>
    <mergeCell ref="U47:Z47"/>
    <mergeCell ref="U52:Z52"/>
    <mergeCell ref="C57:E57"/>
    <mergeCell ref="C58:E58"/>
    <mergeCell ref="B50:F50"/>
    <mergeCell ref="G50:M50"/>
    <mergeCell ref="N50:T50"/>
    <mergeCell ref="U50:Z50"/>
    <mergeCell ref="B51:F51"/>
    <mergeCell ref="G51:M51"/>
    <mergeCell ref="N51:T51"/>
    <mergeCell ref="U51:Z51"/>
    <mergeCell ref="C59:E59"/>
    <mergeCell ref="C60:E60"/>
    <mergeCell ref="C61:E61"/>
    <mergeCell ref="C62:E62"/>
    <mergeCell ref="C63:E63"/>
    <mergeCell ref="C64:E64"/>
    <mergeCell ref="B52:F52"/>
    <mergeCell ref="G52:M52"/>
    <mergeCell ref="N52:T52"/>
    <mergeCell ref="H79:N79"/>
    <mergeCell ref="O79:AA79"/>
    <mergeCell ref="AB79:AF79"/>
    <mergeCell ref="AG79:AO79"/>
    <mergeCell ref="AP79:BB79"/>
    <mergeCell ref="BC79:BF79"/>
    <mergeCell ref="C65:E65"/>
    <mergeCell ref="C66:E66"/>
    <mergeCell ref="C67:E67"/>
    <mergeCell ref="C68:E68"/>
    <mergeCell ref="C69:E69"/>
    <mergeCell ref="B79:C81"/>
    <mergeCell ref="D79:G79"/>
    <mergeCell ref="D80:G80"/>
    <mergeCell ref="D81:G81"/>
    <mergeCell ref="H81:N81"/>
    <mergeCell ref="O81:AA81"/>
    <mergeCell ref="AB81:AF81"/>
    <mergeCell ref="AG81:AO81"/>
    <mergeCell ref="AP81:BB81"/>
    <mergeCell ref="BC81:BF81"/>
    <mergeCell ref="H80:N80"/>
    <mergeCell ref="O80:AA80"/>
    <mergeCell ref="AB80:AF80"/>
    <mergeCell ref="AG80:AO80"/>
    <mergeCell ref="AP80:BB80"/>
    <mergeCell ref="BC80:BF80"/>
    <mergeCell ref="BC82:BF82"/>
    <mergeCell ref="B83:C83"/>
    <mergeCell ref="D83:G83"/>
    <mergeCell ref="H83:L83"/>
    <mergeCell ref="M83:N83"/>
    <mergeCell ref="O83:U83"/>
    <mergeCell ref="V83:AA83"/>
    <mergeCell ref="AB83:AF83"/>
    <mergeCell ref="AG83:AO83"/>
    <mergeCell ref="AP83:AV83"/>
    <mergeCell ref="Z82:AA82"/>
    <mergeCell ref="AB82:AF82"/>
    <mergeCell ref="AG82:AO82"/>
    <mergeCell ref="AP82:AR82"/>
    <mergeCell ref="AT82:AW82"/>
    <mergeCell ref="BA82:BB82"/>
    <mergeCell ref="B82:C82"/>
    <mergeCell ref="D82:G82"/>
    <mergeCell ref="H82:L82"/>
    <mergeCell ref="M82:N82"/>
    <mergeCell ref="O82:Q82"/>
    <mergeCell ref="S82:V82"/>
    <mergeCell ref="B85:C85"/>
    <mergeCell ref="D85:G85"/>
    <mergeCell ref="H85:L85"/>
    <mergeCell ref="M85:N85"/>
    <mergeCell ref="O85:U85"/>
    <mergeCell ref="V85:AA85"/>
    <mergeCell ref="AW83:BB83"/>
    <mergeCell ref="BC83:BF83"/>
    <mergeCell ref="B84:C84"/>
    <mergeCell ref="D84:G84"/>
    <mergeCell ref="H84:L84"/>
    <mergeCell ref="M84:N84"/>
    <mergeCell ref="O84:U84"/>
    <mergeCell ref="V84:AA84"/>
    <mergeCell ref="AB84:AF84"/>
    <mergeCell ref="AG84:AJ84"/>
    <mergeCell ref="AB85:AF85"/>
    <mergeCell ref="AG85:AJ85"/>
    <mergeCell ref="AK85:AO85"/>
    <mergeCell ref="AP85:AV85"/>
    <mergeCell ref="AW85:BB85"/>
    <mergeCell ref="BC85:BF85"/>
    <mergeCell ref="AK84:AO84"/>
    <mergeCell ref="AP84:AV84"/>
    <mergeCell ref="AW84:BB84"/>
    <mergeCell ref="BC84:BF84"/>
    <mergeCell ref="AB86:AF86"/>
    <mergeCell ref="AG86:AJ86"/>
    <mergeCell ref="AK86:AO86"/>
    <mergeCell ref="AP86:AV86"/>
    <mergeCell ref="AW86:BB86"/>
    <mergeCell ref="BC86:BF86"/>
    <mergeCell ref="B86:C86"/>
    <mergeCell ref="D86:G86"/>
    <mergeCell ref="H86:L86"/>
    <mergeCell ref="M86:N86"/>
    <mergeCell ref="O86:U86"/>
    <mergeCell ref="V86:AA86"/>
    <mergeCell ref="AB87:AF87"/>
    <mergeCell ref="AG87:AJ87"/>
    <mergeCell ref="AK87:AO87"/>
    <mergeCell ref="AP87:AV87"/>
    <mergeCell ref="AW87:BB87"/>
    <mergeCell ref="BC87:BF87"/>
    <mergeCell ref="B87:C87"/>
    <mergeCell ref="D87:G87"/>
    <mergeCell ref="H87:L87"/>
    <mergeCell ref="M87:N87"/>
    <mergeCell ref="O87:U87"/>
    <mergeCell ref="V87:AA87"/>
    <mergeCell ref="AG88:AO88"/>
    <mergeCell ref="AP88:AY88"/>
    <mergeCell ref="AZ88:BB88"/>
    <mergeCell ref="BC88:BF88"/>
    <mergeCell ref="B89:C89"/>
    <mergeCell ref="D89:G89"/>
    <mergeCell ref="H89:N89"/>
    <mergeCell ref="O89:X89"/>
    <mergeCell ref="Y89:AA89"/>
    <mergeCell ref="AB89:AF89"/>
    <mergeCell ref="B88:C88"/>
    <mergeCell ref="D88:G88"/>
    <mergeCell ref="H88:N88"/>
    <mergeCell ref="O88:X88"/>
    <mergeCell ref="Y88:AA88"/>
    <mergeCell ref="AB88:AF88"/>
    <mergeCell ref="AG89:AO89"/>
    <mergeCell ref="AP89:AY89"/>
    <mergeCell ref="AZ89:BB89"/>
    <mergeCell ref="BC89:BF89"/>
    <mergeCell ref="AP92:AV92"/>
    <mergeCell ref="AW92:BB92"/>
    <mergeCell ref="BC90:BF90"/>
    <mergeCell ref="B91:C91"/>
    <mergeCell ref="D91:G91"/>
    <mergeCell ref="H91:N91"/>
    <mergeCell ref="O91:U91"/>
    <mergeCell ref="V91:AA91"/>
    <mergeCell ref="AB91:AF91"/>
    <mergeCell ref="AG91:AO91"/>
    <mergeCell ref="AP91:AV91"/>
    <mergeCell ref="AW91:BB91"/>
    <mergeCell ref="BC91:BF91"/>
    <mergeCell ref="B90:C90"/>
    <mergeCell ref="D90:G90"/>
    <mergeCell ref="H90:N90"/>
    <mergeCell ref="O90:X90"/>
    <mergeCell ref="Y90:AA90"/>
    <mergeCell ref="AB90:AF90"/>
    <mergeCell ref="AG90:AO90"/>
    <mergeCell ref="AP90:AY90"/>
    <mergeCell ref="AZ90:BB90"/>
    <mergeCell ref="B96:C96"/>
    <mergeCell ref="D96:G96"/>
    <mergeCell ref="H96:N96"/>
    <mergeCell ref="O96:U96"/>
    <mergeCell ref="V96:AA96"/>
    <mergeCell ref="AB96:AF96"/>
    <mergeCell ref="BC92:BF92"/>
    <mergeCell ref="B93:C93"/>
    <mergeCell ref="D93:G93"/>
    <mergeCell ref="H93:N93"/>
    <mergeCell ref="O93:U93"/>
    <mergeCell ref="V93:AA93"/>
    <mergeCell ref="AB93:AF93"/>
    <mergeCell ref="AG93:AO93"/>
    <mergeCell ref="AP93:AV93"/>
    <mergeCell ref="AW93:BB93"/>
    <mergeCell ref="BC93:BF93"/>
    <mergeCell ref="B92:C92"/>
    <mergeCell ref="D92:G92"/>
    <mergeCell ref="H92:N92"/>
    <mergeCell ref="O92:U92"/>
    <mergeCell ref="V92:AA92"/>
    <mergeCell ref="AB92:AF92"/>
    <mergeCell ref="AG92:AO92"/>
    <mergeCell ref="AG94:AO94"/>
    <mergeCell ref="AP94:AV94"/>
    <mergeCell ref="AW94:BB94"/>
    <mergeCell ref="BC94:BF94"/>
    <mergeCell ref="B95:C95"/>
    <mergeCell ref="D95:G95"/>
    <mergeCell ref="H95:N95"/>
    <mergeCell ref="O95:U95"/>
    <mergeCell ref="V95:AA95"/>
    <mergeCell ref="AB95:AF95"/>
    <mergeCell ref="B94:C94"/>
    <mergeCell ref="D94:G94"/>
    <mergeCell ref="H94:N94"/>
    <mergeCell ref="O94:U94"/>
    <mergeCell ref="V94:AA94"/>
    <mergeCell ref="AB94:AF94"/>
    <mergeCell ref="AG96:AJ96"/>
    <mergeCell ref="AK96:AO96"/>
    <mergeCell ref="AP96:AV96"/>
    <mergeCell ref="AW96:BB96"/>
    <mergeCell ref="BC96:BF96"/>
    <mergeCell ref="AG95:AJ95"/>
    <mergeCell ref="AK95:AO95"/>
    <mergeCell ref="AP95:AV95"/>
    <mergeCell ref="AW95:BB95"/>
    <mergeCell ref="BC95:BF95"/>
    <mergeCell ref="AG97:AO97"/>
    <mergeCell ref="AP97:AR97"/>
    <mergeCell ref="AU97:AW97"/>
    <mergeCell ref="BA97:BB97"/>
    <mergeCell ref="BC97:BF97"/>
    <mergeCell ref="I101:M101"/>
    <mergeCell ref="N101:O101"/>
    <mergeCell ref="B97:C97"/>
    <mergeCell ref="D97:G97"/>
    <mergeCell ref="H97:L97"/>
    <mergeCell ref="M97:N97"/>
    <mergeCell ref="O97:AA97"/>
    <mergeCell ref="AB97:AF97"/>
    <mergeCell ref="AG104:AJ105"/>
    <mergeCell ref="AN104:AO105"/>
    <mergeCell ref="P105:Z105"/>
    <mergeCell ref="I106:M106"/>
    <mergeCell ref="C107:H108"/>
    <mergeCell ref="N107:O108"/>
    <mergeCell ref="Y102:Z102"/>
    <mergeCell ref="AB102:AD102"/>
    <mergeCell ref="K104:M105"/>
    <mergeCell ref="N104:N105"/>
    <mergeCell ref="P104:Q104"/>
    <mergeCell ref="S104:U104"/>
    <mergeCell ref="Y104:Z104"/>
    <mergeCell ref="AA104:AA105"/>
    <mergeCell ref="AC104:AE105"/>
    <mergeCell ref="U117:V117"/>
    <mergeCell ref="W117:W118"/>
    <mergeCell ref="X117:Z118"/>
    <mergeCell ref="AA117:AB118"/>
    <mergeCell ref="O118:P118"/>
    <mergeCell ref="R118:V118"/>
    <mergeCell ref="AO109:AP109"/>
    <mergeCell ref="I115:M115"/>
    <mergeCell ref="N115:O115"/>
    <mergeCell ref="Q116:S116"/>
    <mergeCell ref="T116:U116"/>
    <mergeCell ref="K117:M118"/>
    <mergeCell ref="N117:N118"/>
    <mergeCell ref="O117:P117"/>
    <mergeCell ref="Q117:Q118"/>
    <mergeCell ref="R117:T117"/>
    <mergeCell ref="L109:M109"/>
    <mergeCell ref="O109:Q109"/>
    <mergeCell ref="S109:W109"/>
    <mergeCell ref="Z109:AA109"/>
    <mergeCell ref="AD109:AF109"/>
    <mergeCell ref="AH109:AL109"/>
    <mergeCell ref="W120:W121"/>
    <mergeCell ref="X120:Z121"/>
    <mergeCell ref="AA120:AB121"/>
    <mergeCell ref="O121:P121"/>
    <mergeCell ref="R121:V121"/>
    <mergeCell ref="I122:P122"/>
    <mergeCell ref="K120:M121"/>
    <mergeCell ref="N120:N121"/>
    <mergeCell ref="O120:P120"/>
    <mergeCell ref="Q120:Q121"/>
    <mergeCell ref="R120:T120"/>
    <mergeCell ref="U120:V120"/>
    <mergeCell ref="Y125:Z125"/>
    <mergeCell ref="H130:J130"/>
    <mergeCell ref="C131:I132"/>
    <mergeCell ref="J131:W132"/>
    <mergeCell ref="J133:Z134"/>
    <mergeCell ref="AA133:AE133"/>
    <mergeCell ref="C123:H124"/>
    <mergeCell ref="N123:O124"/>
    <mergeCell ref="L125:M125"/>
    <mergeCell ref="O125:Q125"/>
    <mergeCell ref="R125:S125"/>
    <mergeCell ref="V125:X125"/>
    <mergeCell ref="AF133:AF134"/>
    <mergeCell ref="AG133:AL134"/>
    <mergeCell ref="AG136:AK137"/>
    <mergeCell ref="I138:P138"/>
    <mergeCell ref="C139:H140"/>
    <mergeCell ref="R139:S140"/>
    <mergeCell ref="T139:Y140"/>
    <mergeCell ref="Z139:Z140"/>
    <mergeCell ref="AA139:AB140"/>
    <mergeCell ref="AC139:AG140"/>
    <mergeCell ref="L141:M141"/>
    <mergeCell ref="AA141:AD141"/>
    <mergeCell ref="C142:G143"/>
    <mergeCell ref="AB144:AC145"/>
    <mergeCell ref="H151:O151"/>
    <mergeCell ref="C152:I153"/>
    <mergeCell ref="J152:L153"/>
    <mergeCell ref="M152:M153"/>
    <mergeCell ref="N152:O152"/>
    <mergeCell ref="R152:R153"/>
    <mergeCell ref="AH155:AN156"/>
    <mergeCell ref="L157:O157"/>
    <mergeCell ref="P157:T157"/>
    <mergeCell ref="U157:X157"/>
    <mergeCell ref="AA157:AD157"/>
    <mergeCell ref="S152:U153"/>
    <mergeCell ref="V152:W153"/>
    <mergeCell ref="I154:P154"/>
    <mergeCell ref="C155:H156"/>
    <mergeCell ref="R155:T156"/>
    <mergeCell ref="U155:AB156"/>
    <mergeCell ref="C172:G173"/>
    <mergeCell ref="C158:G159"/>
    <mergeCell ref="H163:J163"/>
    <mergeCell ref="I168:P168"/>
    <mergeCell ref="C169:H170"/>
    <mergeCell ref="S169:T170"/>
    <mergeCell ref="U169:Z170"/>
    <mergeCell ref="AC155:AC156"/>
    <mergeCell ref="AD155:AG156"/>
    <mergeCell ref="Z174:AA175"/>
    <mergeCell ref="H185:O185"/>
    <mergeCell ref="O186:Q186"/>
    <mergeCell ref="T186:V186"/>
    <mergeCell ref="Y186:AA186"/>
    <mergeCell ref="AD186:AF186"/>
    <mergeCell ref="AA169:AA170"/>
    <mergeCell ref="AB169:AD170"/>
    <mergeCell ref="AE169:AI170"/>
    <mergeCell ref="L171:N171"/>
    <mergeCell ref="AB171:AE171"/>
    <mergeCell ref="C191:G192"/>
    <mergeCell ref="R191:AE191"/>
    <mergeCell ref="AF191:AF192"/>
    <mergeCell ref="AG191:AJ192"/>
    <mergeCell ref="R192:U192"/>
    <mergeCell ref="AG186:AH186"/>
    <mergeCell ref="I187:P187"/>
    <mergeCell ref="C188:H189"/>
    <mergeCell ref="S188:U189"/>
    <mergeCell ref="V188:AC189"/>
    <mergeCell ref="AD188:AD189"/>
    <mergeCell ref="AE188:AH189"/>
    <mergeCell ref="V192:V193"/>
    <mergeCell ref="W192:Z192"/>
    <mergeCell ref="AA192:AA193"/>
    <mergeCell ref="AB192:AE192"/>
    <mergeCell ref="R193:U193"/>
    <mergeCell ref="W193:Z193"/>
    <mergeCell ref="AB193:AE193"/>
    <mergeCell ref="AI188:AO189"/>
    <mergeCell ref="L190:N190"/>
    <mergeCell ref="O190:S190"/>
    <mergeCell ref="T190:W190"/>
    <mergeCell ref="Z190:AC190"/>
    <mergeCell ref="D204:H205"/>
    <mergeCell ref="D210:J211"/>
    <mergeCell ref="K210:M211"/>
    <mergeCell ref="N210:N211"/>
    <mergeCell ref="O210:P210"/>
    <mergeCell ref="S210:S211"/>
    <mergeCell ref="W198:X199"/>
    <mergeCell ref="J200:Q200"/>
    <mergeCell ref="D201:I202"/>
    <mergeCell ref="O201:P202"/>
    <mergeCell ref="M203:N203"/>
    <mergeCell ref="P203:R203"/>
    <mergeCell ref="S203:T203"/>
    <mergeCell ref="W203:Y203"/>
    <mergeCell ref="D198:J199"/>
    <mergeCell ref="K198:M199"/>
    <mergeCell ref="N198:N199"/>
    <mergeCell ref="O198:P198"/>
    <mergeCell ref="S198:S199"/>
    <mergeCell ref="T198:V199"/>
    <mergeCell ref="D216:H217"/>
    <mergeCell ref="D222:J223"/>
    <mergeCell ref="K222:M223"/>
    <mergeCell ref="N222:N223"/>
    <mergeCell ref="O222:P222"/>
    <mergeCell ref="S222:S223"/>
    <mergeCell ref="T210:V211"/>
    <mergeCell ref="W210:X211"/>
    <mergeCell ref="J212:Q212"/>
    <mergeCell ref="D213:I214"/>
    <mergeCell ref="O213:P214"/>
    <mergeCell ref="M215:N215"/>
    <mergeCell ref="P215:R215"/>
    <mergeCell ref="S215:T215"/>
    <mergeCell ref="W215:Y215"/>
    <mergeCell ref="T222:V223"/>
    <mergeCell ref="W222:X223"/>
    <mergeCell ref="J224:Q224"/>
    <mergeCell ref="D225:I226"/>
    <mergeCell ref="O225:P226"/>
    <mergeCell ref="M227:N227"/>
    <mergeCell ref="P227:R227"/>
    <mergeCell ref="S227:T227"/>
    <mergeCell ref="W227:Y227"/>
    <mergeCell ref="AB234:AC235"/>
    <mergeCell ref="O235:R235"/>
    <mergeCell ref="T235:W235"/>
    <mergeCell ref="D228:H229"/>
    <mergeCell ref="P233:R233"/>
    <mergeCell ref="K234:M235"/>
    <mergeCell ref="N234:N235"/>
    <mergeCell ref="O234:R234"/>
    <mergeCell ref="S234:S235"/>
    <mergeCell ref="I236:P236"/>
    <mergeCell ref="C237:H238"/>
    <mergeCell ref="N237:O238"/>
    <mergeCell ref="L239:M239"/>
    <mergeCell ref="O239:Q239"/>
    <mergeCell ref="R239:S239"/>
    <mergeCell ref="T234:U234"/>
    <mergeCell ref="X234:X235"/>
    <mergeCell ref="Y234:AA235"/>
    <mergeCell ref="Z246:Z247"/>
    <mergeCell ref="AA246:AC247"/>
    <mergeCell ref="AD246:AE247"/>
    <mergeCell ref="AF246:AF247"/>
    <mergeCell ref="AG246:AI247"/>
    <mergeCell ref="AJ246:AK247"/>
    <mergeCell ref="V239:X239"/>
    <mergeCell ref="C240:G241"/>
    <mergeCell ref="J246:L247"/>
    <mergeCell ref="M246:M247"/>
    <mergeCell ref="N246:O246"/>
    <mergeCell ref="P246:P247"/>
    <mergeCell ref="Q246:S247"/>
    <mergeCell ref="T246:T247"/>
    <mergeCell ref="U246:W246"/>
    <mergeCell ref="N247:O247"/>
    <mergeCell ref="O257:Q257"/>
    <mergeCell ref="K258:M259"/>
    <mergeCell ref="N258:N259"/>
    <mergeCell ref="O258:R258"/>
    <mergeCell ref="S258:S259"/>
    <mergeCell ref="T258:U258"/>
    <mergeCell ref="U247:Y247"/>
    <mergeCell ref="I248:P248"/>
    <mergeCell ref="C249:H250"/>
    <mergeCell ref="N249:O250"/>
    <mergeCell ref="L251:M251"/>
    <mergeCell ref="O251:Q251"/>
    <mergeCell ref="R251:S251"/>
    <mergeCell ref="V251:X251"/>
    <mergeCell ref="C261:H262"/>
    <mergeCell ref="N261:O262"/>
    <mergeCell ref="L263:M263"/>
    <mergeCell ref="O263:Q263"/>
    <mergeCell ref="R263:S263"/>
    <mergeCell ref="V263:X263"/>
    <mergeCell ref="X258:X259"/>
    <mergeCell ref="Y258:AA259"/>
    <mergeCell ref="AB258:AC259"/>
    <mergeCell ref="O259:R259"/>
    <mergeCell ref="T259:W259"/>
    <mergeCell ref="I260:P260"/>
    <mergeCell ref="R273:S273"/>
    <mergeCell ref="V273:V274"/>
    <mergeCell ref="W273:Y274"/>
    <mergeCell ref="Z273:AA274"/>
    <mergeCell ref="O274:P274"/>
    <mergeCell ref="R274:U274"/>
    <mergeCell ref="C264:G265"/>
    <mergeCell ref="O272:P272"/>
    <mergeCell ref="K273:M274"/>
    <mergeCell ref="N273:N274"/>
    <mergeCell ref="O273:P273"/>
    <mergeCell ref="Q273:Q274"/>
    <mergeCell ref="V278:X278"/>
    <mergeCell ref="C279:G280"/>
    <mergeCell ref="X285:Z285"/>
    <mergeCell ref="AA285:AB285"/>
    <mergeCell ref="J286:Q286"/>
    <mergeCell ref="S289:U289"/>
    <mergeCell ref="V289:W289"/>
    <mergeCell ref="I275:P275"/>
    <mergeCell ref="C276:H277"/>
    <mergeCell ref="N276:O277"/>
    <mergeCell ref="L278:M278"/>
    <mergeCell ref="O278:Q278"/>
    <mergeCell ref="R278:S278"/>
    <mergeCell ref="AE289:AH289"/>
    <mergeCell ref="AI289:AN289"/>
    <mergeCell ref="Y293:AA293"/>
    <mergeCell ref="AB293:AC293"/>
    <mergeCell ref="J294:Q294"/>
    <mergeCell ref="S297:U297"/>
    <mergeCell ref="V297:W297"/>
    <mergeCell ref="AE297:AH297"/>
    <mergeCell ref="AI297:AN297"/>
    <mergeCell ref="AD302:AG302"/>
    <mergeCell ref="AL302:AM302"/>
    <mergeCell ref="AN302:AQ302"/>
    <mergeCell ref="F303:G303"/>
    <mergeCell ref="H303:K303"/>
    <mergeCell ref="P303:Q303"/>
    <mergeCell ref="R303:U303"/>
    <mergeCell ref="Z303:AA303"/>
    <mergeCell ref="AB303:AD303"/>
    <mergeCell ref="AH303:AI303"/>
    <mergeCell ref="F302:H302"/>
    <mergeCell ref="K302:L302"/>
    <mergeCell ref="M302:P302"/>
    <mergeCell ref="U302:V302"/>
    <mergeCell ref="W302:Y302"/>
    <mergeCell ref="AB302:AC302"/>
    <mergeCell ref="F305:H305"/>
    <mergeCell ref="K305:L305"/>
    <mergeCell ref="M305:O305"/>
    <mergeCell ref="F307:H307"/>
    <mergeCell ref="K307:M307"/>
    <mergeCell ref="Q307:R307"/>
    <mergeCell ref="AJ303:AL303"/>
    <mergeCell ref="AP303:AQ303"/>
    <mergeCell ref="AR303:AT303"/>
    <mergeCell ref="F304:G304"/>
    <mergeCell ref="H304:J304"/>
    <mergeCell ref="M304:N304"/>
    <mergeCell ref="O304:R304"/>
    <mergeCell ref="W304:X304"/>
    <mergeCell ref="Y304:AB304"/>
    <mergeCell ref="L310:AQ310"/>
    <mergeCell ref="AR310:AR311"/>
    <mergeCell ref="AS310:AW311"/>
    <mergeCell ref="M311:P311"/>
    <mergeCell ref="Q311:Q312"/>
    <mergeCell ref="R311:U311"/>
    <mergeCell ref="V311:V312"/>
    <mergeCell ref="W311:Z311"/>
    <mergeCell ref="AA311:AA312"/>
    <mergeCell ref="AB311:AE311"/>
    <mergeCell ref="AF311:AF312"/>
    <mergeCell ref="AG311:AJ311"/>
    <mergeCell ref="AK311:AK312"/>
    <mergeCell ref="AL311:AO311"/>
    <mergeCell ref="M312:P312"/>
    <mergeCell ref="R312:U312"/>
    <mergeCell ref="W312:Z312"/>
    <mergeCell ref="AB312:AE312"/>
    <mergeCell ref="AG312:AJ312"/>
    <mergeCell ref="AL312:AO312"/>
    <mergeCell ref="M313:M314"/>
    <mergeCell ref="N313:Q313"/>
    <mergeCell ref="R313:R314"/>
    <mergeCell ref="S313:V313"/>
    <mergeCell ref="W313:W314"/>
    <mergeCell ref="X313:AA313"/>
    <mergeCell ref="N314:Q314"/>
    <mergeCell ref="S314:V314"/>
    <mergeCell ref="X314:AA314"/>
    <mergeCell ref="AB313:AB314"/>
    <mergeCell ref="AC313:AF313"/>
    <mergeCell ref="AG313:AG314"/>
    <mergeCell ref="AH313:AK313"/>
    <mergeCell ref="AL313:AL314"/>
    <mergeCell ref="AM313:AP313"/>
    <mergeCell ref="AC314:AF314"/>
    <mergeCell ref="AH314:AK314"/>
    <mergeCell ref="AM314:AP314"/>
    <mergeCell ref="AL327:AM327"/>
    <mergeCell ref="AO327:AQ327"/>
    <mergeCell ref="AS327:AU327"/>
    <mergeCell ref="AZ327:BA327"/>
    <mergeCell ref="I327:K327"/>
    <mergeCell ref="M327:O327"/>
    <mergeCell ref="R327:T327"/>
    <mergeCell ref="X327:Y327"/>
    <mergeCell ref="AA327:AC327"/>
    <mergeCell ref="AF327:AH327"/>
  </mergeCells>
  <phoneticPr fontId="4" type="noConversion"/>
  <pageMargins left="0.39370078740157483" right="0.39370078740157483" top="0.39370078740157483" bottom="0.39370078740157483" header="0.19685039370078741" footer="0.19685039370078741"/>
  <pageSetup paperSize="9" fitToHeight="10" orientation="portrait" r:id="rId1"/>
  <headerFooter alignWithMargins="0">
    <oddFooter>&amp;L&amp;10F-02P-04-001 (Rev.00)&amp;C&amp;10&amp;P of &amp;N&amp;R&amp;"돋움,굵게"&amp;9(주)에이치시티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L92"/>
  <sheetViews>
    <sheetView showGridLines="0" zoomScaleNormal="100" workbookViewId="0"/>
  </sheetViews>
  <sheetFormatPr defaultColWidth="8.77734375" defaultRowHeight="18" customHeight="1"/>
  <cols>
    <col min="1" max="1" width="2.77734375" style="102" customWidth="1"/>
    <col min="2" max="2" width="8.77734375" style="104"/>
    <col min="3" max="3" width="10.77734375" style="104" bestFit="1" customWidth="1"/>
    <col min="4" max="4" width="8.77734375" style="104"/>
    <col min="5" max="5" width="11.21875" style="103" bestFit="1" customWidth="1"/>
    <col min="6" max="9" width="8.77734375" style="103"/>
    <col min="10" max="10" width="8.77734375" style="103" customWidth="1"/>
    <col min="11" max="21" width="8.77734375" style="103"/>
    <col min="22" max="16384" width="8.77734375" style="102"/>
  </cols>
  <sheetData>
    <row r="1" spans="1:38" ht="15" customHeight="1">
      <c r="A1" s="99" t="s">
        <v>190</v>
      </c>
      <c r="B1" s="100"/>
      <c r="C1" s="100"/>
      <c r="D1" s="100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1"/>
    </row>
    <row r="2" spans="1:38" ht="13.5">
      <c r="B2" s="191" t="s">
        <v>191</v>
      </c>
      <c r="C2" s="191" t="s">
        <v>192</v>
      </c>
      <c r="D2" s="191" t="s">
        <v>185</v>
      </c>
      <c r="E2" s="191" t="s">
        <v>193</v>
      </c>
      <c r="F2" s="191" t="s">
        <v>131</v>
      </c>
      <c r="G2" s="191" t="s">
        <v>98</v>
      </c>
      <c r="H2" s="120" t="s">
        <v>81</v>
      </c>
      <c r="I2" s="120" t="s">
        <v>82</v>
      </c>
      <c r="K2" s="101"/>
      <c r="L2" s="101"/>
      <c r="M2" s="101"/>
      <c r="N2" s="101"/>
      <c r="P2" s="102"/>
      <c r="Q2" s="102"/>
      <c r="R2" s="102"/>
      <c r="S2" s="102"/>
      <c r="T2" s="102"/>
      <c r="U2" s="102"/>
    </row>
    <row r="3" spans="1:38" ht="15" customHeight="1">
      <c r="B3" s="145" t="e">
        <f>C3</f>
        <v>#DIV/0!</v>
      </c>
      <c r="C3" s="145" t="e">
        <f>AVERAGE(기본정보!B12:B13)</f>
        <v>#DIV/0!</v>
      </c>
      <c r="D3" s="145">
        <f>MAX(C9:C28)</f>
        <v>0</v>
      </c>
      <c r="E3" s="145" t="str">
        <f>D9</f>
        <v/>
      </c>
      <c r="F3" s="145">
        <f>Length_7!H4</f>
        <v>0</v>
      </c>
      <c r="G3" s="145">
        <f>Length_7!I4</f>
        <v>0</v>
      </c>
      <c r="H3" s="107" t="e">
        <f ca="1">IF(SUM(R52)=0,"","초과")</f>
        <v>#N/A</v>
      </c>
      <c r="I3" s="133" t="str">
        <f>IF(SUM(AK8)=0,"PASS","FAIL")</f>
        <v>PASS</v>
      </c>
      <c r="K3" s="101"/>
      <c r="L3" s="101"/>
      <c r="M3" s="101"/>
      <c r="N3" s="101"/>
      <c r="P3" s="102"/>
      <c r="Q3" s="102"/>
      <c r="R3" s="102"/>
      <c r="S3" s="102"/>
      <c r="T3" s="102"/>
      <c r="U3" s="102"/>
    </row>
    <row r="4" spans="1:38" ht="15" customHeight="1">
      <c r="B4" s="100"/>
      <c r="C4" s="100"/>
      <c r="D4" s="100"/>
      <c r="E4" s="101"/>
      <c r="F4" s="101"/>
      <c r="G4" s="101"/>
      <c r="H4" s="101"/>
      <c r="I4" s="101"/>
      <c r="J4" s="101"/>
      <c r="K4" s="101"/>
      <c r="L4" s="101"/>
      <c r="M4" s="101"/>
      <c r="N4" s="101"/>
      <c r="O4" s="101"/>
      <c r="P4" s="101"/>
      <c r="Q4" s="101"/>
      <c r="R4" s="101"/>
      <c r="S4" s="101"/>
      <c r="T4" s="101"/>
      <c r="U4" s="101"/>
    </row>
    <row r="5" spans="1:38" ht="15" customHeight="1">
      <c r="A5" s="99" t="s">
        <v>194</v>
      </c>
      <c r="D5" s="100"/>
      <c r="E5" s="100"/>
      <c r="F5" s="105"/>
      <c r="G5" s="105"/>
      <c r="H5" s="105"/>
      <c r="I5" s="105"/>
      <c r="J5" s="105"/>
      <c r="K5" s="100"/>
      <c r="L5" s="105"/>
      <c r="M5" s="105"/>
      <c r="N5" s="105"/>
      <c r="O5" s="105"/>
      <c r="P5" s="105"/>
      <c r="Q5" s="105"/>
      <c r="R5" s="105"/>
      <c r="S5" s="105"/>
      <c r="T5" s="105"/>
      <c r="V5" s="103"/>
      <c r="W5" s="103"/>
      <c r="X5" s="103"/>
      <c r="Y5" s="103"/>
      <c r="Z5" s="103"/>
      <c r="AC5" s="109" t="s">
        <v>195</v>
      </c>
    </row>
    <row r="6" spans="1:38" ht="15" customHeight="1">
      <c r="B6" s="549" t="s">
        <v>196</v>
      </c>
      <c r="C6" s="544" t="s">
        <v>90</v>
      </c>
      <c r="D6" s="544" t="s">
        <v>197</v>
      </c>
      <c r="E6" s="524" t="s">
        <v>198</v>
      </c>
      <c r="F6" s="539"/>
      <c r="G6" s="539"/>
      <c r="H6" s="539"/>
      <c r="I6" s="539"/>
      <c r="J6" s="525"/>
      <c r="K6" s="524" t="s">
        <v>199</v>
      </c>
      <c r="L6" s="539"/>
      <c r="M6" s="525"/>
      <c r="N6" s="540" t="s">
        <v>200</v>
      </c>
      <c r="O6" s="191" t="s">
        <v>201</v>
      </c>
      <c r="P6" s="191" t="s">
        <v>202</v>
      </c>
      <c r="Q6" s="533" t="s">
        <v>203</v>
      </c>
      <c r="R6" s="534"/>
      <c r="S6" s="535"/>
      <c r="T6" s="191" t="s">
        <v>204</v>
      </c>
      <c r="U6" s="160" t="s">
        <v>205</v>
      </c>
      <c r="V6" s="191" t="s">
        <v>206</v>
      </c>
      <c r="W6" s="191" t="s">
        <v>207</v>
      </c>
      <c r="X6" s="191" t="s">
        <v>132</v>
      </c>
      <c r="Y6" s="191" t="s">
        <v>209</v>
      </c>
      <c r="Z6" s="533" t="s">
        <v>210</v>
      </c>
      <c r="AA6" s="534"/>
      <c r="AB6" s="103"/>
      <c r="AC6" s="547" t="s">
        <v>211</v>
      </c>
      <c r="AD6" s="548"/>
      <c r="AE6" s="533" t="s">
        <v>212</v>
      </c>
      <c r="AF6" s="534"/>
      <c r="AG6" s="534"/>
      <c r="AH6" s="534"/>
      <c r="AI6" s="534"/>
      <c r="AJ6" s="534"/>
      <c r="AK6" s="534"/>
      <c r="AL6" s="535"/>
    </row>
    <row r="7" spans="1:38" ht="15" customHeight="1">
      <c r="B7" s="549"/>
      <c r="C7" s="546"/>
      <c r="D7" s="545"/>
      <c r="E7" s="161" t="s">
        <v>213</v>
      </c>
      <c r="F7" s="156" t="s">
        <v>214</v>
      </c>
      <c r="G7" s="161" t="s">
        <v>78</v>
      </c>
      <c r="H7" s="156" t="s">
        <v>79</v>
      </c>
      <c r="I7" s="161" t="s">
        <v>80</v>
      </c>
      <c r="J7" s="161" t="s">
        <v>215</v>
      </c>
      <c r="K7" s="161" t="s">
        <v>216</v>
      </c>
      <c r="L7" s="156" t="s">
        <v>217</v>
      </c>
      <c r="M7" s="161" t="s">
        <v>218</v>
      </c>
      <c r="N7" s="541"/>
      <c r="O7" s="191" t="s">
        <v>186</v>
      </c>
      <c r="P7" s="191" t="s">
        <v>219</v>
      </c>
      <c r="Q7" s="191" t="s">
        <v>220</v>
      </c>
      <c r="R7" s="191" t="s">
        <v>221</v>
      </c>
      <c r="S7" s="191" t="s">
        <v>187</v>
      </c>
      <c r="T7" s="191" t="s">
        <v>135</v>
      </c>
      <c r="U7" s="191" t="s">
        <v>136</v>
      </c>
      <c r="V7" s="191" t="s">
        <v>222</v>
      </c>
      <c r="W7" s="191" t="s">
        <v>223</v>
      </c>
      <c r="X7" s="191" t="s">
        <v>188</v>
      </c>
      <c r="Y7" s="191" t="s">
        <v>224</v>
      </c>
      <c r="Z7" s="191" t="s">
        <v>225</v>
      </c>
      <c r="AA7" s="191" t="s">
        <v>226</v>
      </c>
      <c r="AB7" s="103"/>
      <c r="AC7" s="162" t="s">
        <v>189</v>
      </c>
      <c r="AD7" s="162" t="s">
        <v>227</v>
      </c>
      <c r="AE7" s="191" t="s">
        <v>90</v>
      </c>
      <c r="AF7" s="191" t="s">
        <v>225</v>
      </c>
      <c r="AG7" s="533" t="s">
        <v>208</v>
      </c>
      <c r="AH7" s="535"/>
      <c r="AI7" s="191" t="s">
        <v>368</v>
      </c>
      <c r="AJ7" s="150" t="s">
        <v>211</v>
      </c>
      <c r="AK7" s="150" t="s">
        <v>228</v>
      </c>
      <c r="AL7" s="150" t="s">
        <v>117</v>
      </c>
    </row>
    <row r="8" spans="1:38" ht="15" customHeight="1">
      <c r="B8" s="549"/>
      <c r="C8" s="191" t="s">
        <v>229</v>
      </c>
      <c r="D8" s="546"/>
      <c r="E8" s="161" t="s">
        <v>230</v>
      </c>
      <c r="F8" s="161" t="str">
        <f t="shared" ref="F8:J8" si="0">E8</f>
        <v>μm</v>
      </c>
      <c r="G8" s="161" t="str">
        <f t="shared" si="0"/>
        <v>μm</v>
      </c>
      <c r="H8" s="161" t="str">
        <f t="shared" si="0"/>
        <v>μm</v>
      </c>
      <c r="I8" s="161" t="str">
        <f t="shared" si="0"/>
        <v>μm</v>
      </c>
      <c r="J8" s="161" t="str">
        <f t="shared" si="0"/>
        <v>μm</v>
      </c>
      <c r="K8" s="161" t="s">
        <v>230</v>
      </c>
      <c r="L8" s="161" t="str">
        <f t="shared" ref="L8:M8" si="1">K8</f>
        <v>μm</v>
      </c>
      <c r="M8" s="161" t="str">
        <f t="shared" si="1"/>
        <v>μm</v>
      </c>
      <c r="N8" s="161" t="str">
        <f>J8</f>
        <v>μm</v>
      </c>
      <c r="O8" s="191" t="s">
        <v>231</v>
      </c>
      <c r="P8" s="191" t="s">
        <v>232</v>
      </c>
      <c r="Q8" s="163" t="s">
        <v>233</v>
      </c>
      <c r="R8" s="163" t="s">
        <v>234</v>
      </c>
      <c r="S8" s="163" t="s">
        <v>235</v>
      </c>
      <c r="T8" s="191" t="s">
        <v>236</v>
      </c>
      <c r="U8" s="163" t="s">
        <v>233</v>
      </c>
      <c r="V8" s="191" t="s">
        <v>236</v>
      </c>
      <c r="W8" s="191" t="s">
        <v>237</v>
      </c>
      <c r="X8" s="191" t="s">
        <v>237</v>
      </c>
      <c r="Y8" s="161" t="s">
        <v>230</v>
      </c>
      <c r="Z8" s="191" t="s">
        <v>232</v>
      </c>
      <c r="AA8" s="161" t="s">
        <v>238</v>
      </c>
      <c r="AB8" s="103"/>
      <c r="AC8" s="161" t="s">
        <v>230</v>
      </c>
      <c r="AD8" s="161" t="s">
        <v>230</v>
      </c>
      <c r="AE8" s="191" t="s">
        <v>231</v>
      </c>
      <c r="AF8" s="191" t="s">
        <v>232</v>
      </c>
      <c r="AG8" s="204" t="s">
        <v>232</v>
      </c>
      <c r="AH8" s="161" t="s">
        <v>230</v>
      </c>
      <c r="AI8" s="161" t="s">
        <v>230</v>
      </c>
      <c r="AJ8" s="191" t="s">
        <v>232</v>
      </c>
      <c r="AK8" s="288">
        <f>IF(TYPE(MATCH("FAIL",AK9:AK28,0))=16,0,1)</f>
        <v>0</v>
      </c>
      <c r="AL8" s="150" t="s">
        <v>231</v>
      </c>
    </row>
    <row r="9" spans="1:38" ht="15" customHeight="1">
      <c r="B9" s="164" t="b">
        <f>IF(TRIM(Length_7!A4)="",FALSE,TRUE)</f>
        <v>0</v>
      </c>
      <c r="C9" s="165" t="str">
        <f>IF($B9=FALSE,"",VALUE(Length_7!A4))</f>
        <v/>
      </c>
      <c r="D9" s="145" t="str">
        <f>IF($B9=FALSE,"",Length_7!B4)</f>
        <v/>
      </c>
      <c r="E9" s="164" t="str">
        <f>IF($B9=FALSE,"",Length_7!M4)</f>
        <v/>
      </c>
      <c r="F9" s="164" t="str">
        <f>IF($B9=FALSE,"",Length_7!N4)</f>
        <v/>
      </c>
      <c r="G9" s="164" t="str">
        <f>IF($B9=FALSE,"",Length_7!O4)</f>
        <v/>
      </c>
      <c r="H9" s="164" t="str">
        <f>IF($B9=FALSE,"",Length_7!P4)</f>
        <v/>
      </c>
      <c r="I9" s="164" t="str">
        <f>IF($B9=FALSE,"",Length_7!Q4)</f>
        <v/>
      </c>
      <c r="J9" s="164" t="str">
        <f>IF($B9=FALSE,"",AVERAGE(E9:I9))</f>
        <v/>
      </c>
      <c r="K9" s="164" t="str">
        <f>IF($B9=FALSE,"",Length_7!R4)</f>
        <v/>
      </c>
      <c r="L9" s="164" t="str">
        <f>IF($B9=FALSE,"",Length_7!S4)</f>
        <v/>
      </c>
      <c r="M9" s="164" t="str">
        <f t="shared" ref="M9:M28" si="2">IF($B9=FALSE,"",ABS(MAX(K9:L9)-MIN(K9:L9)))</f>
        <v/>
      </c>
      <c r="N9" s="190" t="str">
        <f t="shared" ref="N9:N28" si="3">IF(B9=FALSE,"",STDEV(E9:I9))</f>
        <v/>
      </c>
      <c r="O9" s="166" t="str">
        <f>IF($B9=FALSE,"",Length_7!D27)</f>
        <v/>
      </c>
      <c r="P9" s="167" t="str">
        <f t="shared" ref="P9:P28" si="4">IF($B9=FALSE,"",J9/1000)</f>
        <v/>
      </c>
      <c r="Q9" s="146" t="str">
        <f t="shared" ref="Q9:Q28" si="5">IF(B9=FALSE,"",11.5*10^-6)</f>
        <v/>
      </c>
      <c r="R9" s="146" t="str">
        <f>IF(B9=FALSE,"",Length_7!F27)</f>
        <v/>
      </c>
      <c r="S9" s="146" t="str">
        <f t="shared" ref="S9:S28" si="6">IF(B9=FALSE,"",AVERAGE(Q9:R9))</f>
        <v/>
      </c>
      <c r="T9" s="145" t="str">
        <f t="shared" ref="T9:T28" si="7">IF(B9=FALSE,"",B$3-C$3)</f>
        <v/>
      </c>
      <c r="U9" s="145" t="str">
        <f t="shared" ref="U9:U28" si="8">IF(B9=FALSE,"",Q9-R9)</f>
        <v/>
      </c>
      <c r="V9" s="145" t="str">
        <f t="shared" ref="V9:V28" si="9">IF(B9=FALSE,"",AVERAGE(B$3:C$3)-20)</f>
        <v/>
      </c>
      <c r="W9" s="168" t="str">
        <f t="shared" ref="W9:W28" si="10">IF(B9=FALSE,"",(S9*T9+U9*V9)*C9)</f>
        <v/>
      </c>
      <c r="X9" s="169" t="str">
        <f t="shared" ref="X9:X28" si="11">IF(B9=FALSE,"",P9+O9-W9)</f>
        <v/>
      </c>
      <c r="Y9" s="176" t="str">
        <f t="shared" ref="Y9:Y28" si="12">IF(B9=FALSE,"",(X9-C9)*1000)</f>
        <v/>
      </c>
      <c r="Z9" s="145" t="str">
        <f>IF($B9=FALSE,"",ROUND(X9,$K$52))</f>
        <v/>
      </c>
      <c r="AA9" s="145" t="str">
        <f>IF($B9=FALSE,"",ROUND(Y9,$J$52))</f>
        <v/>
      </c>
      <c r="AB9" s="103"/>
      <c r="AC9" s="145" t="e">
        <f ca="1">ROUND(Length_7!J4,$M$52)</f>
        <v>#N/A</v>
      </c>
      <c r="AD9" s="145" t="e">
        <f ca="1">ROUND(Length_7!K4,$M$52)</f>
        <v>#N/A</v>
      </c>
      <c r="AE9" s="145" t="str">
        <f>TEXT(C9,IF(C9&gt;=1000,"# ##0","0"))</f>
        <v/>
      </c>
      <c r="AF9" s="145" t="e">
        <f t="shared" ref="AF9:AF28" ca="1" si="13">TEXT(Z9,IF(Z9&gt;=1000,"# ##","")&amp;$P$52)</f>
        <v>#N/A</v>
      </c>
      <c r="AG9" s="145" t="e">
        <f t="shared" ref="AG9:AG28" ca="1" si="14">TEXT(AA9/1000,$P$52)</f>
        <v>#VALUE!</v>
      </c>
      <c r="AH9" s="145" t="e">
        <f t="shared" ref="AH9:AH28" ca="1" si="15">TEXT(AA9,IF(AA9&gt;=1000,"# ##","")&amp;$O$52)</f>
        <v>#N/A</v>
      </c>
      <c r="AI9" s="145" t="e">
        <f t="shared" ref="AI9:AI28" ca="1" si="16">TEXT(M9,IF(M9&gt;=1000,"# ##","")&amp;$O$52)</f>
        <v>#N/A</v>
      </c>
      <c r="AJ9" s="145" t="e">
        <f t="shared" ref="AJ9:AJ28" ca="1" si="17">TEXT(AD9,"± "&amp;O$52)</f>
        <v>#N/A</v>
      </c>
      <c r="AK9" s="145" t="str">
        <f>IF($B9=FALSE,"",IF(AND(AC9&lt;=AA9,AA9&lt;=AD9),"PASS","FAIL"))</f>
        <v/>
      </c>
      <c r="AL9" s="145" t="e">
        <f ca="1">S$52</f>
        <v>#N/A</v>
      </c>
    </row>
    <row r="10" spans="1:38" ht="15" customHeight="1">
      <c r="B10" s="164" t="b">
        <f>IF(TRIM(Length_7!A5)="",FALSE,TRUE)</f>
        <v>0</v>
      </c>
      <c r="C10" s="165" t="str">
        <f>IF($B10=FALSE,"",VALUE(Length_7!A5))</f>
        <v/>
      </c>
      <c r="D10" s="145" t="str">
        <f>IF($B10=FALSE,"",Length_7!B5)</f>
        <v/>
      </c>
      <c r="E10" s="164" t="str">
        <f>IF($B10=FALSE,"",Length_7!M5)</f>
        <v/>
      </c>
      <c r="F10" s="164" t="str">
        <f>IF($B10=FALSE,"",Length_7!N5)</f>
        <v/>
      </c>
      <c r="G10" s="164" t="str">
        <f>IF($B10=FALSE,"",Length_7!O5)</f>
        <v/>
      </c>
      <c r="H10" s="164" t="str">
        <f>IF($B10=FALSE,"",Length_7!P5)</f>
        <v/>
      </c>
      <c r="I10" s="164" t="str">
        <f>IF($B10=FALSE,"",Length_7!Q5)</f>
        <v/>
      </c>
      <c r="J10" s="164" t="str">
        <f t="shared" ref="J10:J28" si="18">IF($B10=FALSE,"",AVERAGE(E10:I10))</f>
        <v/>
      </c>
      <c r="K10" s="164" t="str">
        <f>IF($B10=FALSE,"",Length_7!R5)</f>
        <v/>
      </c>
      <c r="L10" s="164" t="str">
        <f>IF($B10=FALSE,"",Length_7!S5)</f>
        <v/>
      </c>
      <c r="M10" s="164" t="str">
        <f t="shared" si="2"/>
        <v/>
      </c>
      <c r="N10" s="190" t="str">
        <f t="shared" si="3"/>
        <v/>
      </c>
      <c r="O10" s="166" t="str">
        <f>IF($B10=FALSE,"",Length_7!D28)</f>
        <v/>
      </c>
      <c r="P10" s="167" t="str">
        <f t="shared" si="4"/>
        <v/>
      </c>
      <c r="Q10" s="146" t="str">
        <f t="shared" si="5"/>
        <v/>
      </c>
      <c r="R10" s="146" t="str">
        <f>IF(B10=FALSE,"",Length_7!F28)</f>
        <v/>
      </c>
      <c r="S10" s="146" t="str">
        <f t="shared" si="6"/>
        <v/>
      </c>
      <c r="T10" s="145" t="str">
        <f t="shared" si="7"/>
        <v/>
      </c>
      <c r="U10" s="145" t="str">
        <f t="shared" si="8"/>
        <v/>
      </c>
      <c r="V10" s="145" t="str">
        <f t="shared" si="9"/>
        <v/>
      </c>
      <c r="W10" s="168" t="str">
        <f t="shared" si="10"/>
        <v/>
      </c>
      <c r="X10" s="169" t="str">
        <f t="shared" si="11"/>
        <v/>
      </c>
      <c r="Y10" s="176" t="str">
        <f t="shared" si="12"/>
        <v/>
      </c>
      <c r="Z10" s="145" t="str">
        <f t="shared" ref="Z10:Z28" si="19">IF($B10=FALSE,"",ROUND(X10,$K$52))</f>
        <v/>
      </c>
      <c r="AA10" s="145" t="str">
        <f t="shared" ref="AA10:AA28" si="20">IF($B10=FALSE,"",ROUND(Y10,$J$52))</f>
        <v/>
      </c>
      <c r="AB10" s="103"/>
      <c r="AC10" s="145" t="e">
        <f ca="1">ROUND(Length_7!J5,$M$52)</f>
        <v>#N/A</v>
      </c>
      <c r="AD10" s="145" t="e">
        <f ca="1">ROUND(Length_7!K5,$M$52)</f>
        <v>#N/A</v>
      </c>
      <c r="AE10" s="145" t="str">
        <f t="shared" ref="AE10:AE28" si="21">TEXT(C10,IF(C10&gt;=1000,"# ##0","0"))</f>
        <v/>
      </c>
      <c r="AF10" s="145" t="e">
        <f t="shared" ca="1" si="13"/>
        <v>#N/A</v>
      </c>
      <c r="AG10" s="145" t="e">
        <f t="shared" ca="1" si="14"/>
        <v>#VALUE!</v>
      </c>
      <c r="AH10" s="145" t="e">
        <f t="shared" ca="1" si="15"/>
        <v>#N/A</v>
      </c>
      <c r="AI10" s="145" t="e">
        <f t="shared" ca="1" si="16"/>
        <v>#N/A</v>
      </c>
      <c r="AJ10" s="145" t="e">
        <f t="shared" ca="1" si="17"/>
        <v>#N/A</v>
      </c>
      <c r="AK10" s="145" t="str">
        <f t="shared" ref="AK10:AK28" si="22">IF($B10=FALSE,"",IF(AND(AC10&lt;=AA10,AA10&lt;=AD10),"PASS","FAIL"))</f>
        <v/>
      </c>
      <c r="AL10" s="145" t="e">
        <f t="shared" ref="AL10:AL28" ca="1" si="23">S$52</f>
        <v>#N/A</v>
      </c>
    </row>
    <row r="11" spans="1:38" ht="15" customHeight="1">
      <c r="B11" s="164" t="b">
        <f>IF(TRIM(Length_7!A6)="",FALSE,TRUE)</f>
        <v>0</v>
      </c>
      <c r="C11" s="165" t="str">
        <f>IF($B11=FALSE,"",VALUE(Length_7!A6))</f>
        <v/>
      </c>
      <c r="D11" s="145" t="str">
        <f>IF($B11=FALSE,"",Length_7!B6)</f>
        <v/>
      </c>
      <c r="E11" s="164" t="str">
        <f>IF($B11=FALSE,"",Length_7!M6)</f>
        <v/>
      </c>
      <c r="F11" s="164" t="str">
        <f>IF($B11=FALSE,"",Length_7!N6)</f>
        <v/>
      </c>
      <c r="G11" s="164" t="str">
        <f>IF($B11=FALSE,"",Length_7!O6)</f>
        <v/>
      </c>
      <c r="H11" s="164" t="str">
        <f>IF($B11=FALSE,"",Length_7!P6)</f>
        <v/>
      </c>
      <c r="I11" s="164" t="str">
        <f>IF($B11=FALSE,"",Length_7!Q6)</f>
        <v/>
      </c>
      <c r="J11" s="164" t="str">
        <f t="shared" si="18"/>
        <v/>
      </c>
      <c r="K11" s="164" t="str">
        <f>IF($B11=FALSE,"",Length_7!R6)</f>
        <v/>
      </c>
      <c r="L11" s="164" t="str">
        <f>IF($B11=FALSE,"",Length_7!S6)</f>
        <v/>
      </c>
      <c r="M11" s="164" t="str">
        <f t="shared" si="2"/>
        <v/>
      </c>
      <c r="N11" s="190" t="str">
        <f t="shared" si="3"/>
        <v/>
      </c>
      <c r="O11" s="166" t="str">
        <f>IF($B11=FALSE,"",Length_7!D29)</f>
        <v/>
      </c>
      <c r="P11" s="167" t="str">
        <f t="shared" si="4"/>
        <v/>
      </c>
      <c r="Q11" s="146" t="str">
        <f t="shared" si="5"/>
        <v/>
      </c>
      <c r="R11" s="146" t="str">
        <f>IF(B11=FALSE,"",Length_7!F29)</f>
        <v/>
      </c>
      <c r="S11" s="146" t="str">
        <f t="shared" si="6"/>
        <v/>
      </c>
      <c r="T11" s="145" t="str">
        <f t="shared" si="7"/>
        <v/>
      </c>
      <c r="U11" s="145" t="str">
        <f t="shared" si="8"/>
        <v/>
      </c>
      <c r="V11" s="145" t="str">
        <f t="shared" si="9"/>
        <v/>
      </c>
      <c r="W11" s="168" t="str">
        <f t="shared" si="10"/>
        <v/>
      </c>
      <c r="X11" s="169" t="str">
        <f t="shared" si="11"/>
        <v/>
      </c>
      <c r="Y11" s="176" t="str">
        <f t="shared" si="12"/>
        <v/>
      </c>
      <c r="Z11" s="145" t="str">
        <f t="shared" si="19"/>
        <v/>
      </c>
      <c r="AA11" s="145" t="str">
        <f t="shared" si="20"/>
        <v/>
      </c>
      <c r="AB11" s="103"/>
      <c r="AC11" s="145" t="e">
        <f ca="1">ROUND(Length_7!J6,$M$52)</f>
        <v>#N/A</v>
      </c>
      <c r="AD11" s="145" t="e">
        <f ca="1">ROUND(Length_7!K6,$M$52)</f>
        <v>#N/A</v>
      </c>
      <c r="AE11" s="145" t="str">
        <f t="shared" si="21"/>
        <v/>
      </c>
      <c r="AF11" s="145" t="e">
        <f t="shared" ca="1" si="13"/>
        <v>#N/A</v>
      </c>
      <c r="AG11" s="145" t="e">
        <f t="shared" ca="1" si="14"/>
        <v>#VALUE!</v>
      </c>
      <c r="AH11" s="145" t="e">
        <f t="shared" ca="1" si="15"/>
        <v>#N/A</v>
      </c>
      <c r="AI11" s="145" t="e">
        <f t="shared" ca="1" si="16"/>
        <v>#N/A</v>
      </c>
      <c r="AJ11" s="145" t="e">
        <f t="shared" ca="1" si="17"/>
        <v>#N/A</v>
      </c>
      <c r="AK11" s="145" t="str">
        <f t="shared" si="22"/>
        <v/>
      </c>
      <c r="AL11" s="145" t="e">
        <f t="shared" ca="1" si="23"/>
        <v>#N/A</v>
      </c>
    </row>
    <row r="12" spans="1:38" ht="15" customHeight="1">
      <c r="B12" s="164" t="b">
        <f>IF(TRIM(Length_7!A7)="",FALSE,TRUE)</f>
        <v>0</v>
      </c>
      <c r="C12" s="165" t="str">
        <f>IF($B12=FALSE,"",VALUE(Length_7!A7))</f>
        <v/>
      </c>
      <c r="D12" s="145" t="str">
        <f>IF($B12=FALSE,"",Length_7!B7)</f>
        <v/>
      </c>
      <c r="E12" s="164" t="str">
        <f>IF($B12=FALSE,"",Length_7!M7)</f>
        <v/>
      </c>
      <c r="F12" s="164" t="str">
        <f>IF($B12=FALSE,"",Length_7!N7)</f>
        <v/>
      </c>
      <c r="G12" s="164" t="str">
        <f>IF($B12=FALSE,"",Length_7!O7)</f>
        <v/>
      </c>
      <c r="H12" s="164" t="str">
        <f>IF($B12=FALSE,"",Length_7!P7)</f>
        <v/>
      </c>
      <c r="I12" s="164" t="str">
        <f>IF($B12=FALSE,"",Length_7!Q7)</f>
        <v/>
      </c>
      <c r="J12" s="164" t="str">
        <f t="shared" si="18"/>
        <v/>
      </c>
      <c r="K12" s="164" t="str">
        <f>IF($B12=FALSE,"",Length_7!R7)</f>
        <v/>
      </c>
      <c r="L12" s="164" t="str">
        <f>IF($B12=FALSE,"",Length_7!S7)</f>
        <v/>
      </c>
      <c r="M12" s="164" t="str">
        <f t="shared" si="2"/>
        <v/>
      </c>
      <c r="N12" s="190" t="str">
        <f t="shared" si="3"/>
        <v/>
      </c>
      <c r="O12" s="166" t="str">
        <f>IF($B12=FALSE,"",Length_7!D30)</f>
        <v/>
      </c>
      <c r="P12" s="167" t="str">
        <f t="shared" si="4"/>
        <v/>
      </c>
      <c r="Q12" s="146" t="str">
        <f t="shared" si="5"/>
        <v/>
      </c>
      <c r="R12" s="146" t="str">
        <f>IF(B12=FALSE,"",Length_7!F30)</f>
        <v/>
      </c>
      <c r="S12" s="146" t="str">
        <f t="shared" si="6"/>
        <v/>
      </c>
      <c r="T12" s="145" t="str">
        <f t="shared" si="7"/>
        <v/>
      </c>
      <c r="U12" s="145" t="str">
        <f t="shared" si="8"/>
        <v/>
      </c>
      <c r="V12" s="145" t="str">
        <f t="shared" si="9"/>
        <v/>
      </c>
      <c r="W12" s="168" t="str">
        <f t="shared" si="10"/>
        <v/>
      </c>
      <c r="X12" s="169" t="str">
        <f t="shared" si="11"/>
        <v/>
      </c>
      <c r="Y12" s="176" t="str">
        <f t="shared" si="12"/>
        <v/>
      </c>
      <c r="Z12" s="145" t="str">
        <f t="shared" si="19"/>
        <v/>
      </c>
      <c r="AA12" s="145" t="str">
        <f t="shared" si="20"/>
        <v/>
      </c>
      <c r="AB12" s="103"/>
      <c r="AC12" s="145" t="e">
        <f ca="1">ROUND(Length_7!J7,$M$52)</f>
        <v>#N/A</v>
      </c>
      <c r="AD12" s="145" t="e">
        <f ca="1">ROUND(Length_7!K7,$M$52)</f>
        <v>#N/A</v>
      </c>
      <c r="AE12" s="145" t="str">
        <f t="shared" si="21"/>
        <v/>
      </c>
      <c r="AF12" s="145" t="e">
        <f t="shared" ca="1" si="13"/>
        <v>#N/A</v>
      </c>
      <c r="AG12" s="145" t="e">
        <f t="shared" ca="1" si="14"/>
        <v>#VALUE!</v>
      </c>
      <c r="AH12" s="145" t="e">
        <f t="shared" ca="1" si="15"/>
        <v>#N/A</v>
      </c>
      <c r="AI12" s="145" t="e">
        <f t="shared" ca="1" si="16"/>
        <v>#N/A</v>
      </c>
      <c r="AJ12" s="145" t="e">
        <f t="shared" ca="1" si="17"/>
        <v>#N/A</v>
      </c>
      <c r="AK12" s="145" t="str">
        <f t="shared" si="22"/>
        <v/>
      </c>
      <c r="AL12" s="145" t="e">
        <f t="shared" ca="1" si="23"/>
        <v>#N/A</v>
      </c>
    </row>
    <row r="13" spans="1:38" ht="15" customHeight="1">
      <c r="B13" s="164" t="b">
        <f>IF(TRIM(Length_7!A8)="",FALSE,TRUE)</f>
        <v>0</v>
      </c>
      <c r="C13" s="165" t="str">
        <f>IF($B13=FALSE,"",VALUE(Length_7!A8))</f>
        <v/>
      </c>
      <c r="D13" s="145" t="str">
        <f>IF($B13=FALSE,"",Length_7!B8)</f>
        <v/>
      </c>
      <c r="E13" s="164" t="str">
        <f>IF($B13=FALSE,"",Length_7!M8)</f>
        <v/>
      </c>
      <c r="F13" s="164" t="str">
        <f>IF($B13=FALSE,"",Length_7!N8)</f>
        <v/>
      </c>
      <c r="G13" s="164" t="str">
        <f>IF($B13=FALSE,"",Length_7!O8)</f>
        <v/>
      </c>
      <c r="H13" s="164" t="str">
        <f>IF($B13=FALSE,"",Length_7!P8)</f>
        <v/>
      </c>
      <c r="I13" s="164" t="str">
        <f>IF($B13=FALSE,"",Length_7!Q8)</f>
        <v/>
      </c>
      <c r="J13" s="164" t="str">
        <f t="shared" si="18"/>
        <v/>
      </c>
      <c r="K13" s="164" t="str">
        <f>IF($B13=FALSE,"",Length_7!R8)</f>
        <v/>
      </c>
      <c r="L13" s="164" t="str">
        <f>IF($B13=FALSE,"",Length_7!S8)</f>
        <v/>
      </c>
      <c r="M13" s="164" t="str">
        <f t="shared" si="2"/>
        <v/>
      </c>
      <c r="N13" s="190" t="str">
        <f t="shared" si="3"/>
        <v/>
      </c>
      <c r="O13" s="166" t="str">
        <f>IF($B13=FALSE,"",Length_7!D31)</f>
        <v/>
      </c>
      <c r="P13" s="167" t="str">
        <f t="shared" si="4"/>
        <v/>
      </c>
      <c r="Q13" s="146" t="str">
        <f t="shared" si="5"/>
        <v/>
      </c>
      <c r="R13" s="146" t="str">
        <f>IF(B13=FALSE,"",Length_7!F31)</f>
        <v/>
      </c>
      <c r="S13" s="146" t="str">
        <f t="shared" si="6"/>
        <v/>
      </c>
      <c r="T13" s="145" t="str">
        <f t="shared" si="7"/>
        <v/>
      </c>
      <c r="U13" s="145" t="str">
        <f t="shared" si="8"/>
        <v/>
      </c>
      <c r="V13" s="145" t="str">
        <f t="shared" si="9"/>
        <v/>
      </c>
      <c r="W13" s="168" t="str">
        <f t="shared" si="10"/>
        <v/>
      </c>
      <c r="X13" s="169" t="str">
        <f t="shared" si="11"/>
        <v/>
      </c>
      <c r="Y13" s="176" t="str">
        <f t="shared" si="12"/>
        <v/>
      </c>
      <c r="Z13" s="145" t="str">
        <f t="shared" si="19"/>
        <v/>
      </c>
      <c r="AA13" s="145" t="str">
        <f t="shared" si="20"/>
        <v/>
      </c>
      <c r="AB13" s="103"/>
      <c r="AC13" s="145" t="e">
        <f ca="1">ROUND(Length_7!J8,$M$52)</f>
        <v>#N/A</v>
      </c>
      <c r="AD13" s="145" t="e">
        <f ca="1">ROUND(Length_7!K8,$M$52)</f>
        <v>#N/A</v>
      </c>
      <c r="AE13" s="145" t="str">
        <f t="shared" si="21"/>
        <v/>
      </c>
      <c r="AF13" s="145" t="e">
        <f t="shared" ca="1" si="13"/>
        <v>#N/A</v>
      </c>
      <c r="AG13" s="145" t="e">
        <f t="shared" ca="1" si="14"/>
        <v>#VALUE!</v>
      </c>
      <c r="AH13" s="145" t="e">
        <f t="shared" ca="1" si="15"/>
        <v>#N/A</v>
      </c>
      <c r="AI13" s="145" t="e">
        <f t="shared" ca="1" si="16"/>
        <v>#N/A</v>
      </c>
      <c r="AJ13" s="145" t="e">
        <f t="shared" ca="1" si="17"/>
        <v>#N/A</v>
      </c>
      <c r="AK13" s="145" t="str">
        <f t="shared" si="22"/>
        <v/>
      </c>
      <c r="AL13" s="145" t="e">
        <f t="shared" ca="1" si="23"/>
        <v>#N/A</v>
      </c>
    </row>
    <row r="14" spans="1:38" ht="15" customHeight="1">
      <c r="B14" s="164" t="b">
        <f>IF(TRIM(Length_7!A9)="",FALSE,TRUE)</f>
        <v>0</v>
      </c>
      <c r="C14" s="165" t="str">
        <f>IF($B14=FALSE,"",VALUE(Length_7!A9))</f>
        <v/>
      </c>
      <c r="D14" s="145" t="str">
        <f>IF($B14=FALSE,"",Length_7!B9)</f>
        <v/>
      </c>
      <c r="E14" s="164" t="str">
        <f>IF($B14=FALSE,"",Length_7!M9)</f>
        <v/>
      </c>
      <c r="F14" s="164" t="str">
        <f>IF($B14=FALSE,"",Length_7!N9)</f>
        <v/>
      </c>
      <c r="G14" s="164" t="str">
        <f>IF($B14=FALSE,"",Length_7!O9)</f>
        <v/>
      </c>
      <c r="H14" s="164" t="str">
        <f>IF($B14=FALSE,"",Length_7!P9)</f>
        <v/>
      </c>
      <c r="I14" s="164" t="str">
        <f>IF($B14=FALSE,"",Length_7!Q9)</f>
        <v/>
      </c>
      <c r="J14" s="164" t="str">
        <f t="shared" si="18"/>
        <v/>
      </c>
      <c r="K14" s="164" t="str">
        <f>IF($B14=FALSE,"",Length_7!R9)</f>
        <v/>
      </c>
      <c r="L14" s="164" t="str">
        <f>IF($B14=FALSE,"",Length_7!S9)</f>
        <v/>
      </c>
      <c r="M14" s="164" t="str">
        <f t="shared" si="2"/>
        <v/>
      </c>
      <c r="N14" s="190" t="str">
        <f t="shared" si="3"/>
        <v/>
      </c>
      <c r="O14" s="166" t="str">
        <f>IF($B14=FALSE,"",Length_7!D32)</f>
        <v/>
      </c>
      <c r="P14" s="167" t="str">
        <f t="shared" si="4"/>
        <v/>
      </c>
      <c r="Q14" s="146" t="str">
        <f t="shared" si="5"/>
        <v/>
      </c>
      <c r="R14" s="146" t="str">
        <f>IF(B14=FALSE,"",Length_7!F32)</f>
        <v/>
      </c>
      <c r="S14" s="146" t="str">
        <f t="shared" si="6"/>
        <v/>
      </c>
      <c r="T14" s="145" t="str">
        <f t="shared" si="7"/>
        <v/>
      </c>
      <c r="U14" s="145" t="str">
        <f t="shared" si="8"/>
        <v/>
      </c>
      <c r="V14" s="145" t="str">
        <f t="shared" si="9"/>
        <v/>
      </c>
      <c r="W14" s="168" t="str">
        <f t="shared" si="10"/>
        <v/>
      </c>
      <c r="X14" s="169" t="str">
        <f t="shared" si="11"/>
        <v/>
      </c>
      <c r="Y14" s="176" t="str">
        <f t="shared" si="12"/>
        <v/>
      </c>
      <c r="Z14" s="145" t="str">
        <f t="shared" si="19"/>
        <v/>
      </c>
      <c r="AA14" s="145" t="str">
        <f t="shared" si="20"/>
        <v/>
      </c>
      <c r="AB14" s="103"/>
      <c r="AC14" s="145" t="e">
        <f ca="1">ROUND(Length_7!J9,$M$52)</f>
        <v>#N/A</v>
      </c>
      <c r="AD14" s="145" t="e">
        <f ca="1">ROUND(Length_7!K9,$M$52)</f>
        <v>#N/A</v>
      </c>
      <c r="AE14" s="145" t="str">
        <f t="shared" si="21"/>
        <v/>
      </c>
      <c r="AF14" s="145" t="e">
        <f t="shared" ca="1" si="13"/>
        <v>#N/A</v>
      </c>
      <c r="AG14" s="145" t="e">
        <f t="shared" ca="1" si="14"/>
        <v>#VALUE!</v>
      </c>
      <c r="AH14" s="145" t="e">
        <f t="shared" ca="1" si="15"/>
        <v>#N/A</v>
      </c>
      <c r="AI14" s="145" t="e">
        <f t="shared" ca="1" si="16"/>
        <v>#N/A</v>
      </c>
      <c r="AJ14" s="145" t="e">
        <f t="shared" ca="1" si="17"/>
        <v>#N/A</v>
      </c>
      <c r="AK14" s="145" t="str">
        <f t="shared" si="22"/>
        <v/>
      </c>
      <c r="AL14" s="145" t="e">
        <f t="shared" ca="1" si="23"/>
        <v>#N/A</v>
      </c>
    </row>
    <row r="15" spans="1:38" ht="15" customHeight="1">
      <c r="B15" s="164" t="b">
        <f>IF(TRIM(Length_7!A10)="",FALSE,TRUE)</f>
        <v>0</v>
      </c>
      <c r="C15" s="165" t="str">
        <f>IF($B15=FALSE,"",VALUE(Length_7!A10))</f>
        <v/>
      </c>
      <c r="D15" s="145" t="str">
        <f>IF($B15=FALSE,"",Length_7!B10)</f>
        <v/>
      </c>
      <c r="E15" s="164" t="str">
        <f>IF($B15=FALSE,"",Length_7!M10)</f>
        <v/>
      </c>
      <c r="F15" s="164" t="str">
        <f>IF($B15=FALSE,"",Length_7!N10)</f>
        <v/>
      </c>
      <c r="G15" s="164" t="str">
        <f>IF($B15=FALSE,"",Length_7!O10)</f>
        <v/>
      </c>
      <c r="H15" s="164" t="str">
        <f>IF($B15=FALSE,"",Length_7!P10)</f>
        <v/>
      </c>
      <c r="I15" s="164" t="str">
        <f>IF($B15=FALSE,"",Length_7!Q10)</f>
        <v/>
      </c>
      <c r="J15" s="164" t="str">
        <f t="shared" si="18"/>
        <v/>
      </c>
      <c r="K15" s="164" t="str">
        <f>IF($B15=FALSE,"",Length_7!R10)</f>
        <v/>
      </c>
      <c r="L15" s="164" t="str">
        <f>IF($B15=FALSE,"",Length_7!S10)</f>
        <v/>
      </c>
      <c r="M15" s="164" t="str">
        <f t="shared" si="2"/>
        <v/>
      </c>
      <c r="N15" s="190" t="str">
        <f t="shared" si="3"/>
        <v/>
      </c>
      <c r="O15" s="166" t="str">
        <f>IF($B15=FALSE,"",Length_7!D33)</f>
        <v/>
      </c>
      <c r="P15" s="167" t="str">
        <f t="shared" si="4"/>
        <v/>
      </c>
      <c r="Q15" s="146" t="str">
        <f t="shared" si="5"/>
        <v/>
      </c>
      <c r="R15" s="146" t="str">
        <f>IF(B15=FALSE,"",Length_7!F33)</f>
        <v/>
      </c>
      <c r="S15" s="146" t="str">
        <f t="shared" si="6"/>
        <v/>
      </c>
      <c r="T15" s="145" t="str">
        <f t="shared" si="7"/>
        <v/>
      </c>
      <c r="U15" s="145" t="str">
        <f t="shared" si="8"/>
        <v/>
      </c>
      <c r="V15" s="145" t="str">
        <f t="shared" si="9"/>
        <v/>
      </c>
      <c r="W15" s="168" t="str">
        <f t="shared" si="10"/>
        <v/>
      </c>
      <c r="X15" s="169" t="str">
        <f t="shared" si="11"/>
        <v/>
      </c>
      <c r="Y15" s="176" t="str">
        <f t="shared" si="12"/>
        <v/>
      </c>
      <c r="Z15" s="145" t="str">
        <f t="shared" si="19"/>
        <v/>
      </c>
      <c r="AA15" s="145" t="str">
        <f t="shared" si="20"/>
        <v/>
      </c>
      <c r="AB15" s="103"/>
      <c r="AC15" s="145" t="e">
        <f ca="1">ROUND(Length_7!J10,$M$52)</f>
        <v>#N/A</v>
      </c>
      <c r="AD15" s="145" t="e">
        <f ca="1">ROUND(Length_7!K10,$M$52)</f>
        <v>#N/A</v>
      </c>
      <c r="AE15" s="145" t="str">
        <f t="shared" si="21"/>
        <v/>
      </c>
      <c r="AF15" s="145" t="e">
        <f t="shared" ca="1" si="13"/>
        <v>#N/A</v>
      </c>
      <c r="AG15" s="145" t="e">
        <f t="shared" ca="1" si="14"/>
        <v>#VALUE!</v>
      </c>
      <c r="AH15" s="145" t="e">
        <f t="shared" ca="1" si="15"/>
        <v>#N/A</v>
      </c>
      <c r="AI15" s="145" t="e">
        <f t="shared" ca="1" si="16"/>
        <v>#N/A</v>
      </c>
      <c r="AJ15" s="145" t="e">
        <f t="shared" ca="1" si="17"/>
        <v>#N/A</v>
      </c>
      <c r="AK15" s="145" t="str">
        <f t="shared" si="22"/>
        <v/>
      </c>
      <c r="AL15" s="145" t="e">
        <f t="shared" ca="1" si="23"/>
        <v>#N/A</v>
      </c>
    </row>
    <row r="16" spans="1:38" ht="15" customHeight="1">
      <c r="B16" s="164" t="b">
        <f>IF(TRIM(Length_7!A11)="",FALSE,TRUE)</f>
        <v>0</v>
      </c>
      <c r="C16" s="165" t="str">
        <f>IF($B16=FALSE,"",VALUE(Length_7!A11))</f>
        <v/>
      </c>
      <c r="D16" s="145" t="str">
        <f>IF($B16=FALSE,"",Length_7!B11)</f>
        <v/>
      </c>
      <c r="E16" s="164" t="str">
        <f>IF($B16=FALSE,"",Length_7!M11)</f>
        <v/>
      </c>
      <c r="F16" s="164" t="str">
        <f>IF($B16=FALSE,"",Length_7!N11)</f>
        <v/>
      </c>
      <c r="G16" s="164" t="str">
        <f>IF($B16=FALSE,"",Length_7!O11)</f>
        <v/>
      </c>
      <c r="H16" s="164" t="str">
        <f>IF($B16=FALSE,"",Length_7!P11)</f>
        <v/>
      </c>
      <c r="I16" s="164" t="str">
        <f>IF($B16=FALSE,"",Length_7!Q11)</f>
        <v/>
      </c>
      <c r="J16" s="164" t="str">
        <f t="shared" si="18"/>
        <v/>
      </c>
      <c r="K16" s="164" t="str">
        <f>IF($B16=FALSE,"",Length_7!R11)</f>
        <v/>
      </c>
      <c r="L16" s="164" t="str">
        <f>IF($B16=FALSE,"",Length_7!S11)</f>
        <v/>
      </c>
      <c r="M16" s="164" t="str">
        <f t="shared" si="2"/>
        <v/>
      </c>
      <c r="N16" s="190" t="str">
        <f t="shared" si="3"/>
        <v/>
      </c>
      <c r="O16" s="166" t="str">
        <f>IF($B16=FALSE,"",Length_7!D34)</f>
        <v/>
      </c>
      <c r="P16" s="167" t="str">
        <f t="shared" si="4"/>
        <v/>
      </c>
      <c r="Q16" s="146" t="str">
        <f t="shared" si="5"/>
        <v/>
      </c>
      <c r="R16" s="146" t="str">
        <f>IF(B16=FALSE,"",Length_7!F34)</f>
        <v/>
      </c>
      <c r="S16" s="146" t="str">
        <f t="shared" si="6"/>
        <v/>
      </c>
      <c r="T16" s="145" t="str">
        <f t="shared" si="7"/>
        <v/>
      </c>
      <c r="U16" s="145" t="str">
        <f t="shared" si="8"/>
        <v/>
      </c>
      <c r="V16" s="145" t="str">
        <f t="shared" si="9"/>
        <v/>
      </c>
      <c r="W16" s="168" t="str">
        <f t="shared" si="10"/>
        <v/>
      </c>
      <c r="X16" s="169" t="str">
        <f t="shared" si="11"/>
        <v/>
      </c>
      <c r="Y16" s="176" t="str">
        <f t="shared" si="12"/>
        <v/>
      </c>
      <c r="Z16" s="145" t="str">
        <f t="shared" si="19"/>
        <v/>
      </c>
      <c r="AA16" s="145" t="str">
        <f t="shared" si="20"/>
        <v/>
      </c>
      <c r="AB16" s="103"/>
      <c r="AC16" s="145" t="e">
        <f ca="1">ROUND(Length_7!J11,$M$52)</f>
        <v>#N/A</v>
      </c>
      <c r="AD16" s="145" t="e">
        <f ca="1">ROUND(Length_7!K11,$M$52)</f>
        <v>#N/A</v>
      </c>
      <c r="AE16" s="145" t="str">
        <f t="shared" si="21"/>
        <v/>
      </c>
      <c r="AF16" s="145" t="e">
        <f t="shared" ca="1" si="13"/>
        <v>#N/A</v>
      </c>
      <c r="AG16" s="145" t="e">
        <f t="shared" ca="1" si="14"/>
        <v>#VALUE!</v>
      </c>
      <c r="AH16" s="145" t="e">
        <f t="shared" ca="1" si="15"/>
        <v>#N/A</v>
      </c>
      <c r="AI16" s="145" t="e">
        <f t="shared" ca="1" si="16"/>
        <v>#N/A</v>
      </c>
      <c r="AJ16" s="145" t="e">
        <f t="shared" ca="1" si="17"/>
        <v>#N/A</v>
      </c>
      <c r="AK16" s="145" t="str">
        <f t="shared" si="22"/>
        <v/>
      </c>
      <c r="AL16" s="145" t="e">
        <f t="shared" ca="1" si="23"/>
        <v>#N/A</v>
      </c>
    </row>
    <row r="17" spans="1:38" ht="15" customHeight="1">
      <c r="B17" s="164" t="b">
        <f>IF(TRIM(Length_7!A12)="",FALSE,TRUE)</f>
        <v>0</v>
      </c>
      <c r="C17" s="165" t="str">
        <f>IF($B17=FALSE,"",VALUE(Length_7!A12))</f>
        <v/>
      </c>
      <c r="D17" s="145" t="str">
        <f>IF($B17=FALSE,"",Length_7!B12)</f>
        <v/>
      </c>
      <c r="E17" s="164" t="str">
        <f>IF($B17=FALSE,"",Length_7!M12)</f>
        <v/>
      </c>
      <c r="F17" s="164" t="str">
        <f>IF($B17=FALSE,"",Length_7!N12)</f>
        <v/>
      </c>
      <c r="G17" s="164" t="str">
        <f>IF($B17=FALSE,"",Length_7!O12)</f>
        <v/>
      </c>
      <c r="H17" s="164" t="str">
        <f>IF($B17=FALSE,"",Length_7!P12)</f>
        <v/>
      </c>
      <c r="I17" s="164" t="str">
        <f>IF($B17=FALSE,"",Length_7!Q12)</f>
        <v/>
      </c>
      <c r="J17" s="164" t="str">
        <f t="shared" si="18"/>
        <v/>
      </c>
      <c r="K17" s="164" t="str">
        <f>IF($B17=FALSE,"",Length_7!R12)</f>
        <v/>
      </c>
      <c r="L17" s="164" t="str">
        <f>IF($B17=FALSE,"",Length_7!S12)</f>
        <v/>
      </c>
      <c r="M17" s="164" t="str">
        <f t="shared" si="2"/>
        <v/>
      </c>
      <c r="N17" s="190" t="str">
        <f t="shared" si="3"/>
        <v/>
      </c>
      <c r="O17" s="166" t="str">
        <f>IF($B17=FALSE,"",Length_7!D35)</f>
        <v/>
      </c>
      <c r="P17" s="167" t="str">
        <f t="shared" si="4"/>
        <v/>
      </c>
      <c r="Q17" s="146" t="str">
        <f t="shared" si="5"/>
        <v/>
      </c>
      <c r="R17" s="146" t="str">
        <f>IF(B17=FALSE,"",Length_7!F35)</f>
        <v/>
      </c>
      <c r="S17" s="146" t="str">
        <f t="shared" si="6"/>
        <v/>
      </c>
      <c r="T17" s="145" t="str">
        <f t="shared" si="7"/>
        <v/>
      </c>
      <c r="U17" s="145" t="str">
        <f t="shared" si="8"/>
        <v/>
      </c>
      <c r="V17" s="145" t="str">
        <f t="shared" si="9"/>
        <v/>
      </c>
      <c r="W17" s="168" t="str">
        <f t="shared" si="10"/>
        <v/>
      </c>
      <c r="X17" s="169" t="str">
        <f t="shared" si="11"/>
        <v/>
      </c>
      <c r="Y17" s="176" t="str">
        <f t="shared" si="12"/>
        <v/>
      </c>
      <c r="Z17" s="145" t="str">
        <f t="shared" si="19"/>
        <v/>
      </c>
      <c r="AA17" s="145" t="str">
        <f t="shared" si="20"/>
        <v/>
      </c>
      <c r="AB17" s="103"/>
      <c r="AC17" s="145" t="e">
        <f ca="1">ROUND(Length_7!J12,$M$52)</f>
        <v>#N/A</v>
      </c>
      <c r="AD17" s="145" t="e">
        <f ca="1">ROUND(Length_7!K12,$M$52)</f>
        <v>#N/A</v>
      </c>
      <c r="AE17" s="145" t="str">
        <f t="shared" si="21"/>
        <v/>
      </c>
      <c r="AF17" s="145" t="e">
        <f t="shared" ca="1" si="13"/>
        <v>#N/A</v>
      </c>
      <c r="AG17" s="145" t="e">
        <f t="shared" ca="1" si="14"/>
        <v>#VALUE!</v>
      </c>
      <c r="AH17" s="145" t="e">
        <f t="shared" ca="1" si="15"/>
        <v>#N/A</v>
      </c>
      <c r="AI17" s="145" t="e">
        <f t="shared" ca="1" si="16"/>
        <v>#N/A</v>
      </c>
      <c r="AJ17" s="145" t="e">
        <f t="shared" ca="1" si="17"/>
        <v>#N/A</v>
      </c>
      <c r="AK17" s="145" t="str">
        <f t="shared" si="22"/>
        <v/>
      </c>
      <c r="AL17" s="145" t="e">
        <f t="shared" ca="1" si="23"/>
        <v>#N/A</v>
      </c>
    </row>
    <row r="18" spans="1:38" ht="15" customHeight="1">
      <c r="B18" s="164" t="b">
        <f>IF(TRIM(Length_7!A13)="",FALSE,TRUE)</f>
        <v>0</v>
      </c>
      <c r="C18" s="165" t="str">
        <f>IF($B18=FALSE,"",VALUE(Length_7!A13))</f>
        <v/>
      </c>
      <c r="D18" s="145" t="str">
        <f>IF($B18=FALSE,"",Length_7!B13)</f>
        <v/>
      </c>
      <c r="E18" s="164" t="str">
        <f>IF($B18=FALSE,"",Length_7!M13)</f>
        <v/>
      </c>
      <c r="F18" s="164" t="str">
        <f>IF($B18=FALSE,"",Length_7!N13)</f>
        <v/>
      </c>
      <c r="G18" s="164" t="str">
        <f>IF($B18=FALSE,"",Length_7!O13)</f>
        <v/>
      </c>
      <c r="H18" s="164" t="str">
        <f>IF($B18=FALSE,"",Length_7!P13)</f>
        <v/>
      </c>
      <c r="I18" s="164" t="str">
        <f>IF($B18=FALSE,"",Length_7!Q13)</f>
        <v/>
      </c>
      <c r="J18" s="164" t="str">
        <f t="shared" si="18"/>
        <v/>
      </c>
      <c r="K18" s="164" t="str">
        <f>IF($B18=FALSE,"",Length_7!R13)</f>
        <v/>
      </c>
      <c r="L18" s="164" t="str">
        <f>IF($B18=FALSE,"",Length_7!S13)</f>
        <v/>
      </c>
      <c r="M18" s="164" t="str">
        <f t="shared" si="2"/>
        <v/>
      </c>
      <c r="N18" s="190" t="str">
        <f t="shared" si="3"/>
        <v/>
      </c>
      <c r="O18" s="166" t="str">
        <f>IF($B18=FALSE,"",Length_7!D36)</f>
        <v/>
      </c>
      <c r="P18" s="167" t="str">
        <f t="shared" si="4"/>
        <v/>
      </c>
      <c r="Q18" s="146" t="str">
        <f t="shared" si="5"/>
        <v/>
      </c>
      <c r="R18" s="146" t="str">
        <f>IF(B18=FALSE,"",Length_7!F36)</f>
        <v/>
      </c>
      <c r="S18" s="146" t="str">
        <f t="shared" si="6"/>
        <v/>
      </c>
      <c r="T18" s="145" t="str">
        <f t="shared" si="7"/>
        <v/>
      </c>
      <c r="U18" s="145" t="str">
        <f t="shared" si="8"/>
        <v/>
      </c>
      <c r="V18" s="145" t="str">
        <f t="shared" si="9"/>
        <v/>
      </c>
      <c r="W18" s="168" t="str">
        <f t="shared" si="10"/>
        <v/>
      </c>
      <c r="X18" s="169" t="str">
        <f t="shared" si="11"/>
        <v/>
      </c>
      <c r="Y18" s="176" t="str">
        <f t="shared" si="12"/>
        <v/>
      </c>
      <c r="Z18" s="145" t="str">
        <f t="shared" si="19"/>
        <v/>
      </c>
      <c r="AA18" s="145" t="str">
        <f t="shared" si="20"/>
        <v/>
      </c>
      <c r="AB18" s="103"/>
      <c r="AC18" s="145" t="e">
        <f ca="1">ROUND(Length_7!J13,$M$52)</f>
        <v>#N/A</v>
      </c>
      <c r="AD18" s="145" t="e">
        <f ca="1">ROUND(Length_7!K13,$M$52)</f>
        <v>#N/A</v>
      </c>
      <c r="AE18" s="145" t="str">
        <f t="shared" si="21"/>
        <v/>
      </c>
      <c r="AF18" s="145" t="e">
        <f t="shared" ca="1" si="13"/>
        <v>#N/A</v>
      </c>
      <c r="AG18" s="145" t="e">
        <f t="shared" ca="1" si="14"/>
        <v>#VALUE!</v>
      </c>
      <c r="AH18" s="145" t="e">
        <f t="shared" ca="1" si="15"/>
        <v>#N/A</v>
      </c>
      <c r="AI18" s="145" t="e">
        <f t="shared" ca="1" si="16"/>
        <v>#N/A</v>
      </c>
      <c r="AJ18" s="145" t="e">
        <f t="shared" ca="1" si="17"/>
        <v>#N/A</v>
      </c>
      <c r="AK18" s="145" t="str">
        <f t="shared" si="22"/>
        <v/>
      </c>
      <c r="AL18" s="145" t="e">
        <f t="shared" ca="1" si="23"/>
        <v>#N/A</v>
      </c>
    </row>
    <row r="19" spans="1:38" ht="15" customHeight="1">
      <c r="B19" s="164" t="b">
        <f>IF(TRIM(Length_7!A14)="",FALSE,TRUE)</f>
        <v>0</v>
      </c>
      <c r="C19" s="165" t="str">
        <f>IF($B19=FALSE,"",VALUE(Length_7!A14))</f>
        <v/>
      </c>
      <c r="D19" s="145" t="str">
        <f>IF($B19=FALSE,"",Length_7!B14)</f>
        <v/>
      </c>
      <c r="E19" s="164" t="str">
        <f>IF($B19=FALSE,"",Length_7!M14)</f>
        <v/>
      </c>
      <c r="F19" s="164" t="str">
        <f>IF($B19=FALSE,"",Length_7!N14)</f>
        <v/>
      </c>
      <c r="G19" s="164" t="str">
        <f>IF($B19=FALSE,"",Length_7!O14)</f>
        <v/>
      </c>
      <c r="H19" s="164" t="str">
        <f>IF($B19=FALSE,"",Length_7!P14)</f>
        <v/>
      </c>
      <c r="I19" s="164" t="str">
        <f>IF($B19=FALSE,"",Length_7!Q14)</f>
        <v/>
      </c>
      <c r="J19" s="164" t="str">
        <f t="shared" si="18"/>
        <v/>
      </c>
      <c r="K19" s="164" t="str">
        <f>IF($B19=FALSE,"",Length_7!R14)</f>
        <v/>
      </c>
      <c r="L19" s="164" t="str">
        <f>IF($B19=FALSE,"",Length_7!S14)</f>
        <v/>
      </c>
      <c r="M19" s="164" t="str">
        <f t="shared" si="2"/>
        <v/>
      </c>
      <c r="N19" s="190" t="str">
        <f t="shared" si="3"/>
        <v/>
      </c>
      <c r="O19" s="166" t="str">
        <f>IF($B19=FALSE,"",Length_7!D37)</f>
        <v/>
      </c>
      <c r="P19" s="167" t="str">
        <f t="shared" si="4"/>
        <v/>
      </c>
      <c r="Q19" s="146" t="str">
        <f t="shared" si="5"/>
        <v/>
      </c>
      <c r="R19" s="146" t="str">
        <f>IF(B19=FALSE,"",Length_7!F37)</f>
        <v/>
      </c>
      <c r="S19" s="146" t="str">
        <f t="shared" si="6"/>
        <v/>
      </c>
      <c r="T19" s="145" t="str">
        <f t="shared" si="7"/>
        <v/>
      </c>
      <c r="U19" s="145" t="str">
        <f t="shared" si="8"/>
        <v/>
      </c>
      <c r="V19" s="145" t="str">
        <f t="shared" si="9"/>
        <v/>
      </c>
      <c r="W19" s="168" t="str">
        <f t="shared" si="10"/>
        <v/>
      </c>
      <c r="X19" s="169" t="str">
        <f t="shared" si="11"/>
        <v/>
      </c>
      <c r="Y19" s="176" t="str">
        <f t="shared" si="12"/>
        <v/>
      </c>
      <c r="Z19" s="145" t="str">
        <f t="shared" si="19"/>
        <v/>
      </c>
      <c r="AA19" s="145" t="str">
        <f t="shared" si="20"/>
        <v/>
      </c>
      <c r="AB19" s="103"/>
      <c r="AC19" s="145" t="e">
        <f ca="1">ROUND(Length_7!J14,$M$52)</f>
        <v>#N/A</v>
      </c>
      <c r="AD19" s="145" t="e">
        <f ca="1">ROUND(Length_7!K14,$M$52)</f>
        <v>#N/A</v>
      </c>
      <c r="AE19" s="145" t="str">
        <f t="shared" si="21"/>
        <v/>
      </c>
      <c r="AF19" s="145" t="e">
        <f t="shared" ca="1" si="13"/>
        <v>#N/A</v>
      </c>
      <c r="AG19" s="145" t="e">
        <f t="shared" ca="1" si="14"/>
        <v>#VALUE!</v>
      </c>
      <c r="AH19" s="145" t="e">
        <f t="shared" ca="1" si="15"/>
        <v>#N/A</v>
      </c>
      <c r="AI19" s="145" t="e">
        <f t="shared" ca="1" si="16"/>
        <v>#N/A</v>
      </c>
      <c r="AJ19" s="145" t="e">
        <f t="shared" ca="1" si="17"/>
        <v>#N/A</v>
      </c>
      <c r="AK19" s="145" t="str">
        <f t="shared" si="22"/>
        <v/>
      </c>
      <c r="AL19" s="145" t="e">
        <f t="shared" ca="1" si="23"/>
        <v>#N/A</v>
      </c>
    </row>
    <row r="20" spans="1:38" ht="15" customHeight="1">
      <c r="B20" s="164" t="b">
        <f>IF(TRIM(Length_7!A15)="",FALSE,TRUE)</f>
        <v>0</v>
      </c>
      <c r="C20" s="165" t="str">
        <f>IF($B20=FALSE,"",VALUE(Length_7!A15))</f>
        <v/>
      </c>
      <c r="D20" s="145" t="str">
        <f>IF($B20=FALSE,"",Length_7!B15)</f>
        <v/>
      </c>
      <c r="E20" s="164" t="str">
        <f>IF($B20=FALSE,"",Length_7!M15)</f>
        <v/>
      </c>
      <c r="F20" s="164" t="str">
        <f>IF($B20=FALSE,"",Length_7!N15)</f>
        <v/>
      </c>
      <c r="G20" s="164" t="str">
        <f>IF($B20=FALSE,"",Length_7!O15)</f>
        <v/>
      </c>
      <c r="H20" s="164" t="str">
        <f>IF($B20=FALSE,"",Length_7!P15)</f>
        <v/>
      </c>
      <c r="I20" s="164" t="str">
        <f>IF($B20=FALSE,"",Length_7!Q15)</f>
        <v/>
      </c>
      <c r="J20" s="164" t="str">
        <f t="shared" si="18"/>
        <v/>
      </c>
      <c r="K20" s="164" t="str">
        <f>IF($B20=FALSE,"",Length_7!R15)</f>
        <v/>
      </c>
      <c r="L20" s="164" t="str">
        <f>IF($B20=FALSE,"",Length_7!S15)</f>
        <v/>
      </c>
      <c r="M20" s="164" t="str">
        <f t="shared" si="2"/>
        <v/>
      </c>
      <c r="N20" s="190" t="str">
        <f t="shared" si="3"/>
        <v/>
      </c>
      <c r="O20" s="166" t="str">
        <f>IF($B20=FALSE,"",Length_7!D38)</f>
        <v/>
      </c>
      <c r="P20" s="167" t="str">
        <f t="shared" si="4"/>
        <v/>
      </c>
      <c r="Q20" s="146" t="str">
        <f t="shared" si="5"/>
        <v/>
      </c>
      <c r="R20" s="146" t="str">
        <f>IF(B20=FALSE,"",Length_7!F38)</f>
        <v/>
      </c>
      <c r="S20" s="146" t="str">
        <f t="shared" si="6"/>
        <v/>
      </c>
      <c r="T20" s="145" t="str">
        <f t="shared" si="7"/>
        <v/>
      </c>
      <c r="U20" s="145" t="str">
        <f t="shared" si="8"/>
        <v/>
      </c>
      <c r="V20" s="145" t="str">
        <f t="shared" si="9"/>
        <v/>
      </c>
      <c r="W20" s="168" t="str">
        <f t="shared" si="10"/>
        <v/>
      </c>
      <c r="X20" s="169" t="str">
        <f t="shared" si="11"/>
        <v/>
      </c>
      <c r="Y20" s="176" t="str">
        <f t="shared" si="12"/>
        <v/>
      </c>
      <c r="Z20" s="145" t="str">
        <f t="shared" si="19"/>
        <v/>
      </c>
      <c r="AA20" s="145" t="str">
        <f t="shared" si="20"/>
        <v/>
      </c>
      <c r="AB20" s="103"/>
      <c r="AC20" s="145" t="e">
        <f ca="1">ROUND(Length_7!J15,$M$52)</f>
        <v>#N/A</v>
      </c>
      <c r="AD20" s="145" t="e">
        <f ca="1">ROUND(Length_7!K15,$M$52)</f>
        <v>#N/A</v>
      </c>
      <c r="AE20" s="145" t="str">
        <f t="shared" si="21"/>
        <v/>
      </c>
      <c r="AF20" s="145" t="e">
        <f t="shared" ca="1" si="13"/>
        <v>#N/A</v>
      </c>
      <c r="AG20" s="145" t="e">
        <f t="shared" ca="1" si="14"/>
        <v>#VALUE!</v>
      </c>
      <c r="AH20" s="145" t="e">
        <f t="shared" ca="1" si="15"/>
        <v>#N/A</v>
      </c>
      <c r="AI20" s="145" t="e">
        <f t="shared" ca="1" si="16"/>
        <v>#N/A</v>
      </c>
      <c r="AJ20" s="145" t="e">
        <f t="shared" ca="1" si="17"/>
        <v>#N/A</v>
      </c>
      <c r="AK20" s="145" t="str">
        <f t="shared" si="22"/>
        <v/>
      </c>
      <c r="AL20" s="145" t="e">
        <f t="shared" ca="1" si="23"/>
        <v>#N/A</v>
      </c>
    </row>
    <row r="21" spans="1:38" ht="15" customHeight="1">
      <c r="B21" s="164" t="b">
        <f>IF(TRIM(Length_7!A16)="",FALSE,TRUE)</f>
        <v>0</v>
      </c>
      <c r="C21" s="165" t="str">
        <f>IF($B21=FALSE,"",VALUE(Length_7!A16))</f>
        <v/>
      </c>
      <c r="D21" s="145" t="str">
        <f>IF($B21=FALSE,"",Length_7!B16)</f>
        <v/>
      </c>
      <c r="E21" s="164" t="str">
        <f>IF($B21=FALSE,"",Length_7!M16)</f>
        <v/>
      </c>
      <c r="F21" s="164" t="str">
        <f>IF($B21=FALSE,"",Length_7!N16)</f>
        <v/>
      </c>
      <c r="G21" s="164" t="str">
        <f>IF($B21=FALSE,"",Length_7!O16)</f>
        <v/>
      </c>
      <c r="H21" s="164" t="str">
        <f>IF($B21=FALSE,"",Length_7!P16)</f>
        <v/>
      </c>
      <c r="I21" s="164" t="str">
        <f>IF($B21=FALSE,"",Length_7!Q16)</f>
        <v/>
      </c>
      <c r="J21" s="164" t="str">
        <f t="shared" si="18"/>
        <v/>
      </c>
      <c r="K21" s="164" t="str">
        <f>IF($B21=FALSE,"",Length_7!R16)</f>
        <v/>
      </c>
      <c r="L21" s="164" t="str">
        <f>IF($B21=FALSE,"",Length_7!S16)</f>
        <v/>
      </c>
      <c r="M21" s="164" t="str">
        <f t="shared" si="2"/>
        <v/>
      </c>
      <c r="N21" s="190" t="str">
        <f t="shared" si="3"/>
        <v/>
      </c>
      <c r="O21" s="166" t="str">
        <f>IF($B21=FALSE,"",Length_7!D39)</f>
        <v/>
      </c>
      <c r="P21" s="167" t="str">
        <f t="shared" si="4"/>
        <v/>
      </c>
      <c r="Q21" s="146" t="str">
        <f t="shared" si="5"/>
        <v/>
      </c>
      <c r="R21" s="146" t="str">
        <f>IF(B21=FALSE,"",Length_7!F39)</f>
        <v/>
      </c>
      <c r="S21" s="146" t="str">
        <f t="shared" si="6"/>
        <v/>
      </c>
      <c r="T21" s="145" t="str">
        <f t="shared" si="7"/>
        <v/>
      </c>
      <c r="U21" s="145" t="str">
        <f t="shared" si="8"/>
        <v/>
      </c>
      <c r="V21" s="145" t="str">
        <f t="shared" si="9"/>
        <v/>
      </c>
      <c r="W21" s="168" t="str">
        <f t="shared" si="10"/>
        <v/>
      </c>
      <c r="X21" s="169" t="str">
        <f t="shared" si="11"/>
        <v/>
      </c>
      <c r="Y21" s="176" t="str">
        <f t="shared" si="12"/>
        <v/>
      </c>
      <c r="Z21" s="145" t="str">
        <f t="shared" si="19"/>
        <v/>
      </c>
      <c r="AA21" s="145" t="str">
        <f t="shared" si="20"/>
        <v/>
      </c>
      <c r="AB21" s="103"/>
      <c r="AC21" s="145" t="e">
        <f ca="1">ROUND(Length_7!J16,$M$52)</f>
        <v>#N/A</v>
      </c>
      <c r="AD21" s="145" t="e">
        <f ca="1">ROUND(Length_7!K16,$M$52)</f>
        <v>#N/A</v>
      </c>
      <c r="AE21" s="145" t="str">
        <f t="shared" si="21"/>
        <v/>
      </c>
      <c r="AF21" s="145" t="e">
        <f t="shared" ca="1" si="13"/>
        <v>#N/A</v>
      </c>
      <c r="AG21" s="145" t="e">
        <f t="shared" ca="1" si="14"/>
        <v>#VALUE!</v>
      </c>
      <c r="AH21" s="145" t="e">
        <f t="shared" ca="1" si="15"/>
        <v>#N/A</v>
      </c>
      <c r="AI21" s="145" t="e">
        <f t="shared" ca="1" si="16"/>
        <v>#N/A</v>
      </c>
      <c r="AJ21" s="145" t="e">
        <f t="shared" ca="1" si="17"/>
        <v>#N/A</v>
      </c>
      <c r="AK21" s="145" t="str">
        <f t="shared" si="22"/>
        <v/>
      </c>
      <c r="AL21" s="145" t="e">
        <f t="shared" ca="1" si="23"/>
        <v>#N/A</v>
      </c>
    </row>
    <row r="22" spans="1:38" ht="15" customHeight="1">
      <c r="B22" s="164" t="b">
        <f>IF(TRIM(Length_7!A17)="",FALSE,TRUE)</f>
        <v>0</v>
      </c>
      <c r="C22" s="165" t="str">
        <f>IF($B22=FALSE,"",VALUE(Length_7!A17))</f>
        <v/>
      </c>
      <c r="D22" s="145" t="str">
        <f>IF($B22=FALSE,"",Length_7!B17)</f>
        <v/>
      </c>
      <c r="E22" s="164" t="str">
        <f>IF($B22=FALSE,"",Length_7!M17)</f>
        <v/>
      </c>
      <c r="F22" s="164" t="str">
        <f>IF($B22=FALSE,"",Length_7!N17)</f>
        <v/>
      </c>
      <c r="G22" s="164" t="str">
        <f>IF($B22=FALSE,"",Length_7!O17)</f>
        <v/>
      </c>
      <c r="H22" s="164" t="str">
        <f>IF($B22=FALSE,"",Length_7!P17)</f>
        <v/>
      </c>
      <c r="I22" s="164" t="str">
        <f>IF($B22=FALSE,"",Length_7!Q17)</f>
        <v/>
      </c>
      <c r="J22" s="164" t="str">
        <f t="shared" si="18"/>
        <v/>
      </c>
      <c r="K22" s="164" t="str">
        <f>IF($B22=FALSE,"",Length_7!R17)</f>
        <v/>
      </c>
      <c r="L22" s="164" t="str">
        <f>IF($B22=FALSE,"",Length_7!S17)</f>
        <v/>
      </c>
      <c r="M22" s="164" t="str">
        <f t="shared" si="2"/>
        <v/>
      </c>
      <c r="N22" s="190" t="str">
        <f t="shared" si="3"/>
        <v/>
      </c>
      <c r="O22" s="166" t="str">
        <f>IF($B22=FALSE,"",Length_7!D40)</f>
        <v/>
      </c>
      <c r="P22" s="167" t="str">
        <f t="shared" si="4"/>
        <v/>
      </c>
      <c r="Q22" s="146" t="str">
        <f t="shared" si="5"/>
        <v/>
      </c>
      <c r="R22" s="146" t="str">
        <f>IF(B22=FALSE,"",Length_7!F40)</f>
        <v/>
      </c>
      <c r="S22" s="146" t="str">
        <f t="shared" si="6"/>
        <v/>
      </c>
      <c r="T22" s="145" t="str">
        <f t="shared" si="7"/>
        <v/>
      </c>
      <c r="U22" s="145" t="str">
        <f t="shared" si="8"/>
        <v/>
      </c>
      <c r="V22" s="145" t="str">
        <f t="shared" si="9"/>
        <v/>
      </c>
      <c r="W22" s="168" t="str">
        <f t="shared" si="10"/>
        <v/>
      </c>
      <c r="X22" s="169" t="str">
        <f t="shared" si="11"/>
        <v/>
      </c>
      <c r="Y22" s="176" t="str">
        <f t="shared" si="12"/>
        <v/>
      </c>
      <c r="Z22" s="145" t="str">
        <f t="shared" si="19"/>
        <v/>
      </c>
      <c r="AA22" s="145" t="str">
        <f t="shared" si="20"/>
        <v/>
      </c>
      <c r="AB22" s="103"/>
      <c r="AC22" s="145" t="e">
        <f ca="1">ROUND(Length_7!J17,$M$52)</f>
        <v>#N/A</v>
      </c>
      <c r="AD22" s="145" t="e">
        <f ca="1">ROUND(Length_7!K17,$M$52)</f>
        <v>#N/A</v>
      </c>
      <c r="AE22" s="145" t="str">
        <f t="shared" si="21"/>
        <v/>
      </c>
      <c r="AF22" s="145" t="e">
        <f t="shared" ca="1" si="13"/>
        <v>#N/A</v>
      </c>
      <c r="AG22" s="145" t="e">
        <f t="shared" ca="1" si="14"/>
        <v>#VALUE!</v>
      </c>
      <c r="AH22" s="145" t="e">
        <f t="shared" ca="1" si="15"/>
        <v>#N/A</v>
      </c>
      <c r="AI22" s="145" t="e">
        <f t="shared" ca="1" si="16"/>
        <v>#N/A</v>
      </c>
      <c r="AJ22" s="145" t="e">
        <f t="shared" ca="1" si="17"/>
        <v>#N/A</v>
      </c>
      <c r="AK22" s="145" t="str">
        <f t="shared" si="22"/>
        <v/>
      </c>
      <c r="AL22" s="145" t="e">
        <f t="shared" ca="1" si="23"/>
        <v>#N/A</v>
      </c>
    </row>
    <row r="23" spans="1:38" ht="15" customHeight="1">
      <c r="B23" s="164" t="b">
        <f>IF(TRIM(Length_7!A18)="",FALSE,TRUE)</f>
        <v>0</v>
      </c>
      <c r="C23" s="165" t="str">
        <f>IF($B23=FALSE,"",VALUE(Length_7!A18))</f>
        <v/>
      </c>
      <c r="D23" s="145" t="str">
        <f>IF($B23=FALSE,"",Length_7!B18)</f>
        <v/>
      </c>
      <c r="E23" s="164" t="str">
        <f>IF($B23=FALSE,"",Length_7!M18)</f>
        <v/>
      </c>
      <c r="F23" s="164" t="str">
        <f>IF($B23=FALSE,"",Length_7!N18)</f>
        <v/>
      </c>
      <c r="G23" s="164" t="str">
        <f>IF($B23=FALSE,"",Length_7!O18)</f>
        <v/>
      </c>
      <c r="H23" s="164" t="str">
        <f>IF($B23=FALSE,"",Length_7!P18)</f>
        <v/>
      </c>
      <c r="I23" s="164" t="str">
        <f>IF($B23=FALSE,"",Length_7!Q18)</f>
        <v/>
      </c>
      <c r="J23" s="164" t="str">
        <f t="shared" si="18"/>
        <v/>
      </c>
      <c r="K23" s="164" t="str">
        <f>IF($B23=FALSE,"",Length_7!R18)</f>
        <v/>
      </c>
      <c r="L23" s="164" t="str">
        <f>IF($B23=FALSE,"",Length_7!S18)</f>
        <v/>
      </c>
      <c r="M23" s="164" t="str">
        <f t="shared" si="2"/>
        <v/>
      </c>
      <c r="N23" s="190" t="str">
        <f t="shared" si="3"/>
        <v/>
      </c>
      <c r="O23" s="166" t="str">
        <f>IF($B23=FALSE,"",Length_7!D41)</f>
        <v/>
      </c>
      <c r="P23" s="167" t="str">
        <f t="shared" si="4"/>
        <v/>
      </c>
      <c r="Q23" s="146" t="str">
        <f t="shared" si="5"/>
        <v/>
      </c>
      <c r="R23" s="146" t="str">
        <f>IF(B23=FALSE,"",Length_7!F41)</f>
        <v/>
      </c>
      <c r="S23" s="146" t="str">
        <f t="shared" si="6"/>
        <v/>
      </c>
      <c r="T23" s="145" t="str">
        <f t="shared" si="7"/>
        <v/>
      </c>
      <c r="U23" s="145" t="str">
        <f t="shared" si="8"/>
        <v/>
      </c>
      <c r="V23" s="145" t="str">
        <f t="shared" si="9"/>
        <v/>
      </c>
      <c r="W23" s="168" t="str">
        <f t="shared" si="10"/>
        <v/>
      </c>
      <c r="X23" s="169" t="str">
        <f t="shared" si="11"/>
        <v/>
      </c>
      <c r="Y23" s="176" t="str">
        <f t="shared" si="12"/>
        <v/>
      </c>
      <c r="Z23" s="145" t="str">
        <f t="shared" si="19"/>
        <v/>
      </c>
      <c r="AA23" s="145" t="str">
        <f t="shared" si="20"/>
        <v/>
      </c>
      <c r="AB23" s="103"/>
      <c r="AC23" s="145" t="e">
        <f ca="1">ROUND(Length_7!J18,$M$52)</f>
        <v>#N/A</v>
      </c>
      <c r="AD23" s="145" t="e">
        <f ca="1">ROUND(Length_7!K18,$M$52)</f>
        <v>#N/A</v>
      </c>
      <c r="AE23" s="145" t="str">
        <f t="shared" si="21"/>
        <v/>
      </c>
      <c r="AF23" s="145" t="e">
        <f t="shared" ca="1" si="13"/>
        <v>#N/A</v>
      </c>
      <c r="AG23" s="145" t="e">
        <f t="shared" ca="1" si="14"/>
        <v>#VALUE!</v>
      </c>
      <c r="AH23" s="145" t="e">
        <f t="shared" ca="1" si="15"/>
        <v>#N/A</v>
      </c>
      <c r="AI23" s="145" t="e">
        <f t="shared" ca="1" si="16"/>
        <v>#N/A</v>
      </c>
      <c r="AJ23" s="145" t="e">
        <f t="shared" ca="1" si="17"/>
        <v>#N/A</v>
      </c>
      <c r="AK23" s="145" t="str">
        <f t="shared" si="22"/>
        <v/>
      </c>
      <c r="AL23" s="145" t="e">
        <f t="shared" ca="1" si="23"/>
        <v>#N/A</v>
      </c>
    </row>
    <row r="24" spans="1:38" ht="15" customHeight="1">
      <c r="B24" s="164" t="b">
        <f>IF(TRIM(Length_7!A19)="",FALSE,TRUE)</f>
        <v>0</v>
      </c>
      <c r="C24" s="165" t="str">
        <f>IF($B24=FALSE,"",VALUE(Length_7!A19))</f>
        <v/>
      </c>
      <c r="D24" s="145" t="str">
        <f>IF($B24=FALSE,"",Length_7!B19)</f>
        <v/>
      </c>
      <c r="E24" s="164" t="str">
        <f>IF($B24=FALSE,"",Length_7!M19)</f>
        <v/>
      </c>
      <c r="F24" s="164" t="str">
        <f>IF($B24=FALSE,"",Length_7!N19)</f>
        <v/>
      </c>
      <c r="G24" s="164" t="str">
        <f>IF($B24=FALSE,"",Length_7!O19)</f>
        <v/>
      </c>
      <c r="H24" s="164" t="str">
        <f>IF($B24=FALSE,"",Length_7!P19)</f>
        <v/>
      </c>
      <c r="I24" s="164" t="str">
        <f>IF($B24=FALSE,"",Length_7!Q19)</f>
        <v/>
      </c>
      <c r="J24" s="164" t="str">
        <f t="shared" si="18"/>
        <v/>
      </c>
      <c r="K24" s="164" t="str">
        <f>IF($B24=FALSE,"",Length_7!R19)</f>
        <v/>
      </c>
      <c r="L24" s="164" t="str">
        <f>IF($B24=FALSE,"",Length_7!S19)</f>
        <v/>
      </c>
      <c r="M24" s="164" t="str">
        <f t="shared" si="2"/>
        <v/>
      </c>
      <c r="N24" s="190" t="str">
        <f t="shared" si="3"/>
        <v/>
      </c>
      <c r="O24" s="166" t="str">
        <f>IF($B24=FALSE,"",Length_7!D42)</f>
        <v/>
      </c>
      <c r="P24" s="167" t="str">
        <f t="shared" si="4"/>
        <v/>
      </c>
      <c r="Q24" s="146" t="str">
        <f t="shared" si="5"/>
        <v/>
      </c>
      <c r="R24" s="146" t="str">
        <f>IF(B24=FALSE,"",Length_7!F42)</f>
        <v/>
      </c>
      <c r="S24" s="146" t="str">
        <f t="shared" si="6"/>
        <v/>
      </c>
      <c r="T24" s="145" t="str">
        <f t="shared" si="7"/>
        <v/>
      </c>
      <c r="U24" s="145" t="str">
        <f t="shared" si="8"/>
        <v/>
      </c>
      <c r="V24" s="145" t="str">
        <f t="shared" si="9"/>
        <v/>
      </c>
      <c r="W24" s="168" t="str">
        <f t="shared" si="10"/>
        <v/>
      </c>
      <c r="X24" s="169" t="str">
        <f t="shared" si="11"/>
        <v/>
      </c>
      <c r="Y24" s="176" t="str">
        <f t="shared" si="12"/>
        <v/>
      </c>
      <c r="Z24" s="145" t="str">
        <f t="shared" si="19"/>
        <v/>
      </c>
      <c r="AA24" s="145" t="str">
        <f t="shared" si="20"/>
        <v/>
      </c>
      <c r="AB24" s="103"/>
      <c r="AC24" s="145" t="e">
        <f ca="1">ROUND(Length_7!J19,$M$52)</f>
        <v>#N/A</v>
      </c>
      <c r="AD24" s="145" t="e">
        <f ca="1">ROUND(Length_7!K19,$M$52)</f>
        <v>#N/A</v>
      </c>
      <c r="AE24" s="145" t="str">
        <f t="shared" si="21"/>
        <v/>
      </c>
      <c r="AF24" s="145" t="e">
        <f t="shared" ca="1" si="13"/>
        <v>#N/A</v>
      </c>
      <c r="AG24" s="145" t="e">
        <f t="shared" ca="1" si="14"/>
        <v>#VALUE!</v>
      </c>
      <c r="AH24" s="145" t="e">
        <f t="shared" ca="1" si="15"/>
        <v>#N/A</v>
      </c>
      <c r="AI24" s="145" t="e">
        <f t="shared" ca="1" si="16"/>
        <v>#N/A</v>
      </c>
      <c r="AJ24" s="145" t="e">
        <f t="shared" ca="1" si="17"/>
        <v>#N/A</v>
      </c>
      <c r="AK24" s="145" t="str">
        <f t="shared" si="22"/>
        <v/>
      </c>
      <c r="AL24" s="145" t="e">
        <f t="shared" ca="1" si="23"/>
        <v>#N/A</v>
      </c>
    </row>
    <row r="25" spans="1:38" ht="15" customHeight="1">
      <c r="B25" s="164" t="b">
        <f>IF(TRIM(Length_7!A20)="",FALSE,TRUE)</f>
        <v>0</v>
      </c>
      <c r="C25" s="165" t="str">
        <f>IF($B25=FALSE,"",VALUE(Length_7!A20))</f>
        <v/>
      </c>
      <c r="D25" s="145" t="str">
        <f>IF($B25=FALSE,"",Length_7!B20)</f>
        <v/>
      </c>
      <c r="E25" s="164" t="str">
        <f>IF($B25=FALSE,"",Length_7!M20)</f>
        <v/>
      </c>
      <c r="F25" s="164" t="str">
        <f>IF($B25=FALSE,"",Length_7!N20)</f>
        <v/>
      </c>
      <c r="G25" s="164" t="str">
        <f>IF($B25=FALSE,"",Length_7!O20)</f>
        <v/>
      </c>
      <c r="H25" s="164" t="str">
        <f>IF($B25=FALSE,"",Length_7!P20)</f>
        <v/>
      </c>
      <c r="I25" s="164" t="str">
        <f>IF($B25=FALSE,"",Length_7!Q20)</f>
        <v/>
      </c>
      <c r="J25" s="164" t="str">
        <f t="shared" si="18"/>
        <v/>
      </c>
      <c r="K25" s="164" t="str">
        <f>IF($B25=FALSE,"",Length_7!R20)</f>
        <v/>
      </c>
      <c r="L25" s="164" t="str">
        <f>IF($B25=FALSE,"",Length_7!S20)</f>
        <v/>
      </c>
      <c r="M25" s="164" t="str">
        <f t="shared" si="2"/>
        <v/>
      </c>
      <c r="N25" s="190" t="str">
        <f t="shared" si="3"/>
        <v/>
      </c>
      <c r="O25" s="166" t="str">
        <f>IF($B25=FALSE,"",Length_7!D43)</f>
        <v/>
      </c>
      <c r="P25" s="167" t="str">
        <f t="shared" si="4"/>
        <v/>
      </c>
      <c r="Q25" s="146" t="str">
        <f t="shared" si="5"/>
        <v/>
      </c>
      <c r="R25" s="146" t="str">
        <f>IF(B25=FALSE,"",Length_7!F43)</f>
        <v/>
      </c>
      <c r="S25" s="146" t="str">
        <f t="shared" si="6"/>
        <v/>
      </c>
      <c r="T25" s="145" t="str">
        <f t="shared" si="7"/>
        <v/>
      </c>
      <c r="U25" s="145" t="str">
        <f t="shared" si="8"/>
        <v/>
      </c>
      <c r="V25" s="145" t="str">
        <f t="shared" si="9"/>
        <v/>
      </c>
      <c r="W25" s="168" t="str">
        <f t="shared" si="10"/>
        <v/>
      </c>
      <c r="X25" s="169" t="str">
        <f t="shared" si="11"/>
        <v/>
      </c>
      <c r="Y25" s="176" t="str">
        <f t="shared" si="12"/>
        <v/>
      </c>
      <c r="Z25" s="145" t="str">
        <f t="shared" si="19"/>
        <v/>
      </c>
      <c r="AA25" s="145" t="str">
        <f t="shared" si="20"/>
        <v/>
      </c>
      <c r="AB25" s="103"/>
      <c r="AC25" s="145" t="e">
        <f ca="1">ROUND(Length_7!J20,$M$52)</f>
        <v>#N/A</v>
      </c>
      <c r="AD25" s="145" t="e">
        <f ca="1">ROUND(Length_7!K20,$M$52)</f>
        <v>#N/A</v>
      </c>
      <c r="AE25" s="145" t="str">
        <f t="shared" si="21"/>
        <v/>
      </c>
      <c r="AF25" s="145" t="e">
        <f t="shared" ca="1" si="13"/>
        <v>#N/A</v>
      </c>
      <c r="AG25" s="145" t="e">
        <f t="shared" ca="1" si="14"/>
        <v>#VALUE!</v>
      </c>
      <c r="AH25" s="145" t="e">
        <f t="shared" ca="1" si="15"/>
        <v>#N/A</v>
      </c>
      <c r="AI25" s="145" t="e">
        <f t="shared" ca="1" si="16"/>
        <v>#N/A</v>
      </c>
      <c r="AJ25" s="145" t="e">
        <f t="shared" ca="1" si="17"/>
        <v>#N/A</v>
      </c>
      <c r="AK25" s="145" t="str">
        <f t="shared" si="22"/>
        <v/>
      </c>
      <c r="AL25" s="145" t="e">
        <f t="shared" ca="1" si="23"/>
        <v>#N/A</v>
      </c>
    </row>
    <row r="26" spans="1:38" ht="15" customHeight="1">
      <c r="B26" s="164" t="b">
        <f>IF(TRIM(Length_7!A21)="",FALSE,TRUE)</f>
        <v>0</v>
      </c>
      <c r="C26" s="165" t="str">
        <f>IF($B26=FALSE,"",VALUE(Length_7!A21))</f>
        <v/>
      </c>
      <c r="D26" s="145" t="str">
        <f>IF($B26=FALSE,"",Length_7!B21)</f>
        <v/>
      </c>
      <c r="E26" s="164" t="str">
        <f>IF($B26=FALSE,"",Length_7!M21)</f>
        <v/>
      </c>
      <c r="F26" s="164" t="str">
        <f>IF($B26=FALSE,"",Length_7!N21)</f>
        <v/>
      </c>
      <c r="G26" s="164" t="str">
        <f>IF($B26=FALSE,"",Length_7!O21)</f>
        <v/>
      </c>
      <c r="H26" s="164" t="str">
        <f>IF($B26=FALSE,"",Length_7!P21)</f>
        <v/>
      </c>
      <c r="I26" s="164" t="str">
        <f>IF($B26=FALSE,"",Length_7!Q21)</f>
        <v/>
      </c>
      <c r="J26" s="164" t="str">
        <f t="shared" si="18"/>
        <v/>
      </c>
      <c r="K26" s="164" t="str">
        <f>IF($B26=FALSE,"",Length_7!R21)</f>
        <v/>
      </c>
      <c r="L26" s="164" t="str">
        <f>IF($B26=FALSE,"",Length_7!S21)</f>
        <v/>
      </c>
      <c r="M26" s="164" t="str">
        <f t="shared" si="2"/>
        <v/>
      </c>
      <c r="N26" s="190" t="str">
        <f t="shared" si="3"/>
        <v/>
      </c>
      <c r="O26" s="166" t="str">
        <f>IF($B26=FALSE,"",Length_7!D44)</f>
        <v/>
      </c>
      <c r="P26" s="167" t="str">
        <f t="shared" si="4"/>
        <v/>
      </c>
      <c r="Q26" s="146" t="str">
        <f t="shared" si="5"/>
        <v/>
      </c>
      <c r="R26" s="146" t="str">
        <f>IF(B26=FALSE,"",Length_7!F44)</f>
        <v/>
      </c>
      <c r="S26" s="146" t="str">
        <f t="shared" si="6"/>
        <v/>
      </c>
      <c r="T26" s="145" t="str">
        <f t="shared" si="7"/>
        <v/>
      </c>
      <c r="U26" s="145" t="str">
        <f t="shared" si="8"/>
        <v/>
      </c>
      <c r="V26" s="145" t="str">
        <f t="shared" si="9"/>
        <v/>
      </c>
      <c r="W26" s="168" t="str">
        <f t="shared" si="10"/>
        <v/>
      </c>
      <c r="X26" s="169" t="str">
        <f t="shared" si="11"/>
        <v/>
      </c>
      <c r="Y26" s="176" t="str">
        <f t="shared" si="12"/>
        <v/>
      </c>
      <c r="Z26" s="145" t="str">
        <f t="shared" si="19"/>
        <v/>
      </c>
      <c r="AA26" s="145" t="str">
        <f t="shared" si="20"/>
        <v/>
      </c>
      <c r="AB26" s="103"/>
      <c r="AC26" s="145" t="e">
        <f ca="1">ROUND(Length_7!J21,$M$52)</f>
        <v>#N/A</v>
      </c>
      <c r="AD26" s="145" t="e">
        <f ca="1">ROUND(Length_7!K21,$M$52)</f>
        <v>#N/A</v>
      </c>
      <c r="AE26" s="145" t="str">
        <f t="shared" si="21"/>
        <v/>
      </c>
      <c r="AF26" s="145" t="e">
        <f t="shared" ca="1" si="13"/>
        <v>#N/A</v>
      </c>
      <c r="AG26" s="145" t="e">
        <f t="shared" ca="1" si="14"/>
        <v>#VALUE!</v>
      </c>
      <c r="AH26" s="145" t="e">
        <f t="shared" ca="1" si="15"/>
        <v>#N/A</v>
      </c>
      <c r="AI26" s="145" t="e">
        <f t="shared" ca="1" si="16"/>
        <v>#N/A</v>
      </c>
      <c r="AJ26" s="145" t="e">
        <f t="shared" ca="1" si="17"/>
        <v>#N/A</v>
      </c>
      <c r="AK26" s="145" t="str">
        <f t="shared" si="22"/>
        <v/>
      </c>
      <c r="AL26" s="145" t="e">
        <f t="shared" ca="1" si="23"/>
        <v>#N/A</v>
      </c>
    </row>
    <row r="27" spans="1:38" ht="15" customHeight="1">
      <c r="B27" s="164" t="b">
        <f>IF(TRIM(Length_7!A22)="",FALSE,TRUE)</f>
        <v>0</v>
      </c>
      <c r="C27" s="165" t="str">
        <f>IF($B27=FALSE,"",VALUE(Length_7!A22))</f>
        <v/>
      </c>
      <c r="D27" s="145" t="str">
        <f>IF($B27=FALSE,"",Length_7!B22)</f>
        <v/>
      </c>
      <c r="E27" s="164" t="str">
        <f>IF($B27=FALSE,"",Length_7!M22)</f>
        <v/>
      </c>
      <c r="F27" s="164" t="str">
        <f>IF($B27=FALSE,"",Length_7!N22)</f>
        <v/>
      </c>
      <c r="G27" s="164" t="str">
        <f>IF($B27=FALSE,"",Length_7!O22)</f>
        <v/>
      </c>
      <c r="H27" s="164" t="str">
        <f>IF($B27=FALSE,"",Length_7!P22)</f>
        <v/>
      </c>
      <c r="I27" s="164" t="str">
        <f>IF($B27=FALSE,"",Length_7!Q22)</f>
        <v/>
      </c>
      <c r="J27" s="164" t="str">
        <f t="shared" si="18"/>
        <v/>
      </c>
      <c r="K27" s="164" t="str">
        <f>IF($B27=FALSE,"",Length_7!R22)</f>
        <v/>
      </c>
      <c r="L27" s="164" t="str">
        <f>IF($B27=FALSE,"",Length_7!S22)</f>
        <v/>
      </c>
      <c r="M27" s="164" t="str">
        <f t="shared" si="2"/>
        <v/>
      </c>
      <c r="N27" s="190" t="str">
        <f t="shared" si="3"/>
        <v/>
      </c>
      <c r="O27" s="166" t="str">
        <f>IF($B27=FALSE,"",Length_7!D45)</f>
        <v/>
      </c>
      <c r="P27" s="167" t="str">
        <f t="shared" si="4"/>
        <v/>
      </c>
      <c r="Q27" s="146" t="str">
        <f t="shared" si="5"/>
        <v/>
      </c>
      <c r="R27" s="146" t="str">
        <f>IF(B27=FALSE,"",Length_7!F45)</f>
        <v/>
      </c>
      <c r="S27" s="146" t="str">
        <f t="shared" si="6"/>
        <v/>
      </c>
      <c r="T27" s="145" t="str">
        <f t="shared" si="7"/>
        <v/>
      </c>
      <c r="U27" s="145" t="str">
        <f t="shared" si="8"/>
        <v/>
      </c>
      <c r="V27" s="145" t="str">
        <f t="shared" si="9"/>
        <v/>
      </c>
      <c r="W27" s="168" t="str">
        <f t="shared" si="10"/>
        <v/>
      </c>
      <c r="X27" s="169" t="str">
        <f t="shared" si="11"/>
        <v/>
      </c>
      <c r="Y27" s="176" t="str">
        <f t="shared" si="12"/>
        <v/>
      </c>
      <c r="Z27" s="145" t="str">
        <f t="shared" si="19"/>
        <v/>
      </c>
      <c r="AA27" s="145" t="str">
        <f t="shared" si="20"/>
        <v/>
      </c>
      <c r="AB27" s="103"/>
      <c r="AC27" s="145" t="e">
        <f ca="1">ROUND(Length_7!J22,$M$52)</f>
        <v>#N/A</v>
      </c>
      <c r="AD27" s="145" t="e">
        <f ca="1">ROUND(Length_7!K22,$M$52)</f>
        <v>#N/A</v>
      </c>
      <c r="AE27" s="145" t="str">
        <f t="shared" si="21"/>
        <v/>
      </c>
      <c r="AF27" s="145" t="e">
        <f t="shared" ca="1" si="13"/>
        <v>#N/A</v>
      </c>
      <c r="AG27" s="145" t="e">
        <f t="shared" ca="1" si="14"/>
        <v>#VALUE!</v>
      </c>
      <c r="AH27" s="145" t="e">
        <f t="shared" ca="1" si="15"/>
        <v>#N/A</v>
      </c>
      <c r="AI27" s="145" t="e">
        <f t="shared" ca="1" si="16"/>
        <v>#N/A</v>
      </c>
      <c r="AJ27" s="145" t="e">
        <f t="shared" ca="1" si="17"/>
        <v>#N/A</v>
      </c>
      <c r="AK27" s="145" t="str">
        <f t="shared" si="22"/>
        <v/>
      </c>
      <c r="AL27" s="145" t="e">
        <f t="shared" ca="1" si="23"/>
        <v>#N/A</v>
      </c>
    </row>
    <row r="28" spans="1:38" ht="15" customHeight="1">
      <c r="B28" s="164" t="b">
        <f>IF(TRIM(Length_7!A23)="",FALSE,TRUE)</f>
        <v>0</v>
      </c>
      <c r="C28" s="165" t="str">
        <f>IF($B28=FALSE,"",VALUE(Length_7!A23))</f>
        <v/>
      </c>
      <c r="D28" s="145" t="str">
        <f>IF($B28=FALSE,"",Length_7!B23)</f>
        <v/>
      </c>
      <c r="E28" s="164" t="str">
        <f>IF($B28=FALSE,"",Length_7!M23)</f>
        <v/>
      </c>
      <c r="F28" s="164" t="str">
        <f>IF($B28=FALSE,"",Length_7!N23)</f>
        <v/>
      </c>
      <c r="G28" s="164" t="str">
        <f>IF($B28=FALSE,"",Length_7!O23)</f>
        <v/>
      </c>
      <c r="H28" s="164" t="str">
        <f>IF($B28=FALSE,"",Length_7!P23)</f>
        <v/>
      </c>
      <c r="I28" s="164" t="str">
        <f>IF($B28=FALSE,"",Length_7!Q23)</f>
        <v/>
      </c>
      <c r="J28" s="164" t="str">
        <f t="shared" si="18"/>
        <v/>
      </c>
      <c r="K28" s="164" t="str">
        <f>IF($B28=FALSE,"",Length_7!R23)</f>
        <v/>
      </c>
      <c r="L28" s="164" t="str">
        <f>IF($B28=FALSE,"",Length_7!S23)</f>
        <v/>
      </c>
      <c r="M28" s="164" t="str">
        <f t="shared" si="2"/>
        <v/>
      </c>
      <c r="N28" s="190" t="str">
        <f t="shared" si="3"/>
        <v/>
      </c>
      <c r="O28" s="166" t="str">
        <f>IF($B28=FALSE,"",Length_7!D46)</f>
        <v/>
      </c>
      <c r="P28" s="167" t="str">
        <f t="shared" si="4"/>
        <v/>
      </c>
      <c r="Q28" s="146" t="str">
        <f t="shared" si="5"/>
        <v/>
      </c>
      <c r="R28" s="146" t="str">
        <f>IF(B28=FALSE,"",Length_7!F46)</f>
        <v/>
      </c>
      <c r="S28" s="146" t="str">
        <f t="shared" si="6"/>
        <v/>
      </c>
      <c r="T28" s="145" t="str">
        <f t="shared" si="7"/>
        <v/>
      </c>
      <c r="U28" s="145" t="str">
        <f t="shared" si="8"/>
        <v/>
      </c>
      <c r="V28" s="145" t="str">
        <f t="shared" si="9"/>
        <v/>
      </c>
      <c r="W28" s="168" t="str">
        <f t="shared" si="10"/>
        <v/>
      </c>
      <c r="X28" s="169" t="str">
        <f t="shared" si="11"/>
        <v/>
      </c>
      <c r="Y28" s="176" t="str">
        <f t="shared" si="12"/>
        <v/>
      </c>
      <c r="Z28" s="145" t="str">
        <f t="shared" si="19"/>
        <v/>
      </c>
      <c r="AA28" s="145" t="str">
        <f t="shared" si="20"/>
        <v/>
      </c>
      <c r="AB28" s="103"/>
      <c r="AC28" s="145" t="e">
        <f ca="1">ROUND(Length_7!J23,$M$52)</f>
        <v>#N/A</v>
      </c>
      <c r="AD28" s="145" t="e">
        <f ca="1">ROUND(Length_7!K23,$M$52)</f>
        <v>#N/A</v>
      </c>
      <c r="AE28" s="145" t="str">
        <f t="shared" si="21"/>
        <v/>
      </c>
      <c r="AF28" s="145" t="e">
        <f t="shared" ca="1" si="13"/>
        <v>#N/A</v>
      </c>
      <c r="AG28" s="145" t="e">
        <f t="shared" ca="1" si="14"/>
        <v>#VALUE!</v>
      </c>
      <c r="AH28" s="145" t="e">
        <f t="shared" ca="1" si="15"/>
        <v>#N/A</v>
      </c>
      <c r="AI28" s="145" t="e">
        <f t="shared" ca="1" si="16"/>
        <v>#N/A</v>
      </c>
      <c r="AJ28" s="145" t="e">
        <f t="shared" ca="1" si="17"/>
        <v>#N/A</v>
      </c>
      <c r="AK28" s="145" t="str">
        <f t="shared" si="22"/>
        <v/>
      </c>
      <c r="AL28" s="145" t="e">
        <f t="shared" ca="1" si="23"/>
        <v>#N/A</v>
      </c>
    </row>
    <row r="29" spans="1:38" ht="15" customHeight="1">
      <c r="M29" s="101"/>
      <c r="N29" s="101"/>
      <c r="O29" s="101"/>
      <c r="P29" s="101"/>
      <c r="Q29" s="101"/>
      <c r="T29" s="102"/>
      <c r="U29" s="101"/>
    </row>
    <row r="30" spans="1:38" ht="15" customHeight="1">
      <c r="A30" s="99" t="s">
        <v>239</v>
      </c>
      <c r="C30" s="100"/>
      <c r="D30" s="100"/>
      <c r="E30" s="105"/>
      <c r="F30" s="105"/>
      <c r="G30" s="105"/>
      <c r="H30" s="105"/>
      <c r="I30" s="105"/>
      <c r="J30" s="105"/>
      <c r="K30" s="105"/>
      <c r="L30" s="105"/>
      <c r="M30" s="105"/>
      <c r="N30" s="105"/>
      <c r="O30" s="105"/>
      <c r="P30" s="105"/>
      <c r="Q30" s="105"/>
      <c r="R30" s="105"/>
      <c r="S30" s="105"/>
      <c r="T30" s="105"/>
      <c r="W30" s="105"/>
    </row>
    <row r="31" spans="1:38" ht="15" customHeight="1">
      <c r="A31" s="99"/>
      <c r="B31" s="526"/>
      <c r="C31" s="526" t="s">
        <v>240</v>
      </c>
      <c r="D31" s="544" t="s">
        <v>241</v>
      </c>
      <c r="E31" s="526" t="s">
        <v>242</v>
      </c>
      <c r="F31" s="526" t="s">
        <v>193</v>
      </c>
      <c r="G31" s="533">
        <v>1</v>
      </c>
      <c r="H31" s="534"/>
      <c r="I31" s="534"/>
      <c r="J31" s="534"/>
      <c r="K31" s="534"/>
      <c r="L31" s="535"/>
      <c r="M31" s="191">
        <v>2</v>
      </c>
      <c r="N31" s="533">
        <v>3</v>
      </c>
      <c r="O31" s="534"/>
      <c r="P31" s="534"/>
      <c r="Q31" s="535"/>
      <c r="R31" s="533">
        <v>4</v>
      </c>
      <c r="S31" s="534"/>
      <c r="T31" s="535"/>
      <c r="U31" s="191">
        <v>5</v>
      </c>
      <c r="V31" s="526" t="s">
        <v>243</v>
      </c>
      <c r="W31" s="526" t="s">
        <v>244</v>
      </c>
      <c r="X31" s="533" t="s">
        <v>245</v>
      </c>
      <c r="Y31" s="535"/>
      <c r="Z31" s="105"/>
    </row>
    <row r="32" spans="1:38" ht="15" customHeight="1">
      <c r="A32" s="99"/>
      <c r="B32" s="527"/>
      <c r="C32" s="527"/>
      <c r="D32" s="546"/>
      <c r="E32" s="527"/>
      <c r="F32" s="527"/>
      <c r="G32" s="191" t="s">
        <v>137</v>
      </c>
      <c r="H32" s="191" t="s">
        <v>138</v>
      </c>
      <c r="I32" s="191" t="s">
        <v>139</v>
      </c>
      <c r="J32" s="533" t="s">
        <v>243</v>
      </c>
      <c r="K32" s="534"/>
      <c r="L32" s="535"/>
      <c r="M32" s="191" t="s">
        <v>246</v>
      </c>
      <c r="N32" s="533" t="s">
        <v>247</v>
      </c>
      <c r="O32" s="535"/>
      <c r="P32" s="533" t="s">
        <v>248</v>
      </c>
      <c r="Q32" s="535"/>
      <c r="R32" s="533" t="s">
        <v>249</v>
      </c>
      <c r="S32" s="534"/>
      <c r="T32" s="535"/>
      <c r="U32" s="191" t="s">
        <v>250</v>
      </c>
      <c r="V32" s="543"/>
      <c r="W32" s="542"/>
      <c r="X32" s="191" t="s">
        <v>251</v>
      </c>
      <c r="Y32" s="191" t="s">
        <v>252</v>
      </c>
      <c r="Z32" s="105"/>
    </row>
    <row r="33" spans="2:26" ht="15" customHeight="1">
      <c r="B33" s="191" t="s">
        <v>253</v>
      </c>
      <c r="C33" s="171" t="s">
        <v>254</v>
      </c>
      <c r="D33" s="172" t="s">
        <v>255</v>
      </c>
      <c r="E33" s="145" t="e">
        <f ca="1">OFFSET(O$8,MATCH($D$3,$C$9:$C$28,0),0)</f>
        <v>#N/A</v>
      </c>
      <c r="F33" s="173" t="s">
        <v>231</v>
      </c>
      <c r="G33" s="145" t="e">
        <f ca="1">OFFSET(Length_7!Q26,MATCH($D$3,$C$9:$C$28,0),0)</f>
        <v>#N/A</v>
      </c>
      <c r="H33" s="145" t="e">
        <f ca="1">OFFSET(Length_7!R26,MATCH($D$3,$C$9:$C$28,0),0)</f>
        <v>#N/A</v>
      </c>
      <c r="I33" s="145" t="e">
        <f ca="1">OFFSET(Length_7!T26,MATCH($D$3,$C$9:$C$28,0),0)</f>
        <v>#N/A</v>
      </c>
      <c r="J33" s="174" t="e">
        <f ca="1">G33/I33/1000</f>
        <v>#N/A</v>
      </c>
      <c r="K33" s="166" t="e">
        <f ca="1">H33/I33/1000</f>
        <v>#N/A</v>
      </c>
      <c r="L33" s="173" t="s">
        <v>238</v>
      </c>
      <c r="M33" s="175" t="s">
        <v>256</v>
      </c>
      <c r="N33" s="145"/>
      <c r="O33" s="145"/>
      <c r="P33" s="167">
        <v>1</v>
      </c>
      <c r="Q33" s="145"/>
      <c r="R33" s="142" t="e">
        <f ca="1">ABS(J33*P33)</f>
        <v>#N/A</v>
      </c>
      <c r="S33" s="145" t="e">
        <f ca="1">ABS(K33*P33)</f>
        <v>#N/A</v>
      </c>
      <c r="T33" s="173" t="s">
        <v>238</v>
      </c>
      <c r="U33" s="145" t="s">
        <v>257</v>
      </c>
      <c r="V33" s="177" t="e">
        <f ca="1">SQRT(SUMSQ(R33,S33*D$3))</f>
        <v>#N/A</v>
      </c>
      <c r="W33" s="176">
        <f t="shared" ref="W33:W45" si="24">IF(U33="∞",0,V33^4/U33)</f>
        <v>0</v>
      </c>
      <c r="X33" s="142" t="str">
        <f>IF(OR(M33="직사각형",M33="삼각형"),V33,"")</f>
        <v/>
      </c>
      <c r="Y33" s="142" t="e">
        <f ca="1">IF(OR(M33="직사각형",M33="삼각형"),"",V33)</f>
        <v>#N/A</v>
      </c>
      <c r="Z33" s="105"/>
    </row>
    <row r="34" spans="2:26" ht="15" customHeight="1">
      <c r="B34" s="191" t="s">
        <v>258</v>
      </c>
      <c r="C34" s="171" t="s">
        <v>259</v>
      </c>
      <c r="D34" s="172" t="s">
        <v>260</v>
      </c>
      <c r="E34" s="145" t="e">
        <f ca="1">OFFSET(P$8,MATCH($D$3,$C$9:$C$28,0),0)</f>
        <v>#N/A</v>
      </c>
      <c r="F34" s="173" t="s">
        <v>231</v>
      </c>
      <c r="G34" s="190">
        <f>IF(MAX(N9:N28)=0,F3,MAX(N9:N28))</f>
        <v>0</v>
      </c>
      <c r="H34" s="145">
        <f>IF(MAX(N9:N28)=0,2,1)</f>
        <v>2</v>
      </c>
      <c r="I34" s="148">
        <f>IF(MAX(N9:N28)=0,3,5)</f>
        <v>3</v>
      </c>
      <c r="J34" s="177">
        <f>G34/(IF(H34="",1,H34)*SQRT(I34))</f>
        <v>0</v>
      </c>
      <c r="K34" s="177"/>
      <c r="L34" s="173" t="s">
        <v>238</v>
      </c>
      <c r="M34" s="175" t="str">
        <f>IF(MAX(N9:N28)=0,"직사각형","t")</f>
        <v>직사각형</v>
      </c>
      <c r="N34" s="145"/>
      <c r="O34" s="145"/>
      <c r="P34" s="167">
        <v>1</v>
      </c>
      <c r="Q34" s="145"/>
      <c r="R34" s="142">
        <f t="shared" ref="R34:R47" si="25">ABS(J34*P34)</f>
        <v>0</v>
      </c>
      <c r="S34" s="145">
        <f t="shared" ref="S34:S47" si="26">ABS(K34*P34)</f>
        <v>0</v>
      </c>
      <c r="T34" s="173" t="s">
        <v>238</v>
      </c>
      <c r="U34" s="145" t="str">
        <f>IF(MAX(N9:N28)=0,"∞",4)</f>
        <v>∞</v>
      </c>
      <c r="V34" s="177">
        <f t="shared" ref="V34:V38" si="27">SQRT(SUMSQ(R34,S34*D$3))</f>
        <v>0</v>
      </c>
      <c r="W34" s="176">
        <f t="shared" si="24"/>
        <v>0</v>
      </c>
      <c r="X34" s="142">
        <f t="shared" ref="X34:X47" si="28">IF(OR(M34="직사각형",M34="삼각형"),V34,"")</f>
        <v>0</v>
      </c>
      <c r="Y34" s="142" t="str">
        <f t="shared" ref="Y34:Y47" si="29">IF(OR(M34="직사각형",M34="삼각형"),"",V34)</f>
        <v/>
      </c>
      <c r="Z34" s="105"/>
    </row>
    <row r="35" spans="2:26" ht="15" customHeight="1">
      <c r="B35" s="191" t="s">
        <v>261</v>
      </c>
      <c r="C35" s="171" t="s">
        <v>262</v>
      </c>
      <c r="D35" s="172" t="s">
        <v>121</v>
      </c>
      <c r="E35" s="145" t="e">
        <f ca="1">OFFSET(S$8,MATCH($D$3,$C$9:$C$28,0),0)</f>
        <v>#N/A</v>
      </c>
      <c r="F35" s="178" t="s">
        <v>233</v>
      </c>
      <c r="G35" s="146">
        <f>1*10^-6</f>
        <v>9.9999999999999995E-7</v>
      </c>
      <c r="H35" s="147"/>
      <c r="I35" s="148">
        <v>3</v>
      </c>
      <c r="J35" s="179"/>
      <c r="K35" s="179">
        <f>SQRT((G35/SQRT(I35)/2)^2+(G35/SQRT(I35)/2)^2)</f>
        <v>4.0824829046386305E-7</v>
      </c>
      <c r="L35" s="178" t="s">
        <v>263</v>
      </c>
      <c r="M35" s="175" t="s">
        <v>264</v>
      </c>
      <c r="N35" s="173" t="str">
        <f>E36</f>
        <v/>
      </c>
      <c r="O35" s="145" t="s">
        <v>265</v>
      </c>
      <c r="P35" s="167" t="e">
        <f>-N35*1000</f>
        <v>#VALUE!</v>
      </c>
      <c r="Q35" s="145" t="s">
        <v>266</v>
      </c>
      <c r="R35" s="142" t="e">
        <f t="shared" si="25"/>
        <v>#VALUE!</v>
      </c>
      <c r="S35" s="145" t="e">
        <f t="shared" si="26"/>
        <v>#VALUE!</v>
      </c>
      <c r="T35" s="173" t="s">
        <v>238</v>
      </c>
      <c r="U35" s="145">
        <v>100</v>
      </c>
      <c r="V35" s="177" t="e">
        <f t="shared" si="27"/>
        <v>#VALUE!</v>
      </c>
      <c r="W35" s="176" t="e">
        <f t="shared" si="24"/>
        <v>#VALUE!</v>
      </c>
      <c r="X35" s="142" t="e">
        <f t="shared" si="28"/>
        <v>#VALUE!</v>
      </c>
      <c r="Y35" s="142" t="str">
        <f t="shared" si="29"/>
        <v/>
      </c>
      <c r="Z35" s="105"/>
    </row>
    <row r="36" spans="2:26" ht="15" customHeight="1">
      <c r="B36" s="191" t="s">
        <v>267</v>
      </c>
      <c r="C36" s="171" t="s">
        <v>268</v>
      </c>
      <c r="D36" s="172" t="s">
        <v>122</v>
      </c>
      <c r="E36" s="173" t="str">
        <f>T9</f>
        <v/>
      </c>
      <c r="F36" s="178" t="s">
        <v>236</v>
      </c>
      <c r="G36" s="173" t="e">
        <f>MAX(ABS(E36),IF(기본정보!H$12=1,1,0.3))</f>
        <v>#VALUE!</v>
      </c>
      <c r="H36" s="147"/>
      <c r="I36" s="148">
        <v>3</v>
      </c>
      <c r="J36" s="177"/>
      <c r="K36" s="177" t="e">
        <f>G36/(IF(H36="",1,H36)*SQRT(I36))</f>
        <v>#VALUE!</v>
      </c>
      <c r="L36" s="178" t="s">
        <v>269</v>
      </c>
      <c r="M36" s="175" t="s">
        <v>270</v>
      </c>
      <c r="N36" s="146" t="e">
        <f ca="1">E35</f>
        <v>#N/A</v>
      </c>
      <c r="O36" s="145" t="s">
        <v>265</v>
      </c>
      <c r="P36" s="167" t="e">
        <f t="shared" ref="P36:P38" ca="1" si="30">-N36*1000</f>
        <v>#N/A</v>
      </c>
      <c r="Q36" s="145" t="s">
        <v>271</v>
      </c>
      <c r="R36" s="142" t="e">
        <f t="shared" ca="1" si="25"/>
        <v>#N/A</v>
      </c>
      <c r="S36" s="145" t="e">
        <f t="shared" ca="1" si="26"/>
        <v>#VALUE!</v>
      </c>
      <c r="T36" s="173" t="s">
        <v>238</v>
      </c>
      <c r="U36" s="145">
        <f>ROUNDDOWN(1/2*(100/20)^2,0)</f>
        <v>12</v>
      </c>
      <c r="V36" s="177" t="e">
        <f t="shared" ca="1" si="27"/>
        <v>#VALUE!</v>
      </c>
      <c r="W36" s="176" t="e">
        <f t="shared" ca="1" si="24"/>
        <v>#VALUE!</v>
      </c>
      <c r="X36" s="142" t="e">
        <f t="shared" ca="1" si="28"/>
        <v>#VALUE!</v>
      </c>
      <c r="Y36" s="142" t="str">
        <f t="shared" si="29"/>
        <v/>
      </c>
      <c r="Z36" s="105"/>
    </row>
    <row r="37" spans="2:26" ht="15" customHeight="1">
      <c r="B37" s="191" t="s">
        <v>272</v>
      </c>
      <c r="C37" s="171" t="s">
        <v>273</v>
      </c>
      <c r="D37" s="172" t="s">
        <v>123</v>
      </c>
      <c r="E37" s="145" t="e">
        <f ca="1">OFFSET(U$8,MATCH($D$3,$C$9:$C$28,0),0)</f>
        <v>#N/A</v>
      </c>
      <c r="F37" s="178" t="s">
        <v>263</v>
      </c>
      <c r="G37" s="146">
        <f>1*10^-6</f>
        <v>9.9999999999999995E-7</v>
      </c>
      <c r="H37" s="147"/>
      <c r="I37" s="148">
        <v>3</v>
      </c>
      <c r="J37" s="179"/>
      <c r="K37" s="179">
        <f>SQRT((G37/SQRT(I37))^2+(G37/SQRT(I37))^2)</f>
        <v>8.1649658092772609E-7</v>
      </c>
      <c r="L37" s="178" t="s">
        <v>233</v>
      </c>
      <c r="M37" s="175" t="s">
        <v>264</v>
      </c>
      <c r="N37" s="173" t="str">
        <f>E38</f>
        <v/>
      </c>
      <c r="O37" s="145" t="s">
        <v>274</v>
      </c>
      <c r="P37" s="167" t="e">
        <f t="shared" si="30"/>
        <v>#VALUE!</v>
      </c>
      <c r="Q37" s="145" t="s">
        <v>275</v>
      </c>
      <c r="R37" s="142" t="e">
        <f t="shared" si="25"/>
        <v>#VALUE!</v>
      </c>
      <c r="S37" s="145" t="e">
        <f t="shared" si="26"/>
        <v>#VALUE!</v>
      </c>
      <c r="T37" s="173" t="s">
        <v>238</v>
      </c>
      <c r="U37" s="145">
        <v>100</v>
      </c>
      <c r="V37" s="177" t="e">
        <f t="shared" si="27"/>
        <v>#VALUE!</v>
      </c>
      <c r="W37" s="176" t="e">
        <f t="shared" si="24"/>
        <v>#VALUE!</v>
      </c>
      <c r="X37" s="142" t="e">
        <f t="shared" si="28"/>
        <v>#VALUE!</v>
      </c>
      <c r="Y37" s="142" t="str">
        <f t="shared" si="29"/>
        <v/>
      </c>
      <c r="Z37" s="105"/>
    </row>
    <row r="38" spans="2:26" ht="15" customHeight="1">
      <c r="B38" s="191" t="s">
        <v>276</v>
      </c>
      <c r="C38" s="171" t="s">
        <v>124</v>
      </c>
      <c r="D38" s="172" t="s">
        <v>125</v>
      </c>
      <c r="E38" s="173" t="str">
        <f>V9</f>
        <v/>
      </c>
      <c r="F38" s="178" t="s">
        <v>269</v>
      </c>
      <c r="G38" s="173"/>
      <c r="H38" s="147"/>
      <c r="I38" s="148"/>
      <c r="J38" s="177"/>
      <c r="K38" s="177">
        <f>SQRT(SUMSQ(J39:J41))</f>
        <v>0.66833125519211412</v>
      </c>
      <c r="L38" s="178" t="s">
        <v>236</v>
      </c>
      <c r="M38" s="175" t="s">
        <v>384</v>
      </c>
      <c r="N38" s="180" t="e">
        <f ca="1">E37</f>
        <v>#N/A</v>
      </c>
      <c r="O38" s="145" t="s">
        <v>274</v>
      </c>
      <c r="P38" s="167" t="e">
        <f t="shared" ca="1" si="30"/>
        <v>#N/A</v>
      </c>
      <c r="Q38" s="145" t="s">
        <v>277</v>
      </c>
      <c r="R38" s="142" t="e">
        <f t="shared" ca="1" si="25"/>
        <v>#N/A</v>
      </c>
      <c r="S38" s="145" t="e">
        <f t="shared" ca="1" si="26"/>
        <v>#N/A</v>
      </c>
      <c r="T38" s="173" t="s">
        <v>238</v>
      </c>
      <c r="U38" s="145">
        <f>ROUNDDOWN(K38^4/SUM(J40^4/U40,J41^4/U41),0)</f>
        <v>305</v>
      </c>
      <c r="V38" s="177" t="e">
        <f t="shared" ca="1" si="27"/>
        <v>#N/A</v>
      </c>
      <c r="W38" s="176" t="e">
        <f t="shared" ca="1" si="24"/>
        <v>#N/A</v>
      </c>
      <c r="X38" s="142" t="str">
        <f t="shared" si="28"/>
        <v/>
      </c>
      <c r="Y38" s="142" t="e">
        <f t="shared" ca="1" si="29"/>
        <v>#N/A</v>
      </c>
      <c r="Z38" s="105"/>
    </row>
    <row r="39" spans="2:26" ht="15" customHeight="1">
      <c r="B39" s="191" t="s">
        <v>278</v>
      </c>
      <c r="C39" s="171" t="s">
        <v>279</v>
      </c>
      <c r="D39" s="172" t="s">
        <v>280</v>
      </c>
      <c r="E39" s="173"/>
      <c r="F39" s="178"/>
      <c r="G39" s="145">
        <v>1</v>
      </c>
      <c r="H39" s="147"/>
      <c r="I39" s="148">
        <v>3</v>
      </c>
      <c r="J39" s="177">
        <f>G39/(IF(H39="",1,H39)*SQRT(I39))</f>
        <v>0.57735026918962584</v>
      </c>
      <c r="K39" s="177"/>
      <c r="L39" s="178" t="s">
        <v>269</v>
      </c>
      <c r="M39" s="175" t="s">
        <v>251</v>
      </c>
      <c r="N39" s="180"/>
      <c r="O39" s="145"/>
      <c r="P39" s="167">
        <v>1</v>
      </c>
      <c r="Q39" s="145"/>
      <c r="R39" s="142"/>
      <c r="S39" s="145"/>
      <c r="T39" s="173"/>
      <c r="U39" s="145" t="s">
        <v>281</v>
      </c>
      <c r="V39" s="177"/>
      <c r="W39" s="176"/>
      <c r="X39" s="142"/>
      <c r="Y39" s="142"/>
      <c r="Z39" s="105"/>
    </row>
    <row r="40" spans="2:26" ht="15" customHeight="1">
      <c r="B40" s="191" t="s">
        <v>282</v>
      </c>
      <c r="C40" s="171" t="s">
        <v>283</v>
      </c>
      <c r="D40" s="172" t="s">
        <v>284</v>
      </c>
      <c r="E40" s="173"/>
      <c r="F40" s="178"/>
      <c r="G40" s="173">
        <v>0.5</v>
      </c>
      <c r="H40" s="147"/>
      <c r="I40" s="148">
        <v>3</v>
      </c>
      <c r="J40" s="177">
        <f>G40/(IF(H40="",1,H40)*SQRT(I40))</f>
        <v>0.28867513459481292</v>
      </c>
      <c r="K40" s="177"/>
      <c r="L40" s="178" t="s">
        <v>285</v>
      </c>
      <c r="M40" s="175" t="s">
        <v>286</v>
      </c>
      <c r="N40" s="180"/>
      <c r="O40" s="145"/>
      <c r="P40" s="167">
        <v>1</v>
      </c>
      <c r="Q40" s="145"/>
      <c r="R40" s="142"/>
      <c r="S40" s="145"/>
      <c r="T40" s="173"/>
      <c r="U40" s="145">
        <f>ROUNDDOWN(1/2*(100/20)^2,0)</f>
        <v>12</v>
      </c>
      <c r="V40" s="177"/>
      <c r="W40" s="176"/>
      <c r="X40" s="142"/>
      <c r="Y40" s="142"/>
      <c r="Z40" s="105"/>
    </row>
    <row r="41" spans="2:26" ht="15" customHeight="1">
      <c r="B41" s="191" t="s">
        <v>287</v>
      </c>
      <c r="C41" s="171" t="s">
        <v>268</v>
      </c>
      <c r="D41" s="172" t="s">
        <v>288</v>
      </c>
      <c r="E41" s="173"/>
      <c r="F41" s="178"/>
      <c r="G41" s="173">
        <v>0.3</v>
      </c>
      <c r="H41" s="147"/>
      <c r="I41" s="148">
        <v>3</v>
      </c>
      <c r="J41" s="177">
        <f>G41/(IF(H41="",1,H41)*SQRT(I41))</f>
        <v>0.17320508075688773</v>
      </c>
      <c r="K41" s="177"/>
      <c r="L41" s="178" t="s">
        <v>269</v>
      </c>
      <c r="M41" s="175" t="s">
        <v>270</v>
      </c>
      <c r="N41" s="180"/>
      <c r="O41" s="145"/>
      <c r="P41" s="167">
        <v>1</v>
      </c>
      <c r="Q41" s="145"/>
      <c r="R41" s="142"/>
      <c r="S41" s="145"/>
      <c r="T41" s="173"/>
      <c r="U41" s="145">
        <f>ROUNDDOWN(1/2*(100/20)^2,0)</f>
        <v>12</v>
      </c>
      <c r="V41" s="177"/>
      <c r="W41" s="176"/>
      <c r="X41" s="142"/>
      <c r="Y41" s="142"/>
      <c r="Z41" s="105"/>
    </row>
    <row r="42" spans="2:26" ht="24">
      <c r="B42" s="191" t="s">
        <v>289</v>
      </c>
      <c r="C42" s="171" t="s">
        <v>290</v>
      </c>
      <c r="D42" s="172" t="s">
        <v>291</v>
      </c>
      <c r="E42" s="145">
        <v>0</v>
      </c>
      <c r="F42" s="173" t="s">
        <v>292</v>
      </c>
      <c r="G42" s="145">
        <f>F3</f>
        <v>0</v>
      </c>
      <c r="H42" s="145">
        <v>2</v>
      </c>
      <c r="I42" s="148">
        <v>3</v>
      </c>
      <c r="J42" s="177">
        <f>G42/(IF(H42="",1,H42)*SQRT(I42))</f>
        <v>0</v>
      </c>
      <c r="K42" s="177"/>
      <c r="L42" s="173" t="s">
        <v>293</v>
      </c>
      <c r="M42" s="175" t="s">
        <v>251</v>
      </c>
      <c r="N42" s="145"/>
      <c r="O42" s="145"/>
      <c r="P42" s="167">
        <v>1</v>
      </c>
      <c r="Q42" s="145"/>
      <c r="R42" s="142">
        <f t="shared" si="25"/>
        <v>0</v>
      </c>
      <c r="S42" s="145">
        <f t="shared" si="26"/>
        <v>0</v>
      </c>
      <c r="T42" s="173" t="s">
        <v>293</v>
      </c>
      <c r="U42" s="145" t="s">
        <v>257</v>
      </c>
      <c r="V42" s="177">
        <f t="shared" ref="V42:V47" si="31">SQRT(SUMSQ(R42,S42*D$3))</f>
        <v>0</v>
      </c>
      <c r="W42" s="176">
        <f t="shared" si="24"/>
        <v>0</v>
      </c>
      <c r="X42" s="142">
        <f t="shared" si="28"/>
        <v>0</v>
      </c>
      <c r="Y42" s="142" t="str">
        <f t="shared" si="29"/>
        <v/>
      </c>
      <c r="Z42" s="105"/>
    </row>
    <row r="43" spans="2:26" ht="24">
      <c r="B43" s="191" t="s">
        <v>294</v>
      </c>
      <c r="C43" s="171" t="s">
        <v>295</v>
      </c>
      <c r="D43" s="172" t="s">
        <v>296</v>
      </c>
      <c r="E43" s="145">
        <v>0</v>
      </c>
      <c r="F43" s="173" t="s">
        <v>297</v>
      </c>
      <c r="G43" s="145">
        <f>MAX(Length_7!T50:T69)</f>
        <v>0</v>
      </c>
      <c r="H43" s="145">
        <f>MAX(MAX(Length_7!R50:R69),ABS(MIN(Length_7!R50:R69)))</f>
        <v>0</v>
      </c>
      <c r="I43" s="145">
        <f>Length_7!W73</f>
        <v>0</v>
      </c>
      <c r="J43" s="174" t="e">
        <f>G43/I43+H43</f>
        <v>#DIV/0!</v>
      </c>
      <c r="K43" s="177"/>
      <c r="L43" s="173" t="s">
        <v>293</v>
      </c>
      <c r="M43" s="175" t="s">
        <v>256</v>
      </c>
      <c r="N43" s="145"/>
      <c r="O43" s="145"/>
      <c r="P43" s="167">
        <v>1</v>
      </c>
      <c r="Q43" s="145"/>
      <c r="R43" s="142" t="e">
        <f t="shared" si="25"/>
        <v>#DIV/0!</v>
      </c>
      <c r="S43" s="145">
        <f t="shared" si="26"/>
        <v>0</v>
      </c>
      <c r="T43" s="173" t="s">
        <v>293</v>
      </c>
      <c r="U43" s="145" t="s">
        <v>257</v>
      </c>
      <c r="V43" s="177" t="e">
        <f t="shared" si="31"/>
        <v>#DIV/0!</v>
      </c>
      <c r="W43" s="176">
        <f t="shared" si="24"/>
        <v>0</v>
      </c>
      <c r="X43" s="142" t="str">
        <f t="shared" si="28"/>
        <v/>
      </c>
      <c r="Y43" s="142" t="e">
        <f t="shared" si="29"/>
        <v>#DIV/0!</v>
      </c>
      <c r="Z43" s="105"/>
    </row>
    <row r="44" spans="2:26" ht="15" customHeight="1">
      <c r="B44" s="191" t="s">
        <v>298</v>
      </c>
      <c r="C44" s="171" t="s">
        <v>299</v>
      </c>
      <c r="D44" s="172" t="s">
        <v>300</v>
      </c>
      <c r="E44" s="145">
        <v>0</v>
      </c>
      <c r="F44" s="173" t="s">
        <v>231</v>
      </c>
      <c r="G44" s="145">
        <f>Length_7!P73</f>
        <v>0</v>
      </c>
      <c r="H44" s="145">
        <v>5</v>
      </c>
      <c r="I44" s="148">
        <v>3</v>
      </c>
      <c r="J44" s="177">
        <f>G44/(IF(H44="",1,H44)*SQRT(I44))</f>
        <v>0</v>
      </c>
      <c r="K44" s="177"/>
      <c r="L44" s="173" t="s">
        <v>293</v>
      </c>
      <c r="M44" s="175" t="s">
        <v>251</v>
      </c>
      <c r="N44" s="145"/>
      <c r="O44" s="145"/>
      <c r="P44" s="167">
        <v>1</v>
      </c>
      <c r="Q44" s="145"/>
      <c r="R44" s="142">
        <f t="shared" si="25"/>
        <v>0</v>
      </c>
      <c r="S44" s="145">
        <f t="shared" si="26"/>
        <v>0</v>
      </c>
      <c r="T44" s="173" t="s">
        <v>238</v>
      </c>
      <c r="U44" s="145">
        <f>ROUNDDOWN(1/2*(100/10)^2,0)</f>
        <v>50</v>
      </c>
      <c r="V44" s="177">
        <f t="shared" si="31"/>
        <v>0</v>
      </c>
      <c r="W44" s="176">
        <f t="shared" si="24"/>
        <v>0</v>
      </c>
      <c r="X44" s="142">
        <f t="shared" si="28"/>
        <v>0</v>
      </c>
      <c r="Y44" s="142" t="str">
        <f t="shared" si="29"/>
        <v/>
      </c>
      <c r="Z44" s="105"/>
    </row>
    <row r="45" spans="2:26" ht="15" customHeight="1">
      <c r="B45" s="191" t="s">
        <v>301</v>
      </c>
      <c r="C45" s="171" t="s">
        <v>302</v>
      </c>
      <c r="D45" s="172" t="s">
        <v>303</v>
      </c>
      <c r="E45" s="145">
        <v>0</v>
      </c>
      <c r="F45" s="173" t="s">
        <v>297</v>
      </c>
      <c r="G45" s="145">
        <f>MAX(M9:M28)</f>
        <v>0</v>
      </c>
      <c r="H45" s="145">
        <f>9/2</f>
        <v>4.5</v>
      </c>
      <c r="I45" s="148">
        <v>3</v>
      </c>
      <c r="J45" s="177">
        <f>G45/(IF(H45="",1,H45)*SQRT(I45))</f>
        <v>0</v>
      </c>
      <c r="K45" s="177"/>
      <c r="L45" s="173" t="s">
        <v>293</v>
      </c>
      <c r="M45" s="175" t="s">
        <v>270</v>
      </c>
      <c r="N45" s="145"/>
      <c r="O45" s="145"/>
      <c r="P45" s="167">
        <v>1</v>
      </c>
      <c r="Q45" s="145"/>
      <c r="R45" s="142">
        <f t="shared" si="25"/>
        <v>0</v>
      </c>
      <c r="S45" s="145">
        <f t="shared" si="26"/>
        <v>0</v>
      </c>
      <c r="T45" s="173" t="s">
        <v>238</v>
      </c>
      <c r="U45" s="145">
        <f>ROUNDDOWN(1/2*(100/10)^2,0)</f>
        <v>50</v>
      </c>
      <c r="V45" s="177">
        <f t="shared" si="31"/>
        <v>0</v>
      </c>
      <c r="W45" s="176">
        <f t="shared" si="24"/>
        <v>0</v>
      </c>
      <c r="X45" s="142">
        <f t="shared" si="28"/>
        <v>0</v>
      </c>
      <c r="Y45" s="142" t="str">
        <f t="shared" si="29"/>
        <v/>
      </c>
      <c r="Z45" s="105"/>
    </row>
    <row r="46" spans="2:26" ht="15" customHeight="1">
      <c r="B46" s="191" t="s">
        <v>304</v>
      </c>
      <c r="C46" s="171" t="s">
        <v>305</v>
      </c>
      <c r="D46" s="172" t="s">
        <v>306</v>
      </c>
      <c r="E46" s="145"/>
      <c r="F46" s="173"/>
      <c r="G46" s="193" t="e">
        <f>K35*K36</f>
        <v>#VALUE!</v>
      </c>
      <c r="H46" s="145"/>
      <c r="I46" s="145"/>
      <c r="J46" s="194"/>
      <c r="K46" s="194" t="e">
        <f>IF(P35=0,G46,0)</f>
        <v>#VALUE!</v>
      </c>
      <c r="L46" s="173"/>
      <c r="M46" s="175" t="s">
        <v>256</v>
      </c>
      <c r="N46" s="145"/>
      <c r="O46" s="145" t="s">
        <v>265</v>
      </c>
      <c r="P46" s="167">
        <v>1000</v>
      </c>
      <c r="Q46" s="145"/>
      <c r="R46" s="142">
        <f t="shared" si="25"/>
        <v>0</v>
      </c>
      <c r="S46" s="145" t="e">
        <f t="shared" si="26"/>
        <v>#VALUE!</v>
      </c>
      <c r="T46" s="173" t="s">
        <v>307</v>
      </c>
      <c r="U46" s="145" t="s">
        <v>308</v>
      </c>
      <c r="V46" s="177" t="e">
        <f t="shared" si="31"/>
        <v>#VALUE!</v>
      </c>
      <c r="W46" s="176">
        <f>IF(U46="∞",0,V46^4/U46)</f>
        <v>0</v>
      </c>
      <c r="X46" s="142" t="str">
        <f t="shared" si="28"/>
        <v/>
      </c>
      <c r="Y46" s="142" t="e">
        <f t="shared" si="29"/>
        <v>#VALUE!</v>
      </c>
      <c r="Z46" s="105"/>
    </row>
    <row r="47" spans="2:26" ht="15" customHeight="1">
      <c r="B47" s="191" t="s">
        <v>309</v>
      </c>
      <c r="C47" s="171" t="s">
        <v>310</v>
      </c>
      <c r="D47" s="172" t="s">
        <v>311</v>
      </c>
      <c r="E47" s="145"/>
      <c r="F47" s="173"/>
      <c r="G47" s="193">
        <f>K37*K38</f>
        <v>5.456901847914968E-7</v>
      </c>
      <c r="H47" s="145"/>
      <c r="I47" s="148"/>
      <c r="J47" s="194"/>
      <c r="K47" s="194" t="e">
        <f ca="1">IF(P38=0,G47,0)</f>
        <v>#N/A</v>
      </c>
      <c r="L47" s="173"/>
      <c r="M47" s="175" t="s">
        <v>312</v>
      </c>
      <c r="N47" s="145"/>
      <c r="O47" s="145" t="s">
        <v>313</v>
      </c>
      <c r="P47" s="167">
        <v>1000</v>
      </c>
      <c r="Q47" s="145"/>
      <c r="R47" s="142">
        <f t="shared" si="25"/>
        <v>0</v>
      </c>
      <c r="S47" s="145" t="e">
        <f t="shared" ca="1" si="26"/>
        <v>#N/A</v>
      </c>
      <c r="T47" s="173" t="s">
        <v>293</v>
      </c>
      <c r="U47" s="145" t="s">
        <v>281</v>
      </c>
      <c r="V47" s="177" t="e">
        <f t="shared" ca="1" si="31"/>
        <v>#N/A</v>
      </c>
      <c r="W47" s="176">
        <f>IF(U47="∞",0,V47^4/U47)</f>
        <v>0</v>
      </c>
      <c r="X47" s="142" t="str">
        <f t="shared" si="28"/>
        <v/>
      </c>
      <c r="Y47" s="142" t="e">
        <f t="shared" ca="1" si="29"/>
        <v>#N/A</v>
      </c>
      <c r="Z47" s="105"/>
    </row>
    <row r="48" spans="2:26" ht="15" customHeight="1">
      <c r="B48" s="191" t="s">
        <v>314</v>
      </c>
      <c r="C48" s="171" t="s">
        <v>315</v>
      </c>
      <c r="D48" s="172" t="s">
        <v>316</v>
      </c>
      <c r="E48" s="145" t="e">
        <f ca="1">E34+E33-(E35*E36+E37*E38)*D3</f>
        <v>#N/A</v>
      </c>
      <c r="F48" s="173" t="s">
        <v>297</v>
      </c>
      <c r="G48" s="183"/>
      <c r="H48" s="184"/>
      <c r="I48" s="184"/>
      <c r="J48" s="184"/>
      <c r="K48" s="184"/>
      <c r="L48" s="184"/>
      <c r="M48" s="184"/>
      <c r="N48" s="184"/>
      <c r="O48" s="184"/>
      <c r="P48" s="184"/>
      <c r="Q48" s="185"/>
      <c r="R48" s="174" t="e">
        <f ca="1">SQRT(SUMSQ(R33:R47))</f>
        <v>#N/A</v>
      </c>
      <c r="S48" s="174" t="e">
        <f ca="1">SQRT(SUMSQ(S33:S47))</f>
        <v>#N/A</v>
      </c>
      <c r="T48" s="173" t="s">
        <v>293</v>
      </c>
      <c r="U48" s="169" t="e">
        <f>IF(W48=0,"∞",ROUNDDOWN(V48^4/W48,0))</f>
        <v>#VALUE!</v>
      </c>
      <c r="V48" s="149" t="e">
        <f ca="1">SQRT(SUMSQ(V33:V47))</f>
        <v>#N/A</v>
      </c>
      <c r="W48" s="165" t="e">
        <f>SUM(W33:W47)</f>
        <v>#VALUE!</v>
      </c>
      <c r="X48" s="149" t="e">
        <f>SQRT(SUMSQ(X33:X47))</f>
        <v>#VALUE!</v>
      </c>
      <c r="Y48" s="149" t="e">
        <f ca="1">SQRT(SUMSQ(Y33:Y47))</f>
        <v>#N/A</v>
      </c>
      <c r="Z48" s="103"/>
    </row>
    <row r="49" spans="2:22" ht="15" customHeight="1">
      <c r="E49" s="104"/>
      <c r="F49" s="104"/>
      <c r="G49" s="104"/>
      <c r="H49" s="104"/>
      <c r="I49" s="104"/>
      <c r="J49" s="104"/>
      <c r="K49" s="104"/>
      <c r="L49" s="104"/>
      <c r="M49" s="104"/>
      <c r="N49" s="104"/>
      <c r="O49" s="104"/>
      <c r="P49" s="104"/>
      <c r="Q49" s="104"/>
      <c r="R49" s="104"/>
      <c r="S49" s="104"/>
      <c r="T49" s="105"/>
    </row>
    <row r="50" spans="2:22" ht="15" customHeight="1">
      <c r="B50" s="156"/>
      <c r="C50" s="533" t="s">
        <v>317</v>
      </c>
      <c r="D50" s="534"/>
      <c r="E50" s="534"/>
      <c r="F50" s="534"/>
      <c r="G50" s="535"/>
      <c r="H50" s="191" t="s">
        <v>318</v>
      </c>
      <c r="I50" s="191" t="s">
        <v>319</v>
      </c>
      <c r="J50" s="536" t="s">
        <v>320</v>
      </c>
      <c r="K50" s="537"/>
      <c r="L50" s="537"/>
      <c r="M50" s="538"/>
      <c r="N50" s="526" t="s">
        <v>321</v>
      </c>
      <c r="O50" s="533" t="s">
        <v>322</v>
      </c>
      <c r="P50" s="534"/>
      <c r="Q50" s="535"/>
      <c r="R50" s="526" t="s">
        <v>323</v>
      </c>
      <c r="S50" s="533" t="s">
        <v>324</v>
      </c>
      <c r="T50" s="534"/>
      <c r="U50" s="535"/>
    </row>
    <row r="51" spans="2:22" ht="15" customHeight="1">
      <c r="B51" s="156"/>
      <c r="C51" s="156">
        <v>1</v>
      </c>
      <c r="D51" s="156">
        <v>2</v>
      </c>
      <c r="E51" s="156" t="s">
        <v>325</v>
      </c>
      <c r="F51" s="156" t="s">
        <v>326</v>
      </c>
      <c r="G51" s="156" t="s">
        <v>327</v>
      </c>
      <c r="H51" s="156" t="s">
        <v>238</v>
      </c>
      <c r="I51" s="156" t="s">
        <v>293</v>
      </c>
      <c r="J51" s="191" t="s">
        <v>328</v>
      </c>
      <c r="K51" s="191" t="s">
        <v>707</v>
      </c>
      <c r="L51" s="191" t="s">
        <v>319</v>
      </c>
      <c r="M51" s="191" t="s">
        <v>318</v>
      </c>
      <c r="N51" s="527"/>
      <c r="O51" s="191" t="s">
        <v>328</v>
      </c>
      <c r="P51" s="191" t="s">
        <v>708</v>
      </c>
      <c r="Q51" s="191" t="s">
        <v>329</v>
      </c>
      <c r="R51" s="527"/>
      <c r="S51" s="287" t="s">
        <v>705</v>
      </c>
      <c r="T51" s="536" t="s">
        <v>706</v>
      </c>
      <c r="U51" s="538"/>
      <c r="V51" s="104"/>
    </row>
    <row r="52" spans="2:22" ht="15" customHeight="1">
      <c r="B52" s="156" t="s">
        <v>330</v>
      </c>
      <c r="C52" s="195" t="e">
        <f ca="1">E63*R48</f>
        <v>#N/A</v>
      </c>
      <c r="D52" s="196" t="e">
        <f ca="1">S48*E63</f>
        <v>#N/A</v>
      </c>
      <c r="E52" s="197">
        <f>D3</f>
        <v>0</v>
      </c>
      <c r="F52" s="106" t="str">
        <f>T48</f>
        <v>μm</v>
      </c>
      <c r="G52" s="121" t="e">
        <f ca="1">SQRT(SUMSQ(C52,D52*E52))</f>
        <v>#N/A</v>
      </c>
      <c r="H52" s="110" t="e">
        <f ca="1">MAX(G52:G53)</f>
        <v>#N/A</v>
      </c>
      <c r="I52" s="119">
        <f>F3</f>
        <v>0</v>
      </c>
      <c r="J52" s="198" t="e">
        <f ca="1">IF(H52&lt;0.00001,6,IF(H52&lt;0.0001,5,IF(H52&lt;0.001,4,IF(H52&lt;0.01,3,IF(H52&lt;0.1,2,IF(H52&lt;1,1,IF(H52&lt;10,0,IF(H52&lt;100,-1,-2))))))))+K53</f>
        <v>#N/A</v>
      </c>
      <c r="K52" s="198" t="e">
        <f ca="1">J52+3</f>
        <v>#N/A</v>
      </c>
      <c r="L52" s="145">
        <f>LEN(I52)-IFERROR(FIND(".",I52),0)</f>
        <v>1</v>
      </c>
      <c r="M52" s="176" t="e">
        <f ca="1">J52</f>
        <v>#N/A</v>
      </c>
      <c r="N52" s="199" t="e">
        <f ca="1">ABS((H52-ROUND(H52,J52))/H52*100)</f>
        <v>#N/A</v>
      </c>
      <c r="O52" s="145" t="e">
        <f ca="1">OFFSET($P$56,MATCH(J52,$O$57:$O$66,0),0)</f>
        <v>#N/A</v>
      </c>
      <c r="P52" s="145" t="e">
        <f ca="1">OFFSET($P$56,MATCH(K52,$O$57:$O$66,0),0)</f>
        <v>#N/A</v>
      </c>
      <c r="Q52" s="145" t="str">
        <f ca="1">OFFSET($P$56,MATCH(L52,$O$57:$O$66,0),0)</f>
        <v>0.0</v>
      </c>
      <c r="R52" s="107" t="e">
        <f ca="1">IF(H52=G52,0,1)</f>
        <v>#N/A</v>
      </c>
      <c r="S52" s="111" t="e">
        <f ca="1">TEXT(IF(N52&gt;5,ROUNDUP(H52,M52),ROUND(H52,M52)),O52)</f>
        <v>#N/A</v>
      </c>
      <c r="T52" s="111" t="e">
        <f ca="1">TEXT(ROUND(IF(G52=H52,C52,C53),J52),OFFSET(P56,MATCH(J52,O57:O66,0),0))</f>
        <v>#N/A</v>
      </c>
      <c r="U52" s="111" t="e">
        <f ca="1">TEXT(ROUNDUP(IF(G52=H52,D52,D53),3),OFFSET(P56,MATCH(3,O57:O66,0),0))</f>
        <v>#N/A</v>
      </c>
    </row>
    <row r="53" spans="2:22" ht="15" customHeight="1">
      <c r="B53" s="156" t="s">
        <v>331</v>
      </c>
      <c r="C53" s="135" t="str">
        <f ca="1">OFFSET(Length_7!C3,COUNTIF($B9:$B28,TRUE),0)</f>
        <v>CMC_1</v>
      </c>
      <c r="D53" s="135" t="str">
        <f ca="1">OFFSET(Length_7!D3,COUNTIF($B9:$B28,TRUE),0)</f>
        <v>CMC_2</v>
      </c>
      <c r="E53" s="135">
        <f>D3</f>
        <v>0</v>
      </c>
      <c r="F53" s="135" t="str">
        <f ca="1">OFFSET(Length_7!E3,COUNTIF($B9:$B28,TRUE),0)</f>
        <v>CMC_UNIT</v>
      </c>
      <c r="G53" s="121" t="e">
        <f ca="1">SQRT(SUMSQ(C53,D53*E53))</f>
        <v>#VALUE!</v>
      </c>
      <c r="I53" s="104"/>
      <c r="J53" s="191" t="s">
        <v>332</v>
      </c>
      <c r="K53" s="167">
        <v>1</v>
      </c>
      <c r="L53" s="191" t="s">
        <v>333</v>
      </c>
      <c r="M53" s="145" t="b">
        <f>IF(O53=TRUE,FALSE,기본정보!$A$52)</f>
        <v>0</v>
      </c>
      <c r="N53" s="191" t="s">
        <v>334</v>
      </c>
      <c r="O53" s="145" t="b">
        <f>기본정보!$A$46=0</f>
        <v>1</v>
      </c>
      <c r="U53" s="102"/>
    </row>
    <row r="54" spans="2:22" ht="15" customHeight="1">
      <c r="B54" s="103"/>
      <c r="C54" s="103"/>
      <c r="D54" s="103"/>
      <c r="R54" s="102"/>
      <c r="S54" s="102"/>
      <c r="T54" s="102"/>
      <c r="U54" s="102"/>
    </row>
    <row r="55" spans="2:22" ht="15" customHeight="1">
      <c r="B55" s="108" t="s">
        <v>335</v>
      </c>
      <c r="C55" s="103"/>
      <c r="D55" s="103"/>
      <c r="H55" s="102"/>
      <c r="I55" s="171" t="s">
        <v>50</v>
      </c>
      <c r="J55" s="171" t="s">
        <v>336</v>
      </c>
      <c r="O55" s="189" t="s">
        <v>337</v>
      </c>
      <c r="P55" s="189" t="s">
        <v>338</v>
      </c>
      <c r="R55" s="102"/>
      <c r="S55" s="102"/>
      <c r="T55" s="102"/>
      <c r="U55" s="102"/>
    </row>
    <row r="56" spans="2:22" ht="15" customHeight="1">
      <c r="B56" s="524" t="s">
        <v>339</v>
      </c>
      <c r="C56" s="525"/>
      <c r="D56" s="526" t="s">
        <v>340</v>
      </c>
      <c r="E56" s="191" t="s">
        <v>251</v>
      </c>
      <c r="F56" s="191" t="s">
        <v>252</v>
      </c>
      <c r="G56" s="191" t="s">
        <v>341</v>
      </c>
      <c r="H56" s="102"/>
      <c r="I56" s="171"/>
      <c r="J56" s="171">
        <v>95.45</v>
      </c>
      <c r="O56" s="192" t="s">
        <v>342</v>
      </c>
      <c r="P56" s="192" t="s">
        <v>343</v>
      </c>
      <c r="Q56" s="102"/>
      <c r="R56" s="102"/>
      <c r="S56" s="102"/>
      <c r="T56" s="102"/>
      <c r="U56" s="102"/>
    </row>
    <row r="57" spans="2:22" ht="15" customHeight="1">
      <c r="B57" s="156" t="s">
        <v>344</v>
      </c>
      <c r="C57" s="170" t="s">
        <v>345</v>
      </c>
      <c r="D57" s="527"/>
      <c r="E57" s="190" t="e">
        <f>X48</f>
        <v>#VALUE!</v>
      </c>
      <c r="F57" s="190" t="e">
        <f ca="1">Y48</f>
        <v>#N/A</v>
      </c>
      <c r="G57" s="143" t="e">
        <f ca="1">F57/E57</f>
        <v>#N/A</v>
      </c>
      <c r="H57" s="102"/>
      <c r="I57" s="145">
        <v>1</v>
      </c>
      <c r="J57" s="145">
        <v>13.97</v>
      </c>
      <c r="O57" s="181">
        <v>0</v>
      </c>
      <c r="P57" s="182" t="s">
        <v>346</v>
      </c>
      <c r="Q57" s="102"/>
      <c r="R57" s="102"/>
      <c r="S57" s="102"/>
      <c r="T57" s="102"/>
      <c r="U57" s="102"/>
    </row>
    <row r="58" spans="2:22" ht="15" customHeight="1">
      <c r="B58" s="145">
        <v>1</v>
      </c>
      <c r="C58" s="142">
        <f>IFERROR(LARGE(X33:X47,B58),0)</f>
        <v>0</v>
      </c>
      <c r="D58" s="191" t="s">
        <v>347</v>
      </c>
      <c r="E58" s="528">
        <f>SQRT(SUMSQ(C60:C69,Z33:Z47))</f>
        <v>0</v>
      </c>
      <c r="F58" s="528"/>
      <c r="G58" s="529" t="e">
        <f>E58/SQRT(SUMSQ(E59,F59))</f>
        <v>#DIV/0!</v>
      </c>
      <c r="H58" s="102"/>
      <c r="I58" s="145">
        <v>2</v>
      </c>
      <c r="J58" s="145">
        <v>4.53</v>
      </c>
      <c r="O58" s="181">
        <v>1</v>
      </c>
      <c r="P58" s="182" t="s">
        <v>348</v>
      </c>
      <c r="Q58" s="102"/>
      <c r="R58" s="102"/>
      <c r="S58" s="102"/>
      <c r="T58" s="102"/>
      <c r="U58" s="102"/>
    </row>
    <row r="59" spans="2:22" ht="15" customHeight="1">
      <c r="B59" s="145">
        <v>2</v>
      </c>
      <c r="C59" s="142">
        <f>IFERROR(LARGE(X33:X47,B59),0)</f>
        <v>0</v>
      </c>
      <c r="D59" s="191" t="s">
        <v>349</v>
      </c>
      <c r="E59" s="190">
        <f>C58</f>
        <v>0</v>
      </c>
      <c r="F59" s="190">
        <f>C59</f>
        <v>0</v>
      </c>
      <c r="G59" s="530"/>
      <c r="H59" s="102"/>
      <c r="I59" s="145">
        <v>3</v>
      </c>
      <c r="J59" s="145">
        <v>3.31</v>
      </c>
      <c r="O59" s="181">
        <v>2</v>
      </c>
      <c r="P59" s="182" t="s">
        <v>350</v>
      </c>
      <c r="Q59" s="102"/>
      <c r="R59" s="102"/>
      <c r="S59" s="102"/>
      <c r="T59" s="102"/>
      <c r="U59" s="102"/>
    </row>
    <row r="60" spans="2:22" ht="15" customHeight="1">
      <c r="B60" s="145">
        <v>3</v>
      </c>
      <c r="C60" s="174">
        <f t="shared" ref="C60:C69" si="32">IFERROR(LARGE(X$33:X$47,B60),0)</f>
        <v>0</v>
      </c>
      <c r="D60" s="526" t="s">
        <v>351</v>
      </c>
      <c r="E60" s="144" t="s">
        <v>352</v>
      </c>
      <c r="F60" s="144" t="s">
        <v>353</v>
      </c>
      <c r="G60" s="144" t="s">
        <v>354</v>
      </c>
      <c r="H60" s="102"/>
      <c r="I60" s="145">
        <v>4</v>
      </c>
      <c r="J60" s="145">
        <v>2.87</v>
      </c>
      <c r="O60" s="181">
        <v>3</v>
      </c>
      <c r="P60" s="182" t="s">
        <v>355</v>
      </c>
      <c r="Q60" s="102"/>
      <c r="R60" s="102"/>
      <c r="S60" s="102"/>
      <c r="T60" s="102"/>
      <c r="U60" s="102"/>
    </row>
    <row r="61" spans="2:22" ht="15" customHeight="1">
      <c r="B61" s="145">
        <v>4</v>
      </c>
      <c r="C61" s="174">
        <f t="shared" si="32"/>
        <v>0</v>
      </c>
      <c r="D61" s="527"/>
      <c r="E61" s="145">
        <f ca="1">OFFSET(G32,MATCH(E59,X33:X47,0),0)/IF(OFFSET(H32,MATCH(E59,X33:X47,0),0)="",1,OFFSET(H32,MATCH(E59,X33:X47,0),0))</f>
        <v>0</v>
      </c>
      <c r="F61" s="145">
        <f ca="1">OFFSET(G32,MATCH(F59,X33:X47,0),0)/IF(OFFSET(H32,MATCH(F59,X33:X47,0),0)="",1,OFFSET(H32,MATCH(F59,X33:X47,0),0))</f>
        <v>0</v>
      </c>
      <c r="G61" s="190" t="e">
        <f ca="1">ABS(E61-F61)/(E61+F61)</f>
        <v>#DIV/0!</v>
      </c>
      <c r="H61" s="102"/>
      <c r="I61" s="145">
        <v>5</v>
      </c>
      <c r="J61" s="145">
        <v>2.65</v>
      </c>
      <c r="O61" s="181">
        <v>4</v>
      </c>
      <c r="P61" s="182" t="s">
        <v>356</v>
      </c>
      <c r="Q61" s="102"/>
      <c r="R61" s="102"/>
      <c r="S61" s="102"/>
      <c r="T61" s="102"/>
      <c r="U61" s="102"/>
    </row>
    <row r="62" spans="2:22" ht="15" customHeight="1">
      <c r="B62" s="145">
        <v>5</v>
      </c>
      <c r="C62" s="174">
        <f t="shared" si="32"/>
        <v>0</v>
      </c>
      <c r="D62" s="191" t="s">
        <v>246</v>
      </c>
      <c r="E62" s="118" t="e">
        <f ca="1">IF(AND(G57&lt;0.3,G58&lt;0.3),"사다리꼴","정규")</f>
        <v>#N/A</v>
      </c>
      <c r="H62" s="102"/>
      <c r="I62" s="145">
        <v>6</v>
      </c>
      <c r="J62" s="145">
        <v>2.52</v>
      </c>
      <c r="O62" s="181">
        <v>5</v>
      </c>
      <c r="P62" s="182" t="s">
        <v>357</v>
      </c>
      <c r="Q62" s="102"/>
      <c r="R62" s="102"/>
      <c r="S62" s="102"/>
      <c r="T62" s="102"/>
      <c r="U62" s="102"/>
    </row>
    <row r="63" spans="2:22" ht="15" customHeight="1">
      <c r="B63" s="145">
        <v>6</v>
      </c>
      <c r="C63" s="174">
        <f t="shared" si="32"/>
        <v>0</v>
      </c>
      <c r="D63" s="191" t="s">
        <v>358</v>
      </c>
      <c r="E63" s="145" t="e">
        <f ca="1">IF(E62="정규",IF(OR(U48="∞",U48&gt;=10),2,OFFSET(J56,MATCH(U48,I57:I66,0),0)),ROUND((1-SQRT((1-0.95)*(1-G61^2)))/SQRT((1+G61^2)/6),2))</f>
        <v>#N/A</v>
      </c>
      <c r="H63" s="102"/>
      <c r="I63" s="145">
        <v>7</v>
      </c>
      <c r="J63" s="145">
        <v>2.4300000000000002</v>
      </c>
      <c r="O63" s="181">
        <v>6</v>
      </c>
      <c r="P63" s="182" t="s">
        <v>359</v>
      </c>
      <c r="Q63" s="102"/>
      <c r="R63" s="102"/>
      <c r="S63" s="102"/>
      <c r="T63" s="102"/>
      <c r="U63" s="102"/>
    </row>
    <row r="64" spans="2:22" ht="15" customHeight="1">
      <c r="B64" s="145">
        <v>7</v>
      </c>
      <c r="C64" s="174">
        <f t="shared" si="32"/>
        <v>0</v>
      </c>
      <c r="D64" s="103"/>
      <c r="H64" s="102"/>
      <c r="I64" s="145">
        <v>8</v>
      </c>
      <c r="J64" s="145">
        <v>2.37</v>
      </c>
      <c r="O64" s="181">
        <v>7</v>
      </c>
      <c r="P64" s="182" t="s">
        <v>360</v>
      </c>
      <c r="Q64" s="102"/>
      <c r="R64" s="102"/>
      <c r="S64" s="102"/>
      <c r="T64" s="102"/>
      <c r="U64" s="102"/>
    </row>
    <row r="65" spans="2:28" ht="15" customHeight="1">
      <c r="B65" s="145">
        <v>8</v>
      </c>
      <c r="C65" s="174">
        <f t="shared" si="32"/>
        <v>0</v>
      </c>
      <c r="D65" s="103"/>
      <c r="H65" s="102"/>
      <c r="I65" s="145">
        <v>9</v>
      </c>
      <c r="J65" s="145">
        <v>2.3199999999999998</v>
      </c>
      <c r="O65" s="181">
        <v>8</v>
      </c>
      <c r="P65" s="182" t="s">
        <v>361</v>
      </c>
      <c r="Q65" s="102"/>
      <c r="R65" s="102"/>
      <c r="S65" s="102"/>
      <c r="T65" s="102"/>
      <c r="U65" s="102"/>
    </row>
    <row r="66" spans="2:28" ht="15" customHeight="1">
      <c r="B66" s="145">
        <v>9</v>
      </c>
      <c r="C66" s="174">
        <f t="shared" si="32"/>
        <v>0</v>
      </c>
      <c r="D66" s="103"/>
      <c r="H66" s="102"/>
      <c r="I66" s="145" t="s">
        <v>51</v>
      </c>
      <c r="J66" s="145">
        <v>2</v>
      </c>
      <c r="O66" s="181">
        <v>9</v>
      </c>
      <c r="P66" s="182" t="s">
        <v>362</v>
      </c>
      <c r="Q66" s="102"/>
      <c r="R66" s="102"/>
      <c r="S66" s="102"/>
      <c r="T66" s="102"/>
      <c r="U66" s="102"/>
    </row>
    <row r="67" spans="2:28" ht="15" customHeight="1">
      <c r="B67" s="145">
        <v>10</v>
      </c>
      <c r="C67" s="174">
        <f t="shared" si="32"/>
        <v>0</v>
      </c>
      <c r="D67" s="103"/>
      <c r="H67" s="102"/>
      <c r="I67" s="100"/>
      <c r="J67" s="100"/>
      <c r="O67" s="101"/>
      <c r="P67" s="186"/>
      <c r="Q67" s="102"/>
      <c r="R67" s="102"/>
      <c r="S67" s="102"/>
      <c r="T67" s="102"/>
      <c r="U67" s="102"/>
    </row>
    <row r="68" spans="2:28" ht="15" customHeight="1">
      <c r="B68" s="145">
        <v>11</v>
      </c>
      <c r="C68" s="174">
        <f t="shared" si="32"/>
        <v>0</v>
      </c>
      <c r="D68" s="103"/>
      <c r="H68" s="102"/>
      <c r="I68" s="100"/>
      <c r="J68" s="100"/>
      <c r="O68" s="101"/>
      <c r="P68" s="186"/>
      <c r="Q68" s="102"/>
      <c r="R68" s="102"/>
      <c r="S68" s="102"/>
      <c r="T68" s="102"/>
      <c r="U68" s="102"/>
    </row>
    <row r="69" spans="2:28" ht="15" customHeight="1">
      <c r="B69" s="145">
        <v>12</v>
      </c>
      <c r="C69" s="174">
        <f t="shared" si="32"/>
        <v>0</v>
      </c>
      <c r="D69" s="103"/>
      <c r="H69" s="102"/>
      <c r="I69" s="100"/>
      <c r="J69" s="100"/>
      <c r="O69" s="101"/>
      <c r="P69" s="186"/>
      <c r="Q69" s="102"/>
      <c r="R69" s="102"/>
      <c r="S69" s="102"/>
      <c r="T69" s="102"/>
      <c r="U69" s="102"/>
    </row>
    <row r="70" spans="2:28" ht="15" customHeight="1">
      <c r="B70" s="103"/>
      <c r="C70" s="103"/>
      <c r="D70" s="103"/>
      <c r="Q70" s="102"/>
      <c r="R70" s="102"/>
      <c r="S70" s="102"/>
      <c r="T70" s="102"/>
      <c r="U70" s="102"/>
    </row>
    <row r="71" spans="2:28" ht="15" customHeight="1">
      <c r="B71" s="113" t="s">
        <v>363</v>
      </c>
      <c r="C71" s="114"/>
      <c r="D71" s="114"/>
      <c r="E71" s="114"/>
      <c r="F71" s="114"/>
      <c r="G71" s="114"/>
      <c r="H71" s="114"/>
      <c r="I71" s="114"/>
      <c r="J71" s="114"/>
      <c r="K71" s="114"/>
      <c r="L71" s="114"/>
      <c r="M71" s="114"/>
      <c r="N71" s="200"/>
      <c r="O71" s="114"/>
      <c r="P71" s="105"/>
      <c r="Q71" s="102"/>
      <c r="T71" s="105"/>
      <c r="U71" s="105"/>
      <c r="V71" s="105"/>
      <c r="W71" s="105"/>
    </row>
    <row r="72" spans="2:28" ht="15" customHeight="1">
      <c r="B72" s="114"/>
      <c r="C72" s="531" t="s">
        <v>709</v>
      </c>
      <c r="D72" s="532"/>
      <c r="E72" s="289" t="s">
        <v>710</v>
      </c>
      <c r="F72" s="289" t="s">
        <v>711</v>
      </c>
      <c r="G72" s="114"/>
      <c r="H72" s="289" t="s">
        <v>712</v>
      </c>
      <c r="I72" s="289" t="s">
        <v>710</v>
      </c>
      <c r="J72" s="289" t="s">
        <v>713</v>
      </c>
      <c r="K72" s="289" t="s">
        <v>714</v>
      </c>
      <c r="L72" s="290" t="s">
        <v>715</v>
      </c>
      <c r="M72" s="289" t="s">
        <v>710</v>
      </c>
      <c r="N72" s="290" t="s">
        <v>711</v>
      </c>
      <c r="O72" s="289" t="s">
        <v>716</v>
      </c>
      <c r="P72" s="289" t="s">
        <v>717</v>
      </c>
      <c r="R72" s="104"/>
      <c r="S72" s="102"/>
      <c r="V72" s="105"/>
      <c r="W72" s="105"/>
    </row>
    <row r="73" spans="2:28" ht="15" customHeight="1">
      <c r="B73" s="114"/>
      <c r="C73" s="291">
        <v>300</v>
      </c>
      <c r="D73" s="292" t="s">
        <v>722</v>
      </c>
      <c r="E73" s="293">
        <v>100500</v>
      </c>
      <c r="F73" s="294" t="s">
        <v>718</v>
      </c>
      <c r="G73" s="114"/>
      <c r="H73" s="289">
        <f>D3</f>
        <v>0</v>
      </c>
      <c r="I73" s="303">
        <f>IF(H73&lt;=300,E73,E74)</f>
        <v>100500</v>
      </c>
      <c r="J73" s="289">
        <f>MAX(H73-C74,0)</f>
        <v>0</v>
      </c>
      <c r="K73" s="289">
        <f>ROUNDDOWN(J73/F74,0)</f>
        <v>0</v>
      </c>
      <c r="L73" s="289" t="b">
        <f>E3="inch"</f>
        <v>0</v>
      </c>
      <c r="M73" s="293">
        <f>I73*IF(L73=TRUE,1.8,1)</f>
        <v>100500</v>
      </c>
      <c r="N73" s="295">
        <f>M73*(K73*F76)</f>
        <v>0</v>
      </c>
      <c r="O73" s="296">
        <f>SUM(M73:N73)</f>
        <v>100500</v>
      </c>
      <c r="P73" s="521">
        <f>SUM(O73:O75)</f>
        <v>100500</v>
      </c>
      <c r="R73" s="104"/>
      <c r="S73" s="102"/>
    </row>
    <row r="74" spans="2:28" ht="15" customHeight="1">
      <c r="B74" s="114"/>
      <c r="C74" s="291">
        <v>300</v>
      </c>
      <c r="D74" s="292" t="s">
        <v>723</v>
      </c>
      <c r="E74" s="293">
        <v>114200</v>
      </c>
      <c r="F74" s="134">
        <v>100</v>
      </c>
      <c r="G74" s="114"/>
      <c r="H74" s="289"/>
      <c r="I74" s="289"/>
      <c r="J74" s="289"/>
      <c r="K74" s="289"/>
      <c r="L74" s="289"/>
      <c r="M74" s="293"/>
      <c r="N74" s="295"/>
      <c r="O74" s="296"/>
      <c r="P74" s="522"/>
      <c r="R74" s="104"/>
      <c r="S74" s="102"/>
    </row>
    <row r="75" spans="2:28" ht="15" customHeight="1">
      <c r="B75" s="114"/>
      <c r="C75" s="297"/>
      <c r="D75" s="292"/>
      <c r="E75" s="293"/>
      <c r="F75" s="298" t="s">
        <v>719</v>
      </c>
      <c r="G75" s="114"/>
      <c r="H75" s="289"/>
      <c r="I75" s="289"/>
      <c r="J75" s="289"/>
      <c r="K75" s="289"/>
      <c r="L75" s="289"/>
      <c r="M75" s="293"/>
      <c r="N75" s="299"/>
      <c r="O75" s="296"/>
      <c r="P75" s="523"/>
      <c r="R75" s="102"/>
      <c r="S75" s="102"/>
    </row>
    <row r="76" spans="2:28" ht="15" customHeight="1">
      <c r="B76" s="114"/>
      <c r="C76" s="297"/>
      <c r="D76" s="292"/>
      <c r="E76" s="293"/>
      <c r="F76" s="300">
        <v>0.2</v>
      </c>
      <c r="G76" s="114"/>
      <c r="H76" s="114"/>
      <c r="I76" s="114"/>
      <c r="J76" s="114"/>
      <c r="K76" s="114"/>
      <c r="L76" s="114"/>
      <c r="M76" s="114"/>
      <c r="N76" s="115"/>
      <c r="O76" s="114"/>
      <c r="P76" s="102"/>
      <c r="T76" s="102"/>
      <c r="U76" s="102"/>
    </row>
    <row r="77" spans="2:28" ht="15" customHeight="1">
      <c r="B77" s="114"/>
      <c r="C77" s="297"/>
      <c r="D77" s="292"/>
      <c r="E77" s="293"/>
      <c r="F77" s="298" t="s">
        <v>720</v>
      </c>
      <c r="G77" s="114"/>
      <c r="H77" s="116" t="s">
        <v>721</v>
      </c>
      <c r="I77" s="114"/>
      <c r="J77" s="114"/>
      <c r="K77" s="114"/>
      <c r="L77" s="114"/>
      <c r="M77" s="114"/>
      <c r="N77" s="114"/>
      <c r="O77" s="114"/>
      <c r="P77" s="102"/>
      <c r="R77" s="105"/>
      <c r="S77" s="105"/>
      <c r="T77" s="102"/>
      <c r="U77" s="102"/>
      <c r="Z77" s="103"/>
      <c r="AA77" s="103"/>
      <c r="AB77" s="103"/>
    </row>
    <row r="78" spans="2:28" ht="15" customHeight="1">
      <c r="B78" s="114"/>
      <c r="C78" s="297"/>
      <c r="D78" s="292"/>
      <c r="E78" s="293"/>
      <c r="F78" s="298"/>
      <c r="G78" s="114"/>
      <c r="H78" s="117"/>
      <c r="L78" s="114"/>
      <c r="M78" s="114"/>
      <c r="N78" s="114"/>
      <c r="O78" s="114"/>
      <c r="P78" s="102"/>
      <c r="Q78" s="114"/>
      <c r="R78" s="114"/>
      <c r="X78" s="103"/>
    </row>
    <row r="79" spans="2:28" ht="15" customHeight="1">
      <c r="B79" s="114"/>
      <c r="C79" s="297"/>
      <c r="D79" s="301"/>
      <c r="E79" s="289"/>
      <c r="F79" s="302"/>
      <c r="G79" s="114"/>
      <c r="H79" s="117"/>
      <c r="L79" s="114"/>
      <c r="M79" s="114"/>
      <c r="N79" s="114"/>
      <c r="O79" s="114"/>
      <c r="P79" s="102"/>
      <c r="Q79" s="114"/>
      <c r="R79" s="114"/>
      <c r="X79" s="103"/>
    </row>
    <row r="80" spans="2:28" ht="18" customHeight="1">
      <c r="B80" s="103"/>
      <c r="C80" s="103"/>
      <c r="D80" s="103"/>
      <c r="I80" s="117"/>
      <c r="J80" s="114"/>
      <c r="K80" s="114"/>
      <c r="L80" s="114"/>
      <c r="U80" s="102"/>
      <c r="V80" s="103"/>
      <c r="W80" s="103"/>
      <c r="Z80" s="103"/>
      <c r="AA80" s="103"/>
      <c r="AB80" s="103"/>
    </row>
    <row r="81" spans="2:28" ht="18" customHeight="1">
      <c r="B81" s="103"/>
      <c r="C81" s="103"/>
      <c r="D81" s="103"/>
      <c r="J81" s="61"/>
      <c r="K81" s="61"/>
      <c r="L81" s="61"/>
      <c r="Q81" s="114"/>
      <c r="R81" s="114"/>
      <c r="Z81" s="103"/>
      <c r="AA81" s="103"/>
      <c r="AB81" s="103"/>
    </row>
    <row r="82" spans="2:28" ht="18" customHeight="1">
      <c r="B82" s="103"/>
      <c r="C82" s="103"/>
      <c r="D82" s="103"/>
      <c r="I82" s="117"/>
      <c r="J82" s="105"/>
      <c r="K82" s="105"/>
      <c r="Q82" s="114"/>
      <c r="R82" s="114"/>
      <c r="Z82" s="103"/>
      <c r="AA82" s="103"/>
      <c r="AB82" s="103"/>
    </row>
    <row r="83" spans="2:28" ht="18" customHeight="1">
      <c r="B83" s="103"/>
      <c r="C83" s="103"/>
      <c r="D83" s="103"/>
      <c r="I83" s="117"/>
      <c r="J83" s="105"/>
      <c r="K83" s="105"/>
      <c r="P83" s="102"/>
      <c r="Q83" s="114"/>
      <c r="R83" s="114"/>
      <c r="Z83" s="103"/>
      <c r="AA83" s="103"/>
      <c r="AB83" s="103"/>
    </row>
    <row r="84" spans="2:28" ht="18" customHeight="1">
      <c r="B84" s="103"/>
      <c r="C84" s="103"/>
      <c r="D84" s="103"/>
      <c r="J84" s="105"/>
      <c r="K84" s="105"/>
      <c r="P84" s="102"/>
      <c r="Q84" s="114"/>
      <c r="R84" s="114"/>
      <c r="Z84" s="103"/>
      <c r="AA84" s="103"/>
      <c r="AB84" s="103"/>
    </row>
    <row r="85" spans="2:28" ht="18" customHeight="1">
      <c r="B85" s="103"/>
      <c r="C85" s="103"/>
      <c r="D85" s="103"/>
      <c r="I85" s="117"/>
      <c r="P85" s="102"/>
      <c r="Q85" s="114"/>
      <c r="R85" s="114"/>
      <c r="Z85" s="103"/>
      <c r="AA85" s="103"/>
      <c r="AB85" s="103"/>
    </row>
    <row r="86" spans="2:28" ht="18" customHeight="1">
      <c r="P86" s="102"/>
      <c r="Q86" s="102"/>
      <c r="R86" s="102"/>
      <c r="Z86" s="103"/>
      <c r="AA86" s="103"/>
      <c r="AB86" s="103"/>
    </row>
    <row r="87" spans="2:28" ht="18" customHeight="1">
      <c r="Q87" s="102"/>
      <c r="R87" s="102"/>
      <c r="Z87" s="103"/>
      <c r="AA87" s="103"/>
      <c r="AB87" s="103"/>
    </row>
    <row r="88" spans="2:28" ht="18" customHeight="1">
      <c r="Q88" s="102"/>
      <c r="R88" s="102"/>
      <c r="Z88" s="103"/>
      <c r="AA88" s="103"/>
      <c r="AB88" s="103"/>
    </row>
    <row r="89" spans="2:28" ht="18" customHeight="1">
      <c r="Q89" s="102"/>
      <c r="R89" s="102"/>
      <c r="Y89" s="103"/>
      <c r="Z89" s="103"/>
      <c r="AA89" s="103"/>
      <c r="AB89" s="103"/>
    </row>
    <row r="90" spans="2:28" ht="18" customHeight="1">
      <c r="Q90" s="102"/>
      <c r="R90" s="102"/>
      <c r="Y90" s="103"/>
    </row>
    <row r="91" spans="2:28" ht="18" customHeight="1">
      <c r="Q91" s="102"/>
      <c r="R91" s="102"/>
    </row>
    <row r="92" spans="2:28" ht="18" customHeight="1">
      <c r="Q92" s="102"/>
      <c r="R92" s="102"/>
    </row>
  </sheetData>
  <mergeCells count="40">
    <mergeCell ref="S50:U50"/>
    <mergeCell ref="T51:U51"/>
    <mergeCell ref="N32:O32"/>
    <mergeCell ref="P32:Q32"/>
    <mergeCell ref="R32:T32"/>
    <mergeCell ref="B31:B32"/>
    <mergeCell ref="C31:C32"/>
    <mergeCell ref="D31:D32"/>
    <mergeCell ref="Z6:AA6"/>
    <mergeCell ref="AC6:AD6"/>
    <mergeCell ref="B6:B8"/>
    <mergeCell ref="X31:Y31"/>
    <mergeCell ref="E6:J6"/>
    <mergeCell ref="G31:L31"/>
    <mergeCell ref="N31:Q31"/>
    <mergeCell ref="R31:T31"/>
    <mergeCell ref="J32:L32"/>
    <mergeCell ref="AE6:AL6"/>
    <mergeCell ref="C50:G50"/>
    <mergeCell ref="J50:M50"/>
    <mergeCell ref="N50:N51"/>
    <mergeCell ref="O50:Q50"/>
    <mergeCell ref="R50:R51"/>
    <mergeCell ref="K6:M6"/>
    <mergeCell ref="N6:N7"/>
    <mergeCell ref="Q6:S6"/>
    <mergeCell ref="W31:W32"/>
    <mergeCell ref="E31:E32"/>
    <mergeCell ref="F31:F32"/>
    <mergeCell ref="V31:V32"/>
    <mergeCell ref="AG7:AH7"/>
    <mergeCell ref="D6:D8"/>
    <mergeCell ref="C6:C7"/>
    <mergeCell ref="P73:P75"/>
    <mergeCell ref="B56:C56"/>
    <mergeCell ref="D56:D57"/>
    <mergeCell ref="E58:F58"/>
    <mergeCell ref="G58:G59"/>
    <mergeCell ref="D60:D61"/>
    <mergeCell ref="C72:D72"/>
  </mergeCells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11</vt:i4>
      </vt:variant>
      <vt:variant>
        <vt:lpstr>이름이 지정된 범위</vt:lpstr>
      </vt:variant>
      <vt:variant>
        <vt:i4>20</vt:i4>
      </vt:variant>
    </vt:vector>
  </HeadingPairs>
  <TitlesOfParts>
    <vt:vector size="31" baseType="lpstr">
      <vt:lpstr>기본정보</vt:lpstr>
      <vt:lpstr>교정결과</vt:lpstr>
      <vt:lpstr>교정결과-E</vt:lpstr>
      <vt:lpstr>교정결과-HY</vt:lpstr>
      <vt:lpstr>판정결과</vt:lpstr>
      <vt:lpstr>부록</vt:lpstr>
      <vt:lpstr>RAWDATA</vt:lpstr>
      <vt:lpstr>측정불확도추정보고서</vt:lpstr>
      <vt:lpstr>Calcu</vt:lpstr>
      <vt:lpstr>STD_Data</vt:lpstr>
      <vt:lpstr>Length_7</vt:lpstr>
      <vt:lpstr>'교정결과-E'!B_Tag</vt:lpstr>
      <vt:lpstr>'교정결과-HY'!B_Tag</vt:lpstr>
      <vt:lpstr>B_Tag</vt:lpstr>
      <vt:lpstr>판정결과!B_Tag_2</vt:lpstr>
      <vt:lpstr>부록!B_Tag_3</vt:lpstr>
      <vt:lpstr>Length_7!Length_7_CMC</vt:lpstr>
      <vt:lpstr>Length_7!Length_7_Condition</vt:lpstr>
      <vt:lpstr>Length_7_Resolution</vt:lpstr>
      <vt:lpstr>Length_7!Length_7_Result</vt:lpstr>
      <vt:lpstr>Length_7_Result2</vt:lpstr>
      <vt:lpstr>Length_7!Length_7_Spec</vt:lpstr>
      <vt:lpstr>Length_7!Length_7_STD1</vt:lpstr>
      <vt:lpstr>Length_7_STD2</vt:lpstr>
      <vt:lpstr>Length_7_STD3</vt:lpstr>
      <vt:lpstr>기본정보!Print_Area</vt:lpstr>
      <vt:lpstr>교정결과!Print_Titles</vt:lpstr>
      <vt:lpstr>'교정결과-E'!Print_Titles</vt:lpstr>
      <vt:lpstr>'교정결과-HY'!Print_Titles</vt:lpstr>
      <vt:lpstr>부록!Print_Titles</vt:lpstr>
      <vt:lpstr>판정결과!Print_Titles</vt:lpstr>
    </vt:vector>
  </TitlesOfParts>
  <Company>HCT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노트북-5</dc:creator>
  <cp:lastModifiedBy>Jey Jey</cp:lastModifiedBy>
  <cp:lastPrinted>2021-09-29T05:08:41Z</cp:lastPrinted>
  <dcterms:created xsi:type="dcterms:W3CDTF">2004-11-10T00:11:43Z</dcterms:created>
  <dcterms:modified xsi:type="dcterms:W3CDTF">2021-09-29T05:09:17Z</dcterms:modified>
</cp:coreProperties>
</file>