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</sheets>
  <definedNames>
    <definedName name="_xlnm._FilterDatabase" localSheetId="0" hidden="1">기본정보!#REF!</definedName>
    <definedName name="B_Tag" localSheetId="2">'교정결과-E'!$C$42:$H$42</definedName>
    <definedName name="B_Tag" localSheetId="3">'교정결과-HY'!$B$57:$Q$57</definedName>
    <definedName name="B_Tag">교정결과!$C$41:$I$41</definedName>
    <definedName name="B_Tag_2" localSheetId="4">판정결과!$C$49:$I$49</definedName>
    <definedName name="B_Tag_3" localSheetId="5">부록!$B$11:$K$11</definedName>
    <definedName name="Length_7_CMC" localSheetId="10">Length_7!$D$4:$F$23</definedName>
    <definedName name="Length_7_Condition" localSheetId="10">Length_7!$A$4:$C$23</definedName>
    <definedName name="Length_7_Resolution">Length_7!$G$4:$J$23</definedName>
    <definedName name="Length_7_Result" localSheetId="10">Length_7!$N$4:$R$23</definedName>
    <definedName name="Length_7_Result2">Length_7!$S$4:$T$23</definedName>
    <definedName name="Length_7_Spec" localSheetId="10">Length_7!$K$4:$M$23</definedName>
    <definedName name="Length_7_STD1" localSheetId="10">Length_7!$A$27</definedName>
    <definedName name="Length_7_STD2">Length_7!$A$50</definedName>
    <definedName name="Length_7_STD3">Length_7!$A$73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4" i="3" l="1"/>
  <c r="E4" i="3"/>
  <c r="C4" i="3"/>
  <c r="H3" i="3"/>
  <c r="E3" i="3"/>
  <c r="C3" i="3"/>
  <c r="I418" i="23"/>
  <c r="R413" i="23"/>
  <c r="M413" i="23"/>
  <c r="BA378" i="23"/>
  <c r="Q408" i="23" s="1"/>
  <c r="X418" i="23" s="1"/>
  <c r="AL418" i="23" s="1"/>
  <c r="AZ418" i="23" s="1"/>
  <c r="M378" i="23"/>
  <c r="BC377" i="23"/>
  <c r="BA377" i="23"/>
  <c r="AG377" i="23"/>
  <c r="N398" i="23" s="1"/>
  <c r="L400" i="23" s="1"/>
  <c r="AB377" i="23"/>
  <c r="I397" i="23" s="1"/>
  <c r="Z377" i="23"/>
  <c r="M377" i="23"/>
  <c r="N395" i="23" s="1"/>
  <c r="BC376" i="23"/>
  <c r="AW376" i="23"/>
  <c r="Y389" i="23" s="1"/>
  <c r="AG376" i="23"/>
  <c r="N387" i="23" s="1"/>
  <c r="L389" i="23" s="1"/>
  <c r="AB376" i="23"/>
  <c r="I386" i="23" s="1"/>
  <c r="V376" i="23"/>
  <c r="M376" i="23"/>
  <c r="N384" i="23" s="1"/>
  <c r="AM315" i="23"/>
  <c r="AH315" i="23"/>
  <c r="S315" i="23"/>
  <c r="N315" i="23"/>
  <c r="AG313" i="23"/>
  <c r="W313" i="23"/>
  <c r="M313" i="23"/>
  <c r="AD247" i="23"/>
  <c r="AJ247" i="23" s="1"/>
  <c r="R252" i="23" s="1"/>
  <c r="Y252" i="23" s="1"/>
  <c r="O223" i="23"/>
  <c r="D221" i="23" s="1"/>
  <c r="O211" i="23"/>
  <c r="D209" i="23" s="1"/>
  <c r="O199" i="23"/>
  <c r="T199" i="23" s="1"/>
  <c r="P204" i="23" s="1"/>
  <c r="BA98" i="23"/>
  <c r="Q308" i="23" s="1"/>
  <c r="X328" i="23" s="1"/>
  <c r="AL328" i="23" s="1"/>
  <c r="AZ328" i="23" s="1"/>
  <c r="M98" i="23"/>
  <c r="BC97" i="23"/>
  <c r="AG97" i="23"/>
  <c r="AB97" i="23"/>
  <c r="J295" i="23" s="1"/>
  <c r="BC96" i="23"/>
  <c r="AG96" i="23"/>
  <c r="AB96" i="23"/>
  <c r="J287" i="23" s="1"/>
  <c r="AW95" i="23"/>
  <c r="AG95" i="23"/>
  <c r="N277" i="23" s="1"/>
  <c r="L279" i="23" s="1"/>
  <c r="AB95" i="23"/>
  <c r="I276" i="23" s="1"/>
  <c r="V95" i="23"/>
  <c r="AW94" i="23"/>
  <c r="AG94" i="23"/>
  <c r="AB94" i="23"/>
  <c r="V94" i="23"/>
  <c r="BC93" i="23"/>
  <c r="AW93" i="23"/>
  <c r="AG93" i="23"/>
  <c r="N262" i="23" s="1"/>
  <c r="L264" i="23" s="1"/>
  <c r="AB93" i="23"/>
  <c r="I249" i="23" s="1"/>
  <c r="V93" i="23"/>
  <c r="BC92" i="23"/>
  <c r="AW92" i="23"/>
  <c r="AG92" i="23"/>
  <c r="N238" i="23" s="1"/>
  <c r="L240" i="23" s="1"/>
  <c r="AB92" i="23"/>
  <c r="I237" i="23" s="1"/>
  <c r="V92" i="23"/>
  <c r="AG91" i="23"/>
  <c r="O226" i="23" s="1"/>
  <c r="M228" i="23" s="1"/>
  <c r="AB91" i="23"/>
  <c r="J225" i="23" s="1"/>
  <c r="Y91" i="23"/>
  <c r="AZ91" i="23" s="1"/>
  <c r="AG90" i="23"/>
  <c r="O214" i="23" s="1"/>
  <c r="M216" i="23" s="1"/>
  <c r="AB90" i="23"/>
  <c r="J213" i="23" s="1"/>
  <c r="Y90" i="23"/>
  <c r="AZ90" i="23" s="1"/>
  <c r="BC89" i="23"/>
  <c r="R194" i="23" s="1"/>
  <c r="AG89" i="23"/>
  <c r="O202" i="23" s="1"/>
  <c r="M204" i="23" s="1"/>
  <c r="AB89" i="23"/>
  <c r="J201" i="23" s="1"/>
  <c r="Y89" i="23"/>
  <c r="AZ89" i="23" s="1"/>
  <c r="AB88" i="23"/>
  <c r="I188" i="23" s="1"/>
  <c r="V88" i="23"/>
  <c r="M88" i="23"/>
  <c r="BC87" i="23"/>
  <c r="AB87" i="23"/>
  <c r="I169" i="23" s="1"/>
  <c r="V87" i="23"/>
  <c r="M87" i="23"/>
  <c r="AB86" i="23"/>
  <c r="I155" i="23" s="1"/>
  <c r="V86" i="23"/>
  <c r="AA286" i="23" s="1"/>
  <c r="V290" i="23" s="1"/>
  <c r="M86" i="23"/>
  <c r="BC85" i="23"/>
  <c r="AB85" i="23"/>
  <c r="I139" i="23" s="1"/>
  <c r="V85" i="23"/>
  <c r="M85" i="23"/>
  <c r="AW84" i="23"/>
  <c r="AG84" i="23"/>
  <c r="V84" i="23"/>
  <c r="M84" i="23"/>
  <c r="N116" i="23" s="1"/>
  <c r="BC83" i="23"/>
  <c r="BA83" i="23"/>
  <c r="Z110" i="23" s="1"/>
  <c r="AO110" i="23" s="1"/>
  <c r="AG83" i="23"/>
  <c r="N108" i="23" s="1"/>
  <c r="L110" i="23" s="1"/>
  <c r="AB83" i="23"/>
  <c r="I107" i="23" s="1"/>
  <c r="Z83" i="23"/>
  <c r="M83" i="23"/>
  <c r="N102" i="23" s="1"/>
  <c r="R389" i="23"/>
  <c r="AJ379" i="23"/>
  <c r="T274" i="23"/>
  <c r="Z274" i="23" s="1"/>
  <c r="R279" i="23" s="1"/>
  <c r="Y279" i="23" s="1"/>
  <c r="C269" i="23"/>
  <c r="AB259" i="23"/>
  <c r="R264" i="23" s="1"/>
  <c r="Y264" i="23" s="1"/>
  <c r="V259" i="23"/>
  <c r="C244" i="23"/>
  <c r="AB235" i="23"/>
  <c r="R240" i="23" s="1"/>
  <c r="Y240" i="23" s="1"/>
  <c r="C233" i="23"/>
  <c r="C232" i="23"/>
  <c r="S228" i="23"/>
  <c r="Z228" i="23" s="1"/>
  <c r="W223" i="23"/>
  <c r="W211" i="23"/>
  <c r="S216" i="23" s="1"/>
  <c r="Z216" i="23" s="1"/>
  <c r="Z204" i="23"/>
  <c r="W199" i="23"/>
  <c r="S204" i="23" s="1"/>
  <c r="C179" i="23"/>
  <c r="C163" i="23"/>
  <c r="C162" i="23"/>
  <c r="V153" i="23"/>
  <c r="C149" i="23"/>
  <c r="C130" i="23"/>
  <c r="C129" i="23"/>
  <c r="AA121" i="23"/>
  <c r="U121" i="23"/>
  <c r="AA118" i="23"/>
  <c r="R126" i="23" s="1"/>
  <c r="Y126" i="23" s="1"/>
  <c r="U118" i="23"/>
  <c r="C113" i="23"/>
  <c r="N104" i="23"/>
  <c r="J103" i="23"/>
  <c r="C101" i="23"/>
  <c r="AJ99" i="23"/>
  <c r="I261" i="23"/>
  <c r="AG187" i="23"/>
  <c r="N124" i="23"/>
  <c r="L126" i="23" s="1"/>
  <c r="G66" i="23"/>
  <c r="G65" i="23"/>
  <c r="G64" i="23"/>
  <c r="G63" i="23"/>
  <c r="G62" i="23"/>
  <c r="G61" i="23"/>
  <c r="G60" i="23"/>
  <c r="G59" i="23"/>
  <c r="G58" i="23"/>
  <c r="T223" i="23" l="1"/>
  <c r="P228" i="23" s="1"/>
  <c r="D197" i="23"/>
  <c r="T211" i="23"/>
  <c r="P216" i="23" s="1"/>
  <c r="W216" i="23" s="1"/>
  <c r="W228" i="23"/>
  <c r="W204" i="23"/>
  <c r="N250" i="23"/>
  <c r="L252" i="23" s="1"/>
  <c r="AB294" i="23"/>
  <c r="V298" i="23" s="1"/>
  <c r="O82" i="21" l="1"/>
  <c r="M82" i="21" s="1"/>
  <c r="O54" i="21"/>
  <c r="M54" i="21" s="1"/>
  <c r="G45" i="21"/>
  <c r="O258" i="23" s="1"/>
  <c r="T259" i="23" s="1"/>
  <c r="I44" i="21"/>
  <c r="U248" i="23" s="1"/>
  <c r="H44" i="21"/>
  <c r="AA247" i="23" s="1"/>
  <c r="G44" i="21"/>
  <c r="U247" i="23" s="1"/>
  <c r="B28" i="21"/>
  <c r="Z28" i="21" s="1"/>
  <c r="B27" i="21"/>
  <c r="S27" i="21" s="1"/>
  <c r="B26" i="21"/>
  <c r="L26" i="21" s="1"/>
  <c r="G51" i="23" s="1"/>
  <c r="B25" i="21"/>
  <c r="S25" i="21" s="1"/>
  <c r="B24" i="21"/>
  <c r="U24" i="21" s="1"/>
  <c r="L23" i="21"/>
  <c r="G48" i="23" s="1"/>
  <c r="B23" i="21"/>
  <c r="S23" i="21" s="1"/>
  <c r="B22" i="21"/>
  <c r="L22" i="21" s="1"/>
  <c r="G47" i="23" s="1"/>
  <c r="B21" i="21"/>
  <c r="S21" i="21" s="1"/>
  <c r="B20" i="21"/>
  <c r="F20" i="21" s="1"/>
  <c r="G21" i="23" s="1"/>
  <c r="B19" i="21"/>
  <c r="S19" i="21" s="1"/>
  <c r="B18" i="21"/>
  <c r="L18" i="21" s="1"/>
  <c r="G43" i="23" s="1"/>
  <c r="B17" i="21"/>
  <c r="S17" i="21" s="1"/>
  <c r="B16" i="21"/>
  <c r="F16" i="21" s="1"/>
  <c r="G17" i="23" s="1"/>
  <c r="B15" i="21"/>
  <c r="S15" i="21" s="1"/>
  <c r="B14" i="21"/>
  <c r="S14" i="21" s="1"/>
  <c r="B13" i="21"/>
  <c r="S13" i="21" s="1"/>
  <c r="B12" i="21"/>
  <c r="B11" i="21"/>
  <c r="S11" i="21" s="1"/>
  <c r="M10" i="21"/>
  <c r="N35" i="23" s="1"/>
  <c r="C10" i="21"/>
  <c r="B11" i="3" s="1"/>
  <c r="B10" i="21"/>
  <c r="S10" i="21" s="1"/>
  <c r="B9" i="21"/>
  <c r="I9" i="21" s="1"/>
  <c r="V10" i="23" s="1"/>
  <c r="K3" i="21"/>
  <c r="J3" i="21"/>
  <c r="C3" i="21"/>
  <c r="I81" i="21"/>
  <c r="L81" i="21" s="1"/>
  <c r="Q81" i="21" s="1"/>
  <c r="F81" i="21"/>
  <c r="W76" i="21"/>
  <c r="W75" i="21"/>
  <c r="S75" i="21"/>
  <c r="F53" i="21"/>
  <c r="X48" i="21"/>
  <c r="W48" i="21"/>
  <c r="R48" i="21"/>
  <c r="X47" i="21"/>
  <c r="W47" i="21"/>
  <c r="R47" i="21"/>
  <c r="Y46" i="21"/>
  <c r="U46" i="21"/>
  <c r="S46" i="21"/>
  <c r="H46" i="21"/>
  <c r="Y45" i="21"/>
  <c r="U45" i="21"/>
  <c r="S45" i="21"/>
  <c r="X44" i="21"/>
  <c r="W44" i="21"/>
  <c r="S44" i="21"/>
  <c r="Y43" i="21"/>
  <c r="W43" i="21"/>
  <c r="S43" i="21"/>
  <c r="G43" i="21"/>
  <c r="T235" i="23" s="1"/>
  <c r="U42" i="21"/>
  <c r="BC91" i="23" s="1"/>
  <c r="AB194" i="23" s="1"/>
  <c r="J42" i="21"/>
  <c r="U41" i="21"/>
  <c r="BC90" i="23" s="1"/>
  <c r="W194" i="23" s="1"/>
  <c r="J41" i="21"/>
  <c r="J40" i="21"/>
  <c r="X39" i="21"/>
  <c r="Y38" i="21"/>
  <c r="G38" i="21"/>
  <c r="K38" i="21" s="1"/>
  <c r="O87" i="23" s="1"/>
  <c r="Y37" i="21"/>
  <c r="U37" i="21"/>
  <c r="Y36" i="21"/>
  <c r="G36" i="21"/>
  <c r="K36" i="21" s="1"/>
  <c r="O85" i="23" s="1"/>
  <c r="S35" i="21"/>
  <c r="X34" i="21"/>
  <c r="W34" i="21"/>
  <c r="O27" i="21"/>
  <c r="AK28" i="23" s="1"/>
  <c r="Y26" i="21"/>
  <c r="AZ27" i="23" s="1"/>
  <c r="W26" i="21"/>
  <c r="O26" i="21"/>
  <c r="AK27" i="23" s="1"/>
  <c r="K26" i="21"/>
  <c r="AF27" i="23" s="1"/>
  <c r="Z25" i="21"/>
  <c r="Z24" i="21"/>
  <c r="W11" i="21"/>
  <c r="W10" i="21"/>
  <c r="AH8" i="21"/>
  <c r="AI8" i="21" s="1"/>
  <c r="M8" i="21"/>
  <c r="N8" i="21" s="1"/>
  <c r="G8" i="21"/>
  <c r="H8" i="21" s="1"/>
  <c r="I8" i="21" s="1"/>
  <c r="J8" i="21" s="1"/>
  <c r="K8" i="21" s="1"/>
  <c r="O8" i="21" s="1"/>
  <c r="I53" i="21"/>
  <c r="L53" i="21" s="1"/>
  <c r="Q53" i="21" s="1"/>
  <c r="B3" i="21"/>
  <c r="C14" i="21" l="1"/>
  <c r="B15" i="3" s="1"/>
  <c r="U18" i="21"/>
  <c r="AB27" i="21"/>
  <c r="J45" i="21"/>
  <c r="O94" i="23" s="1"/>
  <c r="W27" i="21"/>
  <c r="G19" i="21"/>
  <c r="L20" i="23" s="1"/>
  <c r="T187" i="23"/>
  <c r="O90" i="23"/>
  <c r="Y235" i="23"/>
  <c r="O240" i="23" s="1"/>
  <c r="V240" i="23" s="1"/>
  <c r="P234" i="23"/>
  <c r="C256" i="23"/>
  <c r="Y259" i="23"/>
  <c r="O264" i="23" s="1"/>
  <c r="V264" i="23" s="1"/>
  <c r="BC94" i="23"/>
  <c r="X315" i="23"/>
  <c r="AC315" i="23"/>
  <c r="BC95" i="23"/>
  <c r="I25" i="21"/>
  <c r="V26" i="23" s="1"/>
  <c r="C245" i="23"/>
  <c r="AG247" i="23"/>
  <c r="O252" i="23" s="1"/>
  <c r="V252" i="23" s="1"/>
  <c r="BC86" i="23"/>
  <c r="AB313" i="23"/>
  <c r="Y187" i="23"/>
  <c r="O91" i="23"/>
  <c r="O187" i="23"/>
  <c r="O89" i="23"/>
  <c r="I21" i="21"/>
  <c r="V22" i="23" s="1"/>
  <c r="L11" i="3"/>
  <c r="K24" i="3"/>
  <c r="K27" i="3"/>
  <c r="H26" i="3"/>
  <c r="K23" i="3"/>
  <c r="H22" i="3"/>
  <c r="K19" i="3"/>
  <c r="H10" i="3"/>
  <c r="E21" i="3"/>
  <c r="E17" i="3"/>
  <c r="F26" i="3"/>
  <c r="F20" i="3"/>
  <c r="C13" i="21"/>
  <c r="B14" i="3" s="1"/>
  <c r="Q26" i="21"/>
  <c r="AA26" i="21"/>
  <c r="J43" i="21"/>
  <c r="O92" i="23" s="1"/>
  <c r="H9" i="21"/>
  <c r="Q10" i="23" s="1"/>
  <c r="I13" i="21"/>
  <c r="V14" i="23" s="1"/>
  <c r="G15" i="21"/>
  <c r="L16" i="23" s="1"/>
  <c r="J44" i="21"/>
  <c r="O93" i="23" s="1"/>
  <c r="E9" i="21"/>
  <c r="D17" i="21"/>
  <c r="AB26" i="21"/>
  <c r="U26" i="21"/>
  <c r="D21" i="21"/>
  <c r="C23" i="21"/>
  <c r="B24" i="3" s="1"/>
  <c r="D25" i="21"/>
  <c r="X27" i="21"/>
  <c r="AU28" i="23" s="1"/>
  <c r="K39" i="21"/>
  <c r="O88" i="23" s="1"/>
  <c r="L9" i="21"/>
  <c r="G34" i="23" s="1"/>
  <c r="D10" i="21"/>
  <c r="D13" i="21"/>
  <c r="L13" i="21"/>
  <c r="G38" i="23" s="1"/>
  <c r="G14" i="21"/>
  <c r="L15" i="23" s="1"/>
  <c r="I17" i="21"/>
  <c r="V18" i="23" s="1"/>
  <c r="Q27" i="21"/>
  <c r="Z27" i="21"/>
  <c r="T27" i="21"/>
  <c r="Y27" i="21"/>
  <c r="AZ28" i="23" s="1"/>
  <c r="C9" i="21"/>
  <c r="B10" i="3" s="1"/>
  <c r="P9" i="21"/>
  <c r="AP10" i="23" s="1"/>
  <c r="G10" i="21"/>
  <c r="L11" i="23" s="1"/>
  <c r="E13" i="21"/>
  <c r="D14" i="3" s="1"/>
  <c r="P13" i="21"/>
  <c r="AP14" i="23" s="1"/>
  <c r="L14" i="21"/>
  <c r="G39" i="23" s="1"/>
  <c r="J16" i="21"/>
  <c r="AA17" i="23" s="1"/>
  <c r="J20" i="21"/>
  <c r="AA21" i="23" s="1"/>
  <c r="K27" i="21"/>
  <c r="AF28" i="23" s="1"/>
  <c r="U27" i="21"/>
  <c r="AA27" i="21"/>
  <c r="L10" i="21"/>
  <c r="G35" i="23" s="1"/>
  <c r="H13" i="21"/>
  <c r="Q14" i="23" s="1"/>
  <c r="D26" i="21"/>
  <c r="D9" i="21"/>
  <c r="H10" i="21"/>
  <c r="Q11" i="23" s="1"/>
  <c r="C11" i="21"/>
  <c r="B12" i="3" s="1"/>
  <c r="G13" i="21"/>
  <c r="L14" i="23" s="1"/>
  <c r="M13" i="21"/>
  <c r="N38" i="23" s="1"/>
  <c r="D14" i="21"/>
  <c r="M14" i="21"/>
  <c r="N39" i="23" s="1"/>
  <c r="L15" i="21"/>
  <c r="G40" i="23" s="1"/>
  <c r="S16" i="21"/>
  <c r="E17" i="21"/>
  <c r="D18" i="3" s="1"/>
  <c r="L17" i="21"/>
  <c r="G42" i="23" s="1"/>
  <c r="C18" i="21"/>
  <c r="B19" i="3" s="1"/>
  <c r="M18" i="21"/>
  <c r="N43" i="23" s="1"/>
  <c r="L19" i="21"/>
  <c r="G44" i="23" s="1"/>
  <c r="S20" i="21"/>
  <c r="E21" i="21"/>
  <c r="D22" i="3" s="1"/>
  <c r="L21" i="21"/>
  <c r="G46" i="23" s="1"/>
  <c r="C22" i="21"/>
  <c r="B23" i="3" s="1"/>
  <c r="E25" i="21"/>
  <c r="D26" i="3" s="1"/>
  <c r="L25" i="21"/>
  <c r="G50" i="23" s="1"/>
  <c r="C26" i="21"/>
  <c r="B27" i="3" s="1"/>
  <c r="M26" i="21"/>
  <c r="N51" i="23" s="1"/>
  <c r="L27" i="21"/>
  <c r="G52" i="23" s="1"/>
  <c r="G11" i="21"/>
  <c r="L12" i="23" s="1"/>
  <c r="G17" i="21"/>
  <c r="L18" i="23" s="1"/>
  <c r="M17" i="21"/>
  <c r="N42" i="23" s="1"/>
  <c r="D18" i="21"/>
  <c r="G21" i="21"/>
  <c r="L22" i="23" s="1"/>
  <c r="M21" i="21"/>
  <c r="N46" i="23" s="1"/>
  <c r="D22" i="21"/>
  <c r="G25" i="21"/>
  <c r="L26" i="23" s="1"/>
  <c r="M25" i="21"/>
  <c r="N50" i="23" s="1"/>
  <c r="W77" i="21"/>
  <c r="U77" i="21" s="1"/>
  <c r="C54" i="21"/>
  <c r="C82" i="21" s="1"/>
  <c r="G9" i="21"/>
  <c r="L10" i="23" s="1"/>
  <c r="M9" i="21"/>
  <c r="N34" i="23" s="1"/>
  <c r="L11" i="21"/>
  <c r="G36" i="23" s="1"/>
  <c r="H14" i="21"/>
  <c r="Q15" i="23" s="1"/>
  <c r="C15" i="21"/>
  <c r="B16" i="3" s="1"/>
  <c r="C17" i="21"/>
  <c r="B18" i="3" s="1"/>
  <c r="H17" i="21"/>
  <c r="Q18" i="23" s="1"/>
  <c r="P17" i="21"/>
  <c r="AP18" i="23" s="1"/>
  <c r="G18" i="21"/>
  <c r="L19" i="23" s="1"/>
  <c r="C19" i="21"/>
  <c r="B20" i="3" s="1"/>
  <c r="C21" i="21"/>
  <c r="B22" i="3" s="1"/>
  <c r="H21" i="21"/>
  <c r="Q22" i="23" s="1"/>
  <c r="P21" i="21"/>
  <c r="AP22" i="23" s="1"/>
  <c r="H22" i="21"/>
  <c r="Q23" i="23" s="1"/>
  <c r="G23" i="21"/>
  <c r="L24" i="23" s="1"/>
  <c r="C25" i="21"/>
  <c r="B26" i="3" s="1"/>
  <c r="H25" i="21"/>
  <c r="Q26" i="23" s="1"/>
  <c r="P25" i="21"/>
  <c r="AP26" i="23" s="1"/>
  <c r="G26" i="21"/>
  <c r="L27" i="23" s="1"/>
  <c r="C27" i="21"/>
  <c r="B28" i="3" s="1"/>
  <c r="H18" i="21"/>
  <c r="Q19" i="23" s="1"/>
  <c r="M22" i="21"/>
  <c r="N47" i="23" s="1"/>
  <c r="H26" i="21"/>
  <c r="Q27" i="23" s="1"/>
  <c r="G27" i="21"/>
  <c r="L28" i="23" s="1"/>
  <c r="P12" i="21"/>
  <c r="AP13" i="23" s="1"/>
  <c r="I12" i="21"/>
  <c r="V13" i="23" s="1"/>
  <c r="E12" i="21"/>
  <c r="D13" i="3" s="1"/>
  <c r="M12" i="21"/>
  <c r="N37" i="23" s="1"/>
  <c r="H12" i="21"/>
  <c r="Q13" i="23" s="1"/>
  <c r="D12" i="21"/>
  <c r="L12" i="21"/>
  <c r="G37" i="23" s="1"/>
  <c r="G12" i="21"/>
  <c r="L13" i="23" s="1"/>
  <c r="C12" i="21"/>
  <c r="B13" i="3" s="1"/>
  <c r="D54" i="21"/>
  <c r="P24" i="21"/>
  <c r="AP25" i="23" s="1"/>
  <c r="I24" i="21"/>
  <c r="V25" i="23" s="1"/>
  <c r="E24" i="21"/>
  <c r="D25" i="3" s="1"/>
  <c r="AA24" i="21"/>
  <c r="Q24" i="21"/>
  <c r="M24" i="21"/>
  <c r="N49" i="23" s="1"/>
  <c r="H24" i="21"/>
  <c r="Q25" i="23" s="1"/>
  <c r="D24" i="21"/>
  <c r="Y24" i="21"/>
  <c r="AZ25" i="23" s="1"/>
  <c r="O24" i="21"/>
  <c r="AK25" i="23" s="1"/>
  <c r="L24" i="21"/>
  <c r="G49" i="23" s="1"/>
  <c r="G24" i="21"/>
  <c r="L25" i="23" s="1"/>
  <c r="C24" i="21"/>
  <c r="B25" i="3" s="1"/>
  <c r="W24" i="21"/>
  <c r="K24" i="21"/>
  <c r="AF25" i="23" s="1"/>
  <c r="P28" i="21"/>
  <c r="AP29" i="23" s="1"/>
  <c r="I28" i="21"/>
  <c r="V29" i="23" s="1"/>
  <c r="E28" i="21"/>
  <c r="D29" i="3" s="1"/>
  <c r="T28" i="21"/>
  <c r="J28" i="21"/>
  <c r="AA29" i="23" s="1"/>
  <c r="M28" i="21"/>
  <c r="N53" i="23" s="1"/>
  <c r="H28" i="21"/>
  <c r="Q29" i="23" s="1"/>
  <c r="D28" i="21"/>
  <c r="AB28" i="21"/>
  <c r="Q28" i="21"/>
  <c r="L28" i="21"/>
  <c r="G53" i="23" s="1"/>
  <c r="G28" i="21"/>
  <c r="L29" i="23" s="1"/>
  <c r="C28" i="21"/>
  <c r="B29" i="3" s="1"/>
  <c r="Y28" i="21"/>
  <c r="AZ29" i="23" s="1"/>
  <c r="N28" i="21"/>
  <c r="U53" i="23" s="1"/>
  <c r="S28" i="21"/>
  <c r="V28" i="21"/>
  <c r="F12" i="21"/>
  <c r="G13" i="23" s="1"/>
  <c r="P16" i="21"/>
  <c r="AP17" i="23" s="1"/>
  <c r="I16" i="21"/>
  <c r="V17" i="23" s="1"/>
  <c r="E16" i="21"/>
  <c r="D17" i="3" s="1"/>
  <c r="M16" i="21"/>
  <c r="N41" i="23" s="1"/>
  <c r="H16" i="21"/>
  <c r="Q17" i="23" s="1"/>
  <c r="D16" i="21"/>
  <c r="L16" i="21"/>
  <c r="G41" i="23" s="1"/>
  <c r="G16" i="21"/>
  <c r="L17" i="23" s="1"/>
  <c r="C16" i="21"/>
  <c r="B17" i="3" s="1"/>
  <c r="P20" i="21"/>
  <c r="AP21" i="23" s="1"/>
  <c r="I20" i="21"/>
  <c r="V21" i="23" s="1"/>
  <c r="E20" i="21"/>
  <c r="D21" i="3" s="1"/>
  <c r="M20" i="21"/>
  <c r="N45" i="23" s="1"/>
  <c r="H20" i="21"/>
  <c r="Q21" i="23" s="1"/>
  <c r="D20" i="21"/>
  <c r="L20" i="21"/>
  <c r="G45" i="23" s="1"/>
  <c r="G20" i="21"/>
  <c r="L21" i="23" s="1"/>
  <c r="C20" i="21"/>
  <c r="B21" i="3" s="1"/>
  <c r="F24" i="21"/>
  <c r="G25" i="23" s="1"/>
  <c r="F28" i="21"/>
  <c r="G29" i="23" s="1"/>
  <c r="J12" i="21"/>
  <c r="AA13" i="23" s="1"/>
  <c r="J24" i="21"/>
  <c r="AA25" i="23" s="1"/>
  <c r="S12" i="21"/>
  <c r="S24" i="21"/>
  <c r="F9" i="21"/>
  <c r="G10" i="23" s="1"/>
  <c r="J9" i="21"/>
  <c r="AA10" i="23" s="1"/>
  <c r="S9" i="21"/>
  <c r="E10" i="21"/>
  <c r="D11" i="3" s="1"/>
  <c r="I10" i="21"/>
  <c r="V11" i="23" s="1"/>
  <c r="P10" i="21"/>
  <c r="AP11" i="23" s="1"/>
  <c r="D11" i="21"/>
  <c r="H11" i="21"/>
  <c r="Q12" i="23" s="1"/>
  <c r="M11" i="21"/>
  <c r="N36" i="23" s="1"/>
  <c r="F13" i="21"/>
  <c r="G14" i="23" s="1"/>
  <c r="J13" i="21"/>
  <c r="AA14" i="23" s="1"/>
  <c r="E14" i="21"/>
  <c r="D15" i="3" s="1"/>
  <c r="I14" i="21"/>
  <c r="V15" i="23" s="1"/>
  <c r="P14" i="21"/>
  <c r="AP15" i="23" s="1"/>
  <c r="D15" i="21"/>
  <c r="H15" i="21"/>
  <c r="Q16" i="23" s="1"/>
  <c r="M15" i="21"/>
  <c r="N40" i="23" s="1"/>
  <c r="F17" i="21"/>
  <c r="G18" i="23" s="1"/>
  <c r="J17" i="21"/>
  <c r="AA18" i="23" s="1"/>
  <c r="E18" i="21"/>
  <c r="D19" i="3" s="1"/>
  <c r="I18" i="21"/>
  <c r="V19" i="23" s="1"/>
  <c r="P18" i="21"/>
  <c r="AP19" i="23" s="1"/>
  <c r="D19" i="21"/>
  <c r="H19" i="21"/>
  <c r="Q20" i="23" s="1"/>
  <c r="M19" i="21"/>
  <c r="N44" i="23" s="1"/>
  <c r="F21" i="21"/>
  <c r="G22" i="23" s="1"/>
  <c r="J21" i="21"/>
  <c r="AA22" i="23" s="1"/>
  <c r="E22" i="21"/>
  <c r="D23" i="3" s="1"/>
  <c r="I22" i="21"/>
  <c r="V23" i="23" s="1"/>
  <c r="P22" i="21"/>
  <c r="AP23" i="23" s="1"/>
  <c r="D23" i="21"/>
  <c r="H23" i="21"/>
  <c r="Q24" i="23" s="1"/>
  <c r="M23" i="21"/>
  <c r="N48" i="23" s="1"/>
  <c r="F25" i="21"/>
  <c r="G26" i="23" s="1"/>
  <c r="J25" i="21"/>
  <c r="AA26" i="23" s="1"/>
  <c r="E26" i="21"/>
  <c r="D27" i="3" s="1"/>
  <c r="I26" i="21"/>
  <c r="V27" i="23" s="1"/>
  <c r="P26" i="21"/>
  <c r="AP27" i="23" s="1"/>
  <c r="D27" i="21"/>
  <c r="H27" i="21"/>
  <c r="Q28" i="23" s="1"/>
  <c r="M27" i="21"/>
  <c r="N52" i="23" s="1"/>
  <c r="F54" i="21"/>
  <c r="F82" i="21" s="1"/>
  <c r="F10" i="21"/>
  <c r="G11" i="23" s="1"/>
  <c r="J10" i="21"/>
  <c r="AA11" i="23" s="1"/>
  <c r="E11" i="21"/>
  <c r="D12" i="3" s="1"/>
  <c r="I11" i="21"/>
  <c r="V12" i="23" s="1"/>
  <c r="P11" i="21"/>
  <c r="AP12" i="23" s="1"/>
  <c r="F14" i="21"/>
  <c r="G15" i="23" s="1"/>
  <c r="J14" i="21"/>
  <c r="AA15" i="23" s="1"/>
  <c r="E15" i="21"/>
  <c r="D16" i="3" s="1"/>
  <c r="I15" i="21"/>
  <c r="V16" i="23" s="1"/>
  <c r="P15" i="21"/>
  <c r="AP16" i="23" s="1"/>
  <c r="F18" i="21"/>
  <c r="G19" i="23" s="1"/>
  <c r="J18" i="21"/>
  <c r="AA19" i="23" s="1"/>
  <c r="S18" i="21"/>
  <c r="E19" i="21"/>
  <c r="D20" i="3" s="1"/>
  <c r="I19" i="21"/>
  <c r="V20" i="23" s="1"/>
  <c r="P19" i="21"/>
  <c r="AP20" i="23" s="1"/>
  <c r="F22" i="21"/>
  <c r="G23" i="23" s="1"/>
  <c r="J22" i="21"/>
  <c r="AA23" i="23" s="1"/>
  <c r="S22" i="21"/>
  <c r="E23" i="21"/>
  <c r="D24" i="3" s="1"/>
  <c r="I23" i="21"/>
  <c r="V24" i="23" s="1"/>
  <c r="P23" i="21"/>
  <c r="AP24" i="23" s="1"/>
  <c r="F26" i="21"/>
  <c r="G27" i="23" s="1"/>
  <c r="J26" i="21"/>
  <c r="AA27" i="23" s="1"/>
  <c r="S26" i="21"/>
  <c r="E27" i="21"/>
  <c r="D28" i="3" s="1"/>
  <c r="I27" i="21"/>
  <c r="V28" i="23" s="1"/>
  <c r="P27" i="21"/>
  <c r="AP28" i="23" s="1"/>
  <c r="F11" i="21"/>
  <c r="G12" i="23" s="1"/>
  <c r="J11" i="21"/>
  <c r="AA12" i="23" s="1"/>
  <c r="F15" i="21"/>
  <c r="G16" i="23" s="1"/>
  <c r="J15" i="21"/>
  <c r="AA16" i="23" s="1"/>
  <c r="F19" i="21"/>
  <c r="G20" i="23" s="1"/>
  <c r="J19" i="21"/>
  <c r="AA20" i="23" s="1"/>
  <c r="G22" i="21"/>
  <c r="L23" i="23" s="1"/>
  <c r="F23" i="21"/>
  <c r="G24" i="23" s="1"/>
  <c r="J23" i="21"/>
  <c r="AA24" i="23" s="1"/>
  <c r="F27" i="21"/>
  <c r="G28" i="23" s="1"/>
  <c r="J27" i="21"/>
  <c r="AA28" i="23" s="1"/>
  <c r="U9" i="21"/>
  <c r="E37" i="21" s="1"/>
  <c r="H86" i="23" s="1"/>
  <c r="U12" i="21"/>
  <c r="W13" i="21"/>
  <c r="U13" i="21"/>
  <c r="N13" i="21"/>
  <c r="U38" i="23" s="1"/>
  <c r="O13" i="21"/>
  <c r="AK14" i="23" s="1"/>
  <c r="K13" i="21"/>
  <c r="AF14" i="23" s="1"/>
  <c r="U16" i="21"/>
  <c r="W17" i="21"/>
  <c r="U17" i="21"/>
  <c r="K17" i="21"/>
  <c r="AF18" i="23" s="1"/>
  <c r="N17" i="21"/>
  <c r="U42" i="23" s="1"/>
  <c r="R17" i="21"/>
  <c r="V17" i="21" s="1"/>
  <c r="AA25" i="21"/>
  <c r="W25" i="21"/>
  <c r="O25" i="21"/>
  <c r="AK26" i="23" s="1"/>
  <c r="K25" i="21"/>
  <c r="AF26" i="23" s="1"/>
  <c r="Y25" i="21"/>
  <c r="AZ26" i="23" s="1"/>
  <c r="U25" i="21"/>
  <c r="Q25" i="21"/>
  <c r="X25" i="21"/>
  <c r="AU26" i="23" s="1"/>
  <c r="V25" i="21"/>
  <c r="N25" i="21"/>
  <c r="U50" i="23" s="1"/>
  <c r="AB25" i="21"/>
  <c r="T25" i="21"/>
  <c r="U19" i="21"/>
  <c r="W19" i="21"/>
  <c r="O19" i="21"/>
  <c r="AK20" i="23" s="1"/>
  <c r="K19" i="21"/>
  <c r="AF20" i="23" s="1"/>
  <c r="V19" i="21"/>
  <c r="T19" i="21"/>
  <c r="X19" i="21" s="1"/>
  <c r="AU20" i="23" s="1"/>
  <c r="N19" i="21"/>
  <c r="U44" i="23" s="1"/>
  <c r="R19" i="21"/>
  <c r="K23" i="21"/>
  <c r="AF24" i="23" s="1"/>
  <c r="W12" i="21"/>
  <c r="W22" i="21"/>
  <c r="W20" i="21"/>
  <c r="W18" i="21"/>
  <c r="W16" i="21"/>
  <c r="W14" i="21"/>
  <c r="W9" i="21"/>
  <c r="E39" i="21" s="1"/>
  <c r="H88" i="23" s="1"/>
  <c r="K9" i="21"/>
  <c r="AF10" i="23" s="1"/>
  <c r="O9" i="21"/>
  <c r="AK10" i="23" s="1"/>
  <c r="R9" i="21"/>
  <c r="T9" i="21" s="1"/>
  <c r="U10" i="21"/>
  <c r="N10" i="21"/>
  <c r="U35" i="23" s="1"/>
  <c r="O10" i="21"/>
  <c r="AK11" i="23" s="1"/>
  <c r="R10" i="21"/>
  <c r="V10" i="21" s="1"/>
  <c r="R13" i="21"/>
  <c r="V13" i="21" s="1"/>
  <c r="U20" i="21"/>
  <c r="W21" i="21"/>
  <c r="K21" i="21"/>
  <c r="AF22" i="23" s="1"/>
  <c r="U21" i="21"/>
  <c r="O21" i="21"/>
  <c r="AK22" i="23" s="1"/>
  <c r="N21" i="21"/>
  <c r="U46" i="23" s="1"/>
  <c r="R21" i="21"/>
  <c r="V21" i="21" s="1"/>
  <c r="R25" i="21"/>
  <c r="U14" i="21"/>
  <c r="U15" i="21"/>
  <c r="W15" i="21"/>
  <c r="O15" i="21"/>
  <c r="AK16" i="23" s="1"/>
  <c r="N15" i="21"/>
  <c r="U40" i="23" s="1"/>
  <c r="R15" i="21"/>
  <c r="V15" i="21" s="1"/>
  <c r="U22" i="21"/>
  <c r="U23" i="21"/>
  <c r="W23" i="21"/>
  <c r="O23" i="21"/>
  <c r="AK24" i="23" s="1"/>
  <c r="V23" i="21"/>
  <c r="T23" i="21"/>
  <c r="X23" i="21" s="1"/>
  <c r="AU24" i="23" s="1"/>
  <c r="N23" i="21"/>
  <c r="U48" i="23" s="1"/>
  <c r="R23" i="21"/>
  <c r="U11" i="21"/>
  <c r="N12" i="21"/>
  <c r="U37" i="23" s="1"/>
  <c r="R12" i="21"/>
  <c r="T12" i="21" s="1"/>
  <c r="N11" i="21"/>
  <c r="U36" i="23" s="1"/>
  <c r="R11" i="21"/>
  <c r="T11" i="21" s="1"/>
  <c r="V11" i="21"/>
  <c r="N14" i="21"/>
  <c r="U39" i="23" s="1"/>
  <c r="R14" i="21"/>
  <c r="V14" i="21" s="1"/>
  <c r="R18" i="21"/>
  <c r="V18" i="21"/>
  <c r="N20" i="21"/>
  <c r="U45" i="23" s="1"/>
  <c r="R22" i="21"/>
  <c r="V22" i="21" s="1"/>
  <c r="T24" i="21"/>
  <c r="X24" i="21"/>
  <c r="AU25" i="23" s="1"/>
  <c r="AB24" i="21"/>
  <c r="N26" i="21"/>
  <c r="U51" i="23" s="1"/>
  <c r="R26" i="21"/>
  <c r="V26" i="21"/>
  <c r="Z26" i="21"/>
  <c r="U28" i="21"/>
  <c r="T14" i="21"/>
  <c r="X14" i="21" s="1"/>
  <c r="AU15" i="23" s="1"/>
  <c r="N16" i="21"/>
  <c r="U41" i="23" s="1"/>
  <c r="R16" i="21"/>
  <c r="T16" i="21" s="1"/>
  <c r="N18" i="21"/>
  <c r="U43" i="23" s="1"/>
  <c r="T18" i="21"/>
  <c r="X18" i="21"/>
  <c r="AU19" i="23" s="1"/>
  <c r="R20" i="21"/>
  <c r="V20" i="21" s="1"/>
  <c r="N22" i="21"/>
  <c r="U47" i="23" s="1"/>
  <c r="N24" i="21"/>
  <c r="U49" i="23" s="1"/>
  <c r="R24" i="21"/>
  <c r="V24" i="21"/>
  <c r="T26" i="21"/>
  <c r="X26" i="21"/>
  <c r="AU27" i="23" s="1"/>
  <c r="AA28" i="21"/>
  <c r="W28" i="21"/>
  <c r="O28" i="21"/>
  <c r="AK29" i="23" s="1"/>
  <c r="K28" i="21"/>
  <c r="AF29" i="23" s="1"/>
  <c r="R28" i="21"/>
  <c r="X28" i="21"/>
  <c r="AU29" i="23" s="1"/>
  <c r="N27" i="21"/>
  <c r="U52" i="23" s="1"/>
  <c r="R27" i="21"/>
  <c r="V27" i="21"/>
  <c r="K22" i="3" l="1"/>
  <c r="E13" i="3"/>
  <c r="I17" i="3"/>
  <c r="F24" i="3"/>
  <c r="F17" i="3"/>
  <c r="E15" i="3"/>
  <c r="G18" i="3"/>
  <c r="R45" i="21"/>
  <c r="AP94" i="23" s="1"/>
  <c r="AR304" i="23" s="1"/>
  <c r="H29" i="3"/>
  <c r="G16" i="3"/>
  <c r="H14" i="3"/>
  <c r="K10" i="3"/>
  <c r="G12" i="3"/>
  <c r="E29" i="3"/>
  <c r="F15" i="3"/>
  <c r="F18" i="3"/>
  <c r="H152" i="23"/>
  <c r="P289" i="23"/>
  <c r="R140" i="23"/>
  <c r="AA140" i="23" s="1"/>
  <c r="L142" i="23" s="1"/>
  <c r="AA142" i="23" s="1"/>
  <c r="B23" i="23"/>
  <c r="B351" i="23"/>
  <c r="C23" i="3"/>
  <c r="B47" i="23"/>
  <c r="B343" i="23"/>
  <c r="C15" i="3"/>
  <c r="B39" i="23"/>
  <c r="B15" i="23"/>
  <c r="B339" i="23"/>
  <c r="C11" i="3"/>
  <c r="B35" i="23"/>
  <c r="B11" i="23"/>
  <c r="C26" i="3"/>
  <c r="B354" i="23"/>
  <c r="B50" i="23"/>
  <c r="B26" i="23"/>
  <c r="F10" i="3"/>
  <c r="G10" i="3"/>
  <c r="G14" i="3"/>
  <c r="G20" i="3"/>
  <c r="G22" i="3"/>
  <c r="G24" i="3"/>
  <c r="G26" i="3"/>
  <c r="G28" i="3"/>
  <c r="F12" i="3"/>
  <c r="H17" i="3"/>
  <c r="F13" i="3"/>
  <c r="K15" i="3"/>
  <c r="H18" i="3"/>
  <c r="F21" i="3"/>
  <c r="F29" i="3"/>
  <c r="K12" i="3"/>
  <c r="K20" i="3"/>
  <c r="K26" i="3"/>
  <c r="E10" i="3"/>
  <c r="E12" i="3"/>
  <c r="E14" i="3"/>
  <c r="E16" i="3"/>
  <c r="E18" i="3"/>
  <c r="E20" i="3"/>
  <c r="E22" i="3"/>
  <c r="E24" i="3"/>
  <c r="E26" i="3"/>
  <c r="E28" i="3"/>
  <c r="H186" i="23"/>
  <c r="S170" i="23"/>
  <c r="AB170" i="23" s="1"/>
  <c r="L172" i="23" s="1"/>
  <c r="AB172" i="23" s="1"/>
  <c r="C10" i="3"/>
  <c r="B338" i="23"/>
  <c r="B34" i="23"/>
  <c r="B10" i="23"/>
  <c r="C18" i="3"/>
  <c r="B346" i="23"/>
  <c r="B42" i="23"/>
  <c r="B18" i="23"/>
  <c r="F16" i="3"/>
  <c r="H23" i="3"/>
  <c r="L10" i="3"/>
  <c r="L12" i="3"/>
  <c r="L14" i="3"/>
  <c r="L16" i="3"/>
  <c r="L18" i="3"/>
  <c r="L20" i="3"/>
  <c r="L22" i="3"/>
  <c r="L24" i="3"/>
  <c r="L26" i="3"/>
  <c r="L28" i="3"/>
  <c r="K14" i="3"/>
  <c r="K18" i="3"/>
  <c r="F11" i="3"/>
  <c r="K13" i="3"/>
  <c r="H16" i="3"/>
  <c r="F19" i="3"/>
  <c r="K21" i="3"/>
  <c r="H24" i="3"/>
  <c r="F27" i="3"/>
  <c r="K29" i="3"/>
  <c r="H13" i="3"/>
  <c r="F22" i="3"/>
  <c r="H27" i="3"/>
  <c r="I10" i="3"/>
  <c r="I12" i="3"/>
  <c r="I14" i="3"/>
  <c r="I16" i="3"/>
  <c r="I18" i="3"/>
  <c r="I20" i="3"/>
  <c r="I22" i="3"/>
  <c r="I24" i="3"/>
  <c r="I26" i="3"/>
  <c r="I28" i="3"/>
  <c r="R193" i="23"/>
  <c r="AP89" i="23"/>
  <c r="C28" i="3"/>
  <c r="B356" i="23"/>
  <c r="B28" i="23"/>
  <c r="B52" i="23"/>
  <c r="C24" i="3"/>
  <c r="B352" i="23"/>
  <c r="B24" i="23"/>
  <c r="B48" i="23"/>
  <c r="C20" i="3"/>
  <c r="B348" i="23"/>
  <c r="B20" i="23"/>
  <c r="B44" i="23"/>
  <c r="C16" i="3"/>
  <c r="B344" i="23"/>
  <c r="B40" i="23"/>
  <c r="B16" i="23"/>
  <c r="C12" i="3"/>
  <c r="B340" i="23"/>
  <c r="B36" i="23"/>
  <c r="B12" i="23"/>
  <c r="C21" i="3"/>
  <c r="B349" i="23"/>
  <c r="B45" i="23"/>
  <c r="B21" i="23"/>
  <c r="C25" i="3"/>
  <c r="B353" i="23"/>
  <c r="B49" i="23"/>
  <c r="B25" i="23"/>
  <c r="C13" i="3"/>
  <c r="B341" i="23"/>
  <c r="B37" i="23"/>
  <c r="B13" i="23"/>
  <c r="B27" i="23"/>
  <c r="B355" i="23"/>
  <c r="C27" i="3"/>
  <c r="B51" i="23"/>
  <c r="R192" i="23"/>
  <c r="AD187" i="23"/>
  <c r="T191" i="23" s="1"/>
  <c r="Y294" i="23"/>
  <c r="S298" i="23" s="1"/>
  <c r="C22" i="3"/>
  <c r="B350" i="23"/>
  <c r="B46" i="23"/>
  <c r="B22" i="23"/>
  <c r="I3" i="21"/>
  <c r="D10" i="3"/>
  <c r="E11" i="3"/>
  <c r="E19" i="3"/>
  <c r="E23" i="3"/>
  <c r="E25" i="3"/>
  <c r="E27" i="3"/>
  <c r="H15" i="3"/>
  <c r="H19" i="3"/>
  <c r="K11" i="3"/>
  <c r="F25" i="3"/>
  <c r="F14" i="3"/>
  <c r="F28" i="3"/>
  <c r="G11" i="3"/>
  <c r="G13" i="3"/>
  <c r="G15" i="3"/>
  <c r="G17" i="3"/>
  <c r="G19" i="3"/>
  <c r="G21" i="3"/>
  <c r="G23" i="3"/>
  <c r="G25" i="3"/>
  <c r="G27" i="3"/>
  <c r="G29" i="3"/>
  <c r="AP90" i="23"/>
  <c r="W193" i="23"/>
  <c r="C17" i="3"/>
  <c r="B345" i="23"/>
  <c r="B41" i="23"/>
  <c r="B17" i="23"/>
  <c r="C29" i="3"/>
  <c r="B29" i="23"/>
  <c r="B357" i="23"/>
  <c r="B53" i="23"/>
  <c r="B347" i="23"/>
  <c r="C19" i="3"/>
  <c r="B43" i="23"/>
  <c r="B19" i="23"/>
  <c r="C14" i="3"/>
  <c r="B342" i="23"/>
  <c r="B38" i="23"/>
  <c r="B14" i="23"/>
  <c r="H21" i="3"/>
  <c r="I11" i="3"/>
  <c r="I13" i="3"/>
  <c r="I15" i="3"/>
  <c r="I19" i="3"/>
  <c r="I21" i="3"/>
  <c r="I23" i="3"/>
  <c r="I25" i="3"/>
  <c r="I27" i="3"/>
  <c r="I29" i="3"/>
  <c r="K16" i="3"/>
  <c r="H12" i="3"/>
  <c r="K17" i="3"/>
  <c r="H20" i="3"/>
  <c r="F23" i="3"/>
  <c r="K25" i="3"/>
  <c r="H28" i="3"/>
  <c r="H11" i="3"/>
  <c r="H25" i="3"/>
  <c r="K28" i="3"/>
  <c r="L13" i="3"/>
  <c r="L15" i="3"/>
  <c r="L17" i="3"/>
  <c r="L19" i="3"/>
  <c r="L21" i="3"/>
  <c r="L23" i="3"/>
  <c r="L25" i="3"/>
  <c r="L27" i="3"/>
  <c r="L29" i="3"/>
  <c r="AB193" i="23"/>
  <c r="AP91" i="23"/>
  <c r="W411" i="23"/>
  <c r="BC378" i="23"/>
  <c r="Q13" i="21"/>
  <c r="R44" i="21"/>
  <c r="AP93" i="23" s="1"/>
  <c r="AJ304" i="23" s="1"/>
  <c r="Q9" i="21"/>
  <c r="Q23" i="21"/>
  <c r="U39" i="21"/>
  <c r="N38" i="21"/>
  <c r="P38" i="21" s="1"/>
  <c r="AG87" i="23" s="1"/>
  <c r="Q19" i="21"/>
  <c r="Y19" i="21" s="1"/>
  <c r="AZ20" i="23" s="1"/>
  <c r="G37" i="21"/>
  <c r="N153" i="23" s="1"/>
  <c r="Q17" i="21"/>
  <c r="R43" i="21"/>
  <c r="AP92" i="23" s="1"/>
  <c r="AB304" i="23" s="1"/>
  <c r="Q21" i="21"/>
  <c r="G48" i="21"/>
  <c r="Y23" i="21"/>
  <c r="AZ24" i="23" s="1"/>
  <c r="Y21" i="21"/>
  <c r="AZ22" i="23" s="1"/>
  <c r="Z19" i="21"/>
  <c r="X9" i="21"/>
  <c r="AU10" i="23" s="1"/>
  <c r="Y17" i="21"/>
  <c r="AZ18" i="23" s="1"/>
  <c r="O18" i="21"/>
  <c r="AK19" i="23" s="1"/>
  <c r="K18" i="21"/>
  <c r="AF19" i="23" s="1"/>
  <c r="O11" i="21"/>
  <c r="AK12" i="23" s="1"/>
  <c r="K11" i="21"/>
  <c r="AF12" i="23" s="1"/>
  <c r="N9" i="21"/>
  <c r="U34" i="23" s="1"/>
  <c r="O17" i="21"/>
  <c r="AK18" i="23" s="1"/>
  <c r="T13" i="21"/>
  <c r="X13" i="21" s="1"/>
  <c r="AU14" i="23" s="1"/>
  <c r="O14" i="21"/>
  <c r="AK15" i="23" s="1"/>
  <c r="K14" i="21"/>
  <c r="AF15" i="23" s="1"/>
  <c r="X11" i="21"/>
  <c r="AU12" i="23" s="1"/>
  <c r="K15" i="21"/>
  <c r="AF16" i="23" s="1"/>
  <c r="T10" i="21"/>
  <c r="X10" i="21" s="1"/>
  <c r="AU11" i="23" s="1"/>
  <c r="K10" i="21"/>
  <c r="AF11" i="23" s="1"/>
  <c r="T22" i="21"/>
  <c r="X22" i="21" s="1"/>
  <c r="AU23" i="23" s="1"/>
  <c r="V16" i="21"/>
  <c r="X16" i="21" s="1"/>
  <c r="AU17" i="23" s="1"/>
  <c r="O16" i="21"/>
  <c r="AK17" i="23" s="1"/>
  <c r="K16" i="21"/>
  <c r="AF17" i="23" s="1"/>
  <c r="T20" i="21"/>
  <c r="X20" i="21" s="1"/>
  <c r="AU21" i="23" s="1"/>
  <c r="V12" i="21"/>
  <c r="X12" i="21" s="1"/>
  <c r="AU13" i="23" s="1"/>
  <c r="O12" i="21"/>
  <c r="AK13" i="23" s="1"/>
  <c r="K12" i="21"/>
  <c r="AF13" i="23" s="1"/>
  <c r="T15" i="21"/>
  <c r="X15" i="21" s="1"/>
  <c r="AU16" i="23" s="1"/>
  <c r="D3" i="21"/>
  <c r="V9" i="21"/>
  <c r="T17" i="21"/>
  <c r="X17" i="21" s="1"/>
  <c r="AU18" i="23" s="1"/>
  <c r="N36" i="21"/>
  <c r="P36" i="21" s="1"/>
  <c r="AG85" i="23" s="1"/>
  <c r="O20" i="21"/>
  <c r="AK21" i="23" s="1"/>
  <c r="K20" i="21"/>
  <c r="AF21" i="23" s="1"/>
  <c r="O22" i="21"/>
  <c r="AK23" i="23" s="1"/>
  <c r="K22" i="21"/>
  <c r="AF23" i="23" s="1"/>
  <c r="T21" i="21"/>
  <c r="X21" i="21" s="1"/>
  <c r="AU22" i="23" s="1"/>
  <c r="D82" i="21"/>
  <c r="F3" i="21" l="1"/>
  <c r="L87" i="21"/>
  <c r="BC88" i="23"/>
  <c r="AG192" i="23" s="1"/>
  <c r="AL313" i="23"/>
  <c r="S153" i="23"/>
  <c r="U158" i="23" s="1"/>
  <c r="C150" i="23"/>
  <c r="Y9" i="21"/>
  <c r="AZ10" i="23" s="1"/>
  <c r="Q11" i="21"/>
  <c r="Q22" i="21"/>
  <c r="Y22" i="21" s="1"/>
  <c r="AZ23" i="23" s="1"/>
  <c r="Q15" i="21"/>
  <c r="Y15" i="21" s="1"/>
  <c r="AZ16" i="23" s="1"/>
  <c r="Y13" i="21"/>
  <c r="AZ14" i="23" s="1"/>
  <c r="K37" i="21"/>
  <c r="O86" i="23" s="1"/>
  <c r="X286" i="23" s="1"/>
  <c r="S290" i="23" s="1"/>
  <c r="Q18" i="21"/>
  <c r="Y18" i="21" s="1"/>
  <c r="AZ19" i="23" s="1"/>
  <c r="Q20" i="21"/>
  <c r="Y20" i="21" s="1"/>
  <c r="AZ21" i="23" s="1"/>
  <c r="Q12" i="21"/>
  <c r="Q16" i="21"/>
  <c r="Q10" i="21"/>
  <c r="Y10" i="21" s="1"/>
  <c r="AZ11" i="23" s="1"/>
  <c r="Q14" i="21"/>
  <c r="Y14" i="21" s="1"/>
  <c r="AZ15" i="23" s="1"/>
  <c r="G46" i="21"/>
  <c r="O273" i="23" s="1"/>
  <c r="R38" i="21"/>
  <c r="S38" i="21"/>
  <c r="AP87" i="23" s="1"/>
  <c r="H304" i="23" s="1"/>
  <c r="U35" i="21"/>
  <c r="Z9" i="21"/>
  <c r="Z13" i="21"/>
  <c r="R36" i="21"/>
  <c r="S36" i="21"/>
  <c r="AP85" i="23" s="1"/>
  <c r="AD303" i="23" s="1"/>
  <c r="Z21" i="21"/>
  <c r="Y16" i="21"/>
  <c r="AZ17" i="23" s="1"/>
  <c r="Z14" i="21"/>
  <c r="M35" i="21"/>
  <c r="AB84" i="23" s="1"/>
  <c r="I123" i="23" s="1"/>
  <c r="Z22" i="21"/>
  <c r="Z15" i="21"/>
  <c r="I35" i="21"/>
  <c r="Z20" i="21"/>
  <c r="Y12" i="21"/>
  <c r="AZ13" i="23" s="1"/>
  <c r="Z10" i="21"/>
  <c r="Y11" i="21"/>
  <c r="AZ12" i="23" s="1"/>
  <c r="G35" i="21"/>
  <c r="H35" i="21"/>
  <c r="H3" i="21"/>
  <c r="H87" i="21" s="1"/>
  <c r="G3" i="21"/>
  <c r="E75" i="21" s="1"/>
  <c r="H376" i="23" s="1"/>
  <c r="E3" i="21"/>
  <c r="I75" i="21" s="1"/>
  <c r="Z17" i="21"/>
  <c r="Z18" i="21"/>
  <c r="Z23" i="21"/>
  <c r="J87" i="21" l="1"/>
  <c r="K87" i="21" s="1"/>
  <c r="I87" i="21"/>
  <c r="M87" i="21" s="1"/>
  <c r="R313" i="23"/>
  <c r="BC84" i="23"/>
  <c r="R121" i="23"/>
  <c r="X121" i="23" s="1"/>
  <c r="Q117" i="23"/>
  <c r="R118" i="23" s="1"/>
  <c r="X118" i="23" s="1"/>
  <c r="D271" i="23"/>
  <c r="R274" i="23"/>
  <c r="W274" i="23" s="1"/>
  <c r="O279" i="23" s="1"/>
  <c r="V279" i="23" s="1"/>
  <c r="G47" i="21"/>
  <c r="K47" i="21" s="1"/>
  <c r="O96" i="23" s="1"/>
  <c r="J46" i="21"/>
  <c r="O95" i="23" s="1"/>
  <c r="I34" i="21"/>
  <c r="P106" i="23" s="1"/>
  <c r="H34" i="21"/>
  <c r="AB103" i="23" s="1"/>
  <c r="G34" i="21"/>
  <c r="Y103" i="23" s="1"/>
  <c r="E54" i="21"/>
  <c r="E53" i="21"/>
  <c r="E81" i="21" s="1"/>
  <c r="AB51" i="21"/>
  <c r="AB47" i="21"/>
  <c r="AB45" i="21"/>
  <c r="V45" i="21"/>
  <c r="X314" i="23" s="1"/>
  <c r="AB44" i="21"/>
  <c r="AB42" i="21"/>
  <c r="AB53" i="21"/>
  <c r="AB52" i="21"/>
  <c r="AB48" i="21"/>
  <c r="AB49" i="21"/>
  <c r="AB40" i="21"/>
  <c r="AB39" i="21"/>
  <c r="AB37" i="21"/>
  <c r="AB54" i="21"/>
  <c r="AB43" i="21"/>
  <c r="V43" i="21"/>
  <c r="N314" i="23" s="1"/>
  <c r="AB41" i="21"/>
  <c r="E35" i="21"/>
  <c r="H84" i="23" s="1"/>
  <c r="AE28" i="21"/>
  <c r="AE23" i="21"/>
  <c r="AE19" i="21"/>
  <c r="AE15" i="21"/>
  <c r="AB50" i="21"/>
  <c r="AB46" i="21"/>
  <c r="AB36" i="21"/>
  <c r="AB38" i="21"/>
  <c r="E36" i="21"/>
  <c r="H85" i="23" s="1"/>
  <c r="AB35" i="21"/>
  <c r="E34" i="21"/>
  <c r="H83" i="23" s="1"/>
  <c r="AE27" i="21"/>
  <c r="AE25" i="21"/>
  <c r="AE21" i="21"/>
  <c r="AE17" i="21"/>
  <c r="AE13" i="21"/>
  <c r="V35" i="21"/>
  <c r="R312" i="23" s="1"/>
  <c r="V46" i="21"/>
  <c r="AC314" i="23" s="1"/>
  <c r="AE10" i="21"/>
  <c r="AE11" i="21"/>
  <c r="AE26" i="21"/>
  <c r="AE18" i="21"/>
  <c r="AE24" i="21"/>
  <c r="AE16" i="21"/>
  <c r="AE9" i="21"/>
  <c r="AE22" i="21"/>
  <c r="AE14" i="21"/>
  <c r="E38" i="21"/>
  <c r="H87" i="23" s="1"/>
  <c r="AE20" i="21"/>
  <c r="AE12" i="21"/>
  <c r="V44" i="21"/>
  <c r="S314" i="23" s="1"/>
  <c r="V38" i="21"/>
  <c r="AG312" i="23" s="1"/>
  <c r="Z11" i="21"/>
  <c r="Z16" i="21"/>
  <c r="V36" i="21"/>
  <c r="W312" i="23" s="1"/>
  <c r="J35" i="21"/>
  <c r="O84" i="23" s="1"/>
  <c r="Z12" i="21"/>
  <c r="AF14" i="21" l="1"/>
  <c r="AJ14" i="21"/>
  <c r="AF24" i="21"/>
  <c r="AJ24" i="21"/>
  <c r="AK353" i="23" s="1"/>
  <c r="AF10" i="21"/>
  <c r="AJ10" i="21"/>
  <c r="AF17" i="21"/>
  <c r="AJ17" i="21"/>
  <c r="AF19" i="21"/>
  <c r="AJ19" i="21"/>
  <c r="AF12" i="21"/>
  <c r="AJ12" i="21"/>
  <c r="AK341" i="23" s="1"/>
  <c r="AF21" i="21"/>
  <c r="AJ21" i="21"/>
  <c r="AF23" i="21"/>
  <c r="AJ23" i="21"/>
  <c r="AK352" i="23" s="1"/>
  <c r="AF22" i="21"/>
  <c r="AJ22" i="21"/>
  <c r="AK351" i="23" s="1"/>
  <c r="AF20" i="21"/>
  <c r="AJ20" i="21"/>
  <c r="AF26" i="21"/>
  <c r="AJ26" i="21"/>
  <c r="AK355" i="23" s="1"/>
  <c r="AF25" i="21"/>
  <c r="AJ25" i="21"/>
  <c r="AK354" i="23" s="1"/>
  <c r="AF28" i="21"/>
  <c r="AJ28" i="21"/>
  <c r="AK357" i="23" s="1"/>
  <c r="AF18" i="21"/>
  <c r="AJ18" i="21"/>
  <c r="AF16" i="21"/>
  <c r="AJ16" i="21"/>
  <c r="AF11" i="21"/>
  <c r="AJ11" i="21"/>
  <c r="AF13" i="21"/>
  <c r="AJ13" i="21"/>
  <c r="AF27" i="21"/>
  <c r="AJ27" i="21"/>
  <c r="AK356" i="23" s="1"/>
  <c r="AF15" i="21"/>
  <c r="AJ15" i="21"/>
  <c r="AF9" i="21"/>
  <c r="AJ9" i="21"/>
  <c r="N87" i="21"/>
  <c r="O87" i="21" s="1"/>
  <c r="P87" i="21" s="1"/>
  <c r="A30" i="33"/>
  <c r="A24" i="30"/>
  <c r="A23" i="33"/>
  <c r="A17" i="30"/>
  <c r="A20" i="33"/>
  <c r="A14" i="30"/>
  <c r="A33" i="33"/>
  <c r="A27" i="30"/>
  <c r="A16" i="33"/>
  <c r="A10" i="30"/>
  <c r="A21" i="33"/>
  <c r="A15" i="30"/>
  <c r="A17" i="33"/>
  <c r="A11" i="30"/>
  <c r="A28" i="33"/>
  <c r="A22" i="30"/>
  <c r="A24" i="33"/>
  <c r="A18" i="30"/>
  <c r="A31" i="33"/>
  <c r="A25" i="30"/>
  <c r="A15" i="33"/>
  <c r="A9" i="30"/>
  <c r="A26" i="33"/>
  <c r="A20" i="30"/>
  <c r="A19" i="33"/>
  <c r="A13" i="30"/>
  <c r="A32" i="33"/>
  <c r="A26" i="30"/>
  <c r="A18" i="33"/>
  <c r="A12" i="30"/>
  <c r="A34" i="33"/>
  <c r="A28" i="30"/>
  <c r="A29" i="33"/>
  <c r="A23" i="30"/>
  <c r="A22" i="33"/>
  <c r="A16" i="30"/>
  <c r="A27" i="33"/>
  <c r="A21" i="30"/>
  <c r="A25" i="33"/>
  <c r="A19" i="30"/>
  <c r="A26" i="11"/>
  <c r="A26" i="24"/>
  <c r="A19" i="11"/>
  <c r="A19" i="24"/>
  <c r="A32" i="11"/>
  <c r="A32" i="24"/>
  <c r="A30" i="11"/>
  <c r="A30" i="24"/>
  <c r="A23" i="11"/>
  <c r="A23" i="24"/>
  <c r="A20" i="11"/>
  <c r="A20" i="24"/>
  <c r="A33" i="11"/>
  <c r="A33" i="24"/>
  <c r="A25" i="11"/>
  <c r="A25" i="24"/>
  <c r="AH35" i="21"/>
  <c r="D15" i="24" s="1"/>
  <c r="A15" i="24"/>
  <c r="A18" i="11"/>
  <c r="A18" i="24"/>
  <c r="A34" i="11"/>
  <c r="A34" i="24"/>
  <c r="A29" i="11"/>
  <c r="A29" i="24"/>
  <c r="A22" i="11"/>
  <c r="A22" i="24"/>
  <c r="A27" i="11"/>
  <c r="A27" i="24"/>
  <c r="A16" i="11"/>
  <c r="A16" i="24"/>
  <c r="A21" i="11"/>
  <c r="A21" i="24"/>
  <c r="A17" i="11"/>
  <c r="A17" i="24"/>
  <c r="A28" i="11"/>
  <c r="A28" i="24"/>
  <c r="A24" i="11"/>
  <c r="A24" i="24"/>
  <c r="A31" i="11"/>
  <c r="A31" i="24"/>
  <c r="R35" i="21"/>
  <c r="AP84" i="23" s="1"/>
  <c r="R46" i="21"/>
  <c r="AP95" i="23" s="1"/>
  <c r="H305" i="23" s="1"/>
  <c r="S47" i="21"/>
  <c r="AP96" i="23" s="1"/>
  <c r="X43" i="21"/>
  <c r="Y44" i="21"/>
  <c r="N37" i="21"/>
  <c r="P37" i="21" s="1"/>
  <c r="AG86" i="23" s="1"/>
  <c r="W35" i="21"/>
  <c r="N39" i="21"/>
  <c r="P39" i="21" s="1"/>
  <c r="AG88" i="23" s="1"/>
  <c r="A15" i="11"/>
  <c r="AG35" i="21"/>
  <c r="K15" i="33" s="1"/>
  <c r="X35" i="21"/>
  <c r="AC38" i="21"/>
  <c r="AD38" i="21"/>
  <c r="AC54" i="21"/>
  <c r="AD54" i="21"/>
  <c r="AD49" i="21"/>
  <c r="AC49" i="21"/>
  <c r="AC42" i="21"/>
  <c r="AD42" i="21"/>
  <c r="AD47" i="21"/>
  <c r="AC47" i="21"/>
  <c r="AD36" i="21"/>
  <c r="AC36" i="21"/>
  <c r="AD41" i="21"/>
  <c r="AC41" i="21"/>
  <c r="AD37" i="21"/>
  <c r="AC37" i="21"/>
  <c r="AC48" i="21"/>
  <c r="AD48" i="21"/>
  <c r="AD44" i="21"/>
  <c r="AC44" i="21"/>
  <c r="AD51" i="21"/>
  <c r="AC51" i="21"/>
  <c r="AC35" i="21"/>
  <c r="AD35" i="21"/>
  <c r="AC46" i="21"/>
  <c r="AD46" i="21"/>
  <c r="AD39" i="21"/>
  <c r="AC39" i="21"/>
  <c r="AC52" i="21"/>
  <c r="AD52" i="21"/>
  <c r="AC50" i="21"/>
  <c r="AD50" i="21"/>
  <c r="AD43" i="21"/>
  <c r="AC43" i="21"/>
  <c r="AC40" i="21"/>
  <c r="AD40" i="21"/>
  <c r="AD53" i="21"/>
  <c r="AC53" i="21"/>
  <c r="AD45" i="21"/>
  <c r="AC45" i="21"/>
  <c r="AB67" i="21"/>
  <c r="AE67" i="21" s="1"/>
  <c r="AG16" i="21"/>
  <c r="G345" i="23" s="1"/>
  <c r="AI16" i="21"/>
  <c r="AH16" i="21"/>
  <c r="Q345" i="23" s="1"/>
  <c r="AB62" i="21"/>
  <c r="AE62" i="21" s="1"/>
  <c r="AG11" i="21"/>
  <c r="AH11" i="21"/>
  <c r="Q340" i="23" s="1"/>
  <c r="AB79" i="21"/>
  <c r="AK28" i="21"/>
  <c r="AH28" i="21"/>
  <c r="Q357" i="23" s="1"/>
  <c r="AG28" i="21"/>
  <c r="G357" i="23" s="1"/>
  <c r="AL28" i="21"/>
  <c r="AI28" i="21"/>
  <c r="AB75" i="21"/>
  <c r="AE75" i="21" s="1"/>
  <c r="AG24" i="21"/>
  <c r="G353" i="23" s="1"/>
  <c r="AL24" i="21"/>
  <c r="AI24" i="21"/>
  <c r="AH24" i="21"/>
  <c r="Q353" i="23" s="1"/>
  <c r="AK24" i="21"/>
  <c r="AB64" i="21"/>
  <c r="AE64" i="21" s="1"/>
  <c r="AH13" i="21"/>
  <c r="Q342" i="23" s="1"/>
  <c r="AG13" i="21"/>
  <c r="Y35" i="21"/>
  <c r="W36" i="21"/>
  <c r="X36" i="21"/>
  <c r="X38" i="21"/>
  <c r="W38" i="21"/>
  <c r="AB71" i="21"/>
  <c r="AE71" i="21" s="1"/>
  <c r="AG20" i="21"/>
  <c r="G349" i="23" s="1"/>
  <c r="AI20" i="21"/>
  <c r="AH20" i="21"/>
  <c r="Q349" i="23" s="1"/>
  <c r="AB60" i="21"/>
  <c r="AE60" i="21" s="1"/>
  <c r="AH9" i="21"/>
  <c r="AG9" i="21"/>
  <c r="G338" i="23" s="1"/>
  <c r="AB77" i="21"/>
  <c r="AE77" i="21" s="1"/>
  <c r="AL26" i="21"/>
  <c r="AG26" i="21"/>
  <c r="G355" i="23" s="1"/>
  <c r="AK26" i="21"/>
  <c r="AI26" i="21"/>
  <c r="AH26" i="21"/>
  <c r="Q355" i="23" s="1"/>
  <c r="X46" i="21"/>
  <c r="W46" i="21"/>
  <c r="AB72" i="21"/>
  <c r="AE72" i="21" s="1"/>
  <c r="AH21" i="21"/>
  <c r="AG21" i="21"/>
  <c r="AE35" i="21"/>
  <c r="AE46" i="21"/>
  <c r="AB74" i="21"/>
  <c r="AE74" i="21" s="1"/>
  <c r="AI23" i="21"/>
  <c r="AK23" i="21"/>
  <c r="AH23" i="21"/>
  <c r="Q352" i="23" s="1"/>
  <c r="AG23" i="21"/>
  <c r="AL23" i="21"/>
  <c r="AE41" i="21"/>
  <c r="K34" i="21"/>
  <c r="S83" i="23" s="1"/>
  <c r="AH49" i="21"/>
  <c r="AK49" i="21"/>
  <c r="AG49" i="21"/>
  <c r="K29" i="33" s="1"/>
  <c r="AJ49" i="21"/>
  <c r="AF49" i="21"/>
  <c r="AI49" i="21"/>
  <c r="AE49" i="21"/>
  <c r="AE42" i="21"/>
  <c r="AE47" i="21"/>
  <c r="E82" i="21"/>
  <c r="G82" i="21" s="1"/>
  <c r="G54" i="21"/>
  <c r="AE37" i="21"/>
  <c r="AK48" i="21"/>
  <c r="AG48" i="21"/>
  <c r="K28" i="33" s="1"/>
  <c r="AJ48" i="21"/>
  <c r="AF48" i="21"/>
  <c r="AI48" i="21"/>
  <c r="AE48" i="21"/>
  <c r="AH48" i="21"/>
  <c r="AE44" i="21"/>
  <c r="AJ51" i="21"/>
  <c r="AF51" i="21"/>
  <c r="AI51" i="21"/>
  <c r="AE51" i="21"/>
  <c r="AH51" i="21"/>
  <c r="AK51" i="21"/>
  <c r="AG51" i="21"/>
  <c r="K31" i="33" s="1"/>
  <c r="AK52" i="21"/>
  <c r="AG52" i="21"/>
  <c r="K32" i="33" s="1"/>
  <c r="AJ52" i="21"/>
  <c r="AF52" i="21"/>
  <c r="AI52" i="21"/>
  <c r="AE52" i="21"/>
  <c r="AH52" i="21"/>
  <c r="AB76" i="21"/>
  <c r="AE76" i="21" s="1"/>
  <c r="AK25" i="21"/>
  <c r="AH25" i="21"/>
  <c r="Q354" i="23" s="1"/>
  <c r="AI25" i="21"/>
  <c r="AG25" i="21"/>
  <c r="G354" i="23" s="1"/>
  <c r="AL25" i="21"/>
  <c r="AI50" i="21"/>
  <c r="AE50" i="21"/>
  <c r="AH50" i="21"/>
  <c r="AK50" i="21"/>
  <c r="AG50" i="21"/>
  <c r="K30" i="33" s="1"/>
  <c r="AF50" i="21"/>
  <c r="AJ50" i="21"/>
  <c r="AB65" i="21"/>
  <c r="AE65" i="21" s="1"/>
  <c r="AG14" i="21"/>
  <c r="G343" i="23" s="1"/>
  <c r="AH14" i="21"/>
  <c r="Q343" i="23" s="1"/>
  <c r="AB61" i="21"/>
  <c r="AE61" i="21" s="1"/>
  <c r="AH10" i="21"/>
  <c r="Q339" i="23" s="1"/>
  <c r="AG10" i="21"/>
  <c r="AB78" i="21"/>
  <c r="AE78" i="21" s="1"/>
  <c r="AG27" i="21"/>
  <c r="G356" i="23" s="1"/>
  <c r="AK27" i="21"/>
  <c r="AL27" i="21"/>
  <c r="AI27" i="21"/>
  <c r="AH27" i="21"/>
  <c r="Q356" i="23" s="1"/>
  <c r="AE38" i="21"/>
  <c r="AB66" i="21"/>
  <c r="AE66" i="21" s="1"/>
  <c r="AI15" i="21"/>
  <c r="AH15" i="21"/>
  <c r="Q344" i="23" s="1"/>
  <c r="AG15" i="21"/>
  <c r="G344" i="23" s="1"/>
  <c r="AE43" i="21"/>
  <c r="AE39" i="21"/>
  <c r="X45" i="21"/>
  <c r="W45" i="21"/>
  <c r="AB63" i="21"/>
  <c r="AE63" i="21" s="1"/>
  <c r="AH12" i="21"/>
  <c r="Q341" i="23" s="1"/>
  <c r="AG12" i="21"/>
  <c r="G341" i="23" s="1"/>
  <c r="AI12" i="21"/>
  <c r="AB73" i="21"/>
  <c r="AE73" i="21" s="1"/>
  <c r="AL22" i="21"/>
  <c r="AG22" i="21"/>
  <c r="G351" i="23" s="1"/>
  <c r="AI22" i="21"/>
  <c r="AH22" i="21"/>
  <c r="Q351" i="23" s="1"/>
  <c r="AK22" i="21"/>
  <c r="AB69" i="21"/>
  <c r="AE69" i="21" s="1"/>
  <c r="AG18" i="21"/>
  <c r="G347" i="23" s="1"/>
  <c r="AH18" i="21"/>
  <c r="J34" i="21"/>
  <c r="O83" i="23" s="1"/>
  <c r="AB68" i="21"/>
  <c r="AE68" i="21" s="1"/>
  <c r="AH17" i="21"/>
  <c r="Q346" i="23" s="1"/>
  <c r="AG17" i="21"/>
  <c r="AE36" i="21"/>
  <c r="AB70" i="21"/>
  <c r="AE70" i="21" s="1"/>
  <c r="AH19" i="21"/>
  <c r="Q348" i="23" s="1"/>
  <c r="AG19" i="21"/>
  <c r="G348" i="23" s="1"/>
  <c r="E49" i="21"/>
  <c r="H98" i="23" s="1"/>
  <c r="AH54" i="21"/>
  <c r="AK54" i="21"/>
  <c r="AF54" i="21"/>
  <c r="AJ54" i="21"/>
  <c r="AE54" i="21"/>
  <c r="AI54" i="21"/>
  <c r="AG54" i="21"/>
  <c r="K34" i="33" s="1"/>
  <c r="AE40" i="21"/>
  <c r="AK53" i="21"/>
  <c r="AG53" i="21"/>
  <c r="K33" i="33" s="1"/>
  <c r="AI53" i="21"/>
  <c r="AH53" i="21"/>
  <c r="AF53" i="21"/>
  <c r="AE53" i="21"/>
  <c r="AJ53" i="21"/>
  <c r="AE45" i="21"/>
  <c r="A4" i="33"/>
  <c r="E9" i="33"/>
  <c r="E8" i="33"/>
  <c r="E7" i="33"/>
  <c r="E6" i="33"/>
  <c r="A48" i="30" l="1"/>
  <c r="AE79" i="21"/>
  <c r="F15" i="11"/>
  <c r="F15" i="24"/>
  <c r="E29" i="30"/>
  <c r="F36" i="33"/>
  <c r="A37" i="30"/>
  <c r="A32" i="30"/>
  <c r="A47" i="30"/>
  <c r="A39" i="30"/>
  <c r="A38" i="30"/>
  <c r="A35" i="30"/>
  <c r="A34" i="30"/>
  <c r="A42" i="30"/>
  <c r="A30" i="30"/>
  <c r="A43" i="30"/>
  <c r="A44" i="30"/>
  <c r="A41" i="30"/>
  <c r="A40" i="30"/>
  <c r="A33" i="30"/>
  <c r="A45" i="30"/>
  <c r="A46" i="30"/>
  <c r="A31" i="30"/>
  <c r="A36" i="30"/>
  <c r="AE290" i="23"/>
  <c r="O305" i="23"/>
  <c r="O126" i="23"/>
  <c r="V126" i="23" s="1"/>
  <c r="W303" i="23"/>
  <c r="H33" i="33"/>
  <c r="G27" i="30"/>
  <c r="L28" i="33"/>
  <c r="H22" i="30"/>
  <c r="F33" i="33"/>
  <c r="E27" i="30"/>
  <c r="J34" i="33"/>
  <c r="F28" i="30"/>
  <c r="F16" i="33"/>
  <c r="E10" i="30"/>
  <c r="F18" i="33"/>
  <c r="E12" i="30"/>
  <c r="F30" i="33"/>
  <c r="E24" i="30"/>
  <c r="L32" i="33"/>
  <c r="H26" i="30"/>
  <c r="L31" i="33"/>
  <c r="H25" i="30"/>
  <c r="J28" i="33"/>
  <c r="F22" i="30"/>
  <c r="F17" i="33"/>
  <c r="E11" i="30"/>
  <c r="F22" i="33"/>
  <c r="E16" i="30"/>
  <c r="H29" i="33"/>
  <c r="G23" i="30"/>
  <c r="F20" i="33"/>
  <c r="E14" i="30"/>
  <c r="H34" i="33"/>
  <c r="G28" i="30"/>
  <c r="F32" i="33"/>
  <c r="E26" i="30"/>
  <c r="F31" i="33"/>
  <c r="E25" i="30"/>
  <c r="J29" i="33"/>
  <c r="F23" i="30"/>
  <c r="J33" i="33"/>
  <c r="F27" i="30"/>
  <c r="L34" i="33"/>
  <c r="H28" i="30"/>
  <c r="L30" i="33"/>
  <c r="H24" i="30"/>
  <c r="J32" i="33"/>
  <c r="F26" i="30"/>
  <c r="J31" i="33"/>
  <c r="F25" i="30"/>
  <c r="H28" i="33"/>
  <c r="G22" i="30"/>
  <c r="F29" i="33"/>
  <c r="E23" i="30"/>
  <c r="F23" i="33"/>
  <c r="E17" i="30"/>
  <c r="J30" i="33"/>
  <c r="F24" i="30"/>
  <c r="F24" i="33"/>
  <c r="E18" i="30"/>
  <c r="F27" i="33"/>
  <c r="E21" i="30"/>
  <c r="F25" i="33"/>
  <c r="E19" i="30"/>
  <c r="L33" i="33"/>
  <c r="H27" i="30"/>
  <c r="F34" i="33"/>
  <c r="E28" i="30"/>
  <c r="F19" i="33"/>
  <c r="E13" i="30"/>
  <c r="H30" i="33"/>
  <c r="G24" i="30"/>
  <c r="H32" i="33"/>
  <c r="G26" i="30"/>
  <c r="H31" i="33"/>
  <c r="G25" i="30"/>
  <c r="F28" i="33"/>
  <c r="E22" i="30"/>
  <c r="L29" i="33"/>
  <c r="H23" i="30"/>
  <c r="F21" i="33"/>
  <c r="E15" i="30"/>
  <c r="F26" i="33"/>
  <c r="E20" i="30"/>
  <c r="F15" i="33"/>
  <c r="E9" i="30"/>
  <c r="A36" i="33"/>
  <c r="A29" i="30"/>
  <c r="AH71" i="21"/>
  <c r="A47" i="33"/>
  <c r="AH64" i="21"/>
  <c r="A40" i="33"/>
  <c r="AH70" i="21"/>
  <c r="A46" i="33"/>
  <c r="AH68" i="21"/>
  <c r="A44" i="33"/>
  <c r="AH69" i="21"/>
  <c r="A45" i="33"/>
  <c r="AH63" i="21"/>
  <c r="A39" i="33"/>
  <c r="AH66" i="21"/>
  <c r="A42" i="33"/>
  <c r="AH78" i="21"/>
  <c r="A54" i="33"/>
  <c r="AH77" i="21"/>
  <c r="A53" i="33"/>
  <c r="AH62" i="21"/>
  <c r="A38" i="33"/>
  <c r="AH67" i="21"/>
  <c r="A43" i="33"/>
  <c r="AH73" i="21"/>
  <c r="A49" i="33"/>
  <c r="AH61" i="21"/>
  <c r="A37" i="33"/>
  <c r="AH72" i="21"/>
  <c r="A48" i="33"/>
  <c r="AH76" i="21"/>
  <c r="A52" i="33"/>
  <c r="AH79" i="21"/>
  <c r="G34" i="24" s="1"/>
  <c r="A55" i="33"/>
  <c r="AH65" i="21"/>
  <c r="A41" i="33"/>
  <c r="AH74" i="21"/>
  <c r="A50" i="33"/>
  <c r="AH75" i="21"/>
  <c r="A51" i="33"/>
  <c r="D33" i="11"/>
  <c r="D33" i="24"/>
  <c r="C31" i="11"/>
  <c r="C31" i="24"/>
  <c r="D29" i="11"/>
  <c r="D29" i="24"/>
  <c r="C33" i="11"/>
  <c r="C33" i="24"/>
  <c r="H33" i="11"/>
  <c r="H33" i="24"/>
  <c r="C16" i="11"/>
  <c r="C16" i="24"/>
  <c r="C18" i="11"/>
  <c r="C18" i="24"/>
  <c r="C30" i="11"/>
  <c r="C30" i="24"/>
  <c r="H32" i="11"/>
  <c r="H32" i="24"/>
  <c r="H31" i="11"/>
  <c r="H31" i="24"/>
  <c r="D28" i="11"/>
  <c r="D28" i="24"/>
  <c r="C17" i="11"/>
  <c r="C17" i="24"/>
  <c r="C22" i="11"/>
  <c r="C22" i="24"/>
  <c r="H28" i="11"/>
  <c r="H28" i="24"/>
  <c r="H34" i="11"/>
  <c r="H34" i="24"/>
  <c r="H30" i="11"/>
  <c r="H30" i="24"/>
  <c r="D32" i="11"/>
  <c r="D32" i="24"/>
  <c r="D31" i="11"/>
  <c r="D31" i="24"/>
  <c r="C29" i="11"/>
  <c r="C29" i="24"/>
  <c r="C20" i="11"/>
  <c r="C20" i="24"/>
  <c r="C23" i="11"/>
  <c r="C23" i="24"/>
  <c r="C32" i="11"/>
  <c r="C32" i="24"/>
  <c r="C24" i="11"/>
  <c r="C24" i="24"/>
  <c r="C27" i="11"/>
  <c r="C27" i="24"/>
  <c r="C15" i="11"/>
  <c r="C15" i="24"/>
  <c r="C25" i="11"/>
  <c r="C25" i="24"/>
  <c r="C34" i="11"/>
  <c r="C34" i="24"/>
  <c r="D34" i="11"/>
  <c r="D34" i="24"/>
  <c r="C19" i="11"/>
  <c r="C19" i="24"/>
  <c r="D30" i="11"/>
  <c r="D30" i="24"/>
  <c r="C28" i="11"/>
  <c r="C28" i="24"/>
  <c r="H29" i="11"/>
  <c r="H29" i="24"/>
  <c r="C21" i="11"/>
  <c r="C21" i="24"/>
  <c r="C26" i="11"/>
  <c r="C26" i="24"/>
  <c r="AA341" i="23"/>
  <c r="AA352" i="23"/>
  <c r="AA349" i="23"/>
  <c r="AA354" i="23"/>
  <c r="AA353" i="23"/>
  <c r="AA345" i="23"/>
  <c r="AA351" i="23"/>
  <c r="AA344" i="23"/>
  <c r="AA356" i="23"/>
  <c r="AA355" i="23"/>
  <c r="AA357" i="23"/>
  <c r="AI17" i="21"/>
  <c r="G346" i="23"/>
  <c r="AI18" i="21"/>
  <c r="Q347" i="23"/>
  <c r="AI10" i="21"/>
  <c r="G339" i="23"/>
  <c r="G350" i="23"/>
  <c r="AI13" i="21"/>
  <c r="G342" i="23"/>
  <c r="G352" i="23"/>
  <c r="E76" i="21"/>
  <c r="Q350" i="23"/>
  <c r="AI9" i="21"/>
  <c r="Q338" i="23"/>
  <c r="AI11" i="21"/>
  <c r="G340" i="23"/>
  <c r="V47" i="21"/>
  <c r="AH314" i="23" s="1"/>
  <c r="R39" i="21"/>
  <c r="K48" i="21"/>
  <c r="S37" i="21"/>
  <c r="R37" i="21"/>
  <c r="R34" i="21"/>
  <c r="AP83" i="23" s="1"/>
  <c r="S39" i="21"/>
  <c r="AP88" i="23" s="1"/>
  <c r="S34" i="21"/>
  <c r="AT83" i="23" s="1"/>
  <c r="AG60" i="21"/>
  <c r="K36" i="33" s="1"/>
  <c r="AH60" i="21"/>
  <c r="AK349" i="23"/>
  <c r="AK339" i="23"/>
  <c r="AK340" i="23"/>
  <c r="AK346" i="23"/>
  <c r="AK347" i="23"/>
  <c r="AK338" i="23"/>
  <c r="AK342" i="23"/>
  <c r="AI19" i="21"/>
  <c r="AD73" i="21"/>
  <c r="AK73" i="21"/>
  <c r="H42" i="30" s="1"/>
  <c r="AG73" i="21"/>
  <c r="K49" i="33" s="1"/>
  <c r="AC73" i="21"/>
  <c r="AJ73" i="21"/>
  <c r="G42" i="30" s="1"/>
  <c r="AF73" i="21"/>
  <c r="F42" i="30" s="1"/>
  <c r="AI73" i="21"/>
  <c r="AK344" i="23"/>
  <c r="AK78" i="21"/>
  <c r="H47" i="30" s="1"/>
  <c r="AG78" i="21"/>
  <c r="K54" i="33" s="1"/>
  <c r="AC78" i="21"/>
  <c r="AJ78" i="21"/>
  <c r="G47" i="30" s="1"/>
  <c r="AF78" i="21"/>
  <c r="F47" i="30" s="1"/>
  <c r="AI78" i="21"/>
  <c r="AD78" i="21"/>
  <c r="A48" i="13"/>
  <c r="AI21" i="21"/>
  <c r="AK79" i="21"/>
  <c r="H48" i="30" s="1"/>
  <c r="AG79" i="21"/>
  <c r="K55" i="33" s="1"/>
  <c r="AC79" i="21"/>
  <c r="AJ79" i="21"/>
  <c r="G48" i="30" s="1"/>
  <c r="AF79" i="21"/>
  <c r="F48" i="30" s="1"/>
  <c r="AI79" i="21"/>
  <c r="AD79" i="21"/>
  <c r="AK77" i="21"/>
  <c r="H46" i="30" s="1"/>
  <c r="AG77" i="21"/>
  <c r="K53" i="33" s="1"/>
  <c r="AC77" i="21"/>
  <c r="AJ77" i="21"/>
  <c r="G46" i="30" s="1"/>
  <c r="AF77" i="21"/>
  <c r="F46" i="30" s="1"/>
  <c r="AI77" i="21"/>
  <c r="AD77" i="21"/>
  <c r="AK345" i="23"/>
  <c r="AD76" i="21"/>
  <c r="AK76" i="21"/>
  <c r="H45" i="30" s="1"/>
  <c r="AG76" i="21"/>
  <c r="K52" i="33" s="1"/>
  <c r="AC76" i="21"/>
  <c r="AJ76" i="21"/>
  <c r="G45" i="30" s="1"/>
  <c r="AF76" i="21"/>
  <c r="F45" i="30" s="1"/>
  <c r="AI76" i="21"/>
  <c r="AI75" i="21"/>
  <c r="AD75" i="21"/>
  <c r="AK75" i="21"/>
  <c r="H44" i="30" s="1"/>
  <c r="AG75" i="21"/>
  <c r="K51" i="33" s="1"/>
  <c r="AC75" i="21"/>
  <c r="AF75" i="21"/>
  <c r="F44" i="30" s="1"/>
  <c r="AJ75" i="21"/>
  <c r="G44" i="30" s="1"/>
  <c r="AI14" i="21"/>
  <c r="AD74" i="21"/>
  <c r="AK74" i="21"/>
  <c r="H43" i="30" s="1"/>
  <c r="AG74" i="21"/>
  <c r="K50" i="33" s="1"/>
  <c r="AC74" i="21"/>
  <c r="AJ74" i="21"/>
  <c r="G43" i="30" s="1"/>
  <c r="AF74" i="21"/>
  <c r="F43" i="30" s="1"/>
  <c r="AI74" i="21"/>
  <c r="F31" i="11" l="1"/>
  <c r="F31" i="24"/>
  <c r="F29" i="11"/>
  <c r="F29" i="24"/>
  <c r="F23" i="11"/>
  <c r="F23" i="24"/>
  <c r="F20" i="11"/>
  <c r="F20" i="24"/>
  <c r="F25" i="11"/>
  <c r="F25" i="24"/>
  <c r="F22" i="11"/>
  <c r="F22" i="24"/>
  <c r="F30" i="11"/>
  <c r="F30" i="24"/>
  <c r="F21" i="11"/>
  <c r="F21" i="24"/>
  <c r="F32" i="11"/>
  <c r="F32" i="24"/>
  <c r="F33" i="11"/>
  <c r="F33" i="24"/>
  <c r="F18" i="11"/>
  <c r="F18" i="24"/>
  <c r="F27" i="11"/>
  <c r="F27" i="24"/>
  <c r="F17" i="11"/>
  <c r="F17" i="24"/>
  <c r="F34" i="11"/>
  <c r="F34" i="24"/>
  <c r="F28" i="11"/>
  <c r="F28" i="24"/>
  <c r="F24" i="11"/>
  <c r="F24" i="24"/>
  <c r="F19" i="11"/>
  <c r="F19" i="24"/>
  <c r="F26" i="11"/>
  <c r="F26" i="24"/>
  <c r="F16" i="11"/>
  <c r="F16" i="24"/>
  <c r="E41" i="30"/>
  <c r="F48" i="33"/>
  <c r="E40" i="30"/>
  <c r="F47" i="33"/>
  <c r="E30" i="30"/>
  <c r="F37" i="33"/>
  <c r="E33" i="30"/>
  <c r="F40" i="33"/>
  <c r="E43" i="30"/>
  <c r="F50" i="33"/>
  <c r="E37" i="30"/>
  <c r="F44" i="33"/>
  <c r="E45" i="30"/>
  <c r="F52" i="33"/>
  <c r="E34" i="30"/>
  <c r="F41" i="33"/>
  <c r="E39" i="30"/>
  <c r="F46" i="33"/>
  <c r="E31" i="30"/>
  <c r="F38" i="33"/>
  <c r="E48" i="30"/>
  <c r="F55" i="33"/>
  <c r="E42" i="30"/>
  <c r="F49" i="33"/>
  <c r="E38" i="30"/>
  <c r="F45" i="33"/>
  <c r="E36" i="30"/>
  <c r="F43" i="33"/>
  <c r="E44" i="30"/>
  <c r="F51" i="33"/>
  <c r="E35" i="30"/>
  <c r="F42" i="33"/>
  <c r="E46" i="30"/>
  <c r="F53" i="33"/>
  <c r="E47" i="30"/>
  <c r="F54" i="33"/>
  <c r="E32" i="30"/>
  <c r="F39" i="33"/>
  <c r="G15" i="24"/>
  <c r="G29" i="24"/>
  <c r="G27" i="24"/>
  <c r="G28" i="24"/>
  <c r="G17" i="24"/>
  <c r="G33" i="24"/>
  <c r="G18" i="24"/>
  <c r="G23" i="24"/>
  <c r="G19" i="24"/>
  <c r="G30" i="24"/>
  <c r="G20" i="24"/>
  <c r="G31" i="24"/>
  <c r="G16" i="24"/>
  <c r="G22" i="24"/>
  <c r="G32" i="24"/>
  <c r="G21" i="24"/>
  <c r="G24" i="24"/>
  <c r="G25" i="24"/>
  <c r="G26" i="24"/>
  <c r="L51" i="33"/>
  <c r="H55" i="33"/>
  <c r="J54" i="33"/>
  <c r="L54" i="33"/>
  <c r="J52" i="33"/>
  <c r="J53" i="33"/>
  <c r="L53" i="33"/>
  <c r="H54" i="33"/>
  <c r="J49" i="33"/>
  <c r="L49" i="33"/>
  <c r="H51" i="33"/>
  <c r="J50" i="33"/>
  <c r="L50" i="33"/>
  <c r="J51" i="33"/>
  <c r="H52" i="33"/>
  <c r="H53" i="33"/>
  <c r="H49" i="33"/>
  <c r="L52" i="33"/>
  <c r="H50" i="33"/>
  <c r="J55" i="33"/>
  <c r="L55" i="33"/>
  <c r="G31" i="11"/>
  <c r="G32" i="11"/>
  <c r="G34" i="11"/>
  <c r="G29" i="11"/>
  <c r="G28" i="11"/>
  <c r="G33" i="11"/>
  <c r="G30" i="11"/>
  <c r="AA348" i="23"/>
  <c r="AA339" i="23"/>
  <c r="AA343" i="23"/>
  <c r="AA350" i="23"/>
  <c r="AA340" i="23"/>
  <c r="AA342" i="23"/>
  <c r="AA346" i="23"/>
  <c r="AA338" i="23"/>
  <c r="AA347" i="23"/>
  <c r="V37" i="21"/>
  <c r="AB312" i="23" s="1"/>
  <c r="AP86" i="23"/>
  <c r="S48" i="21"/>
  <c r="AP97" i="23" s="1"/>
  <c r="O97" i="23"/>
  <c r="E77" i="21"/>
  <c r="H378" i="23" s="1"/>
  <c r="H377" i="23"/>
  <c r="Y47" i="21"/>
  <c r="V34" i="21"/>
  <c r="M312" i="23" s="1"/>
  <c r="V39" i="21"/>
  <c r="AL312" i="23" s="1"/>
  <c r="S49" i="21"/>
  <c r="AU98" i="23" s="1"/>
  <c r="R49" i="21"/>
  <c r="AP98" i="23" s="1"/>
  <c r="AK343" i="23"/>
  <c r="C69" i="21"/>
  <c r="C66" i="21"/>
  <c r="C70" i="21"/>
  <c r="C67" i="21"/>
  <c r="C62" i="21"/>
  <c r="C68" i="21"/>
  <c r="X49" i="21"/>
  <c r="E58" i="21" s="1"/>
  <c r="C63" i="21"/>
  <c r="C59" i="21"/>
  <c r="E60" i="21" s="1"/>
  <c r="C60" i="21"/>
  <c r="F60" i="21" s="1"/>
  <c r="C65" i="21"/>
  <c r="AK350" i="23"/>
  <c r="AK348" i="23"/>
  <c r="C64" i="21"/>
  <c r="A4" i="24"/>
  <c r="W37" i="21" l="1"/>
  <c r="X37" i="21"/>
  <c r="C61" i="21" s="1"/>
  <c r="E59" i="21" s="1"/>
  <c r="G59" i="21" s="1"/>
  <c r="V48" i="21"/>
  <c r="AM314" i="23" s="1"/>
  <c r="Y39" i="21"/>
  <c r="Y34" i="21"/>
  <c r="Y49" i="21" s="1"/>
  <c r="F58" i="21" s="1"/>
  <c r="G58" i="21" s="1"/>
  <c r="V49" i="21"/>
  <c r="L311" i="23" s="1"/>
  <c r="W39" i="21"/>
  <c r="W49" i="21" s="1"/>
  <c r="U49" i="21" s="1"/>
  <c r="BC98" i="23" s="1"/>
  <c r="Y48" i="21" l="1"/>
  <c r="F62" i="21"/>
  <c r="E62" i="21"/>
  <c r="E63" i="21"/>
  <c r="C40" i="24" l="1"/>
  <c r="G56" i="33"/>
  <c r="E39" i="24"/>
  <c r="A40" i="24"/>
  <c r="G62" i="21"/>
  <c r="E64" i="21"/>
  <c r="H56" i="33" s="1"/>
  <c r="D39" i="11"/>
  <c r="I328" i="23" l="1"/>
  <c r="F39" i="24"/>
  <c r="C53" i="21"/>
  <c r="AA328" i="23" s="1"/>
  <c r="E39" i="11"/>
  <c r="D53" i="21"/>
  <c r="AF328" i="23" s="1"/>
  <c r="G53" i="21" l="1"/>
  <c r="H53" i="21" s="1"/>
  <c r="U54" i="21" s="1"/>
  <c r="U53" i="21" s="1"/>
  <c r="AS328" i="23" s="1"/>
  <c r="AB19" i="21"/>
  <c r="AB18" i="21"/>
  <c r="AB14" i="21"/>
  <c r="AB21" i="21"/>
  <c r="AB13" i="21"/>
  <c r="AB20" i="21"/>
  <c r="AB17" i="21"/>
  <c r="AB10" i="21"/>
  <c r="AB15" i="21"/>
  <c r="AB22" i="21"/>
  <c r="AB9" i="21"/>
  <c r="AB23" i="21"/>
  <c r="AB11" i="21"/>
  <c r="AB12" i="21"/>
  <c r="AB16" i="21"/>
  <c r="AL20" i="21"/>
  <c r="AL12" i="21"/>
  <c r="AL11" i="21"/>
  <c r="AL15" i="21"/>
  <c r="AL18" i="21"/>
  <c r="AL9" i="21"/>
  <c r="AL13" i="21"/>
  <c r="AL17" i="21"/>
  <c r="AL10" i="21"/>
  <c r="AL16" i="21"/>
  <c r="AL21" i="21"/>
  <c r="AL14" i="21"/>
  <c r="AL19" i="21"/>
  <c r="E37" i="11" l="1"/>
  <c r="F37" i="24"/>
  <c r="H75" i="21"/>
  <c r="H76" i="21" s="1"/>
  <c r="K76" i="21" s="1"/>
  <c r="R53" i="21"/>
  <c r="L3" i="21" s="1"/>
  <c r="J53" i="21"/>
  <c r="N53" i="21" s="1"/>
  <c r="G15" i="11"/>
  <c r="G18" i="11"/>
  <c r="AH41" i="21"/>
  <c r="G25" i="11"/>
  <c r="G24" i="11"/>
  <c r="AH47" i="21"/>
  <c r="G27" i="11"/>
  <c r="G19" i="11"/>
  <c r="G17" i="11"/>
  <c r="AH38" i="21"/>
  <c r="AH46" i="21"/>
  <c r="AH44" i="21"/>
  <c r="AH45" i="21"/>
  <c r="G22" i="11"/>
  <c r="AH37" i="21"/>
  <c r="AH39" i="21"/>
  <c r="G16" i="11"/>
  <c r="G26" i="11"/>
  <c r="AH36" i="21"/>
  <c r="AA19" i="21"/>
  <c r="AA9" i="21"/>
  <c r="AF35" i="21" s="1"/>
  <c r="AA15" i="21"/>
  <c r="AF41" i="21" s="1"/>
  <c r="AA22" i="21"/>
  <c r="AA10" i="21"/>
  <c r="AA23" i="21"/>
  <c r="AA13" i="21"/>
  <c r="AF39" i="21" s="1"/>
  <c r="AA14" i="21"/>
  <c r="AF40" i="21" s="1"/>
  <c r="AA20" i="21"/>
  <c r="AA17" i="21"/>
  <c r="AF43" i="21" s="1"/>
  <c r="AA18" i="21"/>
  <c r="AF44" i="21" s="1"/>
  <c r="AA21" i="21"/>
  <c r="AF47" i="21" s="1"/>
  <c r="AA11" i="21"/>
  <c r="AA12" i="21"/>
  <c r="AF38" i="21" s="1"/>
  <c r="AA16" i="21"/>
  <c r="AF42" i="21" s="1"/>
  <c r="AK20" i="21"/>
  <c r="AF71" i="21" s="1"/>
  <c r="F40" i="30" s="1"/>
  <c r="AK9" i="21"/>
  <c r="AK16" i="21"/>
  <c r="AF67" i="21" s="1"/>
  <c r="F36" i="30" s="1"/>
  <c r="AK15" i="21"/>
  <c r="AF66" i="21" s="1"/>
  <c r="F35" i="30" s="1"/>
  <c r="AK11" i="21"/>
  <c r="AF62" i="21" s="1"/>
  <c r="F31" i="30" s="1"/>
  <c r="AK18" i="21"/>
  <c r="AK13" i="21"/>
  <c r="AF64" i="21" s="1"/>
  <c r="F33" i="30" s="1"/>
  <c r="AK17" i="21"/>
  <c r="AF68" i="21" s="1"/>
  <c r="F37" i="30" s="1"/>
  <c r="AK12" i="21"/>
  <c r="AF63" i="21" s="1"/>
  <c r="F32" i="30" s="1"/>
  <c r="AK10" i="21"/>
  <c r="AK21" i="21"/>
  <c r="AF72" i="21" s="1"/>
  <c r="F41" i="30" s="1"/>
  <c r="AK14" i="21"/>
  <c r="AF65" i="21" s="1"/>
  <c r="F34" i="30" s="1"/>
  <c r="AK19" i="21"/>
  <c r="AF70" i="21" s="1"/>
  <c r="F39" i="30" s="1"/>
  <c r="G20" i="11"/>
  <c r="AG68" i="21"/>
  <c r="K44" i="33" s="1"/>
  <c r="G23" i="11"/>
  <c r="G21" i="11"/>
  <c r="AH42" i="21"/>
  <c r="AG42" i="21"/>
  <c r="K22" i="33" s="1"/>
  <c r="D15" i="11"/>
  <c r="AG43" i="21"/>
  <c r="K23" i="33" s="1"/>
  <c r="AH43" i="21"/>
  <c r="AH40" i="21"/>
  <c r="AG40" i="21"/>
  <c r="K20" i="33" s="1"/>
  <c r="AI42" i="21"/>
  <c r="AI43" i="21"/>
  <c r="AI36" i="21"/>
  <c r="AI47" i="21"/>
  <c r="AI37" i="21"/>
  <c r="AI44" i="21"/>
  <c r="AI35" i="21"/>
  <c r="AI46" i="21"/>
  <c r="AI40" i="21"/>
  <c r="AI41" i="21"/>
  <c r="AI38" i="21"/>
  <c r="AI39" i="21"/>
  <c r="AI45" i="21"/>
  <c r="AI71" i="21"/>
  <c r="AI66" i="21"/>
  <c r="AI65" i="21"/>
  <c r="AI62" i="21"/>
  <c r="AI68" i="21"/>
  <c r="AI69" i="21"/>
  <c r="AI61" i="21"/>
  <c r="AI70" i="21"/>
  <c r="AI64" i="21"/>
  <c r="AI60" i="21"/>
  <c r="AI63" i="21"/>
  <c r="AI67" i="21"/>
  <c r="AI72" i="21"/>
  <c r="J46" i="33" l="1"/>
  <c r="J39" i="33"/>
  <c r="J47" i="33"/>
  <c r="J44" i="33"/>
  <c r="J42" i="33"/>
  <c r="J48" i="33"/>
  <c r="J40" i="33"/>
  <c r="J43" i="33"/>
  <c r="J41" i="33"/>
  <c r="J38" i="33"/>
  <c r="J27" i="33"/>
  <c r="F21" i="30"/>
  <c r="J20" i="33"/>
  <c r="F14" i="30"/>
  <c r="J22" i="33"/>
  <c r="F16" i="30"/>
  <c r="J24" i="33"/>
  <c r="F18" i="30"/>
  <c r="J19" i="33"/>
  <c r="F13" i="30"/>
  <c r="J21" i="33"/>
  <c r="F15" i="30"/>
  <c r="J18" i="33"/>
  <c r="F12" i="30"/>
  <c r="J23" i="33"/>
  <c r="F17" i="30"/>
  <c r="J15" i="33"/>
  <c r="F9" i="30"/>
  <c r="H20" i="11"/>
  <c r="H20" i="24"/>
  <c r="H19" i="11"/>
  <c r="H19" i="24"/>
  <c r="H26" i="11"/>
  <c r="H26" i="24"/>
  <c r="H27" i="11"/>
  <c r="H27" i="24"/>
  <c r="D18" i="11"/>
  <c r="D18" i="24"/>
  <c r="D27" i="11"/>
  <c r="D27" i="24"/>
  <c r="H17" i="11"/>
  <c r="H17" i="24"/>
  <c r="D16" i="11"/>
  <c r="D16" i="24"/>
  <c r="D26" i="11"/>
  <c r="D26" i="24"/>
  <c r="H15" i="11"/>
  <c r="H15" i="24"/>
  <c r="D20" i="11"/>
  <c r="D20" i="24"/>
  <c r="D25" i="11"/>
  <c r="D25" i="24"/>
  <c r="H25" i="11"/>
  <c r="H25" i="24"/>
  <c r="H22" i="11"/>
  <c r="H22" i="24"/>
  <c r="D17" i="11"/>
  <c r="D17" i="24"/>
  <c r="D21" i="11"/>
  <c r="D21" i="24"/>
  <c r="H18" i="11"/>
  <c r="H18" i="24"/>
  <c r="H16" i="11"/>
  <c r="H16" i="24"/>
  <c r="H21" i="11"/>
  <c r="H21" i="24"/>
  <c r="H24" i="11"/>
  <c r="H24" i="24"/>
  <c r="H23" i="11"/>
  <c r="H23" i="24"/>
  <c r="D23" i="11"/>
  <c r="D23" i="24"/>
  <c r="D22" i="11"/>
  <c r="D22" i="24"/>
  <c r="D19" i="11"/>
  <c r="D19" i="24"/>
  <c r="D24" i="11"/>
  <c r="D24" i="24"/>
  <c r="J75" i="21"/>
  <c r="R75" i="21" s="1"/>
  <c r="S76" i="21"/>
  <c r="S377" i="23"/>
  <c r="M53" i="21"/>
  <c r="K53" i="21"/>
  <c r="P53" i="21" s="1"/>
  <c r="AG63" i="21" s="1"/>
  <c r="K39" i="33" s="1"/>
  <c r="O53" i="21"/>
  <c r="S53" i="21" s="1"/>
  <c r="T54" i="21"/>
  <c r="T53" i="21" s="1"/>
  <c r="AO328" i="23" s="1"/>
  <c r="AG71" i="21"/>
  <c r="K47" i="33" s="1"/>
  <c r="AJ45" i="21"/>
  <c r="AD70" i="21"/>
  <c r="AJ70" i="21" s="1"/>
  <c r="G39" i="30" s="1"/>
  <c r="AJ38" i="21"/>
  <c r="AD63" i="21"/>
  <c r="AJ63" i="21" s="1"/>
  <c r="G32" i="30" s="1"/>
  <c r="AJ43" i="21"/>
  <c r="AD68" i="21"/>
  <c r="AJ68" i="21" s="1"/>
  <c r="G37" i="30" s="1"/>
  <c r="AJ46" i="21"/>
  <c r="AD71" i="21"/>
  <c r="AJ71" i="21" s="1"/>
  <c r="G40" i="30" s="1"/>
  <c r="AJ39" i="21"/>
  <c r="AD64" i="21"/>
  <c r="AJ64" i="21" s="1"/>
  <c r="G33" i="30" s="1"/>
  <c r="AK46" i="21"/>
  <c r="AC71" i="21"/>
  <c r="AK71" i="21" s="1"/>
  <c r="H40" i="30" s="1"/>
  <c r="AJ41" i="21"/>
  <c r="AD66" i="21"/>
  <c r="AJ66" i="21" s="1"/>
  <c r="G35" i="30" s="1"/>
  <c r="AG69" i="21"/>
  <c r="K45" i="33" s="1"/>
  <c r="AJ40" i="21"/>
  <c r="AD65" i="21"/>
  <c r="AJ65" i="21" s="1"/>
  <c r="G34" i="30" s="1"/>
  <c r="AK42" i="21"/>
  <c r="AC67" i="21"/>
  <c r="AK38" i="21"/>
  <c r="AC63" i="21"/>
  <c r="AK63" i="21" s="1"/>
  <c r="H32" i="30" s="1"/>
  <c r="AK35" i="21"/>
  <c r="AC60" i="21"/>
  <c r="AJ44" i="21"/>
  <c r="AD69" i="21"/>
  <c r="AJ69" i="21" s="1"/>
  <c r="G38" i="30" s="1"/>
  <c r="AK44" i="21"/>
  <c r="AC69" i="21"/>
  <c r="AJ35" i="21"/>
  <c r="AD60" i="21"/>
  <c r="AJ60" i="21" s="1"/>
  <c r="G29" i="30" s="1"/>
  <c r="AG46" i="21"/>
  <c r="K26" i="33" s="1"/>
  <c r="AG62" i="21"/>
  <c r="K38" i="33" s="1"/>
  <c r="AG72" i="21"/>
  <c r="K48" i="33" s="1"/>
  <c r="AG41" i="21"/>
  <c r="K21" i="33" s="1"/>
  <c r="AG36" i="21"/>
  <c r="K16" i="33" s="1"/>
  <c r="AG61" i="21"/>
  <c r="K37" i="33" s="1"/>
  <c r="AG37" i="21"/>
  <c r="K17" i="33" s="1"/>
  <c r="AK36" i="21"/>
  <c r="AC61" i="21"/>
  <c r="AK45" i="21"/>
  <c r="AC70" i="21"/>
  <c r="AK70" i="21" s="1"/>
  <c r="H39" i="30" s="1"/>
  <c r="AJ37" i="21"/>
  <c r="AD62" i="21"/>
  <c r="AJ62" i="21" s="1"/>
  <c r="G31" i="30" s="1"/>
  <c r="AK40" i="21"/>
  <c r="AC65" i="21"/>
  <c r="AK65" i="21" s="1"/>
  <c r="H34" i="30" s="1"/>
  <c r="AJ47" i="21"/>
  <c r="AD72" i="21"/>
  <c r="AJ72" i="21" s="1"/>
  <c r="G41" i="30" s="1"/>
  <c r="AK37" i="21"/>
  <c r="AC62" i="21"/>
  <c r="AK62" i="21" s="1"/>
  <c r="H31" i="30" s="1"/>
  <c r="AG44" i="21"/>
  <c r="K24" i="33" s="1"/>
  <c r="AG47" i="21"/>
  <c r="K27" i="33" s="1"/>
  <c r="AG70" i="21"/>
  <c r="K46" i="33" s="1"/>
  <c r="V75" i="21"/>
  <c r="AG66" i="21"/>
  <c r="K42" i="33" s="1"/>
  <c r="AG65" i="21"/>
  <c r="K41" i="33" s="1"/>
  <c r="AF61" i="21"/>
  <c r="F30" i="30" s="1"/>
  <c r="AF69" i="21"/>
  <c r="F38" i="30" s="1"/>
  <c r="AF60" i="21"/>
  <c r="F29" i="30" s="1"/>
  <c r="AF37" i="21"/>
  <c r="AF46" i="21"/>
  <c r="AF36" i="21"/>
  <c r="AF45" i="21"/>
  <c r="AG39" i="21"/>
  <c r="K19" i="33" s="1"/>
  <c r="AG67" i="21"/>
  <c r="K43" i="33" s="1"/>
  <c r="AG45" i="21"/>
  <c r="K25" i="33" s="1"/>
  <c r="AK43" i="21"/>
  <c r="AC68" i="21"/>
  <c r="AK68" i="21" s="1"/>
  <c r="H37" i="30" s="1"/>
  <c r="AK39" i="21"/>
  <c r="AC64" i="21"/>
  <c r="AK64" i="21" s="1"/>
  <c r="H33" i="30" s="1"/>
  <c r="AK41" i="21"/>
  <c r="AC66" i="21"/>
  <c r="AK66" i="21" s="1"/>
  <c r="H35" i="30" s="1"/>
  <c r="AJ36" i="21"/>
  <c r="AD61" i="21"/>
  <c r="AJ61" i="21" s="1"/>
  <c r="G30" i="30" s="1"/>
  <c r="AJ42" i="21"/>
  <c r="AD67" i="21"/>
  <c r="AJ67" i="21" s="1"/>
  <c r="G36" i="30" s="1"/>
  <c r="AK47" i="21"/>
  <c r="AC72" i="21"/>
  <c r="AK72" i="21" s="1"/>
  <c r="H41" i="30" s="1"/>
  <c r="AG38" i="21"/>
  <c r="K18" i="33" s="1"/>
  <c r="AG64" i="21"/>
  <c r="K40" i="33" s="1"/>
  <c r="AL35" i="21" l="1"/>
  <c r="Q15" i="33" s="1"/>
  <c r="AL36" i="21"/>
  <c r="Q16" i="33" s="1"/>
  <c r="AL40" i="21"/>
  <c r="Q20" i="33" s="1"/>
  <c r="AL44" i="21"/>
  <c r="Q24" i="33" s="1"/>
  <c r="AL48" i="21"/>
  <c r="Q28" i="33" s="1"/>
  <c r="AL52" i="21"/>
  <c r="Q32" i="33" s="1"/>
  <c r="AL37" i="21"/>
  <c r="Q17" i="33" s="1"/>
  <c r="AL41" i="21"/>
  <c r="Q21" i="33" s="1"/>
  <c r="AL45" i="21"/>
  <c r="Q25" i="33" s="1"/>
  <c r="AL49" i="21"/>
  <c r="Q29" i="33" s="1"/>
  <c r="AL53" i="21"/>
  <c r="Q33" i="33" s="1"/>
  <c r="AL38" i="21"/>
  <c r="Q18" i="33" s="1"/>
  <c r="AL42" i="21"/>
  <c r="Q22" i="33" s="1"/>
  <c r="AL46" i="21"/>
  <c r="Q26" i="33" s="1"/>
  <c r="AL50" i="21"/>
  <c r="Q30" i="33" s="1"/>
  <c r="AL54" i="21"/>
  <c r="Q34" i="33" s="1"/>
  <c r="AL39" i="21"/>
  <c r="Q19" i="33" s="1"/>
  <c r="AL43" i="21"/>
  <c r="Q23" i="33" s="1"/>
  <c r="AL47" i="21"/>
  <c r="Q27" i="33" s="1"/>
  <c r="AL51" i="21"/>
  <c r="Q31" i="33" s="1"/>
  <c r="D37" i="11"/>
  <c r="E37" i="24"/>
  <c r="AK34" i="21"/>
  <c r="H41" i="33"/>
  <c r="L41" i="33"/>
  <c r="L46" i="33"/>
  <c r="L47" i="33"/>
  <c r="H47" i="33"/>
  <c r="H39" i="33"/>
  <c r="H43" i="33"/>
  <c r="L42" i="33"/>
  <c r="L44" i="33"/>
  <c r="L48" i="33"/>
  <c r="J45" i="33"/>
  <c r="L39" i="33"/>
  <c r="H48" i="33"/>
  <c r="H42" i="33"/>
  <c r="H40" i="33"/>
  <c r="H44" i="33"/>
  <c r="H46" i="33"/>
  <c r="L40" i="33"/>
  <c r="H45" i="33"/>
  <c r="L38" i="33"/>
  <c r="J36" i="33"/>
  <c r="H38" i="33"/>
  <c r="H37" i="33"/>
  <c r="H36" i="33"/>
  <c r="J37" i="33"/>
  <c r="L27" i="33"/>
  <c r="H21" i="30"/>
  <c r="J17" i="33"/>
  <c r="F11" i="30"/>
  <c r="L17" i="33"/>
  <c r="H11" i="30"/>
  <c r="L20" i="33"/>
  <c r="H14" i="30"/>
  <c r="L25" i="33"/>
  <c r="H19" i="30"/>
  <c r="L26" i="33"/>
  <c r="H20" i="30"/>
  <c r="H26" i="33"/>
  <c r="G20" i="30"/>
  <c r="H18" i="33"/>
  <c r="G12" i="30"/>
  <c r="H16" i="33"/>
  <c r="G10" i="30"/>
  <c r="J26" i="33"/>
  <c r="F20" i="30"/>
  <c r="H24" i="33"/>
  <c r="G18" i="30"/>
  <c r="H20" i="33"/>
  <c r="G14" i="30"/>
  <c r="H22" i="33"/>
  <c r="G16" i="30"/>
  <c r="J25" i="33"/>
  <c r="F19" i="30"/>
  <c r="L24" i="33"/>
  <c r="H18" i="30"/>
  <c r="L22" i="33"/>
  <c r="H16" i="30"/>
  <c r="L19" i="33"/>
  <c r="H13" i="30"/>
  <c r="L18" i="33"/>
  <c r="H12" i="30"/>
  <c r="L21" i="33"/>
  <c r="H15" i="30"/>
  <c r="L23" i="33"/>
  <c r="H17" i="30"/>
  <c r="J16" i="33"/>
  <c r="F10" i="30"/>
  <c r="H27" i="33"/>
  <c r="G21" i="30"/>
  <c r="H17" i="33"/>
  <c r="G11" i="30"/>
  <c r="L16" i="33"/>
  <c r="H10" i="30"/>
  <c r="H21" i="33"/>
  <c r="G15" i="30"/>
  <c r="H19" i="33"/>
  <c r="G13" i="30"/>
  <c r="H23" i="33"/>
  <c r="G17" i="30"/>
  <c r="H25" i="33"/>
  <c r="G19" i="30"/>
  <c r="L15" i="33"/>
  <c r="H9" i="30"/>
  <c r="H15" i="33"/>
  <c r="G9" i="30"/>
  <c r="O376" i="23"/>
  <c r="AP376" i="23"/>
  <c r="R77" i="21"/>
  <c r="C81" i="21" s="1"/>
  <c r="V77" i="21"/>
  <c r="L411" i="23" s="1"/>
  <c r="M412" i="23"/>
  <c r="G75" i="21"/>
  <c r="G76" i="21" s="1"/>
  <c r="J76" i="21" s="1"/>
  <c r="S77" i="21"/>
  <c r="AT377" i="23"/>
  <c r="AK61" i="21"/>
  <c r="H30" i="30" s="1"/>
  <c r="AK69" i="21"/>
  <c r="H38" i="30" s="1"/>
  <c r="AK60" i="21"/>
  <c r="AK67" i="21"/>
  <c r="H36" i="30" s="1"/>
  <c r="AK59" i="21" l="1"/>
  <c r="M3" i="21" s="1"/>
  <c r="H29" i="30"/>
  <c r="L43" i="33"/>
  <c r="L45" i="33"/>
  <c r="L37" i="33"/>
  <c r="L36" i="33"/>
  <c r="AP378" i="23"/>
  <c r="D81" i="21"/>
  <c r="AF418" i="23" s="1"/>
  <c r="AU378" i="23"/>
  <c r="AA418" i="23"/>
  <c r="R76" i="21"/>
  <c r="O377" i="23"/>
  <c r="C43" i="13"/>
  <c r="V76" i="21" l="1"/>
  <c r="R412" i="23" s="1"/>
  <c r="AP377" i="23"/>
  <c r="G81" i="21"/>
  <c r="H81" i="21" l="1"/>
  <c r="J81" i="21" l="1"/>
  <c r="O81" i="21" s="1"/>
  <c r="U81" i="21"/>
  <c r="R81" i="21"/>
  <c r="M81" i="21" l="1"/>
  <c r="N81" i="21"/>
  <c r="S81" i="21" s="1"/>
  <c r="K81" i="21"/>
  <c r="P81" i="21" s="1"/>
  <c r="T81" i="21"/>
  <c r="D38" i="11" s="1"/>
  <c r="E38" i="11"/>
  <c r="AS418" i="23"/>
  <c r="F38" i="24"/>
  <c r="AL60" i="21" l="1"/>
  <c r="Q36" i="33" s="1"/>
  <c r="AL61" i="21"/>
  <c r="Q37" i="33" s="1"/>
  <c r="AL65" i="21"/>
  <c r="Q41" i="33" s="1"/>
  <c r="AL69" i="21"/>
  <c r="Q45" i="33" s="1"/>
  <c r="AL73" i="21"/>
  <c r="Q49" i="33" s="1"/>
  <c r="AL77" i="21"/>
  <c r="Q53" i="33" s="1"/>
  <c r="AL67" i="21"/>
  <c r="Q43" i="33" s="1"/>
  <c r="AL75" i="21"/>
  <c r="Q51" i="33" s="1"/>
  <c r="AL64" i="21"/>
  <c r="Q40" i="33" s="1"/>
  <c r="AL72" i="21"/>
  <c r="Q48" i="33" s="1"/>
  <c r="AL62" i="21"/>
  <c r="Q38" i="33" s="1"/>
  <c r="AL66" i="21"/>
  <c r="Q42" i="33" s="1"/>
  <c r="AL70" i="21"/>
  <c r="Q46" i="33" s="1"/>
  <c r="AL74" i="21"/>
  <c r="Q50" i="33" s="1"/>
  <c r="AL78" i="21"/>
  <c r="Q54" i="33" s="1"/>
  <c r="AL63" i="21"/>
  <c r="Q39" i="33" s="1"/>
  <c r="AL71" i="21"/>
  <c r="Q47" i="33" s="1"/>
  <c r="AL79" i="21"/>
  <c r="Q55" i="33" s="1"/>
  <c r="AL68" i="21"/>
  <c r="Q44" i="33" s="1"/>
  <c r="AL76" i="21"/>
  <c r="Q52" i="33" s="1"/>
  <c r="AO418" i="23"/>
  <c r="E38" i="24"/>
  <c r="A50" i="13"/>
  <c r="C9" i="25" l="1"/>
  <c r="C8" i="25"/>
  <c r="C7" i="25"/>
  <c r="C6" i="25"/>
  <c r="C9" i="24" l="1"/>
  <c r="C8" i="24"/>
  <c r="C7" i="24"/>
  <c r="C6" i="24"/>
  <c r="C9" i="11" l="1"/>
  <c r="C8" i="11"/>
  <c r="C7" i="11"/>
  <c r="C6" i="11"/>
  <c r="A4" i="11" l="1"/>
  <c r="H131" i="23" l="1"/>
  <c r="R156" i="23"/>
  <c r="AD156" i="23" s="1"/>
  <c r="L158" i="23" s="1"/>
  <c r="AA158" i="23" s="1"/>
  <c r="I116" i="23"/>
  <c r="I102" i="23"/>
  <c r="P105" i="23"/>
  <c r="H164" i="23"/>
  <c r="S189" i="23"/>
  <c r="AE189" i="23" s="1"/>
  <c r="L191" i="23" s="1"/>
  <c r="Z191" i="23" s="1"/>
  <c r="P297" i="23"/>
  <c r="S105" i="23"/>
  <c r="I384" i="23"/>
  <c r="AC105" i="23" l="1"/>
  <c r="AG105" i="23"/>
  <c r="I395" i="23"/>
  <c r="R304" i="23" l="1"/>
  <c r="AN303" i="23"/>
  <c r="F303" i="23"/>
  <c r="O110" i="23"/>
  <c r="AD110" i="23" s="1"/>
  <c r="F306" i="23" l="1"/>
  <c r="F308" i="23" s="1"/>
  <c r="M328" i="23" s="1"/>
  <c r="M303" i="23"/>
  <c r="S110" i="23"/>
  <c r="AH110" i="23" s="1"/>
  <c r="M306" i="23"/>
  <c r="K308" i="23" s="1"/>
  <c r="R328" i="23" s="1"/>
  <c r="AE298" i="23"/>
  <c r="Y305" i="23"/>
  <c r="AS311" i="23" l="1"/>
  <c r="T396" i="23" l="1"/>
  <c r="T400" i="23" s="1"/>
  <c r="T385" i="23"/>
  <c r="M406" i="23" l="1"/>
  <c r="K408" i="23" s="1"/>
  <c r="R418" i="23" s="1"/>
  <c r="AI400" i="23"/>
  <c r="T405" i="23"/>
  <c r="AC385" i="23"/>
  <c r="O389" i="23" s="1"/>
  <c r="P396" i="23" l="1"/>
  <c r="P400" i="23" s="1"/>
  <c r="P385" i="23"/>
  <c r="AE400" i="23" l="1"/>
  <c r="M405" i="23"/>
  <c r="F406" i="23" l="1"/>
  <c r="F408" i="23" s="1"/>
  <c r="M418" i="23" s="1"/>
  <c r="V389" i="23"/>
  <c r="F405" i="23"/>
</calcChain>
</file>

<file path=xl/sharedStrings.xml><?xml version="1.0" encoding="utf-8"?>
<sst xmlns="http://schemas.openxmlformats.org/spreadsheetml/2006/main" count="1479" uniqueCount="887">
  <si>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</si>
  <si>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</si>
  <si>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</si>
  <si>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</si>
  <si>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</si>
  <si>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</si>
  <si>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</si>
  <si>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</si>
  <si>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</si>
  <si>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</si>
  <si>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</si>
  <si>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</si>
  <si>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</si>
  <si>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</si>
  <si>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</si>
  <si>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</si>
  <si>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</si>
  <si>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</si>
  <si>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</si>
  <si>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</si>
  <si>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</si>
  <si>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</si>
  <si>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</si>
  <si>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</si>
  <si>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</si>
  <si>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</si>
  <si>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</si>
  <si>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</si>
  <si>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</si>
  <si>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</si>
  <si>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</si>
  <si>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</si>
  <si>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</si>
  <si>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</si>
  <si>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</si>
  <si>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</si>
  <si>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</si>
  <si>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</si>
  <si>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</si>
  <si>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</si>
  <si>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</si>
  <si>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</si>
  <si>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</si>
  <si>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</si>
  <si>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</si>
  <si>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</si>
  <si>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</si>
  <si>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</si>
  <si>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</si>
  <si>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</si>
  <si>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</si>
  <si>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</si>
  <si>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</si>
  <si>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</si>
  <si>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</si>
  <si>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</si>
  <si>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</si>
  <si>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</si>
  <si>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</si>
  <si>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</si>
  <si>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68" type="noConversion"/>
  </si>
  <si>
    <t>기기명(종류)</t>
    <phoneticPr fontId="68" type="noConversion"/>
  </si>
  <si>
    <t>포함인자</t>
    <phoneticPr fontId="68" type="noConversion"/>
  </si>
  <si>
    <t>판정결과</t>
    <phoneticPr fontId="4" type="noConversion"/>
  </si>
  <si>
    <t>2회</t>
  </si>
  <si>
    <t>3회</t>
  </si>
  <si>
    <t xml:space="preserve"> 성적서발급번호(Certificate No) :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</si>
  <si>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</si>
  <si>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</si>
  <si>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</si>
  <si>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</si>
  <si>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</si>
  <si>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</si>
  <si>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</si>
  <si>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</si>
  <si>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명목값</t>
    <phoneticPr fontId="68" type="noConversion"/>
  </si>
  <si>
    <t>불확도 2</t>
  </si>
  <si>
    <t>비고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</si>
  <si>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</si>
  <si>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</si>
  <si>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</si>
  <si>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</si>
  <si>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</si>
  <si>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4회</t>
  </si>
  <si>
    <t>5회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</si>
  <si>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</si>
  <si>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</si>
  <si>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</si>
  <si>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</si>
  <si>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</si>
  <si>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명목값</t>
    <phoneticPr fontId="4" type="noConversion"/>
  </si>
  <si>
    <t>Resolution</t>
    <phoneticPr fontId="4" type="noConversion"/>
  </si>
  <si>
    <t>Display</t>
    <phoneticPr fontId="4" type="noConversion"/>
  </si>
  <si>
    <t>Division</t>
    <phoneticPr fontId="4" type="noConversion"/>
  </si>
  <si>
    <t>Resolution</t>
    <phoneticPr fontId="4" type="noConversion"/>
  </si>
  <si>
    <t>Unit</t>
    <phoneticPr fontId="4" type="noConversion"/>
  </si>
  <si>
    <t>● 교정결과</t>
    <phoneticPr fontId="4" type="noConversion"/>
  </si>
  <si>
    <t>단위</t>
    <phoneticPr fontId="4" type="noConversion"/>
  </si>
  <si>
    <t>사용블록 #2</t>
  </si>
  <si>
    <t>사용블록 #3</t>
  </si>
  <si>
    <t>사용블록 #4</t>
  </si>
  <si>
    <t>블록교정값 #2</t>
  </si>
  <si>
    <t>블록교정값 #3</t>
  </si>
  <si>
    <t>블록교정값 #4</t>
  </si>
  <si>
    <t>열팽창계수</t>
    <phoneticPr fontId="4" type="noConversion"/>
  </si>
  <si>
    <t>정반 교정데이터</t>
    <phoneticPr fontId="4" type="noConversion"/>
  </si>
  <si>
    <t>번호</t>
  </si>
  <si>
    <t>등록번호</t>
  </si>
  <si>
    <t>기기명(종류)</t>
  </si>
  <si>
    <t>가로크기</t>
    <phoneticPr fontId="4" type="noConversion"/>
  </si>
  <si>
    <t>세로크기</t>
    <phoneticPr fontId="4" type="noConversion"/>
  </si>
  <si>
    <t>명목값</t>
  </si>
  <si>
    <t>기준값</t>
  </si>
  <si>
    <t>측정값</t>
  </si>
  <si>
    <t>단위</t>
  </si>
  <si>
    <t>보정값</t>
  </si>
  <si>
    <t>불확도</t>
    <phoneticPr fontId="4" type="noConversion"/>
  </si>
  <si>
    <t>불확도 단위</t>
  </si>
  <si>
    <t>포함인자</t>
  </si>
  <si>
    <t>교정일자</t>
  </si>
  <si>
    <t>α_avr</t>
  </si>
  <si>
    <t>Δt</t>
  </si>
  <si>
    <t>Δα</t>
  </si>
  <si>
    <t>t_avr-20</t>
  </si>
  <si>
    <t>δt</t>
  </si>
  <si>
    <t>(mm)</t>
    <phoneticPr fontId="4" type="noConversion"/>
  </si>
  <si>
    <t>전기 마이크로미터 교정데이터</t>
    <phoneticPr fontId="4" type="noConversion"/>
  </si>
  <si>
    <t>사용블록 #1</t>
    <phoneticPr fontId="4" type="noConversion"/>
  </si>
  <si>
    <t>블록교정값 #1</t>
    <phoneticPr fontId="4" type="noConversion"/>
  </si>
  <si>
    <t>mm</t>
    <phoneticPr fontId="4" type="noConversion"/>
  </si>
  <si>
    <t>분해능</t>
    <phoneticPr fontId="4" type="noConversion"/>
  </si>
  <si>
    <t>1. Block interval calibration result</t>
    <phoneticPr fontId="4" type="noConversion"/>
  </si>
  <si>
    <t>기준기명</t>
    <phoneticPr fontId="4" type="noConversion"/>
  </si>
  <si>
    <t>Δt</t>
    <phoneticPr fontId="4" type="noConversion"/>
  </si>
  <si>
    <t>Δα</t>
    <phoneticPr fontId="4" type="noConversion"/>
  </si>
  <si>
    <t>요인(값)</t>
  </si>
  <si>
    <t>나눔수</t>
  </si>
  <si>
    <t>분모</t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</si>
  <si>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</si>
  <si>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</si>
  <si>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</si>
  <si>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</si>
  <si>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</si>
  <si>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</si>
  <si>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</si>
  <si>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</si>
  <si>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</si>
  <si>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</si>
  <si>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</si>
  <si>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</si>
  <si>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</si>
  <si>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</si>
  <si>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</si>
  <si>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</si>
  <si>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</si>
  <si>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</si>
  <si>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</si>
  <si>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</si>
  <si>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</si>
  <si>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MEASURED VALUE (평행도)</t>
    <phoneticPr fontId="4" type="noConversion"/>
  </si>
  <si>
    <t>MEASURED VALUE (지시편차)</t>
    <phoneticPr fontId="4" type="noConversion"/>
  </si>
  <si>
    <t>최댓값</t>
    <phoneticPr fontId="4" type="noConversion"/>
  </si>
  <si>
    <t>최솟값</t>
    <phoneticPr fontId="4" type="noConversion"/>
  </si>
  <si>
    <t>사용블록 #5</t>
  </si>
  <si>
    <t>블록교정값 #5</t>
  </si>
  <si>
    <t>측정불확도1</t>
    <phoneticPr fontId="4" type="noConversion"/>
  </si>
  <si>
    <t>측정불확도2</t>
    <phoneticPr fontId="4" type="noConversion"/>
  </si>
  <si>
    <t>불확도단위</t>
    <phoneticPr fontId="4" type="noConversion"/>
  </si>
  <si>
    <t>k</t>
    <phoneticPr fontId="4" type="noConversion"/>
  </si>
  <si>
    <t>번호</t>
    <phoneticPr fontId="68" type="noConversion"/>
  </si>
  <si>
    <t>기준값</t>
    <phoneticPr fontId="68" type="noConversion"/>
  </si>
  <si>
    <t>측정값</t>
    <phoneticPr fontId="68" type="noConversion"/>
  </si>
  <si>
    <t>단위</t>
    <phoneticPr fontId="68" type="noConversion"/>
  </si>
  <si>
    <t>보정값</t>
    <phoneticPr fontId="68" type="noConversion"/>
  </si>
  <si>
    <t>불확도 1</t>
    <phoneticPr fontId="68" type="noConversion"/>
  </si>
  <si>
    <t>불확도 단위</t>
    <phoneticPr fontId="68" type="noConversion"/>
  </si>
  <si>
    <t>비고</t>
    <phoneticPr fontId="4" type="noConversion"/>
  </si>
  <si>
    <t>열팽창계수</t>
    <phoneticPr fontId="68" type="noConversion"/>
  </si>
  <si>
    <t>단위</t>
    <phoneticPr fontId="4" type="noConversion"/>
  </si>
  <si>
    <t>블록수</t>
    <phoneticPr fontId="4" type="noConversion"/>
  </si>
  <si>
    <t>재질</t>
    <phoneticPr fontId="4" type="noConversion"/>
  </si>
  <si>
    <t>이전교정값</t>
    <phoneticPr fontId="4" type="noConversion"/>
  </si>
  <si>
    <t>교정일자</t>
    <phoneticPr fontId="68" type="noConversion"/>
  </si>
  <si>
    <t>최대범위</t>
    <phoneticPr fontId="4" type="noConversion"/>
  </si>
  <si>
    <t>Min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</si>
  <si>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</si>
  <si>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사용?</t>
    <phoneticPr fontId="4" type="noConversion"/>
  </si>
  <si>
    <t>온도차</t>
    <phoneticPr fontId="4" type="noConversion"/>
  </si>
  <si>
    <t>1회</t>
    <phoneticPr fontId="4" type="noConversion"/>
  </si>
  <si>
    <t>μm</t>
  </si>
  <si>
    <t>k</t>
    <phoneticPr fontId="4" type="noConversion"/>
  </si>
  <si>
    <t>μm</t>
    <phoneticPr fontId="4" type="noConversion"/>
  </si>
  <si>
    <t>∞</t>
    <phoneticPr fontId="4" type="noConversion"/>
  </si>
  <si>
    <t>Nominal
Value</t>
    <phoneticPr fontId="4" type="noConversion"/>
  </si>
  <si>
    <t>측정방향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</si>
  <si>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</si>
  <si>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</si>
  <si>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내측기준위치</t>
    <phoneticPr fontId="4" type="noConversion"/>
  </si>
  <si>
    <t>내측기준블록</t>
    <phoneticPr fontId="4" type="noConversion"/>
  </si>
  <si>
    <t>교정값</t>
    <phoneticPr fontId="4" type="noConversion"/>
  </si>
  <si>
    <t>단위</t>
    <phoneticPr fontId="4" type="noConversion"/>
  </si>
  <si>
    <t>2. 블록 교정결과</t>
    <phoneticPr fontId="4" type="noConversion"/>
  </si>
  <si>
    <t>3. 내측 블록간격 교정결과</t>
    <phoneticPr fontId="4" type="noConversion"/>
  </si>
  <si>
    <t>사용?</t>
    <phoneticPr fontId="4" type="noConversion"/>
  </si>
  <si>
    <t>단위</t>
    <phoneticPr fontId="4" type="noConversion"/>
  </si>
  <si>
    <t>전기 마이크로미터 지시값</t>
    <phoneticPr fontId="4" type="noConversion"/>
  </si>
  <si>
    <t>전기 마이크로미터 지시값 (평행도)</t>
    <phoneticPr fontId="4" type="noConversion"/>
  </si>
  <si>
    <t>표준편차</t>
    <phoneticPr fontId="4" type="noConversion"/>
  </si>
  <si>
    <t>기준기교정값</t>
    <phoneticPr fontId="4" type="noConversion"/>
  </si>
  <si>
    <t>지시값평균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</si>
  <si>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</si>
  <si>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</si>
  <si>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</si>
  <si>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</si>
  <si>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열팽창보정</t>
    <phoneticPr fontId="4" type="noConversion"/>
  </si>
  <si>
    <t>편차</t>
    <phoneticPr fontId="4" type="noConversion"/>
  </si>
  <si>
    <t>자리수 맞춤</t>
    <phoneticPr fontId="4" type="noConversion"/>
  </si>
  <si>
    <t>번호</t>
    <phoneticPr fontId="4" type="noConversion"/>
  </si>
  <si>
    <t>내측 기준블록</t>
    <phoneticPr fontId="4" type="noConversion"/>
  </si>
  <si>
    <t>블록길이</t>
    <phoneticPr fontId="4" type="noConversion"/>
  </si>
  <si>
    <t>내측간격</t>
    <phoneticPr fontId="4" type="noConversion"/>
  </si>
  <si>
    <t>편차</t>
    <phoneticPr fontId="4" type="noConversion"/>
  </si>
  <si>
    <t>자리수 맞춤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</si>
  <si>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</si>
  <si>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</si>
  <si>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</si>
  <si>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최댓값</t>
    <phoneticPr fontId="4" type="noConversion"/>
  </si>
  <si>
    <t>최솟값</t>
    <phoneticPr fontId="4" type="noConversion"/>
  </si>
  <si>
    <t>평행도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</si>
  <si>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</si>
  <si>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ix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</si>
  <si>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</si>
  <si>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</si>
  <si>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</si>
  <si>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</si>
  <si>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Δl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</si>
  <si>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</si>
  <si>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E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</si>
  <si>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</si>
  <si>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x1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</si>
  <si>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d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</si>
  <si>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</si>
  <si>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μm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</si>
  <si>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</si>
  <si>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</si>
  <si>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</si>
  <si>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</si>
  <si>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μm</t>
    <phoneticPr fontId="4" type="noConversion"/>
  </si>
  <si>
    <t>mm</t>
    <phoneticPr fontId="4" type="noConversion"/>
  </si>
  <si>
    <t>μm</t>
    <phoneticPr fontId="4" type="noConversion"/>
  </si>
  <si>
    <t>mm</t>
    <phoneticPr fontId="4" type="noConversion"/>
  </si>
  <si>
    <t>μm</t>
    <phoneticPr fontId="4" type="noConversion"/>
  </si>
  <si>
    <t>4. 블록 불확도 계산</t>
    <phoneticPr fontId="4" type="noConversion"/>
  </si>
  <si>
    <t>5. 성적서용</t>
    <phoneticPr fontId="4" type="noConversion"/>
  </si>
  <si>
    <t>※ 외측 블록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</si>
  <si>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</si>
  <si>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</si>
  <si>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</si>
  <si>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</si>
  <si>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</si>
  <si>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</si>
  <si>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</si>
  <si>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Spec</t>
    <phoneticPr fontId="4" type="noConversion"/>
  </si>
  <si>
    <t>표기용</t>
    <phoneticPr fontId="4" type="noConversion"/>
  </si>
  <si>
    <t>표준불확도</t>
    <phoneticPr fontId="4" type="noConversion"/>
  </si>
  <si>
    <t>확률분포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</si>
  <si>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</si>
  <si>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</si>
  <si>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</si>
  <si>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</si>
  <si>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직사각형</t>
    <phoneticPr fontId="4" type="noConversion"/>
  </si>
  <si>
    <t>기타</t>
    <phoneticPr fontId="4" type="noConversion"/>
  </si>
  <si>
    <t>Max</t>
    <phoneticPr fontId="4" type="noConversion"/>
  </si>
  <si>
    <t>교정값</t>
    <phoneticPr fontId="4" type="noConversion"/>
  </si>
  <si>
    <t>편차</t>
    <phoneticPr fontId="4" type="noConversion"/>
  </si>
  <si>
    <t>평행도</t>
    <phoneticPr fontId="4" type="noConversion"/>
  </si>
  <si>
    <t>Pass/Fail</t>
    <phoneticPr fontId="4" type="noConversion"/>
  </si>
  <si>
    <t>불확도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</si>
  <si>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</si>
  <si>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</si>
  <si>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</si>
  <si>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</si>
  <si>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정규</t>
    <phoneticPr fontId="4" type="noConversion"/>
  </si>
  <si>
    <t>B</t>
    <phoneticPr fontId="4" type="noConversion"/>
  </si>
  <si>
    <t>우연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</si>
  <si>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ix</t>
    </r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</si>
  <si>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</si>
  <si>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</si>
  <si>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</si>
  <si>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</si>
  <si>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</si>
  <si>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</si>
  <si>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D</t>
    <phoneticPr fontId="4" type="noConversion"/>
  </si>
  <si>
    <t>℃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</si>
  <si>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</si>
  <si>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</si>
  <si>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</si>
  <si>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</si>
  <si>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</si>
  <si>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</si>
  <si>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</si>
  <si>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</si>
  <si>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</si>
  <si>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F</t>
    <phoneticPr fontId="4" type="noConversion"/>
  </si>
  <si>
    <t>사다리꼴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</si>
  <si>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</si>
  <si>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/℃·μm</t>
    <phoneticPr fontId="4" type="noConversion"/>
  </si>
  <si>
    <t>G</t>
    <phoneticPr fontId="4" type="noConversion"/>
  </si>
  <si>
    <t>온도계</t>
    <phoneticPr fontId="4" type="noConversion"/>
  </si>
  <si>
    <r>
      <t>t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</si>
  <si>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직사각형</t>
    <phoneticPr fontId="4" type="noConversion"/>
  </si>
  <si>
    <t>∞</t>
    <phoneticPr fontId="4" type="noConversion"/>
  </si>
  <si>
    <t>H</t>
    <phoneticPr fontId="4" type="noConversion"/>
  </si>
  <si>
    <t>온도변화</t>
    <phoneticPr fontId="4" type="noConversion"/>
  </si>
  <si>
    <r>
      <t>δt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</si>
  <si>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I</t>
    <phoneticPr fontId="4" type="noConversion"/>
  </si>
  <si>
    <t>온도차</t>
    <phoneticPr fontId="4" type="noConversion"/>
  </si>
  <si>
    <r>
      <t>δt</t>
    </r>
    <r>
      <rPr>
        <vertAlign val="subscript"/>
        <sz val="9"/>
        <rFont val="맑은 고딕"/>
        <family val="3"/>
        <charset val="129"/>
        <scheme val="major"/>
      </rPr>
      <t>Δ</t>
    </r>
    <phoneticPr fontId="4" type="noConversion"/>
  </si>
  <si>
    <t>직사각형</t>
    <phoneticPr fontId="4" type="noConversion"/>
  </si>
  <si>
    <t>J</t>
    <phoneticPr fontId="4" type="noConversion"/>
  </si>
  <si>
    <t>전기마이크로미터 분해능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</si>
  <si>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</si>
  <si>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μm</t>
    <phoneticPr fontId="4" type="noConversion"/>
  </si>
  <si>
    <t>K</t>
    <phoneticPr fontId="4" type="noConversion"/>
  </si>
  <si>
    <t xml:space="preserve">전기마이크로미터 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</si>
  <si>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</si>
  <si>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</si>
  <si>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</si>
  <si>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</si>
  <si>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L</t>
    <phoneticPr fontId="4" type="noConversion"/>
  </si>
  <si>
    <t>정반평면도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</si>
  <si>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</si>
  <si>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M</t>
    <phoneticPr fontId="4" type="noConversion"/>
  </si>
  <si>
    <t>블록 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</si>
  <si>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</si>
  <si>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t>μm</t>
    <phoneticPr fontId="4" type="noConversion"/>
  </si>
  <si>
    <t>N</t>
    <phoneticPr fontId="4" type="noConversion"/>
  </si>
  <si>
    <t>2차항</t>
    <phoneticPr fontId="4" type="noConversion"/>
  </si>
  <si>
    <t>u(α), u(Δt)</t>
    <phoneticPr fontId="4" type="noConversion"/>
  </si>
  <si>
    <t>∞</t>
    <phoneticPr fontId="4" type="noConversion"/>
  </si>
  <si>
    <t>O</t>
    <phoneticPr fontId="4" type="noConversion"/>
  </si>
  <si>
    <t>u(Δα), u(δt)</t>
    <phoneticPr fontId="4" type="noConversion"/>
  </si>
  <si>
    <t>정규</t>
    <phoneticPr fontId="4" type="noConversion"/>
  </si>
  <si>
    <t>P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</si>
  <si>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</si>
  <si>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</si>
  <si>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</si>
  <si>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</si>
  <si>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</si>
  <si>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</si>
  <si>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</si>
  <si>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</si>
  <si>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</si>
  <si>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</si>
  <si>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</si>
  <si>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</si>
  <si>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계산(μm)</t>
    <phoneticPr fontId="4" type="noConversion"/>
  </si>
  <si>
    <t>선택</t>
    <phoneticPr fontId="4" type="noConversion"/>
  </si>
  <si>
    <t>Rawdata</t>
    <phoneticPr fontId="4" type="noConversion"/>
  </si>
  <si>
    <t>값</t>
    <phoneticPr fontId="4" type="noConversion"/>
  </si>
  <si>
    <t>수식</t>
    <phoneticPr fontId="4" type="noConversion"/>
  </si>
  <si>
    <t>수식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</si>
  <si>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</si>
  <si>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</si>
  <si>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</si>
  <si>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※ 내측 블록</t>
    <phoneticPr fontId="4" type="noConversion"/>
  </si>
  <si>
    <t>요인</t>
    <phoneticPr fontId="4" type="noConversion"/>
  </si>
  <si>
    <t>입력량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</si>
  <si>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</si>
  <si>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</si>
  <si>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Spec</t>
    <phoneticPr fontId="4" type="noConversion"/>
  </si>
  <si>
    <t>표기용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</si>
  <si>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</si>
  <si>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</si>
  <si>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</si>
  <si>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</si>
  <si>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Min</t>
    <phoneticPr fontId="4" type="noConversion"/>
  </si>
  <si>
    <t>Max</t>
    <phoneticPr fontId="4" type="noConversion"/>
  </si>
  <si>
    <t>평행도</t>
    <phoneticPr fontId="4" type="noConversion"/>
  </si>
  <si>
    <t>Pass/Fail</t>
    <phoneticPr fontId="4" type="noConversion"/>
  </si>
  <si>
    <t>불확도</t>
    <phoneticPr fontId="4" type="noConversion"/>
  </si>
  <si>
    <t>기준블록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</si>
  <si>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x2</t>
    </r>
    <phoneticPr fontId="4" type="noConversion"/>
  </si>
  <si>
    <t>정규</t>
    <phoneticPr fontId="4" type="noConversion"/>
  </si>
  <si>
    <t>μm</t>
    <phoneticPr fontId="4" type="noConversion"/>
  </si>
  <si>
    <t>간격블록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</si>
  <si>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x1</t>
    </r>
    <phoneticPr fontId="4" type="noConversion"/>
  </si>
  <si>
    <t>μm</t>
    <phoneticPr fontId="4" type="noConversion"/>
  </si>
  <si>
    <t>측정불확도</t>
    <phoneticPr fontId="4" type="noConversion"/>
  </si>
  <si>
    <t>5% rule</t>
    <phoneticPr fontId="4" type="noConversion"/>
  </si>
  <si>
    <t>CMC초과?</t>
    <phoneticPr fontId="4" type="noConversion"/>
  </si>
  <si>
    <t>불확도표기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</si>
  <si>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</si>
  <si>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계산(μm)</t>
    <phoneticPr fontId="4" type="noConversion"/>
  </si>
  <si>
    <t>Rawdata</t>
    <phoneticPr fontId="4" type="noConversion"/>
  </si>
  <si>
    <t>값</t>
    <phoneticPr fontId="4" type="noConversion"/>
  </si>
  <si>
    <t>측정불확도</t>
    <phoneticPr fontId="4" type="noConversion"/>
  </si>
  <si>
    <t>HCT</t>
    <phoneticPr fontId="4" type="noConversion"/>
  </si>
  <si>
    <t>※ 직사각형 확률분포가 합성표준불확도에 미치는 영향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</si>
  <si>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</si>
  <si>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</si>
  <si>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</si>
  <si>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직사각형분포</t>
    <phoneticPr fontId="4" type="noConversion"/>
  </si>
  <si>
    <t>영향</t>
    <phoneticPr fontId="4" type="noConversion"/>
  </si>
  <si>
    <t>기타</t>
    <phoneticPr fontId="4" type="noConversion"/>
  </si>
  <si>
    <t>비율</t>
    <phoneticPr fontId="4" type="noConversion"/>
  </si>
  <si>
    <t>자리수</t>
    <phoneticPr fontId="4" type="noConversion"/>
  </si>
  <si>
    <t>Format</t>
    <phoneticPr fontId="4" type="noConversion"/>
  </si>
  <si>
    <t>크기순</t>
    <phoneticPr fontId="4" type="noConversion"/>
  </si>
  <si>
    <t>0</t>
    <phoneticPr fontId="4" type="noConversion"/>
  </si>
  <si>
    <t>잔여 기여량</t>
    <phoneticPr fontId="4" type="noConversion"/>
  </si>
  <si>
    <t>0.0</t>
    <phoneticPr fontId="4" type="noConversion"/>
  </si>
  <si>
    <t>주 기여량</t>
    <phoneticPr fontId="4" type="noConversion"/>
  </si>
  <si>
    <t>0.00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</si>
  <si>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</si>
  <si>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</si>
  <si>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</si>
  <si>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</si>
  <si>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</si>
  <si>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</si>
  <si>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</si>
  <si>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</si>
  <si>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</si>
  <si>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</si>
  <si>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</si>
  <si>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</si>
  <si>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명목값
(mm)</t>
    <phoneticPr fontId="4" type="noConversion"/>
  </si>
  <si>
    <t>내측 블록 :</t>
    <phoneticPr fontId="4" type="noConversion"/>
  </si>
  <si>
    <t>외측 블록 :</t>
    <phoneticPr fontId="4" type="noConversion"/>
  </si>
  <si>
    <t>● 측정불확도</t>
    <phoneticPr fontId="4" type="noConversion"/>
  </si>
  <si>
    <t>비교기명</t>
    <phoneticPr fontId="4" type="noConversion"/>
  </si>
  <si>
    <t>게이지 블록</t>
    <phoneticPr fontId="4" type="noConversion"/>
  </si>
  <si>
    <t>표준편차
(μm)</t>
    <phoneticPr fontId="4" type="noConversion"/>
  </si>
  <si>
    <t>게이지 블록 교정값 (mm)</t>
    <phoneticPr fontId="4" type="noConversion"/>
  </si>
  <si>
    <t>열팽창보정
(mm)</t>
    <phoneticPr fontId="4" type="noConversion"/>
  </si>
  <si>
    <t>교정값
(mm)</t>
    <phoneticPr fontId="4" type="noConversion"/>
  </si>
  <si>
    <t>3회</t>
    <phoneticPr fontId="4" type="noConversion"/>
  </si>
  <si>
    <t>5회</t>
    <phoneticPr fontId="4" type="noConversion"/>
  </si>
  <si>
    <t>평행도
(μm)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</si>
  <si>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</si>
  <si>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</si>
  <si>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</si>
  <si>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전기 마이크로미터의 보정값</t>
    <phoneticPr fontId="4" type="noConversion"/>
  </si>
  <si>
    <t>※ 감도계수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</si>
  <si>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</si>
  <si>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</si>
  <si>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</si>
  <si>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</si>
  <si>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</si>
  <si>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t>■ 표준불확도 성분의 계산</t>
    <phoneticPr fontId="4" type="noConversion"/>
  </si>
  <si>
    <t>1.</t>
    <phoneticPr fontId="4" type="noConversion"/>
  </si>
  <si>
    <t>A1. 추정값 :</t>
    <phoneticPr fontId="4" type="noConversion"/>
  </si>
  <si>
    <r>
      <rPr>
        <sz val="10"/>
        <rFont val="맑은 고딕"/>
        <family val="1"/>
        <scheme val="minor"/>
      </rPr>
      <t xml:space="preserve">(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</t>
    </r>
    <phoneticPr fontId="4" type="noConversion"/>
  </si>
  <si>
    <t>=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</si>
  <si>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</si>
  <si>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</si>
  <si>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</si>
  <si>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</si>
  <si>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※ 표준불확도 성분은 우연효과로 인한 불확도로써 A형 평가를 통하여 구한다.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</si>
  <si>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</si>
  <si>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d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</si>
  <si>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</si>
  <si>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</si>
  <si>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</si>
  <si>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t>｜</t>
    <phoneticPr fontId="4" type="noConversion"/>
  </si>
  <si>
    <t>4.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</si>
  <si>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</si>
  <si>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D1. 추정값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</si>
  <si>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</si>
  <si>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</si>
  <si>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</si>
  <si>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</si>
  <si>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그러나 측정 과정중에 온도의 변화가 있을 수 있으며, 기준기와 교정대상기기의 온도와</t>
    <phoneticPr fontId="4" type="noConversion"/>
  </si>
  <si>
    <r>
      <t>δt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 xml:space="preserve">- 20 </t>
    </r>
    <r>
      <rPr>
        <sz val="10"/>
        <rFont val="맑은 고딕"/>
        <family val="3"/>
        <charset val="129"/>
      </rPr>
      <t>℃</t>
    </r>
    <r>
      <rPr>
        <sz val="10"/>
        <rFont val="Times New Roman"/>
        <family val="1"/>
      </rPr>
      <t xml:space="preserve"> + </t>
    </r>
    <r>
      <rPr>
        <i/>
        <sz val="10"/>
        <rFont val="Times New Roman"/>
        <family val="1"/>
      </rPr>
      <t>δt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+ </t>
    </r>
    <r>
      <rPr>
        <i/>
        <sz val="10"/>
        <rFont val="Times New Roman"/>
        <family val="1"/>
      </rPr>
      <t>δt</t>
    </r>
    <r>
      <rPr>
        <vertAlign val="subscript"/>
        <sz val="10"/>
        <rFont val="Times New Roman"/>
        <family val="1"/>
      </rPr>
      <t>Δ</t>
    </r>
    <phoneticPr fontId="4" type="noConversion"/>
  </si>
  <si>
    <t>F2. 표준불확도 :</t>
    <phoneticPr fontId="4" type="noConversion"/>
  </si>
  <si>
    <t>F5. 불확도 기여량 :</t>
    <phoneticPr fontId="4" type="noConversion"/>
  </si>
  <si>
    <t>+</t>
    <phoneticPr fontId="4" type="noConversion"/>
  </si>
  <si>
    <t>1)</t>
    <phoneticPr fontId="4" type="noConversion"/>
  </si>
  <si>
    <t>여기에 직사각형 확률분포를 적용하여 계산하면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</si>
  <si>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</si>
  <si>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</si>
  <si>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I5. 불확도 기여량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</si>
  <si>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</si>
  <si>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</si>
  <si>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이 때, 전기 마이크로미터의 오차를 보정하지 않고 사용 하였으므로 최대 오차를 불확도에 반영하여 계산한다.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</si>
  <si>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</si>
  <si>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9.</t>
    <phoneticPr fontId="4" type="noConversion"/>
  </si>
  <si>
    <t>정반의 평면도가 미치는 영향에 의한 표준불확도,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</si>
  <si>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</si>
  <si>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L6. 자유도 :</t>
    <phoneticPr fontId="4" type="noConversion"/>
  </si>
  <si>
    <t>M2. 표준불확도 :</t>
    <phoneticPr fontId="4" type="noConversion"/>
  </si>
  <si>
    <t>N6. 자유도 :</t>
    <phoneticPr fontId="4" type="noConversion"/>
  </si>
  <si>
    <t>O3. 확률분포 :</t>
    <phoneticPr fontId="4" type="noConversion"/>
  </si>
  <si>
    <t>O4. 감도계수 :</t>
    <phoneticPr fontId="4" type="noConversion"/>
  </si>
  <si>
    <t>O5. 불확도 기여량 :</t>
    <phoneticPr fontId="4" type="noConversion"/>
  </si>
  <si>
    <t>■ 합성표준불확도 계산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</si>
  <si>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</si>
  <si>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</si>
  <si>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</si>
  <si>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</si>
  <si>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</si>
  <si>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d</t>
    </r>
    <phoneticPr fontId="4" type="noConversion"/>
  </si>
  <si>
    <t>◆ 측정불확도 추정보고서 ◆</t>
    <phoneticPr fontId="4" type="noConversion"/>
  </si>
  <si>
    <t>※ 블록 간격</t>
    <phoneticPr fontId="4" type="noConversion"/>
  </si>
  <si>
    <t>■ 측정기본정보</t>
    <phoneticPr fontId="4" type="noConversion"/>
  </si>
  <si>
    <t>기기명</t>
    <phoneticPr fontId="4" type="noConversion"/>
  </si>
  <si>
    <t>기준기명</t>
    <phoneticPr fontId="4" type="noConversion"/>
  </si>
  <si>
    <t>캘리퍼 검사기</t>
    <phoneticPr fontId="4" type="noConversion"/>
  </si>
  <si>
    <t>전기 마이크로미터</t>
    <phoneticPr fontId="4" type="noConversion"/>
  </si>
  <si>
    <t>■ 블록 측정 결과</t>
    <phoneticPr fontId="4" type="noConversion"/>
  </si>
  <si>
    <t>전기 마이크로미터 지시값 (μm)</t>
    <phoneticPr fontId="4" type="noConversion"/>
  </si>
  <si>
    <t>평균값
(μm)</t>
    <phoneticPr fontId="4" type="noConversion"/>
  </si>
  <si>
    <t>4회</t>
    <phoneticPr fontId="4" type="noConversion"/>
  </si>
  <si>
    <t>■ 평행도 측정 결과</t>
    <phoneticPr fontId="4" type="noConversion"/>
  </si>
  <si>
    <t>명목값
(mm)</t>
    <phoneticPr fontId="4" type="noConversion"/>
  </si>
  <si>
    <t>최댓값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</si>
  <si>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</si>
  <si>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</si>
  <si>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</si>
  <si>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ix</t>
    </r>
    <phoneticPr fontId="4" type="noConversion"/>
  </si>
  <si>
    <t>:</t>
    <phoneticPr fontId="4" type="noConversion"/>
  </si>
  <si>
    <t>: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</si>
  <si>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</si>
  <si>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</si>
  <si>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</si>
  <si>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</si>
  <si>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</si>
  <si>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</si>
  <si>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정반의 평면도에 의한 영향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</si>
  <si>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</si>
  <si>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t>블록의 평행도에 의한 영향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</si>
  <si>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</si>
  <si>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</si>
  <si>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</si>
  <si>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</si>
  <si>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</si>
  <si>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</si>
  <si>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</si>
  <si>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</si>
  <si>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</si>
  <si>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</si>
  <si>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</si>
  <si>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</si>
  <si>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</si>
  <si>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</si>
  <si>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</si>
  <si>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</si>
  <si>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</si>
  <si>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</si>
  <si>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ix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</si>
  <si>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</si>
  <si>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</si>
  <si>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</si>
  <si>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</si>
  <si>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</si>
  <si>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F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</si>
  <si>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</si>
  <si>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</si>
  <si>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G</t>
    <phoneticPr fontId="4" type="noConversion"/>
  </si>
  <si>
    <r>
      <t>t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</si>
  <si>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-</t>
    <phoneticPr fontId="4" type="noConversion"/>
  </si>
  <si>
    <t>H</t>
    <phoneticPr fontId="4" type="noConversion"/>
  </si>
  <si>
    <r>
      <t>δt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</si>
  <si>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-</t>
    <phoneticPr fontId="4" type="noConversion"/>
  </si>
  <si>
    <t>I</t>
    <phoneticPr fontId="4" type="noConversion"/>
  </si>
  <si>
    <r>
      <t>δt</t>
    </r>
    <r>
      <rPr>
        <vertAlign val="subscript"/>
        <sz val="10"/>
        <rFont val="Times New Roman"/>
        <family val="1"/>
      </rPr>
      <t>Δ</t>
    </r>
    <phoneticPr fontId="4" type="noConversion"/>
  </si>
  <si>
    <t>J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</si>
  <si>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</si>
  <si>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K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</si>
  <si>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</si>
  <si>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L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</si>
  <si>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</si>
  <si>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N</t>
    <phoneticPr fontId="4" type="noConversion"/>
  </si>
  <si>
    <t>2차항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</si>
  <si>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</si>
  <si>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O</t>
    <phoneticPr fontId="4" type="noConversion"/>
  </si>
  <si>
    <t>2차항</t>
    <phoneticPr fontId="4" type="noConversion"/>
  </si>
  <si>
    <t>P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</si>
  <si>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</si>
  <si>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</t>
    </r>
    <phoneticPr fontId="4" type="noConversion"/>
  </si>
  <si>
    <t>■ 표준불확도 성분의 계산</t>
    <phoneticPr fontId="4" type="noConversion"/>
  </si>
  <si>
    <t>1.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</si>
  <si>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</si>
  <si>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</si>
  <si>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</si>
  <si>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</si>
  <si>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</si>
  <si>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</si>
  <si>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nm</t>
    <phoneticPr fontId="4" type="noConversion"/>
  </si>
  <si>
    <t>=</t>
    <phoneticPr fontId="4" type="noConversion"/>
  </si>
  <si>
    <t>μm</t>
    <phoneticPr fontId="4" type="noConversion"/>
  </si>
  <si>
    <t>A3. 확률분포 :</t>
    <phoneticPr fontId="4" type="noConversion"/>
  </si>
  <si>
    <t>A4. 감도계수 :</t>
    <phoneticPr fontId="4" type="noConversion"/>
  </si>
  <si>
    <t>×</t>
    <phoneticPr fontId="4" type="noConversion"/>
  </si>
  <si>
    <t>|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</si>
  <si>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</si>
  <si>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</si>
  <si>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2.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</si>
  <si>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ix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</si>
  <si>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</si>
  <si>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</si>
  <si>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</si>
  <si>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</si>
  <si>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</si>
  <si>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</si>
  <si>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B5. 불확도 기여도 :</t>
    <phoneticPr fontId="4" type="noConversion"/>
  </si>
  <si>
    <t>×</t>
    <phoneticPr fontId="4" type="noConversion"/>
  </si>
  <si>
    <t>|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</si>
  <si>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</si>
  <si>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</si>
  <si>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3.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</si>
  <si>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</si>
  <si>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</si>
  <si>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</si>
  <si>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</si>
  <si>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</si>
  <si>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</si>
  <si>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</si>
  <si>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</si>
  <si>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</si>
  <si>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</si>
  <si>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</si>
  <si>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</si>
  <si>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</si>
  <si>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C5.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</si>
  <si>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</si>
  <si>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</si>
  <si>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</si>
  <si>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</si>
  <si>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일치한다고 추정하여 직사각형 확률분포를 적용하여 계산하면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</si>
  <si>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</si>
  <si>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</si>
  <si>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</si>
  <si>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</si>
  <si>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</si>
  <si>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</si>
  <si>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</si>
  <si>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</si>
  <si>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</si>
  <si>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</si>
  <si>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5.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</si>
  <si>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</si>
  <si>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</si>
  <si>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</si>
  <si>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</si>
  <si>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</si>
  <si>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</si>
  <si>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</si>
  <si>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</si>
  <si>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</si>
  <si>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</si>
  <si>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</si>
  <si>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6.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</si>
  <si>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</si>
  <si>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※ 직접 기준기나 교정대상기기의 온도를 측정하지 않고, 정밀 정반의 온도를 측정하므로</t>
    <phoneticPr fontId="4" type="noConversion"/>
  </si>
  <si>
    <r>
      <t>δt</t>
    </r>
    <r>
      <rPr>
        <sz val="10"/>
        <rFont val="Times New Roman"/>
        <family val="1"/>
      </rPr>
      <t xml:space="preserve"> = (</t>
    </r>
    <r>
      <rPr>
        <i/>
        <sz val="10"/>
        <rFont val="Times New Roman"/>
        <family val="1"/>
      </rPr>
      <t>t</t>
    </r>
    <r>
      <rPr>
        <vertAlign val="subscript"/>
        <sz val="11"/>
        <rFont val="돋움"/>
        <family val="3"/>
        <charset val="129"/>
      </rPr>
      <t xml:space="preserve">x </t>
    </r>
    <r>
      <rPr>
        <i/>
        <sz val="10"/>
        <rFont val="Times New Roman"/>
        <family val="1"/>
      </rPr>
      <t>+ t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)/2-20 </t>
    </r>
    <r>
      <rPr>
        <sz val="10"/>
        <rFont val="맑은 고딕"/>
        <family val="3"/>
        <charset val="129"/>
      </rPr>
      <t>℃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 xml:space="preserve">- 20 </t>
    </r>
    <r>
      <rPr>
        <sz val="10"/>
        <rFont val="맑은 고딕"/>
        <family val="3"/>
        <charset val="129"/>
      </rPr>
      <t>℃</t>
    </r>
    <phoneticPr fontId="4" type="noConversion"/>
  </si>
  <si>
    <t>가 된다.</t>
    <phoneticPr fontId="4" type="noConversion"/>
  </si>
  <si>
    <t>정밀 정반의 온도 차이가 있을 수 있으므로 이들까지 고려하면,</t>
    <phoneticPr fontId="4" type="noConversion"/>
  </si>
  <si>
    <t>F1.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</si>
  <si>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 =</t>
    </r>
    <phoneticPr fontId="4" type="noConversion"/>
  </si>
  <si>
    <t>F3. 확률분포 :</t>
    <phoneticPr fontId="4" type="noConversion"/>
  </si>
  <si>
    <t>F4. 감도계수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</si>
  <si>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</si>
  <si>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｜</t>
    <phoneticPr fontId="4" type="noConversion"/>
  </si>
  <si>
    <t>F6. 자유도 :</t>
    <phoneticPr fontId="4" type="noConversion"/>
  </si>
  <si>
    <t>+</t>
    <phoneticPr fontId="4" type="noConversion"/>
  </si>
  <si>
    <t>+</t>
    <phoneticPr fontId="4" type="noConversion"/>
  </si>
  <si>
    <t>측정 온도계의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</si>
  <si>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t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</si>
  <si>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</si>
  <si>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G2.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</si>
  <si>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</si>
  <si>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</si>
  <si>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</si>
  <si>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</si>
  <si>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</si>
  <si>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</si>
  <si>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</si>
  <si>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2)</t>
    <phoneticPr fontId="4" type="noConversion"/>
  </si>
  <si>
    <t>온도 변화에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</si>
  <si>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</si>
  <si>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H2. 표준불확도 :</t>
    <phoneticPr fontId="4" type="noConversion"/>
  </si>
  <si>
    <t>℃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</si>
  <si>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</si>
  <si>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</si>
  <si>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</si>
  <si>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|</t>
    <phoneticPr fontId="4" type="noConversion"/>
  </si>
  <si>
    <t>H6. 자유도 :</t>
    <phoneticPr fontId="4" type="noConversion"/>
  </si>
  <si>
    <t>3)</t>
    <phoneticPr fontId="4" type="noConversion"/>
  </si>
  <si>
    <t>정밀 정반의 온도와 측정기의 온도 차에 대한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</si>
  <si>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vertAlign val="subscript"/>
        <sz val="10"/>
        <rFont val="Times New Roman"/>
        <family val="1"/>
      </rPr>
      <t>Δ</t>
    </r>
    <r>
      <rPr>
        <b/>
        <sz val="10"/>
        <rFont val="Times New Roman"/>
        <family val="1"/>
      </rPr>
      <t>)</t>
    </r>
    <phoneticPr fontId="4" type="noConversion"/>
  </si>
  <si>
    <t>I2.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</si>
  <si>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vertAlign val="subscript"/>
        <sz val="10"/>
        <rFont val="Times New Roman"/>
        <family val="1"/>
      </rPr>
      <t>Δ</t>
    </r>
    <r>
      <rPr>
        <sz val="10"/>
        <rFont val="Times New Roman"/>
        <family val="1"/>
      </rPr>
      <t>)</t>
    </r>
    <phoneticPr fontId="4" type="noConversion"/>
  </si>
  <si>
    <t>I3. 확률분포 :</t>
    <phoneticPr fontId="4" type="noConversion"/>
  </si>
  <si>
    <t>I4. 감도계수 :</t>
    <phoneticPr fontId="4" type="noConversion"/>
  </si>
  <si>
    <t>I6.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</si>
  <si>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</si>
  <si>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7.</t>
    <phoneticPr fontId="4" type="noConversion"/>
  </si>
  <si>
    <t>J2.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</si>
  <si>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</si>
  <si>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d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</si>
  <si>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</si>
  <si>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</si>
  <si>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</si>
  <si>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</si>
  <si>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t>8.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</si>
  <si>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</si>
  <si>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=2) 이다,</t>
    </r>
    <phoneticPr fontId="4" type="noConversion"/>
  </si>
  <si>
    <t>K2.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</si>
  <si>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</si>
  <si>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</si>
  <si>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최대오차</t>
    <phoneticPr fontId="4" type="noConversion"/>
  </si>
  <si>
    <t>k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</si>
  <si>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</si>
  <si>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</si>
  <si>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기여도 :</t>
    <phoneticPr fontId="4" type="noConversion"/>
  </si>
  <si>
    <t>K6.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</si>
  <si>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</si>
  <si>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이 때 직사각형 확률분포를 적용하여 사용면적에 대한 상대불확도를 10 %로 추정하여 계산하면</t>
    <phoneticPr fontId="4" type="noConversion"/>
  </si>
  <si>
    <t>L2. 표준불확도 :</t>
    <phoneticPr fontId="4" type="noConversion"/>
  </si>
  <si>
    <t>※ 평면도 :</t>
    <phoneticPr fontId="4" type="noConversion"/>
  </si>
  <si>
    <t>F</t>
    <phoneticPr fontId="4" type="noConversion"/>
  </si>
  <si>
    <t>L3. 확률분포 :</t>
    <phoneticPr fontId="4" type="noConversion"/>
  </si>
  <si>
    <t>L4. 감도계수 :</t>
    <phoneticPr fontId="4" type="noConversion"/>
  </si>
  <si>
    <t>L5. 불확도 기여량 :</t>
    <phoneticPr fontId="4" type="noConversion"/>
  </si>
  <si>
    <t>10.</t>
    <phoneticPr fontId="4" type="noConversion"/>
  </si>
  <si>
    <t>블록의 평행도에 대한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</si>
  <si>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</si>
  <si>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이상적이지 못하면 측정값에 영향을 미치므로 불확도에 포함한다.</t>
    <phoneticPr fontId="4" type="noConversion"/>
  </si>
  <si>
    <t>이내의 영역에서 벗어나지 않는다고 추정하여 직사각형 확률분포를 적용하여 계산하면,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</si>
  <si>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</si>
  <si>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</si>
  <si>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M3. 확률분포 :</t>
    <phoneticPr fontId="4" type="noConversion"/>
  </si>
  <si>
    <t>M4. 감도계수 :</t>
    <phoneticPr fontId="4" type="noConversion"/>
  </si>
  <si>
    <t>M5. 불확도 기여량 :</t>
    <phoneticPr fontId="4" type="noConversion"/>
  </si>
  <si>
    <t>｜</t>
    <phoneticPr fontId="4" type="noConversion"/>
  </si>
  <si>
    <t>M6. 자유도 :</t>
    <phoneticPr fontId="4" type="noConversion"/>
  </si>
  <si>
    <t>11.</t>
    <phoneticPr fontId="4" type="noConversion"/>
  </si>
  <si>
    <t>2차항 고려</t>
    <phoneticPr fontId="4" type="noConversion"/>
  </si>
  <si>
    <r>
      <t xml:space="preserve">※ </t>
    </r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t</t>
    </r>
    <r>
      <rPr>
        <sz val="10"/>
        <rFont val="맑은 고딕"/>
        <family val="3"/>
        <charset val="129"/>
        <scheme val="major"/>
      </rPr>
      <t xml:space="preserve"> 나 </t>
    </r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가 0일 때,        ,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>의 감도계수가 0이 되므로 2차항을 고려하여야 한다.</t>
    </r>
    <phoneticPr fontId="4" type="noConversion"/>
  </si>
  <si>
    <t>1)</t>
    <phoneticPr fontId="4" type="noConversion"/>
  </si>
  <si>
    <t>에 의한 불확도</t>
    <phoneticPr fontId="4" type="noConversion"/>
  </si>
  <si>
    <t>N2. 표준불확도 :</t>
    <phoneticPr fontId="4" type="noConversion"/>
  </si>
  <si>
    <t>N3. 확률분포 :</t>
    <phoneticPr fontId="4" type="noConversion"/>
  </si>
  <si>
    <t>N4. 감도계수 :</t>
    <phoneticPr fontId="4" type="noConversion"/>
  </si>
  <si>
    <t>N5. 불확도 기여량 :</t>
    <phoneticPr fontId="4" type="noConversion"/>
  </si>
  <si>
    <r>
      <t xml:space="preserve">※ </t>
    </r>
    <r>
      <rPr>
        <i/>
        <sz val="10"/>
        <rFont val="Times New Roman"/>
        <family val="1"/>
      </rPr>
      <t>Δt</t>
    </r>
    <r>
      <rPr>
        <sz val="10"/>
        <rFont val="맑은 고딕"/>
        <family val="3"/>
        <charset val="129"/>
        <scheme val="major"/>
      </rPr>
      <t>가</t>
    </r>
    <phoneticPr fontId="4" type="noConversion"/>
  </si>
  <si>
    <t>2)</t>
    <phoneticPr fontId="4" type="noConversion"/>
  </si>
  <si>
    <t>에 의한 불확도</t>
    <phoneticPr fontId="4" type="noConversion"/>
  </si>
  <si>
    <t>O2. 표준불확도 :</t>
    <phoneticPr fontId="4" type="noConversion"/>
  </si>
  <si>
    <r>
      <t xml:space="preserve">※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>가</t>
    </r>
    <phoneticPr fontId="4" type="noConversion"/>
  </si>
  <si>
    <t>O6. 자유도 :</t>
    <phoneticPr fontId="4" type="noConversion"/>
  </si>
  <si>
    <t>■ 합성표준불확도 계산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</si>
  <si>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</si>
  <si>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</si>
  <si>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=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</si>
  <si>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</si>
  <si>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</si>
  <si>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</si>
  <si>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</si>
  <si>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</si>
  <si>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</si>
  <si>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</si>
  <si>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</si>
  <si>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</si>
  <si>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</si>
  <si>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</si>
  <si>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</si>
  <si>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</si>
  <si>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※ 내측 블록 간격</t>
    <phoneticPr fontId="4" type="noConversion"/>
  </si>
  <si>
    <t>■ 내측 블록간격 교정값</t>
    <phoneticPr fontId="4" type="noConversion"/>
  </si>
  <si>
    <t>명목값
(mm)</t>
    <phoneticPr fontId="4" type="noConversion"/>
  </si>
  <si>
    <t>내측 기준 블록 길이
(mm)</t>
    <phoneticPr fontId="4" type="noConversion"/>
  </si>
  <si>
    <t>해당 명목값 블록 길이
(mm)</t>
    <phoneticPr fontId="4" type="noConversion"/>
  </si>
  <si>
    <t>내측 블록 간격
(mm)</t>
    <phoneticPr fontId="4" type="noConversion"/>
  </si>
  <si>
    <t>편차
(μm)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</si>
  <si>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</si>
  <si>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</si>
  <si>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:</t>
    <phoneticPr fontId="4" type="noConversion"/>
  </si>
  <si>
    <t>내측 블록 간격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</si>
  <si>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2</t>
    </r>
    <phoneticPr fontId="4" type="noConversion"/>
  </si>
  <si>
    <t>:</t>
    <phoneticPr fontId="4" type="noConversion"/>
  </si>
  <si>
    <t>내측 기준 블록 길이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</si>
  <si>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1</t>
    </r>
    <phoneticPr fontId="4" type="noConversion"/>
  </si>
  <si>
    <t>내측 블록 간격 명목값에 해당하는 캘리퍼 검사기 블록 길이</t>
    <phoneticPr fontId="4" type="noConversion"/>
  </si>
  <si>
    <t>■ 합성표준불확도 관계식</t>
    <phoneticPr fontId="4" type="noConversion"/>
  </si>
  <si>
    <t>■ 불확도 총괄표</t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</si>
  <si>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</si>
  <si>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</si>
  <si>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</si>
  <si>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불확도 기여량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</si>
  <si>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</si>
  <si>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</si>
  <si>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</si>
  <si>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</si>
  <si>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2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</si>
  <si>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1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</si>
  <si>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d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</si>
  <si>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</t>
    </r>
    <phoneticPr fontId="4" type="noConversion"/>
  </si>
  <si>
    <t>내측 기준 블록길이의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</si>
  <si>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  <phoneticPr fontId="4" type="noConversion"/>
  </si>
  <si>
    <t>※ 블록 간격 불확도 추정의 반복측정과, 블록의 평행도에 의한 표준불확도가 약간 다르고 나머지 표준불확도는 모두 같으므로</t>
    <phoneticPr fontId="4" type="noConversion"/>
  </si>
  <si>
    <t>그 값을 그대로 사용한다.</t>
    <phoneticPr fontId="4" type="noConversion"/>
  </si>
  <si>
    <t>A2.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</si>
  <si>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</si>
  <si>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</si>
  <si>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</si>
  <si>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</si>
  <si>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</si>
  <si>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</si>
  <si>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</si>
  <si>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</si>
  <si>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</si>
  <si>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2.</t>
    <phoneticPr fontId="4" type="noConversion"/>
  </si>
  <si>
    <t>내측 블록 간격 명목값에 해당하는 캘리퍼 검사기 블록 길이의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</si>
  <si>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>)</t>
    </r>
    <phoneticPr fontId="4" type="noConversion"/>
  </si>
  <si>
    <t>그 값을 그대로 사용한다.</t>
    <phoneticPr fontId="4" type="noConversion"/>
  </si>
  <si>
    <t>B1.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</si>
  <si>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</si>
  <si>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t>B3. 확률분포 :</t>
    <phoneticPr fontId="4" type="noConversion"/>
  </si>
  <si>
    <t>B5.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</si>
  <si>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</si>
  <si>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</si>
  <si>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=</t>
    <phoneticPr fontId="4" type="noConversion"/>
  </si>
  <si>
    <t>■ 유효자유도</t>
    <phoneticPr fontId="4" type="noConversion"/>
  </si>
  <si>
    <t>=</t>
    <phoneticPr fontId="4" type="noConversion"/>
  </si>
  <si>
    <t>+</t>
    <phoneticPr fontId="4" type="noConversion"/>
  </si>
  <si>
    <r>
      <t>※ 유효자유도가 ∞ 이고 확률분포가 정규분포이므로 약 95%의 신뢰수준에서 포함인자 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=2)를 사용하여 측정불확도를 구한다.</t>
    </r>
    <phoneticPr fontId="4" type="noConversion"/>
  </si>
  <si>
    <t>=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</si>
  <si>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</si>
  <si>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</si>
  <si>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</si>
  <si>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</si>
  <si>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</si>
  <si>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</si>
  <si>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</si>
  <si>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</si>
  <si>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블록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간격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</si>
  <si>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</si>
  <si>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측정위치</t>
    <phoneticPr fontId="4" type="noConversion"/>
  </si>
  <si>
    <t>명목값</t>
    <phoneticPr fontId="4" type="noConversion"/>
  </si>
  <si>
    <t>단위</t>
    <phoneticPr fontId="4" type="noConversion"/>
  </si>
  <si>
    <t>전기 마이크로미터 지시값 (μm)</t>
    <phoneticPr fontId="4" type="noConversion"/>
  </si>
  <si>
    <t>전기 마이크로미터 지시값 (μm)</t>
    <phoneticPr fontId="4" type="noConversion"/>
  </si>
  <si>
    <t>1회</t>
    <phoneticPr fontId="4" type="noConversion"/>
  </si>
  <si>
    <t>최댓값</t>
    <phoneticPr fontId="4" type="noConversion"/>
  </si>
  <si>
    <t>최솟값</t>
    <phoneticPr fontId="4" type="noConversion"/>
  </si>
  <si>
    <t>Outer Block :</t>
    <phoneticPr fontId="4" type="noConversion"/>
  </si>
  <si>
    <t>Inner Block :</t>
    <phoneticPr fontId="4" type="noConversion"/>
  </si>
  <si>
    <t>● Measurement uncertainty</t>
    <phoneticPr fontId="4" type="noConversion"/>
  </si>
  <si>
    <t>측정방향</t>
    <phoneticPr fontId="4" type="noConversion"/>
  </si>
  <si>
    <t>외측블록</t>
    <phoneticPr fontId="4" type="noConversion"/>
  </si>
  <si>
    <t>내측블록</t>
    <phoneticPr fontId="4" type="noConversion"/>
  </si>
  <si>
    <t>측정방향</t>
    <phoneticPr fontId="4" type="noConversion"/>
  </si>
  <si>
    <t>외측블록</t>
    <phoneticPr fontId="4" type="noConversion"/>
  </si>
  <si>
    <t>내측블록</t>
    <phoneticPr fontId="4" type="noConversion"/>
  </si>
  <si>
    <t>성적서</t>
    <phoneticPr fontId="4" type="noConversion"/>
  </si>
  <si>
    <t>성적서</t>
    <phoneticPr fontId="4" type="noConversion"/>
  </si>
  <si>
    <t>조건</t>
    <phoneticPr fontId="4" type="noConversion"/>
  </si>
  <si>
    <t>기본수수료</t>
    <phoneticPr fontId="4" type="noConversion"/>
  </si>
  <si>
    <t>추가수수료</t>
    <phoneticPr fontId="4" type="noConversion"/>
  </si>
  <si>
    <t>추가수수료</t>
    <phoneticPr fontId="4" type="noConversion"/>
  </si>
  <si>
    <t>mm 이하</t>
    <phoneticPr fontId="4" type="noConversion"/>
  </si>
  <si>
    <t>추가</t>
    <phoneticPr fontId="4" type="noConversion"/>
  </si>
  <si>
    <t>mm 초과</t>
    <phoneticPr fontId="4" type="noConversion"/>
  </si>
  <si>
    <t>mm마다</t>
    <phoneticPr fontId="4" type="noConversion"/>
  </si>
  <si>
    <t>추가범위</t>
    <phoneticPr fontId="4" type="noConversion"/>
  </si>
  <si>
    <t>추가</t>
    <phoneticPr fontId="4" type="noConversion"/>
  </si>
  <si>
    <t>인치?</t>
    <phoneticPr fontId="4" type="noConversion"/>
  </si>
  <si>
    <t>기본수수료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</si>
  <si>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</si>
  <si>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</si>
  <si>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</si>
  <si>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※     는 캘리퍼 검사기의 명목값이며, 단위는 mm 임.</t>
    <phoneticPr fontId="4" type="noConversion"/>
  </si>
  <si>
    <t>※     is the nominal value of the caliper tester, and the unit is mm.</t>
    <phoneticPr fontId="4" type="noConversion"/>
  </si>
  <si>
    <t>명목값</t>
    <phoneticPr fontId="4" type="noConversion"/>
  </si>
  <si>
    <t>1. 블록 간격 교정결과</t>
    <phoneticPr fontId="4" type="noConversion"/>
  </si>
  <si>
    <t>외측</t>
    <phoneticPr fontId="4" type="noConversion"/>
  </si>
  <si>
    <t>내측</t>
    <phoneticPr fontId="4" type="noConversion"/>
  </si>
  <si>
    <t>Outer Block</t>
    <phoneticPr fontId="4" type="noConversion"/>
  </si>
  <si>
    <t>Inner Block</t>
    <phoneticPr fontId="4" type="noConversion"/>
  </si>
  <si>
    <t>Parallelism
(μm)</t>
    <phoneticPr fontId="4" type="noConversion"/>
  </si>
  <si>
    <t>Nominal Value
(mm)</t>
    <phoneticPr fontId="4" type="noConversion"/>
  </si>
  <si>
    <t>Deviation
(μm)</t>
    <phoneticPr fontId="4" type="noConversion"/>
  </si>
  <si>
    <t>Range</t>
    <phoneticPr fontId="4" type="noConversion"/>
  </si>
  <si>
    <t>Channel</t>
    <phoneticPr fontId="4" type="noConversion"/>
  </si>
  <si>
    <t>Direction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</si>
</sst>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_ "/>
    <numFmt numFmtId="191" formatCode="0.000"/>
    <numFmt numFmtId="192" formatCode="####\-##\-##"/>
    <numFmt numFmtId="193" formatCode="0.0000_);[Red]\(0.0000\)"/>
    <numFmt numFmtId="194" formatCode="0.0000_ "/>
    <numFmt numFmtId="195" formatCode="\√\(0\)"/>
    <numFmt numFmtId="196" formatCode="0.0"/>
    <numFmt numFmtId="197" formatCode="#0.0\ E+00"/>
    <numFmt numFmtId="198" formatCode="&quot;0&quot;.0#\ E+00"/>
    <numFmt numFmtId="199" formatCode="_-* #,##0_-;\-* #,##0_-;_-* &quot;-&quot;??_-;_-@_-"/>
    <numFmt numFmtId="200" formatCode="0.000000"/>
    <numFmt numFmtId="201" formatCode="0_ "/>
    <numFmt numFmtId="202" formatCode="0.0E+00"/>
    <numFmt numFmtId="203" formatCode="0.00000"/>
    <numFmt numFmtId="204" formatCode="_-* #,##0.0_-;\-* #,##0.0_-;_-* &quot;-&quot;?_-;_-@_-"/>
    <numFmt numFmtId="205" formatCode="0\ &quot;mm&quot;"/>
    <numFmt numFmtId="206" formatCode="0.000\ 00"/>
    <numFmt numFmtId="207" formatCode="0.0\ &quot;kg&quot;"/>
    <numFmt numFmtId="208" formatCode="0.000\ &quot;kg&quot;"/>
    <numFmt numFmtId="209" formatCode="0.00\ &quot;mg&quot;"/>
    <numFmt numFmtId="210" formatCode="\(0.00\ &quot;μm&quot;\)"/>
    <numFmt numFmtId="211" formatCode="0.00\ &quot;μm&quot;"/>
    <numFmt numFmtId="212" formatCode="0.000\ \℃"/>
    <numFmt numFmtId="213" formatCode="0.00\ \℃"/>
    <numFmt numFmtId="214" formatCode="0\ &quot;nm&quot;"/>
    <numFmt numFmtId="215" formatCode="#\ ##0.0\ &quot;mg&quot;"/>
    <numFmt numFmtId="216" formatCode="General\ &quot;μm&quot;"/>
    <numFmt numFmtId="217" formatCode="0.0000"/>
    <numFmt numFmtId="218" formatCode="#\ ###\ ###"/>
    <numFmt numFmtId="219" formatCode="0.000\ &quot;μm&quot;"/>
    <numFmt numFmtId="220" formatCode="0.0\ &quot;μm&quot;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b/>
      <vertAlign val="subscript"/>
      <sz val="9"/>
      <color indexed="9"/>
      <name val="맑은 고딕"/>
      <family val="3"/>
      <charset val="129"/>
      <scheme val="major"/>
    </font>
    <font>
      <sz val="9"/>
      <color theme="0" tint="-0.249977111117893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맑은 고딕"/>
      <family val="3"/>
      <charset val="129"/>
      <scheme val="minor"/>
    </font>
    <font>
      <b/>
      <sz val="10"/>
      <name val="맑은 고딕"/>
      <family val="1"/>
      <scheme val="major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sz val="10"/>
      <name val="맑은 고딕"/>
      <family val="1"/>
      <scheme val="minor"/>
    </font>
    <font>
      <sz val="10"/>
      <name val="바탕"/>
      <family val="1"/>
      <charset val="129"/>
    </font>
    <font>
      <sz val="10"/>
      <name val="맑은 고딕"/>
      <family val="1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vertAlign val="subscript"/>
      <sz val="11"/>
      <name val="돋움"/>
      <family val="3"/>
      <charset val="129"/>
    </font>
    <font>
      <b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6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/>
      <bottom style="thin">
        <color indexed="64"/>
      </bottom>
      <diagonal/>
    </border>
  </borders>
  <cellStyleXfs count="17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2" applyNumberFormat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0" fontId="24" fillId="0" borderId="73" applyNumberFormat="0" applyFill="0" applyAlignment="0" applyProtection="0">
      <alignment vertical="center"/>
    </xf>
    <xf numFmtId="0" fontId="25" fillId="7" borderId="72" applyNumberFormat="0" applyAlignment="0" applyProtection="0">
      <alignment vertical="center"/>
    </xf>
    <xf numFmtId="0" fontId="31" fillId="22" borderId="7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2" applyNumberFormat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0" fontId="24" fillId="0" borderId="73" applyNumberFormat="0" applyFill="0" applyAlignment="0" applyProtection="0">
      <alignment vertical="center"/>
    </xf>
    <xf numFmtId="0" fontId="25" fillId="7" borderId="72" applyNumberFormat="0" applyAlignment="0" applyProtection="0">
      <alignment vertical="center"/>
    </xf>
    <xf numFmtId="0" fontId="31" fillId="22" borderId="7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72" applyNumberFormat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0" fontId="24" fillId="0" borderId="73" applyNumberFormat="0" applyFill="0" applyAlignment="0" applyProtection="0">
      <alignment vertical="center"/>
    </xf>
    <xf numFmtId="0" fontId="25" fillId="7" borderId="72" applyNumberFormat="0" applyAlignment="0" applyProtection="0">
      <alignment vertical="center"/>
    </xf>
    <xf numFmtId="0" fontId="31" fillId="22" borderId="7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3" fillId="23" borderId="7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7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5" fillId="0" borderId="0" xfId="0" applyFo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7" xfId="79" applyNumberFormat="1" applyFont="1" applyFill="1" applyBorder="1" applyAlignment="1">
      <alignment vertical="center"/>
    </xf>
    <xf numFmtId="0" fontId="48" fillId="0" borderId="37" xfId="79" applyNumberFormat="1" applyFont="1" applyFill="1" applyBorder="1" applyAlignment="1">
      <alignment horizontal="left" vertical="center"/>
    </xf>
    <xf numFmtId="0" fontId="48" fillId="0" borderId="37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69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6" xfId="0" applyNumberFormat="1" applyFont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50" fillId="0" borderId="37" xfId="80" applyNumberFormat="1" applyFont="1" applyFill="1" applyBorder="1" applyAlignment="1">
      <alignment horizontal="right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0" xfId="0" applyNumberFormat="1" applyFont="1" applyBorder="1" applyAlignment="1">
      <alignment horizontal="center" vertical="center"/>
    </xf>
    <xf numFmtId="0" fontId="53" fillId="26" borderId="40" xfId="0" applyFont="1" applyFill="1" applyBorder="1" applyAlignment="1">
      <alignment horizontal="center" vertical="center" wrapText="1"/>
    </xf>
    <xf numFmtId="0" fontId="55" fillId="0" borderId="40" xfId="0" applyFont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59" fillId="27" borderId="42" xfId="81" applyFont="1" applyFill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/>
    </xf>
    <xf numFmtId="0" fontId="67" fillId="33" borderId="40" xfId="0" applyFont="1" applyFill="1" applyBorder="1">
      <alignment vertical="center"/>
    </xf>
    <xf numFmtId="0" fontId="70" fillId="0" borderId="0" xfId="0" applyNumberFormat="1" applyFont="1" applyFill="1" applyAlignment="1">
      <alignment horizontal="left" vertical="center" indent="1"/>
    </xf>
    <xf numFmtId="0" fontId="71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1" fillId="0" borderId="0" xfId="0" applyNumberFormat="1" applyFont="1">
      <alignment vertical="center"/>
    </xf>
    <xf numFmtId="0" fontId="71" fillId="0" borderId="0" xfId="0" applyNumberFormat="1" applyFont="1" applyFill="1" applyBorder="1" applyAlignment="1">
      <alignment vertical="center"/>
    </xf>
    <xf numFmtId="0" fontId="71" fillId="0" borderId="0" xfId="0" applyNumberFormat="1" applyFont="1" applyFill="1" applyAlignment="1">
      <alignment vertical="center"/>
    </xf>
    <xf numFmtId="0" fontId="70" fillId="0" borderId="0" xfId="0" applyNumberFormat="1" applyFont="1" applyFill="1" applyBorder="1" applyAlignment="1">
      <alignment vertical="center"/>
    </xf>
    <xf numFmtId="193" fontId="71" fillId="0" borderId="44" xfId="0" applyNumberFormat="1" applyFont="1" applyFill="1" applyBorder="1" applyAlignment="1">
      <alignment horizontal="center" vertical="center"/>
    </xf>
    <xf numFmtId="0" fontId="71" fillId="35" borderId="44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Alignment="1">
      <alignment vertical="center"/>
    </xf>
    <xf numFmtId="194" fontId="71" fillId="0" borderId="46" xfId="0" applyNumberFormat="1" applyFont="1" applyFill="1" applyBorder="1" applyAlignment="1">
      <alignment horizontal="center" vertical="center"/>
    </xf>
    <xf numFmtId="0" fontId="71" fillId="35" borderId="46" xfId="0" applyNumberFormat="1" applyFont="1" applyFill="1" applyBorder="1" applyAlignment="1">
      <alignment horizontal="center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74" fillId="0" borderId="0" xfId="0" applyNumberFormat="1" applyFont="1" applyAlignment="1">
      <alignment vertical="center"/>
    </xf>
    <xf numFmtId="0" fontId="74" fillId="0" borderId="0" xfId="0" applyNumberFormat="1" applyFont="1" applyAlignment="1">
      <alignment horizontal="left" vertical="center" indent="1"/>
    </xf>
    <xf numFmtId="0" fontId="71" fillId="32" borderId="53" xfId="0" applyNumberFormat="1" applyFont="1" applyFill="1" applyBorder="1" applyAlignment="1">
      <alignment horizontal="center" vertical="center" wrapText="1"/>
    </xf>
    <xf numFmtId="0" fontId="71" fillId="0" borderId="46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188" fontId="71" fillId="0" borderId="46" xfId="0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48" fillId="0" borderId="62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7" fillId="28" borderId="53" xfId="0" applyNumberFormat="1" applyFont="1" applyFill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right" vertical="center"/>
    </xf>
    <xf numFmtId="0" fontId="48" fillId="0" borderId="64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right" vertical="center" indent="2"/>
    </xf>
    <xf numFmtId="0" fontId="52" fillId="29" borderId="61" xfId="87" applyNumberFormat="1" applyFont="1" applyFill="1" applyBorder="1" applyAlignment="1">
      <alignment horizontal="center" vertical="center" wrapText="1"/>
    </xf>
    <xf numFmtId="0" fontId="71" fillId="0" borderId="47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right" vertical="center"/>
    </xf>
    <xf numFmtId="191" fontId="71" fillId="0" borderId="71" xfId="0" applyNumberFormat="1" applyFont="1" applyFill="1" applyBorder="1" applyAlignment="1">
      <alignment horizontal="center" vertical="center"/>
    </xf>
    <xf numFmtId="2" fontId="71" fillId="32" borderId="71" xfId="86" applyNumberFormat="1" applyFont="1" applyFill="1" applyBorder="1" applyAlignment="1">
      <alignment horizontal="center" vertical="center" wrapText="1"/>
    </xf>
    <xf numFmtId="0" fontId="75" fillId="28" borderId="71" xfId="0" applyNumberFormat="1" applyFont="1" applyFill="1" applyBorder="1" applyAlignment="1">
      <alignment horizontal="center" vertical="center"/>
    </xf>
    <xf numFmtId="0" fontId="71" fillId="0" borderId="71" xfId="0" applyNumberFormat="1" applyFont="1" applyFill="1" applyBorder="1" applyAlignment="1">
      <alignment horizontal="center" vertical="center"/>
    </xf>
    <xf numFmtId="197" fontId="71" fillId="0" borderId="71" xfId="0" applyNumberFormat="1" applyFont="1" applyFill="1" applyBorder="1" applyAlignment="1">
      <alignment horizontal="center" vertical="center"/>
    </xf>
    <xf numFmtId="0" fontId="79" fillId="0" borderId="71" xfId="0" applyNumberFormat="1" applyFont="1" applyFill="1" applyBorder="1" applyAlignment="1">
      <alignment horizontal="center" vertical="center"/>
    </xf>
    <xf numFmtId="195" fontId="71" fillId="0" borderId="71" xfId="0" applyNumberFormat="1" applyFont="1" applyFill="1" applyBorder="1" applyAlignment="1">
      <alignment horizontal="center" vertical="center"/>
    </xf>
    <xf numFmtId="191" fontId="71" fillId="31" borderId="71" xfId="0" applyNumberFormat="1" applyFont="1" applyFill="1" applyBorder="1" applyAlignment="1">
      <alignment horizontal="center" vertical="center"/>
    </xf>
    <xf numFmtId="189" fontId="72" fillId="28" borderId="71" xfId="0" applyNumberFormat="1" applyFont="1" applyFill="1" applyBorder="1" applyAlignment="1">
      <alignment horizontal="center" vertical="center" wrapText="1"/>
    </xf>
    <xf numFmtId="0" fontId="48" fillId="0" borderId="64" xfId="79" applyNumberFormat="1" applyFont="1" applyFill="1" applyBorder="1" applyAlignment="1">
      <alignment vertical="center"/>
    </xf>
    <xf numFmtId="0" fontId="50" fillId="0" borderId="64" xfId="80" applyNumberFormat="1" applyFont="1" applyFill="1" applyBorder="1" applyAlignment="1">
      <alignment horizontal="right" vertical="center"/>
    </xf>
    <xf numFmtId="0" fontId="48" fillId="0" borderId="64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72" fillId="28" borderId="71" xfId="0" applyNumberFormat="1" applyFont="1" applyFill="1" applyBorder="1" applyAlignment="1">
      <alignment horizontal="center" vertical="center"/>
    </xf>
    <xf numFmtId="201" fontId="80" fillId="38" borderId="64" xfId="139" applyNumberFormat="1" applyFont="1" applyFill="1" applyBorder="1" applyAlignment="1">
      <alignment horizontal="center" vertical="center" wrapText="1"/>
    </xf>
    <xf numFmtId="49" fontId="60" fillId="38" borderId="64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72" fillId="28" borderId="71" xfId="0" applyNumberFormat="1" applyFont="1" applyFill="1" applyBorder="1" applyAlignment="1">
      <alignment horizontal="center" vertical="center" shrinkToFit="1"/>
    </xf>
    <xf numFmtId="49" fontId="72" fillId="28" borderId="71" xfId="0" applyNumberFormat="1" applyFont="1" applyFill="1" applyBorder="1" applyAlignment="1">
      <alignment horizontal="center" vertical="center"/>
    </xf>
    <xf numFmtId="189" fontId="72" fillId="28" borderId="71" xfId="0" applyNumberFormat="1" applyFont="1" applyFill="1" applyBorder="1" applyAlignment="1">
      <alignment horizontal="center" vertical="center"/>
    </xf>
    <xf numFmtId="0" fontId="72" fillId="28" borderId="71" xfId="0" quotePrefix="1" applyNumberFormat="1" applyFont="1" applyFill="1" applyBorder="1" applyAlignment="1">
      <alignment horizontal="center" vertical="center" wrapText="1"/>
    </xf>
    <xf numFmtId="0" fontId="71" fillId="0" borderId="71" xfId="78" applyNumberFormat="1" applyFont="1" applyFill="1" applyBorder="1" applyAlignment="1">
      <alignment horizontal="center" vertical="center"/>
    </xf>
    <xf numFmtId="0" fontId="71" fillId="37" borderId="71" xfId="0" applyNumberFormat="1" applyFont="1" applyFill="1" applyBorder="1" applyAlignment="1">
      <alignment horizontal="center" vertical="center"/>
    </xf>
    <xf numFmtId="0" fontId="71" fillId="32" borderId="71" xfId="0" applyNumberFormat="1" applyFont="1" applyFill="1" applyBorder="1" applyAlignment="1">
      <alignment horizontal="center" vertical="center"/>
    </xf>
    <xf numFmtId="0" fontId="71" fillId="29" borderId="71" xfId="0" applyNumberFormat="1" applyFont="1" applyFill="1" applyBorder="1" applyAlignment="1">
      <alignment horizontal="center" vertical="center"/>
    </xf>
    <xf numFmtId="200" fontId="71" fillId="31" borderId="71" xfId="0" applyNumberFormat="1" applyFont="1" applyFill="1" applyBorder="1" applyAlignment="1">
      <alignment horizontal="center" vertical="center"/>
    </xf>
    <xf numFmtId="0" fontId="71" fillId="34" borderId="71" xfId="0" applyNumberFormat="1" applyFont="1" applyFill="1" applyBorder="1" applyAlignment="1">
      <alignment horizontal="center" vertical="center"/>
    </xf>
    <xf numFmtId="0" fontId="82" fillId="28" borderId="71" xfId="0" applyNumberFormat="1" applyFont="1" applyFill="1" applyBorder="1" applyAlignment="1">
      <alignment horizontal="center" vertical="center"/>
    </xf>
    <xf numFmtId="0" fontId="71" fillId="32" borderId="71" xfId="0" applyNumberFormat="1" applyFont="1" applyFill="1" applyBorder="1" applyAlignment="1">
      <alignment horizontal="center" vertical="center" wrapText="1"/>
    </xf>
    <xf numFmtId="0" fontId="71" fillId="0" borderId="71" xfId="0" applyNumberFormat="1" applyFont="1" applyFill="1" applyBorder="1" applyAlignment="1">
      <alignment horizontal="center" vertical="center" wrapText="1"/>
    </xf>
    <xf numFmtId="190" fontId="71" fillId="0" borderId="71" xfId="0" applyNumberFormat="1" applyFont="1" applyFill="1" applyBorder="1" applyAlignment="1">
      <alignment horizontal="center" vertical="center"/>
    </xf>
    <xf numFmtId="191" fontId="71" fillId="32" borderId="71" xfId="0" applyNumberFormat="1" applyFont="1" applyFill="1" applyBorder="1" applyAlignment="1">
      <alignment horizontal="center" vertical="center"/>
    </xf>
    <xf numFmtId="196" fontId="71" fillId="0" borderId="71" xfId="0" applyNumberFormat="1" applyFont="1" applyFill="1" applyBorder="1" applyAlignment="1">
      <alignment horizontal="center" vertical="center"/>
    </xf>
    <xf numFmtId="0" fontId="71" fillId="36" borderId="71" xfId="0" applyNumberFormat="1" applyFont="1" applyFill="1" applyBorder="1" applyAlignment="1">
      <alignment horizontal="center" vertical="center"/>
    </xf>
    <xf numFmtId="191" fontId="71" fillId="29" borderId="71" xfId="0" applyNumberFormat="1" applyFont="1" applyFill="1" applyBorder="1" applyAlignment="1">
      <alignment horizontal="center" vertical="center"/>
    </xf>
    <xf numFmtId="0" fontId="71" fillId="0" borderId="71" xfId="0" applyNumberFormat="1" applyFont="1" applyBorder="1" applyAlignment="1">
      <alignment horizontal="center" vertical="center"/>
    </xf>
    <xf numFmtId="202" fontId="71" fillId="31" borderId="71" xfId="0" applyNumberFormat="1" applyFont="1" applyFill="1" applyBorder="1" applyAlignment="1">
      <alignment horizontal="center" vertical="center"/>
    </xf>
    <xf numFmtId="198" fontId="71" fillId="0" borderId="71" xfId="0" applyNumberFormat="1" applyFont="1" applyFill="1" applyBorder="1" applyAlignment="1">
      <alignment horizontal="center" vertical="center"/>
    </xf>
    <xf numFmtId="0" fontId="71" fillId="0" borderId="71" xfId="0" applyNumberFormat="1" applyFont="1" applyFill="1" applyBorder="1" applyAlignment="1">
      <alignment horizontal="left" vertical="center"/>
    </xf>
    <xf numFmtId="49" fontId="71" fillId="0" borderId="71" xfId="0" applyNumberFormat="1" applyFont="1" applyFill="1" applyBorder="1" applyAlignment="1">
      <alignment horizontal="left" vertical="center"/>
    </xf>
    <xf numFmtId="190" fontId="71" fillId="0" borderId="58" xfId="0" applyNumberFormat="1" applyFont="1" applyFill="1" applyBorder="1" applyAlignment="1">
      <alignment vertical="center"/>
    </xf>
    <xf numFmtId="190" fontId="71" fillId="0" borderId="59" xfId="0" applyNumberFormat="1" applyFont="1" applyFill="1" applyBorder="1" applyAlignment="1">
      <alignment vertical="center"/>
    </xf>
    <xf numFmtId="190" fontId="71" fillId="0" borderId="60" xfId="0" applyNumberFormat="1" applyFont="1" applyFill="1" applyBorder="1" applyAlignment="1">
      <alignment vertical="center"/>
    </xf>
    <xf numFmtId="49" fontId="71" fillId="0" borderId="0" xfId="0" applyNumberFormat="1" applyFont="1" applyFill="1" applyBorder="1" applyAlignment="1">
      <alignment horizontal="left" vertical="center"/>
    </xf>
    <xf numFmtId="202" fontId="71" fillId="0" borderId="71" xfId="0" applyNumberFormat="1" applyFont="1" applyFill="1" applyBorder="1" applyAlignment="1">
      <alignment horizontal="center" vertical="center"/>
    </xf>
    <xf numFmtId="0" fontId="71" fillId="39" borderId="71" xfId="0" applyNumberFormat="1" applyFont="1" applyFill="1" applyBorder="1" applyAlignment="1">
      <alignment horizontal="center" vertical="center"/>
    </xf>
    <xf numFmtId="196" fontId="71" fillId="29" borderId="45" xfId="0" applyNumberFormat="1" applyFont="1" applyFill="1" applyBorder="1" applyAlignment="1">
      <alignment horizontal="center" vertical="center"/>
    </xf>
    <xf numFmtId="191" fontId="71" fillId="29" borderId="45" xfId="0" applyNumberFormat="1" applyFont="1" applyFill="1" applyBorder="1" applyAlignment="1">
      <alignment horizontal="center" vertical="center"/>
    </xf>
    <xf numFmtId="0" fontId="71" fillId="29" borderId="45" xfId="0" applyNumberFormat="1" applyFont="1" applyFill="1" applyBorder="1" applyAlignment="1">
      <alignment horizontal="center" vertical="center"/>
    </xf>
    <xf numFmtId="0" fontId="71" fillId="0" borderId="44" xfId="0" applyNumberFormat="1" applyFont="1" applyFill="1" applyBorder="1" applyAlignment="1">
      <alignment horizontal="center" vertical="center"/>
    </xf>
    <xf numFmtId="2" fontId="71" fillId="0" borderId="46" xfId="0" applyNumberFormat="1" applyFont="1" applyFill="1" applyBorder="1" applyAlignment="1">
      <alignment horizontal="center" vertical="center"/>
    </xf>
    <xf numFmtId="204" fontId="52" fillId="0" borderId="0" xfId="0" applyNumberFormat="1" applyFont="1">
      <alignment vertical="center"/>
    </xf>
    <xf numFmtId="0" fontId="8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85" fillId="0" borderId="0" xfId="0" applyFont="1" applyBorder="1" applyAlignment="1">
      <alignment vertical="center"/>
    </xf>
    <xf numFmtId="0" fontId="65" fillId="0" borderId="0" xfId="0" applyFont="1" applyBorder="1">
      <alignment vertical="center"/>
    </xf>
    <xf numFmtId="0" fontId="85" fillId="0" borderId="0" xfId="0" applyFont="1" applyBorder="1" applyAlignment="1">
      <alignment horizontal="left" vertical="center" indent="1"/>
    </xf>
    <xf numFmtId="0" fontId="86" fillId="0" borderId="0" xfId="0" applyFont="1" applyBorder="1" applyAlignment="1">
      <alignment vertical="center"/>
    </xf>
    <xf numFmtId="0" fontId="85" fillId="0" borderId="0" xfId="0" applyFont="1" applyBorder="1">
      <alignment vertical="center"/>
    </xf>
    <xf numFmtId="0" fontId="52" fillId="0" borderId="39" xfId="0" applyNumberFormat="1" applyFont="1" applyBorder="1" applyAlignment="1">
      <alignment vertical="center"/>
    </xf>
    <xf numFmtId="49" fontId="91" fillId="0" borderId="0" xfId="0" quotePrefix="1" applyNumberFormat="1" applyFont="1" applyBorder="1" applyAlignment="1">
      <alignment horizontal="right" vertical="center"/>
    </xf>
    <xf numFmtId="0" fontId="91" fillId="0" borderId="0" xfId="0" applyFont="1" applyBorder="1">
      <alignment vertical="center"/>
    </xf>
    <xf numFmtId="0" fontId="92" fillId="0" borderId="0" xfId="0" applyFont="1" applyBorder="1">
      <alignment vertical="center"/>
    </xf>
    <xf numFmtId="0" fontId="52" fillId="0" borderId="64" xfId="0" applyNumberFormat="1" applyFont="1" applyBorder="1" applyAlignment="1">
      <alignment vertical="center"/>
    </xf>
    <xf numFmtId="205" fontId="52" fillId="0" borderId="64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1" fontId="52" fillId="0" borderId="0" xfId="0" applyNumberFormat="1" applyFont="1" applyBorder="1" applyAlignment="1">
      <alignment vertical="center"/>
    </xf>
    <xf numFmtId="206" fontId="52" fillId="0" borderId="0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49" fontId="85" fillId="0" borderId="0" xfId="0" quotePrefix="1" applyNumberFormat="1" applyFont="1" applyBorder="1" applyAlignment="1">
      <alignment horizontal="right" vertical="center"/>
    </xf>
    <xf numFmtId="0" fontId="89" fillId="0" borderId="0" xfId="0" applyFont="1" applyBorder="1">
      <alignment vertical="center"/>
    </xf>
    <xf numFmtId="0" fontId="98" fillId="0" borderId="0" xfId="0" applyFont="1" applyBorder="1">
      <alignment vertical="center"/>
    </xf>
    <xf numFmtId="0" fontId="86" fillId="0" borderId="0" xfId="0" applyFont="1" applyBorder="1" applyAlignment="1">
      <alignment horizontal="right" vertical="center"/>
    </xf>
    <xf numFmtId="209" fontId="65" fillId="0" borderId="0" xfId="0" applyNumberFormat="1" applyFont="1" applyBorder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99" fillId="0" borderId="0" xfId="0" applyFont="1" applyBorder="1">
      <alignment vertical="center"/>
    </xf>
    <xf numFmtId="0" fontId="65" fillId="0" borderId="0" xfId="0" applyFont="1" applyAlignment="1">
      <alignment horizontal="center" vertical="center"/>
    </xf>
    <xf numFmtId="0" fontId="86" fillId="0" borderId="0" xfId="0" quotePrefix="1" applyFont="1" applyBorder="1" applyAlignment="1">
      <alignment vertical="center"/>
    </xf>
    <xf numFmtId="210" fontId="65" fillId="0" borderId="0" xfId="0" applyNumberFormat="1" applyFont="1" applyBorder="1" applyAlignment="1">
      <alignment vertical="center"/>
    </xf>
    <xf numFmtId="211" fontId="65" fillId="0" borderId="0" xfId="0" applyNumberFormat="1" applyFont="1" applyBorder="1" applyAlignment="1">
      <alignment vertical="center"/>
    </xf>
    <xf numFmtId="211" fontId="65" fillId="0" borderId="0" xfId="0" applyNumberFormat="1" applyFont="1" applyBorder="1" applyAlignment="1">
      <alignment horizontal="center" vertical="center"/>
    </xf>
    <xf numFmtId="0" fontId="65" fillId="0" borderId="0" xfId="0" applyNumberFormat="1" applyFont="1" applyBorder="1" applyAlignment="1"/>
    <xf numFmtId="0" fontId="101" fillId="0" borderId="0" xfId="0" applyFont="1" applyBorder="1" applyAlignment="1">
      <alignment vertical="center"/>
    </xf>
    <xf numFmtId="49" fontId="85" fillId="0" borderId="0" xfId="0" applyNumberFormat="1" applyFont="1" applyBorder="1" applyAlignment="1">
      <alignment horizontal="right" vertical="center"/>
    </xf>
    <xf numFmtId="49" fontId="85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horizontal="right" vertical="center"/>
    </xf>
    <xf numFmtId="0" fontId="92" fillId="0" borderId="0" xfId="0" applyFont="1" applyBorder="1" applyAlignment="1">
      <alignment vertical="center"/>
    </xf>
    <xf numFmtId="185" fontId="65" fillId="0" borderId="0" xfId="0" applyNumberFormat="1" applyFont="1" applyBorder="1" applyAlignment="1">
      <alignment vertical="center"/>
    </xf>
    <xf numFmtId="213" fontId="65" fillId="0" borderId="0" xfId="0" applyNumberFormat="1" applyFont="1" applyBorder="1" applyAlignment="1">
      <alignment vertical="center"/>
    </xf>
    <xf numFmtId="196" fontId="98" fillId="0" borderId="0" xfId="0" applyNumberFormat="1" applyFont="1" applyBorder="1" applyAlignment="1">
      <alignment vertical="center" shrinkToFit="1"/>
    </xf>
    <xf numFmtId="196" fontId="89" fillId="0" borderId="0" xfId="0" applyNumberFormat="1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196" fontId="98" fillId="0" borderId="0" xfId="0" applyNumberFormat="1" applyFont="1" applyBorder="1" applyAlignment="1">
      <alignment vertical="center"/>
    </xf>
    <xf numFmtId="215" fontId="65" fillId="0" borderId="64" xfId="0" applyNumberFormat="1" applyFont="1" applyBorder="1" applyAlignment="1">
      <alignment vertical="center"/>
    </xf>
    <xf numFmtId="49" fontId="85" fillId="0" borderId="0" xfId="0" applyNumberFormat="1" applyFont="1" applyAlignment="1">
      <alignment horizontal="right" vertical="center"/>
    </xf>
    <xf numFmtId="0" fontId="91" fillId="0" borderId="0" xfId="0" applyFont="1" applyBorder="1" applyAlignment="1">
      <alignment vertical="center"/>
    </xf>
    <xf numFmtId="0" fontId="65" fillId="0" borderId="0" xfId="0" applyFont="1" applyBorder="1" applyAlignment="1">
      <alignment horizontal="left" vertical="center" shrinkToFit="1"/>
    </xf>
    <xf numFmtId="0" fontId="8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 shrinkToFit="1"/>
    </xf>
    <xf numFmtId="217" fontId="65" fillId="0" borderId="0" xfId="0" applyNumberFormat="1" applyFont="1" applyBorder="1" applyAlignment="1">
      <alignment vertical="center"/>
    </xf>
    <xf numFmtId="206" fontId="65" fillId="0" borderId="0" xfId="0" applyNumberFormat="1" applyFont="1" applyBorder="1" applyAlignment="1">
      <alignment horizontal="center" vertical="center"/>
    </xf>
    <xf numFmtId="218" fontId="65" fillId="0" borderId="0" xfId="0" applyNumberFormat="1" applyFont="1" applyBorder="1" applyAlignment="1">
      <alignment vertical="center"/>
    </xf>
    <xf numFmtId="219" fontId="65" fillId="0" borderId="0" xfId="0" applyNumberFormat="1" applyFont="1" applyBorder="1" applyAlignment="1">
      <alignment vertical="center"/>
    </xf>
    <xf numFmtId="220" fontId="65" fillId="0" borderId="0" xfId="0" applyNumberFormat="1" applyFont="1" applyBorder="1" applyAlignment="1">
      <alignment horizontal="center" vertical="center"/>
    </xf>
    <xf numFmtId="0" fontId="72" fillId="28" borderId="66" xfId="0" applyNumberFormat="1" applyFont="1" applyFill="1" applyBorder="1" applyAlignment="1">
      <alignment horizontal="center" vertical="center"/>
    </xf>
    <xf numFmtId="0" fontId="72" fillId="28" borderId="53" xfId="0" applyNumberFormat="1" applyFont="1" applyFill="1" applyBorder="1" applyAlignment="1">
      <alignment horizontal="center" vertical="center" wrapText="1"/>
    </xf>
    <xf numFmtId="188" fontId="71" fillId="0" borderId="71" xfId="0" applyNumberFormat="1" applyFont="1" applyFill="1" applyBorder="1" applyAlignment="1">
      <alignment horizontal="center" vertical="center"/>
    </xf>
    <xf numFmtId="0" fontId="72" fillId="28" borderId="71" xfId="0" applyNumberFormat="1" applyFont="1" applyFill="1" applyBorder="1" applyAlignment="1">
      <alignment horizontal="center" vertical="center" wrapText="1"/>
    </xf>
    <xf numFmtId="196" fontId="71" fillId="32" borderId="71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1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62" xfId="79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191" fontId="65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91" fontId="65" fillId="0" borderId="0" xfId="0" applyNumberFormat="1" applyFont="1" applyBorder="1" applyAlignment="1">
      <alignment horizontal="right" vertical="center"/>
    </xf>
    <xf numFmtId="203" fontId="65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vertical="center" shrinkToFit="1"/>
    </xf>
    <xf numFmtId="0" fontId="65" fillId="0" borderId="0" xfId="0" applyFont="1" applyBorder="1" applyAlignment="1">
      <alignment horizontal="left" vertical="center"/>
    </xf>
    <xf numFmtId="191" fontId="65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NumberFormat="1" applyFont="1" applyBorder="1" applyAlignment="1">
      <alignment vertical="center"/>
    </xf>
    <xf numFmtId="208" fontId="65" fillId="0" borderId="0" xfId="0" applyNumberFormat="1" applyFont="1" applyBorder="1" applyAlignment="1">
      <alignment vertical="center"/>
    </xf>
    <xf numFmtId="196" fontId="65" fillId="0" borderId="0" xfId="0" applyNumberFormat="1" applyFont="1" applyBorder="1" applyAlignment="1">
      <alignment vertical="center" shrinkToFit="1"/>
    </xf>
    <xf numFmtId="0" fontId="65" fillId="0" borderId="64" xfId="0" applyNumberFormat="1" applyFont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214" fontId="65" fillId="0" borderId="0" xfId="0" applyNumberFormat="1" applyFont="1" applyBorder="1" applyAlignment="1">
      <alignment vertical="center"/>
    </xf>
    <xf numFmtId="0" fontId="65" fillId="0" borderId="64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0" xfId="0" applyNumberFormat="1" applyFont="1" applyBorder="1" applyAlignment="1">
      <alignment vertical="center" shrinkToFit="1"/>
    </xf>
    <xf numFmtId="203" fontId="65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17" fontId="71" fillId="32" borderId="71" xfId="0" applyNumberFormat="1" applyFont="1" applyFill="1" applyBorder="1" applyAlignment="1">
      <alignment horizontal="center" vertical="center"/>
    </xf>
    <xf numFmtId="0" fontId="107" fillId="0" borderId="0" xfId="0" applyNumberFormat="1" applyFont="1" applyAlignment="1">
      <alignment vertical="center"/>
    </xf>
    <xf numFmtId="2" fontId="65" fillId="0" borderId="78" xfId="0" applyNumberFormat="1" applyFont="1" applyBorder="1" applyAlignment="1">
      <alignment vertical="center"/>
    </xf>
    <xf numFmtId="0" fontId="65" fillId="0" borderId="78" xfId="0" applyFont="1" applyBorder="1">
      <alignment vertical="center"/>
    </xf>
    <xf numFmtId="0" fontId="65" fillId="0" borderId="78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0" fontId="52" fillId="0" borderId="0" xfId="0" applyNumberFormat="1" applyFont="1" applyAlignment="1">
      <alignment horizontal="center" vertical="center"/>
    </xf>
    <xf numFmtId="191" fontId="52" fillId="0" borderId="0" xfId="0" applyNumberFormat="1" applyFont="1" applyAlignment="1">
      <alignment vertical="center"/>
    </xf>
    <xf numFmtId="0" fontId="1" fillId="0" borderId="52" xfId="78" applyNumberFormat="1" applyFont="1" applyFill="1" applyBorder="1" applyAlignment="1">
      <alignment horizontal="center" vertical="center"/>
    </xf>
    <xf numFmtId="192" fontId="1" fillId="0" borderId="52" xfId="78" applyNumberFormat="1" applyFont="1" applyFill="1" applyBorder="1" applyAlignment="1">
      <alignment horizontal="center" vertical="center"/>
    </xf>
    <xf numFmtId="49" fontId="1" fillId="0" borderId="52" xfId="78" applyNumberFormat="1" applyFont="1" applyFill="1" applyBorder="1" applyAlignment="1">
      <alignment horizontal="center" vertical="center"/>
    </xf>
    <xf numFmtId="0" fontId="108" fillId="35" borderId="71" xfId="0" applyNumberFormat="1" applyFont="1" applyFill="1" applyBorder="1" applyAlignment="1">
      <alignment horizontal="center" vertical="center" wrapText="1"/>
    </xf>
    <xf numFmtId="0" fontId="108" fillId="35" borderId="44" xfId="0" applyNumberFormat="1" applyFont="1" applyFill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29" borderId="77" xfId="0" applyNumberFormat="1" applyFont="1" applyFill="1" applyBorder="1" applyAlignment="1">
      <alignment vertical="center"/>
    </xf>
    <xf numFmtId="0" fontId="52" fillId="0" borderId="79" xfId="0" applyNumberFormat="1" applyFont="1" applyBorder="1" applyAlignment="1">
      <alignment vertical="center"/>
    </xf>
    <xf numFmtId="41" fontId="52" fillId="0" borderId="54" xfId="87" applyFont="1" applyBorder="1" applyAlignment="1">
      <alignment horizontal="center" vertical="center"/>
    </xf>
    <xf numFmtId="0" fontId="52" fillId="0" borderId="80" xfId="87" applyNumberFormat="1" applyFont="1" applyBorder="1" applyAlignment="1">
      <alignment horizontal="center" vertical="center" wrapText="1"/>
    </xf>
    <xf numFmtId="0" fontId="52" fillId="0" borderId="77" xfId="0" applyNumberFormat="1" applyFont="1" applyBorder="1" applyAlignment="1">
      <alignment vertical="center"/>
    </xf>
    <xf numFmtId="0" fontId="52" fillId="0" borderId="61" xfId="87" applyNumberFormat="1" applyFont="1" applyBorder="1" applyAlignment="1">
      <alignment horizontal="center" vertical="center" wrapText="1"/>
    </xf>
    <xf numFmtId="9" fontId="52" fillId="29" borderId="61" xfId="86" applyFont="1" applyFill="1" applyBorder="1" applyAlignment="1">
      <alignment horizontal="center" vertical="center" wrapText="1"/>
    </xf>
    <xf numFmtId="0" fontId="52" fillId="0" borderId="79" xfId="0" applyNumberFormat="1" applyFont="1" applyBorder="1" applyAlignment="1">
      <alignment horizontal="left" vertical="center"/>
    </xf>
    <xf numFmtId="0" fontId="52" fillId="0" borderId="51" xfId="87" applyNumberFormat="1" applyFont="1" applyBorder="1" applyAlignment="1">
      <alignment horizontal="center" vertical="center" wrapText="1"/>
    </xf>
    <xf numFmtId="0" fontId="52" fillId="0" borderId="54" xfId="0" applyNumberFormat="1" applyFont="1" applyBorder="1" applyAlignment="1">
      <alignment horizontal="center" vertical="center" shrinkToFit="1"/>
    </xf>
    <xf numFmtId="41" fontId="52" fillId="32" borderId="54" xfId="87" applyFont="1" applyFill="1" applyBorder="1" applyAlignment="1">
      <alignment horizontal="center" vertical="center"/>
    </xf>
    <xf numFmtId="41" fontId="52" fillId="0" borderId="54" xfId="0" applyNumberFormat="1" applyFont="1" applyBorder="1" applyAlignment="1">
      <alignment horizontal="center" vertical="center"/>
    </xf>
    <xf numFmtId="199" fontId="52" fillId="0" borderId="54" xfId="87" applyNumberFormat="1" applyFont="1" applyBorder="1" applyAlignment="1">
      <alignment horizontal="center" vertical="center"/>
    </xf>
    <xf numFmtId="41" fontId="52" fillId="0" borderId="54" xfId="87" applyNumberFormat="1" applyFont="1" applyBorder="1" applyAlignment="1">
      <alignment horizontal="center" vertical="center"/>
    </xf>
    <xf numFmtId="0" fontId="72" fillId="28" borderId="82" xfId="0" applyNumberFormat="1" applyFont="1" applyFill="1" applyBorder="1" applyAlignment="1">
      <alignment horizontal="center" vertical="center" wrapText="1"/>
    </xf>
    <xf numFmtId="0" fontId="71" fillId="37" borderId="82" xfId="78" applyNumberFormat="1" applyFont="1" applyFill="1" applyBorder="1" applyAlignment="1">
      <alignment horizontal="center" vertical="center"/>
    </xf>
    <xf numFmtId="0" fontId="48" fillId="0" borderId="84" xfId="79" applyNumberFormat="1" applyFont="1" applyFill="1" applyBorder="1" applyAlignment="1">
      <alignment horizontal="center" vertical="center"/>
    </xf>
    <xf numFmtId="0" fontId="48" fillId="0" borderId="85" xfId="79" applyNumberFormat="1" applyFont="1" applyFill="1" applyBorder="1" applyAlignment="1">
      <alignment horizontal="center" vertical="center"/>
    </xf>
    <xf numFmtId="0" fontId="48" fillId="0" borderId="96" xfId="79" applyNumberFormat="1" applyFont="1" applyFill="1" applyBorder="1" applyAlignment="1">
      <alignment horizontal="center" vertical="center"/>
    </xf>
    <xf numFmtId="0" fontId="48" fillId="0" borderId="97" xfId="79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84" xfId="79" applyNumberFormat="1" applyFont="1" applyFill="1" applyBorder="1" applyAlignment="1">
      <alignment horizontal="center" vertical="center"/>
    </xf>
    <xf numFmtId="0" fontId="48" fillId="0" borderId="88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80" xfId="79" applyNumberFormat="1" applyFont="1" applyFill="1" applyBorder="1" applyAlignment="1">
      <alignment horizontal="center" vertical="center" wrapText="1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93" xfId="79" applyNumberFormat="1" applyFont="1" applyFill="1" applyBorder="1" applyAlignment="1">
      <alignment horizontal="center" vertical="center" wrapText="1"/>
    </xf>
    <xf numFmtId="0" fontId="48" fillId="0" borderId="95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 wrapText="1"/>
    </xf>
    <xf numFmtId="0" fontId="48" fillId="0" borderId="32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92" xfId="79" applyNumberFormat="1" applyFont="1" applyFill="1" applyBorder="1" applyAlignment="1">
      <alignment horizontal="center" vertical="center" wrapText="1"/>
    </xf>
    <xf numFmtId="0" fontId="48" fillId="0" borderId="94" xfId="79" applyNumberFormat="1" applyFont="1" applyFill="1" applyBorder="1" applyAlignment="1">
      <alignment horizontal="center" vertical="center"/>
    </xf>
    <xf numFmtId="0" fontId="48" fillId="0" borderId="87" xfId="79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horizontal="center" vertical="center" wrapText="1"/>
    </xf>
    <xf numFmtId="0" fontId="48" fillId="0" borderId="89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90" xfId="79" applyNumberFormat="1" applyFont="1" applyFill="1" applyBorder="1" applyAlignment="1">
      <alignment horizontal="center" vertical="center"/>
    </xf>
    <xf numFmtId="0" fontId="48" fillId="0" borderId="91" xfId="79" applyNumberFormat="1" applyFont="1" applyFill="1" applyBorder="1" applyAlignment="1">
      <alignment horizontal="center" vertical="center"/>
    </xf>
    <xf numFmtId="49" fontId="66" fillId="0" borderId="0" xfId="82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48" fillId="0" borderId="32" xfId="79" applyNumberFormat="1" applyFont="1" applyFill="1" applyBorder="1" applyAlignment="1">
      <alignment horizontal="center" vertical="center" wrapText="1"/>
    </xf>
    <xf numFmtId="0" fontId="48" fillId="0" borderId="65" xfId="79" applyNumberFormat="1" applyFont="1" applyFill="1" applyBorder="1" applyAlignment="1">
      <alignment horizontal="center" vertical="center" wrapText="1"/>
    </xf>
    <xf numFmtId="0" fontId="48" fillId="0" borderId="86" xfId="79" applyNumberFormat="1" applyFont="1" applyFill="1" applyBorder="1" applyAlignment="1">
      <alignment horizontal="center" vertical="center" wrapText="1"/>
    </xf>
    <xf numFmtId="0" fontId="48" fillId="0" borderId="98" xfId="79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64" xfId="79" applyNumberFormat="1" applyFont="1" applyFill="1" applyBorder="1" applyAlignment="1">
      <alignment horizontal="center" vertical="center"/>
    </xf>
    <xf numFmtId="201" fontId="60" fillId="38" borderId="0" xfId="0" applyNumberFormat="1" applyFont="1" applyFill="1" applyBorder="1" applyAlignment="1">
      <alignment horizontal="center" vertical="center" wrapText="1"/>
    </xf>
    <xf numFmtId="201" fontId="60" fillId="38" borderId="64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64" xfId="0" applyNumberFormat="1" applyFont="1" applyFill="1" applyBorder="1" applyAlignment="1">
      <alignment horizontal="center" vertical="center"/>
    </xf>
    <xf numFmtId="201" fontId="48" fillId="38" borderId="0" xfId="0" applyNumberFormat="1" applyFont="1" applyFill="1" applyAlignment="1">
      <alignment horizontal="center" vertical="center"/>
    </xf>
    <xf numFmtId="201" fontId="48" fillId="38" borderId="64" xfId="0" applyNumberFormat="1" applyFont="1" applyFill="1" applyBorder="1" applyAlignment="1">
      <alignment horizontal="center" vertical="center"/>
    </xf>
    <xf numFmtId="201" fontId="80" fillId="38" borderId="0" xfId="139" applyNumberFormat="1" applyFont="1" applyFill="1" applyBorder="1" applyAlignment="1">
      <alignment horizontal="center" vertical="center" wrapText="1"/>
    </xf>
    <xf numFmtId="201" fontId="80" fillId="38" borderId="64" xfId="139" applyNumberFormat="1" applyFont="1" applyFill="1" applyBorder="1" applyAlignment="1">
      <alignment horizontal="center" vertical="center" wrapText="1"/>
    </xf>
    <xf numFmtId="201" fontId="80" fillId="38" borderId="0" xfId="139" applyNumberFormat="1" applyFont="1" applyFill="1" applyBorder="1" applyAlignment="1">
      <alignment horizontal="center" vertical="center"/>
    </xf>
    <xf numFmtId="201" fontId="80" fillId="38" borderId="64" xfId="139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64" xfId="0" applyNumberFormat="1" applyFont="1" applyFill="1" applyBorder="1" applyAlignment="1">
      <alignment horizontal="center" vertical="center"/>
    </xf>
    <xf numFmtId="201" fontId="48" fillId="38" borderId="0" xfId="0" applyNumberFormat="1" applyFont="1" applyFill="1" applyBorder="1" applyAlignment="1">
      <alignment horizontal="center" vertical="center"/>
    </xf>
    <xf numFmtId="201" fontId="60" fillId="38" borderId="0" xfId="0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81" xfId="0" applyNumberFormat="1" applyFont="1" applyFill="1" applyBorder="1" applyAlignment="1">
      <alignment horizontal="center" vertical="center" wrapText="1"/>
    </xf>
    <xf numFmtId="192" fontId="1" fillId="0" borderId="58" xfId="78" applyNumberFormat="1" applyFont="1" applyFill="1" applyBorder="1" applyAlignment="1">
      <alignment horizontal="center" vertical="center"/>
    </xf>
    <xf numFmtId="192" fontId="1" fillId="0" borderId="60" xfId="78" applyNumberFormat="1" applyFont="1" applyFill="1" applyBorder="1" applyAlignment="1">
      <alignment horizontal="center" vertical="center"/>
    </xf>
    <xf numFmtId="0" fontId="7" fillId="28" borderId="58" xfId="0" applyNumberFormat="1" applyFont="1" applyFill="1" applyBorder="1" applyAlignment="1">
      <alignment horizontal="center" vertical="center"/>
    </xf>
    <xf numFmtId="0" fontId="7" fillId="28" borderId="59" xfId="0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91" fontId="65" fillId="0" borderId="0" xfId="0" applyNumberFormat="1" applyFont="1" applyBorder="1" applyAlignment="1">
      <alignment horizontal="right" vertical="center"/>
    </xf>
    <xf numFmtId="217" fontId="65" fillId="0" borderId="0" xfId="0" applyNumberFormat="1" applyFont="1" applyBorder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91" fontId="65" fillId="0" borderId="0" xfId="0" applyNumberFormat="1" applyFont="1" applyBorder="1" applyAlignment="1">
      <alignment horizontal="center" vertical="center"/>
    </xf>
    <xf numFmtId="196" fontId="65" fillId="0" borderId="0" xfId="0" applyNumberFormat="1" applyFont="1" applyBorder="1" applyAlignment="1">
      <alignment horizontal="center" vertical="center"/>
    </xf>
    <xf numFmtId="2" fontId="65" fillId="0" borderId="0" xfId="0" applyNumberFormat="1" applyFont="1" applyBorder="1" applyAlignment="1">
      <alignment horizontal="right" vertical="center"/>
    </xf>
    <xf numFmtId="188" fontId="65" fillId="0" borderId="64" xfId="0" applyNumberFormat="1" applyFont="1" applyBorder="1" applyAlignment="1">
      <alignment horizontal="center" vertical="center"/>
    </xf>
    <xf numFmtId="218" fontId="65" fillId="0" borderId="0" xfId="0" applyNumberFormat="1" applyFont="1" applyBorder="1" applyAlignment="1">
      <alignment horizontal="left" vertical="center" shrinkToFit="1"/>
    </xf>
    <xf numFmtId="188" fontId="65" fillId="0" borderId="64" xfId="0" applyNumberFormat="1" applyFont="1" applyBorder="1" applyAlignment="1">
      <alignment horizontal="center" vertical="center" shrinkToFit="1"/>
    </xf>
    <xf numFmtId="2" fontId="52" fillId="0" borderId="0" xfId="0" applyNumberFormat="1" applyFont="1" applyBorder="1" applyAlignment="1">
      <alignment vertical="center"/>
    </xf>
    <xf numFmtId="19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17" fontId="65" fillId="0" borderId="0" xfId="0" applyNumberFormat="1" applyFont="1" applyBorder="1" applyAlignment="1">
      <alignment horizontal="right" vertical="center"/>
    </xf>
    <xf numFmtId="0" fontId="89" fillId="0" borderId="0" xfId="0" applyFont="1" applyBorder="1" applyAlignment="1">
      <alignment horizontal="center" vertical="center"/>
    </xf>
    <xf numFmtId="191" fontId="52" fillId="0" borderId="0" xfId="0" applyNumberFormat="1" applyFont="1" applyAlignment="1">
      <alignment vertical="center"/>
    </xf>
    <xf numFmtId="203" fontId="65" fillId="0" borderId="0" xfId="0" applyNumberFormat="1" applyFont="1" applyBorder="1" applyAlignment="1">
      <alignment vertical="center"/>
    </xf>
    <xf numFmtId="0" fontId="65" fillId="0" borderId="0" xfId="0" applyNumberFormat="1" applyFont="1" applyBorder="1" applyAlignment="1">
      <alignment vertical="center"/>
    </xf>
    <xf numFmtId="0" fontId="65" fillId="0" borderId="78" xfId="0" applyFont="1" applyBorder="1" applyAlignment="1">
      <alignment vertical="center"/>
    </xf>
    <xf numFmtId="0" fontId="65" fillId="0" borderId="79" xfId="0" applyFont="1" applyBorder="1" applyAlignment="1">
      <alignment vertical="center"/>
    </xf>
    <xf numFmtId="0" fontId="65" fillId="0" borderId="54" xfId="0" applyFont="1" applyBorder="1" applyAlignment="1">
      <alignment horizontal="center" vertical="center"/>
    </xf>
    <xf numFmtId="0" fontId="86" fillId="0" borderId="77" xfId="0" applyFont="1" applyBorder="1" applyAlignment="1">
      <alignment horizontal="center" vertical="center"/>
    </xf>
    <xf numFmtId="0" fontId="86" fillId="0" borderId="78" xfId="0" applyFont="1" applyBorder="1" applyAlignment="1">
      <alignment horizontal="center" vertical="center"/>
    </xf>
    <xf numFmtId="0" fontId="86" fillId="0" borderId="79" xfId="0" applyFont="1" applyBorder="1" applyAlignment="1">
      <alignment horizontal="center" vertical="center"/>
    </xf>
    <xf numFmtId="0" fontId="65" fillId="0" borderId="77" xfId="0" applyNumberFormat="1" applyFont="1" applyBorder="1" applyAlignment="1">
      <alignment horizontal="right" vertical="center"/>
    </xf>
    <xf numFmtId="0" fontId="65" fillId="0" borderId="78" xfId="0" applyNumberFormat="1" applyFont="1" applyBorder="1" applyAlignment="1">
      <alignment horizontal="right" vertical="center"/>
    </xf>
    <xf numFmtId="0" fontId="65" fillId="0" borderId="78" xfId="0" applyNumberFormat="1" applyFont="1" applyBorder="1" applyAlignment="1">
      <alignment vertical="center"/>
    </xf>
    <xf numFmtId="0" fontId="65" fillId="0" borderId="79" xfId="0" applyNumberFormat="1" applyFont="1" applyBorder="1" applyAlignment="1">
      <alignment vertical="center"/>
    </xf>
    <xf numFmtId="0" fontId="65" fillId="0" borderId="77" xfId="0" applyFont="1" applyBorder="1" applyAlignment="1">
      <alignment horizontal="center" vertical="center"/>
    </xf>
    <xf numFmtId="0" fontId="65" fillId="0" borderId="78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/>
    </xf>
    <xf numFmtId="2" fontId="65" fillId="0" borderId="77" xfId="0" applyNumberFormat="1" applyFont="1" applyBorder="1" applyAlignment="1">
      <alignment horizontal="right" vertical="center"/>
    </xf>
    <xf numFmtId="2" fontId="65" fillId="0" borderId="78" xfId="0" applyNumberFormat="1" applyFont="1" applyBorder="1" applyAlignment="1">
      <alignment horizontal="right" vertical="center"/>
    </xf>
    <xf numFmtId="191" fontId="65" fillId="0" borderId="78" xfId="0" applyNumberFormat="1" applyFont="1" applyBorder="1" applyAlignment="1">
      <alignment horizontal="right" vertical="center"/>
    </xf>
    <xf numFmtId="191" fontId="65" fillId="0" borderId="77" xfId="0" applyNumberFormat="1" applyFont="1" applyBorder="1" applyAlignment="1">
      <alignment vertical="center"/>
    </xf>
    <xf numFmtId="191" fontId="65" fillId="0" borderId="78" xfId="0" applyNumberFormat="1" applyFont="1" applyBorder="1" applyAlignment="1">
      <alignment vertical="center"/>
    </xf>
    <xf numFmtId="0" fontId="65" fillId="0" borderId="76" xfId="0" applyFont="1" applyBorder="1" applyAlignment="1">
      <alignment horizontal="center" vertical="center"/>
    </xf>
    <xf numFmtId="0" fontId="65" fillId="0" borderId="42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80" xfId="0" applyFont="1" applyBorder="1" applyAlignment="1">
      <alignment horizontal="center" vertical="center"/>
    </xf>
    <xf numFmtId="0" fontId="86" fillId="0" borderId="63" xfId="0" applyFont="1" applyBorder="1" applyAlignment="1">
      <alignment horizontal="center" vertical="center"/>
    </xf>
    <xf numFmtId="0" fontId="86" fillId="0" borderId="64" xfId="0" applyFont="1" applyBorder="1" applyAlignment="1">
      <alignment horizontal="center" vertical="center"/>
    </xf>
    <xf numFmtId="0" fontId="86" fillId="0" borderId="65" xfId="0" applyFont="1" applyBorder="1" applyAlignment="1">
      <alignment horizontal="center" vertical="center"/>
    </xf>
    <xf numFmtId="0" fontId="89" fillId="0" borderId="51" xfId="0" applyFont="1" applyBorder="1" applyAlignment="1">
      <alignment horizontal="center" vertical="center"/>
    </xf>
    <xf numFmtId="0" fontId="89" fillId="0" borderId="63" xfId="0" applyFont="1" applyBorder="1" applyAlignment="1">
      <alignment horizontal="center" vertical="center"/>
    </xf>
    <xf numFmtId="0" fontId="89" fillId="0" borderId="64" xfId="0" applyFont="1" applyBorder="1" applyAlignment="1">
      <alignment horizontal="center" vertical="center"/>
    </xf>
    <xf numFmtId="0" fontId="89" fillId="0" borderId="65" xfId="0" applyFont="1" applyBorder="1" applyAlignment="1">
      <alignment horizontal="center" vertical="center"/>
    </xf>
    <xf numFmtId="0" fontId="65" fillId="0" borderId="77" xfId="0" applyNumberFormat="1" applyFont="1" applyBorder="1" applyAlignment="1">
      <alignment horizontal="center" vertical="center" shrinkToFit="1"/>
    </xf>
    <xf numFmtId="0" fontId="65" fillId="0" borderId="78" xfId="0" applyNumberFormat="1" applyFont="1" applyBorder="1" applyAlignment="1">
      <alignment horizontal="center" vertical="center" shrinkToFit="1"/>
    </xf>
    <xf numFmtId="0" fontId="65" fillId="0" borderId="79" xfId="0" applyNumberFormat="1" applyFont="1" applyBorder="1" applyAlignment="1">
      <alignment horizontal="center" vertical="center" shrinkToFit="1"/>
    </xf>
    <xf numFmtId="0" fontId="65" fillId="0" borderId="77" xfId="0" applyNumberFormat="1" applyFont="1" applyBorder="1" applyAlignment="1">
      <alignment horizontal="center" vertical="center"/>
    </xf>
    <xf numFmtId="0" fontId="65" fillId="0" borderId="78" xfId="0" applyNumberFormat="1" applyFont="1" applyBorder="1" applyAlignment="1">
      <alignment horizontal="center" vertical="center"/>
    </xf>
    <xf numFmtId="0" fontId="65" fillId="0" borderId="79" xfId="0" applyNumberFormat="1" applyFont="1" applyBorder="1" applyAlignment="1">
      <alignment horizontal="center" vertical="center"/>
    </xf>
    <xf numFmtId="0" fontId="86" fillId="0" borderId="0" xfId="0" applyFont="1" applyBorder="1" applyAlignment="1">
      <alignment horizontal="center" vertical="center"/>
    </xf>
    <xf numFmtId="0" fontId="65" fillId="32" borderId="76" xfId="0" applyFont="1" applyFill="1" applyBorder="1" applyAlignment="1">
      <alignment horizontal="center" vertical="center" wrapText="1"/>
    </xf>
    <xf numFmtId="0" fontId="65" fillId="32" borderId="39" xfId="0" applyFont="1" applyFill="1" applyBorder="1" applyAlignment="1">
      <alignment horizontal="center" vertical="center" wrapText="1"/>
    </xf>
    <xf numFmtId="0" fontId="65" fillId="32" borderId="42" xfId="0" applyFont="1" applyFill="1" applyBorder="1" applyAlignment="1">
      <alignment horizontal="center" vertical="center" wrapText="1"/>
    </xf>
    <xf numFmtId="0" fontId="65" fillId="32" borderId="63" xfId="0" applyFont="1" applyFill="1" applyBorder="1" applyAlignment="1">
      <alignment horizontal="center" vertical="center" wrapText="1"/>
    </xf>
    <xf numFmtId="0" fontId="65" fillId="32" borderId="64" xfId="0" applyFont="1" applyFill="1" applyBorder="1" applyAlignment="1">
      <alignment horizontal="center" vertical="center" wrapText="1"/>
    </xf>
    <xf numFmtId="0" fontId="65" fillId="32" borderId="65" xfId="0" applyFont="1" applyFill="1" applyBorder="1" applyAlignment="1">
      <alignment horizontal="center" vertical="center" wrapText="1"/>
    </xf>
    <xf numFmtId="203" fontId="65" fillId="0" borderId="0" xfId="0" applyNumberFormat="1" applyFont="1" applyBorder="1" applyAlignment="1">
      <alignment horizontal="right" vertical="center"/>
    </xf>
    <xf numFmtId="191" fontId="65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vertical="center" shrinkToFit="1"/>
    </xf>
    <xf numFmtId="0" fontId="65" fillId="0" borderId="0" xfId="0" applyFont="1" applyBorder="1" applyAlignment="1">
      <alignment horizontal="left" vertical="center"/>
    </xf>
    <xf numFmtId="0" fontId="65" fillId="0" borderId="0" xfId="0" applyFont="1" applyAlignment="1">
      <alignment horizontal="right" vertical="center"/>
    </xf>
    <xf numFmtId="191" fontId="65" fillId="0" borderId="0" xfId="0" applyNumberFormat="1" applyFont="1" applyBorder="1" applyAlignment="1">
      <alignment vertical="center"/>
    </xf>
    <xf numFmtId="208" fontId="65" fillId="0" borderId="0" xfId="0" applyNumberFormat="1" applyFont="1" applyBorder="1" applyAlignment="1">
      <alignment vertical="center"/>
    </xf>
    <xf numFmtId="196" fontId="65" fillId="0" borderId="0" xfId="0" applyNumberFormat="1" applyFont="1" applyBorder="1" applyAlignment="1">
      <alignment vertical="center" shrinkToFit="1"/>
    </xf>
    <xf numFmtId="196" fontId="89" fillId="0" borderId="0" xfId="0" applyNumberFormat="1" applyFont="1" applyBorder="1" applyAlignment="1">
      <alignment horizontal="center" vertical="center"/>
    </xf>
    <xf numFmtId="196" fontId="65" fillId="0" borderId="64" xfId="0" applyNumberFormat="1" applyFont="1" applyBorder="1" applyAlignment="1">
      <alignment vertical="center"/>
    </xf>
    <xf numFmtId="0" fontId="65" fillId="0" borderId="39" xfId="0" applyNumberFormat="1" applyFont="1" applyBorder="1" applyAlignment="1">
      <alignment horizontal="center" vertical="center"/>
    </xf>
    <xf numFmtId="216" fontId="106" fillId="0" borderId="64" xfId="0" applyNumberFormat="1" applyFont="1" applyBorder="1" applyAlignment="1">
      <alignment horizontal="center" vertical="center"/>
    </xf>
    <xf numFmtId="0" fontId="65" fillId="0" borderId="64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Alignment="1">
      <alignment horizontal="center" vertical="center" shrinkToFit="1"/>
    </xf>
    <xf numFmtId="0" fontId="86" fillId="0" borderId="39" xfId="0" applyFont="1" applyBorder="1" applyAlignment="1">
      <alignment horizontal="center" vertical="center"/>
    </xf>
    <xf numFmtId="0" fontId="65" fillId="0" borderId="0" xfId="0" applyNumberFormat="1" applyFont="1" applyBorder="1" applyAlignment="1">
      <alignment vertical="center" shrinkToFit="1"/>
    </xf>
    <xf numFmtId="212" fontId="65" fillId="0" borderId="0" xfId="0" applyNumberFormat="1" applyFont="1" applyBorder="1" applyAlignment="1">
      <alignment horizontal="center" vertical="center"/>
    </xf>
    <xf numFmtId="206" fontId="65" fillId="0" borderId="0" xfId="0" applyNumberFormat="1" applyFont="1" applyBorder="1" applyAlignment="1">
      <alignment vertical="center"/>
    </xf>
    <xf numFmtId="206" fontId="0" fillId="0" borderId="0" xfId="0" applyNumberFormat="1" applyAlignment="1">
      <alignment vertical="center"/>
    </xf>
    <xf numFmtId="0" fontId="65" fillId="0" borderId="64" xfId="0" applyFont="1" applyBorder="1" applyAlignment="1">
      <alignment horizontal="center"/>
    </xf>
    <xf numFmtId="191" fontId="65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5" fillId="0" borderId="0" xfId="0" applyNumberFormat="1" applyFont="1" applyBorder="1" applyAlignment="1">
      <alignment horizontal="right" vertical="center"/>
    </xf>
    <xf numFmtId="0" fontId="65" fillId="0" borderId="78" xfId="0" applyFont="1" applyBorder="1">
      <alignment vertical="center"/>
    </xf>
    <xf numFmtId="0" fontId="65" fillId="0" borderId="79" xfId="0" applyFont="1" applyBorder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39" xfId="0" applyNumberFormat="1" applyFont="1" applyBorder="1" applyAlignment="1">
      <alignment horizontal="center" vertical="center"/>
    </xf>
    <xf numFmtId="203" fontId="65" fillId="0" borderId="0" xfId="0" applyNumberFormat="1" applyFont="1" applyBorder="1" applyAlignment="1">
      <alignment horizontal="center" vertical="center"/>
    </xf>
    <xf numFmtId="191" fontId="65" fillId="0" borderId="77" xfId="0" applyNumberFormat="1" applyFont="1" applyBorder="1" applyAlignment="1">
      <alignment horizontal="right" vertical="center"/>
    </xf>
    <xf numFmtId="203" fontId="65" fillId="0" borderId="78" xfId="0" applyNumberFormat="1" applyFont="1" applyBorder="1" applyAlignment="1">
      <alignment horizontal="right" vertical="center"/>
    </xf>
    <xf numFmtId="0" fontId="65" fillId="0" borderId="77" xfId="0" applyFont="1" applyBorder="1" applyAlignment="1">
      <alignment vertical="center"/>
    </xf>
    <xf numFmtId="203" fontId="65" fillId="0" borderId="77" xfId="0" applyNumberFormat="1" applyFont="1" applyBorder="1" applyAlignment="1">
      <alignment vertical="center"/>
    </xf>
    <xf numFmtId="203" fontId="65" fillId="0" borderId="78" xfId="0" applyNumberFormat="1" applyFont="1" applyBorder="1" applyAlignment="1">
      <alignment vertical="center"/>
    </xf>
    <xf numFmtId="0" fontId="65" fillId="32" borderId="77" xfId="0" applyFont="1" applyFill="1" applyBorder="1" applyAlignment="1">
      <alignment horizontal="center" vertical="center" wrapText="1"/>
    </xf>
    <xf numFmtId="0" fontId="65" fillId="32" borderId="78" xfId="0" applyFont="1" applyFill="1" applyBorder="1" applyAlignment="1">
      <alignment horizontal="center" vertical="center" wrapText="1"/>
    </xf>
    <xf numFmtId="0" fontId="65" fillId="32" borderId="79" xfId="0" applyFont="1" applyFill="1" applyBorder="1" applyAlignment="1">
      <alignment horizontal="center" vertical="center" wrapText="1"/>
    </xf>
    <xf numFmtId="0" fontId="65" fillId="0" borderId="54" xfId="0" applyNumberFormat="1" applyFont="1" applyBorder="1" applyAlignment="1">
      <alignment horizontal="center" vertical="center"/>
    </xf>
    <xf numFmtId="191" fontId="65" fillId="0" borderId="77" xfId="0" applyNumberFormat="1" applyFont="1" applyBorder="1" applyAlignment="1">
      <alignment horizontal="center" vertical="center"/>
    </xf>
    <xf numFmtId="191" fontId="65" fillId="0" borderId="78" xfId="0" applyNumberFormat="1" applyFont="1" applyBorder="1" applyAlignment="1">
      <alignment horizontal="center" vertical="center"/>
    </xf>
    <xf numFmtId="191" fontId="65" fillId="0" borderId="79" xfId="0" applyNumberFormat="1" applyFont="1" applyBorder="1" applyAlignment="1">
      <alignment horizontal="center" vertical="center"/>
    </xf>
    <xf numFmtId="0" fontId="65" fillId="0" borderId="64" xfId="0" applyNumberFormat="1" applyFont="1" applyBorder="1" applyAlignment="1">
      <alignment horizontal="center" vertical="center"/>
    </xf>
    <xf numFmtId="214" fontId="65" fillId="0" borderId="0" xfId="0" applyNumberFormat="1" applyFont="1" applyBorder="1" applyAlignment="1">
      <alignment vertical="center"/>
    </xf>
    <xf numFmtId="211" fontId="86" fillId="0" borderId="64" xfId="0" applyNumberFormat="1" applyFont="1" applyBorder="1" applyAlignment="1">
      <alignment horizontal="center" vertical="center"/>
    </xf>
    <xf numFmtId="211" fontId="65" fillId="0" borderId="64" xfId="0" applyNumberFormat="1" applyFont="1" applyBorder="1" applyAlignment="1">
      <alignment horizontal="center" vertical="center"/>
    </xf>
    <xf numFmtId="206" fontId="0" fillId="0" borderId="0" xfId="0" applyNumberFormat="1" applyBorder="1" applyAlignment="1">
      <alignment vertical="center"/>
    </xf>
    <xf numFmtId="185" fontId="65" fillId="0" borderId="0" xfId="0" applyNumberFormat="1" applyFont="1" applyBorder="1" applyAlignment="1">
      <alignment horizontal="left" vertical="center"/>
    </xf>
    <xf numFmtId="191" fontId="65" fillId="0" borderId="64" xfId="0" applyNumberFormat="1" applyFont="1" applyBorder="1" applyAlignment="1">
      <alignment horizontal="center" vertical="center"/>
    </xf>
    <xf numFmtId="0" fontId="52" fillId="0" borderId="77" xfId="0" applyFont="1" applyBorder="1" applyAlignment="1">
      <alignment horizontal="center" vertical="center"/>
    </xf>
    <xf numFmtId="0" fontId="52" fillId="0" borderId="78" xfId="0" applyFont="1" applyBorder="1" applyAlignment="1">
      <alignment horizontal="center" vertical="center"/>
    </xf>
    <xf numFmtId="0" fontId="52" fillId="0" borderId="79" xfId="0" applyFont="1" applyBorder="1" applyAlignment="1">
      <alignment horizontal="center" vertical="center"/>
    </xf>
    <xf numFmtId="202" fontId="65" fillId="0" borderId="77" xfId="0" applyNumberFormat="1" applyFont="1" applyBorder="1" applyAlignment="1">
      <alignment vertical="center"/>
    </xf>
    <xf numFmtId="202" fontId="65" fillId="0" borderId="78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0" fontId="52" fillId="0" borderId="64" xfId="0" applyNumberFormat="1" applyFont="1" applyBorder="1" applyAlignment="1">
      <alignment horizontal="right" vertical="center"/>
    </xf>
    <xf numFmtId="205" fontId="52" fillId="0" borderId="64" xfId="0" applyNumberFormat="1" applyFont="1" applyBorder="1" applyAlignment="1">
      <alignment horizontal="right" vertical="center"/>
    </xf>
    <xf numFmtId="201" fontId="52" fillId="0" borderId="0" xfId="0" applyNumberFormat="1" applyFont="1" applyBorder="1" applyAlignment="1">
      <alignment horizontal="center" vertical="center"/>
    </xf>
    <xf numFmtId="191" fontId="65" fillId="0" borderId="64" xfId="0" applyNumberFormat="1" applyFont="1" applyBorder="1" applyAlignment="1">
      <alignment vertical="center"/>
    </xf>
    <xf numFmtId="207" fontId="65" fillId="0" borderId="64" xfId="0" applyNumberFormat="1" applyFont="1" applyBorder="1" applyAlignment="1">
      <alignment vertical="center"/>
    </xf>
    <xf numFmtId="188" fontId="65" fillId="0" borderId="0" xfId="0" applyNumberFormat="1" applyFont="1" applyBorder="1" applyAlignment="1">
      <alignment vertical="center"/>
    </xf>
    <xf numFmtId="0" fontId="65" fillId="0" borderId="54" xfId="0" applyFont="1" applyBorder="1" applyAlignment="1">
      <alignment horizontal="right" vertical="center"/>
    </xf>
    <xf numFmtId="0" fontId="86" fillId="0" borderId="77" xfId="0" applyFont="1" applyBorder="1" applyAlignment="1">
      <alignment horizontal="right" vertical="center"/>
    </xf>
    <xf numFmtId="0" fontId="86" fillId="0" borderId="78" xfId="0" applyFont="1" applyBorder="1" applyAlignment="1">
      <alignment horizontal="right" vertical="center"/>
    </xf>
    <xf numFmtId="0" fontId="86" fillId="0" borderId="79" xfId="0" applyFont="1" applyBorder="1" applyAlignment="1">
      <alignment horizontal="right" vertical="center"/>
    </xf>
    <xf numFmtId="0" fontId="65" fillId="0" borderId="77" xfId="0" applyFont="1" applyBorder="1" applyAlignment="1">
      <alignment horizontal="right" vertical="center" indent="1"/>
    </xf>
    <xf numFmtId="0" fontId="65" fillId="0" borderId="78" xfId="0" applyFont="1" applyBorder="1" applyAlignment="1">
      <alignment horizontal="right" vertical="center" indent="1"/>
    </xf>
    <xf numFmtId="0" fontId="65" fillId="0" borderId="79" xfId="0" applyFont="1" applyBorder="1" applyAlignment="1">
      <alignment horizontal="right" vertical="center" indent="1"/>
    </xf>
    <xf numFmtId="0" fontId="65" fillId="32" borderId="54" xfId="0" applyFont="1" applyFill="1" applyBorder="1" applyAlignment="1">
      <alignment horizontal="center" vertical="center" wrapText="1"/>
    </xf>
    <xf numFmtId="0" fontId="52" fillId="32" borderId="54" xfId="0" applyNumberFormat="1" applyFont="1" applyFill="1" applyBorder="1" applyAlignment="1">
      <alignment horizontal="center" vertical="center" shrinkToFit="1"/>
    </xf>
    <xf numFmtId="0" fontId="65" fillId="0" borderId="54" xfId="0" applyNumberFormat="1" applyFont="1" applyBorder="1" applyAlignment="1">
      <alignment horizontal="center" vertical="center" shrinkToFit="1"/>
    </xf>
    <xf numFmtId="199" fontId="52" fillId="0" borderId="80" xfId="87" applyNumberFormat="1" applyFont="1" applyBorder="1" applyAlignment="1">
      <alignment horizontal="center" vertical="center"/>
    </xf>
    <xf numFmtId="199" fontId="52" fillId="0" borderId="61" xfId="87" applyNumberFormat="1" applyFont="1" applyBorder="1" applyAlignment="1">
      <alignment horizontal="center" vertical="center"/>
    </xf>
    <xf numFmtId="199" fontId="52" fillId="0" borderId="51" xfId="87" applyNumberFormat="1" applyFont="1" applyBorder="1" applyAlignment="1">
      <alignment horizontal="center" vertical="center"/>
    </xf>
    <xf numFmtId="0" fontId="72" fillId="28" borderId="58" xfId="0" applyNumberFormat="1" applyFont="1" applyFill="1" applyBorder="1" applyAlignment="1">
      <alignment horizontal="center" vertical="center" wrapText="1"/>
    </xf>
    <xf numFmtId="0" fontId="72" fillId="28" borderId="59" xfId="0" applyNumberFormat="1" applyFont="1" applyFill="1" applyBorder="1" applyAlignment="1">
      <alignment horizontal="center" vertical="center" wrapText="1"/>
    </xf>
    <xf numFmtId="0" fontId="72" fillId="28" borderId="60" xfId="0" applyNumberFormat="1" applyFont="1" applyFill="1" applyBorder="1" applyAlignment="1">
      <alignment horizontal="center" vertical="center" wrapText="1"/>
    </xf>
    <xf numFmtId="0" fontId="72" fillId="28" borderId="58" xfId="0" applyNumberFormat="1" applyFont="1" applyFill="1" applyBorder="1" applyAlignment="1">
      <alignment horizontal="center" vertical="center"/>
    </xf>
    <xf numFmtId="0" fontId="72" fillId="28" borderId="60" xfId="0" applyNumberFormat="1" applyFont="1" applyFill="1" applyBorder="1" applyAlignment="1">
      <alignment horizontal="center" vertical="center"/>
    </xf>
    <xf numFmtId="0" fontId="72" fillId="28" borderId="53" xfId="0" applyNumberFormat="1" applyFont="1" applyFill="1" applyBorder="1" applyAlignment="1">
      <alignment horizontal="center" vertical="center" wrapText="1"/>
    </xf>
    <xf numFmtId="0" fontId="72" fillId="28" borderId="66" xfId="0" applyNumberFormat="1" applyFont="1" applyFill="1" applyBorder="1" applyAlignment="1">
      <alignment horizontal="center" vertical="center" wrapText="1"/>
    </xf>
    <xf numFmtId="188" fontId="71" fillId="0" borderId="71" xfId="0" applyNumberFormat="1" applyFont="1" applyFill="1" applyBorder="1" applyAlignment="1">
      <alignment horizontal="center" vertical="center"/>
    </xf>
    <xf numFmtId="190" fontId="71" fillId="32" borderId="53" xfId="86" applyNumberFormat="1" applyFont="1" applyFill="1" applyBorder="1" applyAlignment="1">
      <alignment horizontal="center" vertical="center" wrapText="1"/>
    </xf>
    <xf numFmtId="190" fontId="71" fillId="32" borderId="66" xfId="86" applyNumberFormat="1" applyFont="1" applyFill="1" applyBorder="1" applyAlignment="1">
      <alignment horizontal="center" vertical="center" wrapText="1"/>
    </xf>
    <xf numFmtId="0" fontId="72" fillId="28" borderId="67" xfId="0" applyNumberFormat="1" applyFont="1" applyFill="1" applyBorder="1" applyAlignment="1">
      <alignment horizontal="center" vertical="center" wrapText="1"/>
    </xf>
    <xf numFmtId="0" fontId="72" fillId="28" borderId="68" xfId="0" applyNumberFormat="1" applyFont="1" applyFill="1" applyBorder="1" applyAlignment="1">
      <alignment horizontal="center" vertical="center" wrapText="1"/>
    </xf>
    <xf numFmtId="0" fontId="72" fillId="28" borderId="69" xfId="0" applyNumberFormat="1" applyFont="1" applyFill="1" applyBorder="1" applyAlignment="1">
      <alignment horizontal="center" vertical="center" wrapText="1"/>
    </xf>
    <xf numFmtId="0" fontId="72" fillId="28" borderId="53" xfId="0" applyNumberFormat="1" applyFont="1" applyFill="1" applyBorder="1" applyAlignment="1">
      <alignment horizontal="center" vertical="center"/>
    </xf>
    <xf numFmtId="0" fontId="72" fillId="28" borderId="66" xfId="0" applyNumberFormat="1" applyFont="1" applyFill="1" applyBorder="1" applyAlignment="1">
      <alignment horizontal="center" vertical="center"/>
    </xf>
    <xf numFmtId="0" fontId="72" fillId="28" borderId="71" xfId="0" applyNumberFormat="1" applyFont="1" applyFill="1" applyBorder="1" applyAlignment="1">
      <alignment horizontal="center" vertical="center" wrapText="1"/>
    </xf>
    <xf numFmtId="189" fontId="72" fillId="28" borderId="58" xfId="0" applyNumberFormat="1" applyFont="1" applyFill="1" applyBorder="1" applyAlignment="1">
      <alignment horizontal="center" vertical="center" wrapText="1"/>
    </xf>
    <xf numFmtId="189" fontId="72" fillId="28" borderId="60" xfId="0" applyNumberFormat="1" applyFont="1" applyFill="1" applyBorder="1" applyAlignment="1">
      <alignment horizontal="center" vertical="center" wrapText="1"/>
    </xf>
    <xf numFmtId="0" fontId="72" fillId="28" borderId="43" xfId="0" applyNumberFormat="1" applyFont="1" applyFill="1" applyBorder="1" applyAlignment="1">
      <alignment horizontal="center" vertical="center" wrapText="1"/>
    </xf>
    <xf numFmtId="0" fontId="72" fillId="28" borderId="75" xfId="0" applyNumberFormat="1" applyFont="1" applyFill="1" applyBorder="1" applyAlignment="1">
      <alignment horizontal="center" vertical="center" wrapText="1"/>
    </xf>
    <xf numFmtId="189" fontId="72" fillId="28" borderId="53" xfId="0" applyNumberFormat="1" applyFont="1" applyFill="1" applyBorder="1" applyAlignment="1">
      <alignment horizontal="center" vertical="center" wrapText="1"/>
    </xf>
    <xf numFmtId="189" fontId="72" fillId="28" borderId="43" xfId="0" applyNumberFormat="1" applyFont="1" applyFill="1" applyBorder="1" applyAlignment="1">
      <alignment horizontal="center" vertical="center" wrapText="1"/>
    </xf>
    <xf numFmtId="0" fontId="72" fillId="28" borderId="83" xfId="0" applyNumberFormat="1" applyFont="1" applyFill="1" applyBorder="1" applyAlignment="1">
      <alignment horizontal="center" vertical="center" wrapText="1"/>
    </xf>
    <xf numFmtId="0" fontId="72" fillId="28" borderId="81" xfId="0" applyNumberFormat="1" applyFont="1" applyFill="1" applyBorder="1" applyAlignment="1">
      <alignment horizontal="center" vertical="center" wrapText="1"/>
    </xf>
    <xf numFmtId="0" fontId="52" fillId="0" borderId="77" xfId="0" applyNumberFormat="1" applyFont="1" applyBorder="1" applyAlignment="1">
      <alignment horizontal="center" vertical="center"/>
    </xf>
    <xf numFmtId="0" fontId="52" fillId="0" borderId="79" xfId="0" applyNumberFormat="1" applyFont="1" applyBorder="1" applyAlignment="1">
      <alignment horizontal="center" vertical="center"/>
    </xf>
    <xf numFmtId="0" fontId="72" fillId="28" borderId="43" xfId="0" applyNumberFormat="1" applyFont="1" applyFill="1" applyBorder="1" applyAlignment="1">
      <alignment horizontal="center" vertical="center"/>
    </xf>
    <xf numFmtId="0" fontId="72" fillId="28" borderId="59" xfId="0" applyNumberFormat="1" applyFont="1" applyFill="1" applyBorder="1" applyAlignment="1">
      <alignment horizontal="center" vertical="center"/>
    </xf>
    <xf numFmtId="0" fontId="67" fillId="33" borderId="48" xfId="0" applyFont="1" applyFill="1" applyBorder="1" applyAlignment="1">
      <alignment horizontal="center" vertical="center"/>
    </xf>
    <xf numFmtId="0" fontId="67" fillId="33" borderId="14" xfId="0" applyFont="1" applyFill="1" applyBorder="1" applyAlignment="1">
      <alignment horizontal="center" vertical="center"/>
    </xf>
    <xf numFmtId="0" fontId="67" fillId="33" borderId="49" xfId="0" applyFont="1" applyFill="1" applyBorder="1" applyAlignment="1">
      <alignment horizontal="center" vertical="center"/>
    </xf>
  </cellXfs>
  <cellStyles count="17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22"/>
    <cellStyle name="Input [yellow] 2 3" xfId="147"/>
    <cellStyle name="Input [yellow] 2 3 2" xfId="163"/>
    <cellStyle name="Input [yellow] 3" xfId="97"/>
    <cellStyle name="Input [yellow] 3 2" xfId="151"/>
    <cellStyle name="Input [yellow] 4" xfId="144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23"/>
    <cellStyle name="계산 2 3" xfId="108"/>
    <cellStyle name="계산 3" xfId="98"/>
    <cellStyle name="계산 3 2" xfId="116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24"/>
    <cellStyle name="메모 2 2 2" xfId="169"/>
    <cellStyle name="메모 2 3" xfId="109"/>
    <cellStyle name="메모 3" xfId="99"/>
    <cellStyle name="메모 3 2" xfId="117"/>
    <cellStyle name="메모 3 2 2" xfId="167"/>
    <cellStyle name="메모 3 3" xfId="160"/>
    <cellStyle name="메모 4" xfId="145"/>
    <cellStyle name="메모 4 2" xfId="16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2 2 2" xfId="138"/>
    <cellStyle name="쉼표 [0] 2 2 2 2 2" xfId="172"/>
    <cellStyle name="쉼표 [0] 2 2 2 3" xfId="130"/>
    <cellStyle name="쉼표 [0] 2 2 2 4" xfId="155"/>
    <cellStyle name="쉼표 [0] 2 2 3" xfId="134"/>
    <cellStyle name="쉼표 [0] 2 2 3 2" xfId="166"/>
    <cellStyle name="쉼표 [0] 2 2 3 3" xfId="150"/>
    <cellStyle name="쉼표 [0] 2 2 4" xfId="115"/>
    <cellStyle name="쉼표 [0] 2 2 4 2" xfId="159"/>
    <cellStyle name="쉼표 [0] 2 2 5" xfId="143"/>
    <cellStyle name="쉼표 [0] 2 3" xfId="104"/>
    <cellStyle name="쉼표 [0] 2 3 2" xfId="136"/>
    <cellStyle name="쉼표 [0] 2 3 2 2" xfId="170"/>
    <cellStyle name="쉼표 [0] 2 3 3" xfId="128"/>
    <cellStyle name="쉼표 [0] 2 3 4" xfId="153"/>
    <cellStyle name="쉼표 [0] 2 4" xfId="132"/>
    <cellStyle name="쉼표 [0] 2 4 2" xfId="164"/>
    <cellStyle name="쉼표 [0] 2 4 3" xfId="148"/>
    <cellStyle name="쉼표 [0] 2 5" xfId="113"/>
    <cellStyle name="쉼표 [0] 2 5 2" xfId="157"/>
    <cellStyle name="쉼표 [0] 2 6" xfId="141"/>
    <cellStyle name="쉼표 [0] 3" xfId="95"/>
    <cellStyle name="쉼표 [0] 3 2" xfId="105"/>
    <cellStyle name="쉼표 [0] 3 2 2" xfId="137"/>
    <cellStyle name="쉼표 [0] 3 2 2 2" xfId="171"/>
    <cellStyle name="쉼표 [0] 3 2 3" xfId="129"/>
    <cellStyle name="쉼표 [0] 3 2 4" xfId="154"/>
    <cellStyle name="쉼표 [0] 3 3" xfId="133"/>
    <cellStyle name="쉼표 [0] 3 3 2" xfId="165"/>
    <cellStyle name="쉼표 [0] 3 3 3" xfId="149"/>
    <cellStyle name="쉼표 [0] 3 4" xfId="114"/>
    <cellStyle name="쉼표 [0] 3 4 2" xfId="158"/>
    <cellStyle name="쉼표 [0] 3 5" xfId="142"/>
    <cellStyle name="쉼표 [0] 4" xfId="103"/>
    <cellStyle name="쉼표 [0] 4 2" xfId="135"/>
    <cellStyle name="쉼표 [0] 4 2 2" xfId="168"/>
    <cellStyle name="쉼표 [0] 4 3" xfId="121"/>
    <cellStyle name="쉼표 [0] 4 4" xfId="152"/>
    <cellStyle name="쉼표 [0] 5" xfId="131"/>
    <cellStyle name="쉼표 [0] 5 2" xfId="162"/>
    <cellStyle name="쉼표 [0] 5 3" xfId="146"/>
    <cellStyle name="쉼표 [0] 6" xfId="107"/>
    <cellStyle name="쉼표 [0] 6 2" xfId="156"/>
    <cellStyle name="쉼표 [0] 7" xfId="140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25"/>
    <cellStyle name="요약 2 3" xfId="110"/>
    <cellStyle name="요약 3" xfId="100"/>
    <cellStyle name="요약 3 2" xfId="118"/>
    <cellStyle name="입력" xfId="59" builtinId="20" customBuiltin="1"/>
    <cellStyle name="입력 2" xfId="92"/>
    <cellStyle name="입력 2 2" xfId="126"/>
    <cellStyle name="입력 2 3" xfId="111"/>
    <cellStyle name="입력 3" xfId="101"/>
    <cellStyle name="입력 3 2" xfId="119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27"/>
    <cellStyle name="출력 2 3" xfId="112"/>
    <cellStyle name="출력 3" xfId="102"/>
    <cellStyle name="출력 3 2" xfId="120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39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38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1076325</xdr:colOff>
      <xdr:row>35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1462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1462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1076325</xdr:colOff>
      <xdr:row>36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1462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1462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241268</xdr:colOff>
      <xdr:row>39</xdr:row>
      <xdr:rowOff>22701</xdr:rowOff>
    </xdr:from>
    <xdr:ext cx="141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79568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38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1076325</xdr:colOff>
      <xdr:row>35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146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14625" y="68675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1076325</xdr:colOff>
      <xdr:row>36</xdr:row>
      <xdr:rowOff>171450</xdr:rowOff>
    </xdr:from>
    <xdr:ext cx="17604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2897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  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28975" y="7058025"/>
              <a:ext cx="17604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 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241268</xdr:colOff>
      <xdr:row>40</xdr:row>
      <xdr:rowOff>22701</xdr:rowOff>
    </xdr:from>
    <xdr:ext cx="141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622393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622393" y="1167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55</xdr:row>
      <xdr:rowOff>9525</xdr:rowOff>
    </xdr:from>
    <xdr:to>
      <xdr:col>7</xdr:col>
      <xdr:colOff>267929</xdr:colOff>
      <xdr:row>55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55</xdr:row>
      <xdr:rowOff>76200</xdr:rowOff>
    </xdr:from>
    <xdr:ext cx="642746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/>
            <xdr:cNvSpPr txBox="1"/>
          </xdr:nvSpPr>
          <xdr:spPr>
            <a:xfrm>
              <a:off x="161925" y="13430250"/>
              <a:ext cx="64274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20" name="TextBox 219"/>
            <xdr:cNvSpPr txBox="1"/>
          </xdr:nvSpPr>
          <xdr:spPr>
            <a:xfrm>
              <a:off x="161925" y="13430250"/>
              <a:ext cx="64274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𝑙_𝑥=𝑙_𝑠+𝑙_𝑖𝑥−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𝑙〗_𝐸+〖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𝑙〗_𝐹+〖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61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/>
            <xdr:cNvSpPr txBox="1"/>
          </xdr:nvSpPr>
          <xdr:spPr>
            <a:xfrm>
              <a:off x="485775" y="148209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220"/>
            <xdr:cNvSpPr txBox="1"/>
          </xdr:nvSpPr>
          <xdr:spPr>
            <a:xfrm>
              <a:off x="485775" y="148209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71</xdr:row>
      <xdr:rowOff>19050</xdr:rowOff>
    </xdr:from>
    <xdr:ext cx="9235092" cy="204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/>
            <xdr:cNvSpPr txBox="1"/>
          </xdr:nvSpPr>
          <xdr:spPr>
            <a:xfrm>
              <a:off x="309562" y="17183100"/>
              <a:ext cx="9235092" cy="204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221"/>
            <xdr:cNvSpPr txBox="1"/>
          </xdr:nvSpPr>
          <xdr:spPr>
            <a:xfrm>
              <a:off x="309562" y="17183100"/>
              <a:ext cx="9235092" cy="204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𝑐_(𝑙_𝑖𝑥)^2∙𝑢^2 (𝑙_𝑖𝑥 )+𝑐_¯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73</xdr:row>
      <xdr:rowOff>52394</xdr:rowOff>
    </xdr:from>
    <xdr:ext cx="8207375" cy="866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/>
            <xdr:cNvSpPr txBox="1"/>
          </xdr:nvSpPr>
          <xdr:spPr>
            <a:xfrm>
              <a:off x="461962" y="17692694"/>
              <a:ext cx="8207375" cy="866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22"/>
            <xdr:cNvSpPr txBox="1"/>
          </xdr:nvSpPr>
          <xdr:spPr>
            <a:xfrm>
              <a:off x="461962" y="17692694"/>
              <a:ext cx="8207375" cy="866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𝑐_(𝑙_𝑖𝑥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𝑙_𝑖𝑥 )=1,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=1,  𝑐_(𝑙_𝑃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118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/>
            <xdr:cNvSpPr txBox="1"/>
          </xdr:nvSpPr>
          <xdr:spPr>
            <a:xfrm>
              <a:off x="2200275" y="283749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23"/>
            <xdr:cNvSpPr txBox="1"/>
          </xdr:nvSpPr>
          <xdr:spPr>
            <a:xfrm>
              <a:off x="2200275" y="283749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118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5"/>
            <xdr:cNvSpPr txBox="1"/>
          </xdr:nvSpPr>
          <xdr:spPr>
            <a:xfrm>
              <a:off x="2895600" y="283749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5"/>
            <xdr:cNvSpPr txBox="1"/>
          </xdr:nvSpPr>
          <xdr:spPr>
            <a:xfrm>
              <a:off x="2895600" y="283749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121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5"/>
            <xdr:cNvSpPr txBox="1"/>
          </xdr:nvSpPr>
          <xdr:spPr>
            <a:xfrm>
              <a:off x="2152649" y="2908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5"/>
            <xdr:cNvSpPr txBox="1"/>
          </xdr:nvSpPr>
          <xdr:spPr>
            <a:xfrm>
              <a:off x="2152649" y="2908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121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5"/>
            <xdr:cNvSpPr txBox="1"/>
          </xdr:nvSpPr>
          <xdr:spPr>
            <a:xfrm>
              <a:off x="2867024" y="2908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5"/>
            <xdr:cNvSpPr txBox="1"/>
          </xdr:nvSpPr>
          <xdr:spPr>
            <a:xfrm>
              <a:off x="2867024" y="2908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123</xdr:row>
      <xdr:rowOff>57150</xdr:rowOff>
    </xdr:from>
    <xdr:ext cx="78566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4"/>
            <xdr:cNvSpPr txBox="1"/>
          </xdr:nvSpPr>
          <xdr:spPr>
            <a:xfrm>
              <a:off x="1257300" y="29603700"/>
              <a:ext cx="78566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4"/>
            <xdr:cNvSpPr txBox="1"/>
          </xdr:nvSpPr>
          <xdr:spPr>
            <a:xfrm>
              <a:off x="1257300" y="29603700"/>
              <a:ext cx="78566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𝑐_(𝑙_𝑖𝑥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9525</xdr:colOff>
      <xdr:row>128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4"/>
            <xdr:cNvSpPr txBox="1"/>
          </xdr:nvSpPr>
          <xdr:spPr>
            <a:xfrm>
              <a:off x="4457700" y="30765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4"/>
            <xdr:cNvSpPr txBox="1"/>
          </xdr:nvSpPr>
          <xdr:spPr>
            <a:xfrm>
              <a:off x="4457700" y="30765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84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4"/>
            <xdr:cNvSpPr txBox="1"/>
          </xdr:nvSpPr>
          <xdr:spPr>
            <a:xfrm>
              <a:off x="733425" y="20288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4"/>
            <xdr:cNvSpPr txBox="1"/>
          </xdr:nvSpPr>
          <xdr:spPr>
            <a:xfrm>
              <a:off x="733425" y="20288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129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4"/>
            <xdr:cNvSpPr txBox="1"/>
          </xdr:nvSpPr>
          <xdr:spPr>
            <a:xfrm>
              <a:off x="3543300" y="31013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4"/>
            <xdr:cNvSpPr txBox="1"/>
          </xdr:nvSpPr>
          <xdr:spPr>
            <a:xfrm>
              <a:off x="3543300" y="31013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131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4"/>
            <xdr:cNvSpPr txBox="1"/>
          </xdr:nvSpPr>
          <xdr:spPr>
            <a:xfrm>
              <a:off x="3543300" y="31521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4"/>
            <xdr:cNvSpPr txBox="1"/>
          </xdr:nvSpPr>
          <xdr:spPr>
            <a:xfrm>
              <a:off x="3543300" y="31521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134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5"/>
            <xdr:cNvSpPr txBox="1"/>
          </xdr:nvSpPr>
          <xdr:spPr>
            <a:xfrm>
              <a:off x="4210049" y="32184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5"/>
            <xdr:cNvSpPr txBox="1"/>
          </xdr:nvSpPr>
          <xdr:spPr>
            <a:xfrm>
              <a:off x="4210049" y="32184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135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4"/>
            <xdr:cNvSpPr txBox="1"/>
          </xdr:nvSpPr>
          <xdr:spPr>
            <a:xfrm>
              <a:off x="1562099" y="32607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4"/>
            <xdr:cNvSpPr txBox="1"/>
          </xdr:nvSpPr>
          <xdr:spPr>
            <a:xfrm>
              <a:off x="1562099" y="32607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139</xdr:row>
      <xdr:rowOff>57150</xdr:rowOff>
    </xdr:from>
    <xdr:ext cx="134004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234"/>
            <xdr:cNvSpPr txBox="1"/>
          </xdr:nvSpPr>
          <xdr:spPr>
            <a:xfrm>
              <a:off x="1257300" y="33413700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234"/>
            <xdr:cNvSpPr txBox="1"/>
          </xdr:nvSpPr>
          <xdr:spPr>
            <a:xfrm>
              <a:off x="1257300" y="33413700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142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TextBox 5"/>
            <xdr:cNvSpPr txBox="1"/>
          </xdr:nvSpPr>
          <xdr:spPr>
            <a:xfrm>
              <a:off x="1104899" y="34080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6" name="TextBox 5"/>
            <xdr:cNvSpPr txBox="1"/>
          </xdr:nvSpPr>
          <xdr:spPr>
            <a:xfrm>
              <a:off x="1104899" y="34080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169</xdr:row>
      <xdr:rowOff>57150</xdr:rowOff>
    </xdr:from>
    <xdr:ext cx="14734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236"/>
            <xdr:cNvSpPr txBox="1"/>
          </xdr:nvSpPr>
          <xdr:spPr>
            <a:xfrm>
              <a:off x="1352550" y="40557450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7" name="TextBox 236"/>
            <xdr:cNvSpPr txBox="1"/>
          </xdr:nvSpPr>
          <xdr:spPr>
            <a:xfrm>
              <a:off x="1352550" y="40557450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155</xdr:row>
      <xdr:rowOff>57150</xdr:rowOff>
    </xdr:from>
    <xdr:ext cx="1403782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TextBox 237"/>
            <xdr:cNvSpPr txBox="1"/>
          </xdr:nvSpPr>
          <xdr:spPr>
            <a:xfrm>
              <a:off x="1257300" y="37223700"/>
              <a:ext cx="140378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8" name="TextBox 237"/>
            <xdr:cNvSpPr txBox="1"/>
          </xdr:nvSpPr>
          <xdr:spPr>
            <a:xfrm>
              <a:off x="1257300" y="37223700"/>
              <a:ext cx="140378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201</xdr:row>
      <xdr:rowOff>57150</xdr:rowOff>
    </xdr:from>
    <xdr:ext cx="748154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238"/>
            <xdr:cNvSpPr txBox="1"/>
          </xdr:nvSpPr>
          <xdr:spPr>
            <a:xfrm>
              <a:off x="1409700" y="48177450"/>
              <a:ext cx="748154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9" name="TextBox 238"/>
            <xdr:cNvSpPr txBox="1"/>
          </xdr:nvSpPr>
          <xdr:spPr>
            <a:xfrm>
              <a:off x="1409700" y="48177450"/>
              <a:ext cx="748154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𝑐_(𝑡_𝑑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237</xdr:row>
      <xdr:rowOff>57150</xdr:rowOff>
    </xdr:from>
    <xdr:ext cx="85382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239"/>
            <xdr:cNvSpPr txBox="1"/>
          </xdr:nvSpPr>
          <xdr:spPr>
            <a:xfrm>
              <a:off x="1257300" y="56749950"/>
              <a:ext cx="85382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0" name="TextBox 239"/>
            <xdr:cNvSpPr txBox="1"/>
          </xdr:nvSpPr>
          <xdr:spPr>
            <a:xfrm>
              <a:off x="1257300" y="56749950"/>
              <a:ext cx="85382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261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/>
            <xdr:cNvSpPr txBox="1"/>
          </xdr:nvSpPr>
          <xdr:spPr>
            <a:xfrm>
              <a:off x="1257300" y="6246495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241" name="TextBox 240"/>
            <xdr:cNvSpPr txBox="1"/>
          </xdr:nvSpPr>
          <xdr:spPr>
            <a:xfrm>
              <a:off x="1257300" y="62464950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144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5"/>
            <xdr:cNvSpPr txBox="1"/>
          </xdr:nvSpPr>
          <xdr:spPr>
            <a:xfrm>
              <a:off x="1104899" y="34594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2" name="TextBox 5"/>
            <xdr:cNvSpPr txBox="1"/>
          </xdr:nvSpPr>
          <xdr:spPr>
            <a:xfrm>
              <a:off x="1104899" y="34594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167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4"/>
            <xdr:cNvSpPr txBox="1"/>
          </xdr:nvSpPr>
          <xdr:spPr>
            <a:xfrm>
              <a:off x="1562099" y="40036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3" name="TextBox 4"/>
            <xdr:cNvSpPr txBox="1"/>
          </xdr:nvSpPr>
          <xdr:spPr>
            <a:xfrm>
              <a:off x="1562099" y="40036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153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5"/>
            <xdr:cNvSpPr txBox="1"/>
          </xdr:nvSpPr>
          <xdr:spPr>
            <a:xfrm>
              <a:off x="2152649" y="36718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4" name="TextBox 5"/>
            <xdr:cNvSpPr txBox="1"/>
          </xdr:nvSpPr>
          <xdr:spPr>
            <a:xfrm>
              <a:off x="2152649" y="36718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172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5"/>
            <xdr:cNvSpPr txBox="1"/>
          </xdr:nvSpPr>
          <xdr:spPr>
            <a:xfrm>
              <a:off x="1104899" y="41224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5" name="TextBox 5"/>
            <xdr:cNvSpPr txBox="1"/>
          </xdr:nvSpPr>
          <xdr:spPr>
            <a:xfrm>
              <a:off x="1104899" y="41224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174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5"/>
            <xdr:cNvSpPr txBox="1"/>
          </xdr:nvSpPr>
          <xdr:spPr>
            <a:xfrm>
              <a:off x="1104900" y="41738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6" name="TextBox 5"/>
            <xdr:cNvSpPr txBox="1"/>
          </xdr:nvSpPr>
          <xdr:spPr>
            <a:xfrm>
              <a:off x="1104900" y="41738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133349</xdr:colOff>
      <xdr:row>199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5"/>
            <xdr:cNvSpPr txBox="1"/>
          </xdr:nvSpPr>
          <xdr:spPr>
            <a:xfrm>
              <a:off x="2295524" y="47672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7" name="TextBox 5"/>
            <xdr:cNvSpPr txBox="1"/>
          </xdr:nvSpPr>
          <xdr:spPr>
            <a:xfrm>
              <a:off x="2295524" y="47672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235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5"/>
            <xdr:cNvSpPr txBox="1"/>
          </xdr:nvSpPr>
          <xdr:spPr>
            <a:xfrm>
              <a:off x="2305049" y="5623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8" name="TextBox 5"/>
            <xdr:cNvSpPr txBox="1"/>
          </xdr:nvSpPr>
          <xdr:spPr>
            <a:xfrm>
              <a:off x="2305049" y="5623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235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TextBox 5"/>
            <xdr:cNvSpPr txBox="1"/>
          </xdr:nvSpPr>
          <xdr:spPr>
            <a:xfrm>
              <a:off x="3076574" y="5623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9" name="TextBox 5"/>
            <xdr:cNvSpPr txBox="1"/>
          </xdr:nvSpPr>
          <xdr:spPr>
            <a:xfrm>
              <a:off x="3076574" y="5623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240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5"/>
            <xdr:cNvSpPr txBox="1"/>
          </xdr:nvSpPr>
          <xdr:spPr>
            <a:xfrm>
              <a:off x="1104900" y="57416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0" name="TextBox 5"/>
            <xdr:cNvSpPr txBox="1"/>
          </xdr:nvSpPr>
          <xdr:spPr>
            <a:xfrm>
              <a:off x="1104900" y="57416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19049</xdr:colOff>
      <xdr:row>259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5"/>
            <xdr:cNvSpPr txBox="1"/>
          </xdr:nvSpPr>
          <xdr:spPr>
            <a:xfrm>
              <a:off x="3095624" y="6196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+mn-lt"/>
                </a:rPr>
                <a:t>5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1" name="TextBox 5"/>
            <xdr:cNvSpPr txBox="1"/>
          </xdr:nvSpPr>
          <xdr:spPr>
            <a:xfrm>
              <a:off x="3095624" y="6196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+mn-lt"/>
                </a:rPr>
                <a:t>5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264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5"/>
            <xdr:cNvSpPr txBox="1"/>
          </xdr:nvSpPr>
          <xdr:spPr>
            <a:xfrm>
              <a:off x="1104900" y="63131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2" name="TextBox 5"/>
            <xdr:cNvSpPr txBox="1"/>
          </xdr:nvSpPr>
          <xdr:spPr>
            <a:xfrm>
              <a:off x="1104900" y="63131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𝑙_𝐹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100/10)^2=50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301</xdr:row>
      <xdr:rowOff>9524</xdr:rowOff>
    </xdr:from>
    <xdr:to>
      <xdr:col>50</xdr:col>
      <xdr:colOff>9525</xdr:colOff>
      <xdr:row>302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2"/>
            <xdr:cNvSpPr txBox="1">
              <a:spLocks/>
            </xdr:cNvSpPr>
          </xdr:nvSpPr>
          <xdr:spPr>
            <a:xfrm>
              <a:off x="161925" y="71942324"/>
              <a:ext cx="74961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d>
                    <m:d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𝑖𝑥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acc>
                    <m:accPr>
                      <m:chr m:val="̅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ko-KR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</m:acc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altLang="ko-K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∆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𝛼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b>
                    <m:sSub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𝑢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ko-KR" alt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p>
                    <m:sSup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𝛿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b>
                  </m:sSub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)+2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차항</m:t>
                  </m:r>
                  <m:r>
                    <a:rPr lang="en-US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</m:t>
                  </m:r>
                  <m:r>
                    <a:rPr lang="ko-KR" alt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차</m:t>
                  </m:r>
                </m:oMath>
              </a14:m>
              <a:r>
                <a:rPr lang="ko-KR" altLang="en-US" sz="1100"/>
                <a:t>항</a:t>
              </a:r>
            </a:p>
          </xdr:txBody>
        </xdr:sp>
      </mc:Choice>
      <mc:Fallback xmlns="">
        <xdr:sp macro="" textlink="">
          <xdr:nvSpPr>
            <xdr:cNvPr id="253" name="TextBox 2"/>
            <xdr:cNvSpPr txBox="1">
              <a:spLocks/>
            </xdr:cNvSpPr>
          </xdr:nvSpPr>
          <xdr:spPr>
            <a:xfrm>
              <a:off x="161925" y="71942324"/>
              <a:ext cx="74961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𝑙_𝐸)+𝑢^2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𝑙_𝑃)+2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차항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차</a:t>
              </a:r>
              <a:r>
                <a:rPr lang="ko-KR" altLang="en-US" sz="1100"/>
                <a:t>항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142875</xdr:colOff>
      <xdr:row>303</xdr:row>
      <xdr:rowOff>38101</xdr:rowOff>
    </xdr:from>
    <xdr:to>
      <xdr:col>40</xdr:col>
      <xdr:colOff>104775</xdr:colOff>
      <xdr:row>303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TextBox 2"/>
            <xdr:cNvSpPr txBox="1">
              <a:spLocks/>
            </xdr:cNvSpPr>
          </xdr:nvSpPr>
          <xdr:spPr>
            <a:xfrm>
              <a:off x="53530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4" name="TextBox 2"/>
            <xdr:cNvSpPr txBox="1">
              <a:spLocks/>
            </xdr:cNvSpPr>
          </xdr:nvSpPr>
          <xdr:spPr>
            <a:xfrm>
              <a:off x="53530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303</xdr:row>
      <xdr:rowOff>38101</xdr:rowOff>
    </xdr:from>
    <xdr:to>
      <xdr:col>32</xdr:col>
      <xdr:colOff>104775</xdr:colOff>
      <xdr:row>303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41338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5" name="TextBox 2"/>
            <xdr:cNvSpPr txBox="1">
              <a:spLocks/>
            </xdr:cNvSpPr>
          </xdr:nvSpPr>
          <xdr:spPr>
            <a:xfrm>
              <a:off x="41338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311</xdr:row>
      <xdr:rowOff>19050</xdr:rowOff>
    </xdr:from>
    <xdr:to>
      <xdr:col>16</xdr:col>
      <xdr:colOff>123825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185737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185737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24</xdr:col>
      <xdr:colOff>104775</xdr:colOff>
      <xdr:row>310</xdr:row>
      <xdr:rowOff>28575</xdr:rowOff>
    </xdr:from>
    <xdr:to>
      <xdr:col>29</xdr:col>
      <xdr:colOff>76200</xdr:colOff>
      <xdr:row>311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3790950" y="741045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3790950" y="741045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85725</xdr:colOff>
      <xdr:row>311</xdr:row>
      <xdr:rowOff>19050</xdr:rowOff>
    </xdr:from>
    <xdr:to>
      <xdr:col>21</xdr:col>
      <xdr:colOff>57150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552700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552700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114300</xdr:colOff>
      <xdr:row>311</xdr:row>
      <xdr:rowOff>19050</xdr:rowOff>
    </xdr:from>
    <xdr:to>
      <xdr:col>26</xdr:col>
      <xdr:colOff>85725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34327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334327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95250</xdr:colOff>
      <xdr:row>311</xdr:row>
      <xdr:rowOff>19050</xdr:rowOff>
    </xdr:from>
    <xdr:to>
      <xdr:col>31</xdr:col>
      <xdr:colOff>66675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408622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0" name="TextBox 2"/>
            <xdr:cNvSpPr txBox="1">
              <a:spLocks/>
            </xdr:cNvSpPr>
          </xdr:nvSpPr>
          <xdr:spPr>
            <a:xfrm>
              <a:off x="408622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31</xdr:col>
      <xdr:colOff>104775</xdr:colOff>
      <xdr:row>311</xdr:row>
      <xdr:rowOff>19050</xdr:rowOff>
    </xdr:from>
    <xdr:to>
      <xdr:col>36</xdr:col>
      <xdr:colOff>76200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4857750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4857750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36</xdr:col>
      <xdr:colOff>95250</xdr:colOff>
      <xdr:row>311</xdr:row>
      <xdr:rowOff>19050</xdr:rowOff>
    </xdr:from>
    <xdr:to>
      <xdr:col>41</xdr:col>
      <xdr:colOff>66675</xdr:colOff>
      <xdr:row>311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561022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5610225" y="74333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37</xdr:col>
      <xdr:colOff>85725</xdr:colOff>
      <xdr:row>313</xdr:row>
      <xdr:rowOff>19050</xdr:rowOff>
    </xdr:from>
    <xdr:to>
      <xdr:col>42</xdr:col>
      <xdr:colOff>57150</xdr:colOff>
      <xdr:row>313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575310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575310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95250</xdr:colOff>
      <xdr:row>313</xdr:row>
      <xdr:rowOff>19050</xdr:rowOff>
    </xdr:from>
    <xdr:to>
      <xdr:col>37</xdr:col>
      <xdr:colOff>66675</xdr:colOff>
      <xdr:row>313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5000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5000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310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TextBox 264"/>
            <xdr:cNvSpPr txBox="1"/>
          </xdr:nvSpPr>
          <xdr:spPr>
            <a:xfrm>
              <a:off x="200025" y="74128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5" name="TextBox 264"/>
            <xdr:cNvSpPr txBox="1"/>
          </xdr:nvSpPr>
          <xdr:spPr>
            <a:xfrm>
              <a:off x="200025" y="74128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158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TextBox 5"/>
            <xdr:cNvSpPr txBox="1"/>
          </xdr:nvSpPr>
          <xdr:spPr>
            <a:xfrm>
              <a:off x="1104900" y="37890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66" name="TextBox 5"/>
            <xdr:cNvSpPr txBox="1"/>
          </xdr:nvSpPr>
          <xdr:spPr>
            <a:xfrm>
              <a:off x="1104900" y="37890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204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TextBox 5"/>
            <xdr:cNvSpPr txBox="1"/>
          </xdr:nvSpPr>
          <xdr:spPr>
            <a:xfrm>
              <a:off x="1257300" y="48844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7" name="TextBox 5"/>
            <xdr:cNvSpPr txBox="1"/>
          </xdr:nvSpPr>
          <xdr:spPr>
            <a:xfrm>
              <a:off x="1257300" y="48844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ν(𝑡_𝑑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259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5"/>
            <xdr:cNvSpPr txBox="1"/>
          </xdr:nvSpPr>
          <xdr:spPr>
            <a:xfrm>
              <a:off x="2333624" y="6196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5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8" name="TextBox 5"/>
            <xdr:cNvSpPr txBox="1"/>
          </xdr:nvSpPr>
          <xdr:spPr>
            <a:xfrm>
              <a:off x="2333624" y="6196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5√3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81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TextBox 4"/>
            <xdr:cNvSpPr txBox="1"/>
          </xdr:nvSpPr>
          <xdr:spPr>
            <a:xfrm>
              <a:off x="2190750" y="19773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9" name="TextBox 4"/>
            <xdr:cNvSpPr txBox="1"/>
          </xdr:nvSpPr>
          <xdr:spPr>
            <a:xfrm>
              <a:off x="2190750" y="19773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81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TextBox 4"/>
            <xdr:cNvSpPr txBox="1"/>
          </xdr:nvSpPr>
          <xdr:spPr>
            <a:xfrm>
              <a:off x="6305550" y="197739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0" name="TextBox 4"/>
            <xdr:cNvSpPr txBox="1"/>
          </xdr:nvSpPr>
          <xdr:spPr>
            <a:xfrm>
              <a:off x="6305550" y="197739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107</xdr:row>
      <xdr:rowOff>57150</xdr:rowOff>
    </xdr:from>
    <xdr:ext cx="70602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TextBox 4"/>
            <xdr:cNvSpPr txBox="1"/>
          </xdr:nvSpPr>
          <xdr:spPr>
            <a:xfrm>
              <a:off x="1276350" y="25793700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1" name="TextBox 4"/>
            <xdr:cNvSpPr txBox="1"/>
          </xdr:nvSpPr>
          <xdr:spPr>
            <a:xfrm>
              <a:off x="1276350" y="25793700"/>
              <a:ext cx="7060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102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TextBox 4"/>
            <xdr:cNvSpPr txBox="1"/>
          </xdr:nvSpPr>
          <xdr:spPr>
            <a:xfrm>
              <a:off x="3600450" y="245459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2" name="TextBox 4"/>
            <xdr:cNvSpPr txBox="1"/>
          </xdr:nvSpPr>
          <xdr:spPr>
            <a:xfrm>
              <a:off x="3600450" y="245459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103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TextBox 4"/>
            <xdr:cNvSpPr txBox="1"/>
          </xdr:nvSpPr>
          <xdr:spPr>
            <a:xfrm>
              <a:off x="2238375" y="250126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3" name="TextBox 4"/>
            <xdr:cNvSpPr txBox="1"/>
          </xdr:nvSpPr>
          <xdr:spPr>
            <a:xfrm>
              <a:off x="2238375" y="250126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104</xdr:row>
      <xdr:rowOff>104775</xdr:rowOff>
    </xdr:from>
    <xdr:ext cx="1694118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TextBox 4"/>
            <xdr:cNvSpPr txBox="1"/>
          </xdr:nvSpPr>
          <xdr:spPr>
            <a:xfrm>
              <a:off x="4200525" y="25126950"/>
              <a:ext cx="169411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4" name="TextBox 4"/>
            <xdr:cNvSpPr txBox="1"/>
          </xdr:nvSpPr>
          <xdr:spPr>
            <a:xfrm>
              <a:off x="4200525" y="25126950"/>
              <a:ext cx="1694118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108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TextBox 4"/>
            <xdr:cNvSpPr txBox="1"/>
          </xdr:nvSpPr>
          <xdr:spPr>
            <a:xfrm>
              <a:off x="2190750" y="262032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5" name="TextBox 4"/>
            <xdr:cNvSpPr txBox="1"/>
          </xdr:nvSpPr>
          <xdr:spPr>
            <a:xfrm>
              <a:off x="2190750" y="262032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108</xdr:row>
      <xdr:rowOff>228600</xdr:rowOff>
    </xdr:from>
    <xdr:ext cx="16320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TextBox 4"/>
            <xdr:cNvSpPr txBox="1"/>
          </xdr:nvSpPr>
          <xdr:spPr>
            <a:xfrm>
              <a:off x="4476750" y="2620327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6" name="TextBox 4"/>
            <xdr:cNvSpPr txBox="1"/>
          </xdr:nvSpPr>
          <xdr:spPr>
            <a:xfrm>
              <a:off x="4476750" y="26203275"/>
              <a:ext cx="16320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TextBox 2"/>
            <xdr:cNvSpPr txBox="1">
              <a:spLocks/>
            </xdr:cNvSpPr>
          </xdr:nvSpPr>
          <xdr:spPr>
            <a:xfrm>
              <a:off x="781050" y="72209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7" name="TextBox 2"/>
            <xdr:cNvSpPr txBox="1">
              <a:spLocks/>
            </xdr:cNvSpPr>
          </xdr:nvSpPr>
          <xdr:spPr>
            <a:xfrm>
              <a:off x="781050" y="72209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114298</xdr:colOff>
      <xdr:row>302</xdr:row>
      <xdr:rowOff>38101</xdr:rowOff>
    </xdr:from>
    <xdr:ext cx="1257301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TextBox 2"/>
            <xdr:cNvSpPr txBox="1">
              <a:spLocks/>
            </xdr:cNvSpPr>
          </xdr:nvSpPr>
          <xdr:spPr>
            <a:xfrm>
              <a:off x="1819273" y="72209026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8" name="TextBox 2"/>
            <xdr:cNvSpPr txBox="1">
              <a:spLocks/>
            </xdr:cNvSpPr>
          </xdr:nvSpPr>
          <xdr:spPr>
            <a:xfrm>
              <a:off x="1819273" y="72209026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302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TextBox 2"/>
            <xdr:cNvSpPr txBox="1">
              <a:spLocks/>
            </xdr:cNvSpPr>
          </xdr:nvSpPr>
          <xdr:spPr>
            <a:xfrm>
              <a:off x="3371850" y="72209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9" name="TextBox 2"/>
            <xdr:cNvSpPr txBox="1">
              <a:spLocks/>
            </xdr:cNvSpPr>
          </xdr:nvSpPr>
          <xdr:spPr>
            <a:xfrm>
              <a:off x="3371850" y="72209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142874</xdr:colOff>
      <xdr:row>302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TextBox 2"/>
            <xdr:cNvSpPr txBox="1">
              <a:spLocks/>
            </xdr:cNvSpPr>
          </xdr:nvSpPr>
          <xdr:spPr>
            <a:xfrm>
              <a:off x="4438649" y="72209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0" name="TextBox 2"/>
            <xdr:cNvSpPr txBox="1">
              <a:spLocks/>
            </xdr:cNvSpPr>
          </xdr:nvSpPr>
          <xdr:spPr>
            <a:xfrm>
              <a:off x="4438649" y="72209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38</xdr:col>
      <xdr:colOff>142874</xdr:colOff>
      <xdr:row>302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5962649" y="72209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1" name="TextBox 2"/>
            <xdr:cNvSpPr txBox="1">
              <a:spLocks/>
            </xdr:cNvSpPr>
          </xdr:nvSpPr>
          <xdr:spPr>
            <a:xfrm>
              <a:off x="5962649" y="72209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1085849" y="72447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2" name="TextBox 2"/>
            <xdr:cNvSpPr txBox="1">
              <a:spLocks/>
            </xdr:cNvSpPr>
          </xdr:nvSpPr>
          <xdr:spPr>
            <a:xfrm>
              <a:off x="1085849" y="72447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303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TextBox 2"/>
            <xdr:cNvSpPr txBox="1">
              <a:spLocks/>
            </xdr:cNvSpPr>
          </xdr:nvSpPr>
          <xdr:spPr>
            <a:xfrm>
              <a:off x="2609849" y="72447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3" name="TextBox 2"/>
            <xdr:cNvSpPr txBox="1">
              <a:spLocks/>
            </xdr:cNvSpPr>
          </xdr:nvSpPr>
          <xdr:spPr>
            <a:xfrm>
              <a:off x="2609849" y="72447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305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TextBox 2"/>
            <xdr:cNvSpPr txBox="1">
              <a:spLocks/>
            </xdr:cNvSpPr>
          </xdr:nvSpPr>
          <xdr:spPr>
            <a:xfrm>
              <a:off x="781050" y="729234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4" name="TextBox 2"/>
            <xdr:cNvSpPr txBox="1">
              <a:spLocks/>
            </xdr:cNvSpPr>
          </xdr:nvSpPr>
          <xdr:spPr>
            <a:xfrm>
              <a:off x="781050" y="729234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305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TextBox 2"/>
            <xdr:cNvSpPr txBox="1">
              <a:spLocks/>
            </xdr:cNvSpPr>
          </xdr:nvSpPr>
          <xdr:spPr>
            <a:xfrm>
              <a:off x="1819274" y="729234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5" name="TextBox 2"/>
            <xdr:cNvSpPr txBox="1">
              <a:spLocks/>
            </xdr:cNvSpPr>
          </xdr:nvSpPr>
          <xdr:spPr>
            <a:xfrm>
              <a:off x="1819274" y="729234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306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" name="TextBox 4"/>
            <xdr:cNvSpPr txBox="1"/>
          </xdr:nvSpPr>
          <xdr:spPr>
            <a:xfrm>
              <a:off x="819150" y="73352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6" name="TextBox 4"/>
            <xdr:cNvSpPr txBox="1"/>
          </xdr:nvSpPr>
          <xdr:spPr>
            <a:xfrm>
              <a:off x="819150" y="73352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326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TextBox 4"/>
            <xdr:cNvSpPr txBox="1"/>
          </xdr:nvSpPr>
          <xdr:spPr>
            <a:xfrm>
              <a:off x="1876425" y="78114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7" name="TextBox 4"/>
            <xdr:cNvSpPr txBox="1"/>
          </xdr:nvSpPr>
          <xdr:spPr>
            <a:xfrm>
              <a:off x="1876425" y="78114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326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TextBox 4"/>
            <xdr:cNvSpPr txBox="1"/>
          </xdr:nvSpPr>
          <xdr:spPr>
            <a:xfrm>
              <a:off x="4010025" y="78114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8" name="TextBox 4"/>
            <xdr:cNvSpPr txBox="1"/>
          </xdr:nvSpPr>
          <xdr:spPr>
            <a:xfrm>
              <a:off x="4010025" y="78114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326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TextBox 4"/>
            <xdr:cNvSpPr txBox="1"/>
          </xdr:nvSpPr>
          <xdr:spPr>
            <a:xfrm>
              <a:off x="6143625" y="781145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9" name="TextBox 4"/>
            <xdr:cNvSpPr txBox="1"/>
          </xdr:nvSpPr>
          <xdr:spPr>
            <a:xfrm>
              <a:off x="6143625" y="781145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96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0" name="TextBox 4"/>
            <xdr:cNvSpPr txBox="1"/>
          </xdr:nvSpPr>
          <xdr:spPr>
            <a:xfrm>
              <a:off x="6305550" y="23345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0" name="TextBox 4"/>
            <xdr:cNvSpPr txBox="1"/>
          </xdr:nvSpPr>
          <xdr:spPr>
            <a:xfrm>
              <a:off x="6305550" y="23345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184</xdr:row>
      <xdr:rowOff>38100</xdr:rowOff>
    </xdr:from>
    <xdr:ext cx="226446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TextBox 290"/>
            <xdr:cNvSpPr txBox="1"/>
          </xdr:nvSpPr>
          <xdr:spPr>
            <a:xfrm>
              <a:off x="647700" y="44110275"/>
              <a:ext cx="22644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1" name="TextBox 290"/>
            <xdr:cNvSpPr txBox="1"/>
          </xdr:nvSpPr>
          <xdr:spPr>
            <a:xfrm>
              <a:off x="647700" y="44110275"/>
              <a:ext cx="22644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𝑡)=𝑢^2 (𝑡_𝑑 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𝑡〗_𝑑 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188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TextBox 291"/>
            <xdr:cNvSpPr txBox="1"/>
          </xdr:nvSpPr>
          <xdr:spPr>
            <a:xfrm>
              <a:off x="1362075" y="4508182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2" name="TextBox 291"/>
            <xdr:cNvSpPr txBox="1"/>
          </xdr:nvSpPr>
          <xdr:spPr>
            <a:xfrm>
              <a:off x="1362075" y="4508182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47625</xdr:colOff>
      <xdr:row>186</xdr:row>
      <xdr:rowOff>0</xdr:rowOff>
    </xdr:from>
    <xdr:ext cx="2287614" cy="212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TextBox 292"/>
            <xdr:cNvSpPr txBox="1"/>
          </xdr:nvSpPr>
          <xdr:spPr>
            <a:xfrm>
              <a:off x="2057400" y="44548425"/>
              <a:ext cx="2287614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3" name="TextBox 292"/>
            <xdr:cNvSpPr txBox="1"/>
          </xdr:nvSpPr>
          <xdr:spPr>
            <a:xfrm>
              <a:off x="2057400" y="44548425"/>
              <a:ext cx="2287614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191</xdr:row>
      <xdr:rowOff>47625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TextBox 293"/>
            <xdr:cNvSpPr txBox="1"/>
          </xdr:nvSpPr>
          <xdr:spPr>
            <a:xfrm>
              <a:off x="1104900" y="45786675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4" name="TextBox 293"/>
            <xdr:cNvSpPr txBox="1"/>
          </xdr:nvSpPr>
          <xdr:spPr>
            <a:xfrm>
              <a:off x="1104900" y="45786675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192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TextBox 2"/>
            <xdr:cNvSpPr txBox="1">
              <a:spLocks/>
            </xdr:cNvSpPr>
          </xdr:nvSpPr>
          <xdr:spPr>
            <a:xfrm>
              <a:off x="2619375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5" name="TextBox 2"/>
            <xdr:cNvSpPr txBox="1">
              <a:spLocks/>
            </xdr:cNvSpPr>
          </xdr:nvSpPr>
          <xdr:spPr>
            <a:xfrm>
              <a:off x="2619375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85725</xdr:colOff>
      <xdr:row>192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TextBox 2"/>
            <xdr:cNvSpPr txBox="1">
              <a:spLocks/>
            </xdr:cNvSpPr>
          </xdr:nvSpPr>
          <xdr:spPr>
            <a:xfrm>
              <a:off x="3314700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6" name="TextBox 2"/>
            <xdr:cNvSpPr txBox="1">
              <a:spLocks/>
            </xdr:cNvSpPr>
          </xdr:nvSpPr>
          <xdr:spPr>
            <a:xfrm>
              <a:off x="3314700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114300</xdr:colOff>
      <xdr:row>192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TextBox 2"/>
            <xdr:cNvSpPr txBox="1">
              <a:spLocks/>
            </xdr:cNvSpPr>
          </xdr:nvSpPr>
          <xdr:spPr>
            <a:xfrm>
              <a:off x="4105275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7" name="TextBox 2"/>
            <xdr:cNvSpPr txBox="1">
              <a:spLocks/>
            </xdr:cNvSpPr>
          </xdr:nvSpPr>
          <xdr:spPr>
            <a:xfrm>
              <a:off x="4105275" y="459962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85725</xdr:colOff>
      <xdr:row>191</xdr:row>
      <xdr:rowOff>38100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3314700" y="457771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8" name="TextBox 2"/>
            <xdr:cNvSpPr txBox="1">
              <a:spLocks/>
            </xdr:cNvSpPr>
          </xdr:nvSpPr>
          <xdr:spPr>
            <a:xfrm>
              <a:off x="3314700" y="457771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213</xdr:row>
      <xdr:rowOff>57150</xdr:rowOff>
    </xdr:from>
    <xdr:ext cx="88254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TextBox 298"/>
            <xdr:cNvSpPr txBox="1"/>
          </xdr:nvSpPr>
          <xdr:spPr>
            <a:xfrm>
              <a:off x="1409700" y="51034950"/>
              <a:ext cx="88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9" name="TextBox 298"/>
            <xdr:cNvSpPr txBox="1"/>
          </xdr:nvSpPr>
          <xdr:spPr>
            <a:xfrm>
              <a:off x="1409700" y="51034950"/>
              <a:ext cx="88254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𝑡〗_𝑑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133349</xdr:colOff>
      <xdr:row>211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TextBox 5"/>
            <xdr:cNvSpPr txBox="1"/>
          </xdr:nvSpPr>
          <xdr:spPr>
            <a:xfrm>
              <a:off x="2295524" y="5053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0" name="TextBox 5"/>
            <xdr:cNvSpPr txBox="1"/>
          </xdr:nvSpPr>
          <xdr:spPr>
            <a:xfrm>
              <a:off x="2295524" y="50530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216</xdr:row>
      <xdr:rowOff>9525</xdr:rowOff>
    </xdr:from>
    <xdr:ext cx="223837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TextBox 5"/>
            <xdr:cNvSpPr txBox="1"/>
          </xdr:nvSpPr>
          <xdr:spPr>
            <a:xfrm>
              <a:off x="1257300" y="51701700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1" name="TextBox 5"/>
            <xdr:cNvSpPr txBox="1"/>
          </xdr:nvSpPr>
          <xdr:spPr>
            <a:xfrm>
              <a:off x="1257300" y="51701700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𝑡〗_𝑑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225</xdr:row>
      <xdr:rowOff>57150</xdr:rowOff>
    </xdr:from>
    <xdr:ext cx="86761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TextBox 301"/>
            <xdr:cNvSpPr txBox="1"/>
          </xdr:nvSpPr>
          <xdr:spPr>
            <a:xfrm>
              <a:off x="1409700" y="53892450"/>
              <a:ext cx="86761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2" name="TextBox 301"/>
            <xdr:cNvSpPr txBox="1"/>
          </xdr:nvSpPr>
          <xdr:spPr>
            <a:xfrm>
              <a:off x="1409700" y="53892450"/>
              <a:ext cx="86761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𝑡〗_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133349</xdr:colOff>
      <xdr:row>223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TextBox 5"/>
            <xdr:cNvSpPr txBox="1"/>
          </xdr:nvSpPr>
          <xdr:spPr>
            <a:xfrm>
              <a:off x="2295524" y="53387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3" name="TextBox 5"/>
            <xdr:cNvSpPr txBox="1"/>
          </xdr:nvSpPr>
          <xdr:spPr>
            <a:xfrm>
              <a:off x="2295524" y="53387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228</xdr:row>
      <xdr:rowOff>9525</xdr:rowOff>
    </xdr:from>
    <xdr:ext cx="223837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4" name="TextBox 5"/>
            <xdr:cNvSpPr txBox="1"/>
          </xdr:nvSpPr>
          <xdr:spPr>
            <a:xfrm>
              <a:off x="1257300" y="54559200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4" name="TextBox 5"/>
            <xdr:cNvSpPr txBox="1"/>
          </xdr:nvSpPr>
          <xdr:spPr>
            <a:xfrm>
              <a:off x="1257300" y="54559200"/>
              <a:ext cx="22383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𝑡〗_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249</xdr:row>
      <xdr:rowOff>61912</xdr:rowOff>
    </xdr:from>
    <xdr:ext cx="86703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TextBox 304"/>
            <xdr:cNvSpPr txBox="1"/>
          </xdr:nvSpPr>
          <xdr:spPr>
            <a:xfrm>
              <a:off x="1257300" y="59612212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5" name="TextBox 304"/>
            <xdr:cNvSpPr txBox="1"/>
          </xdr:nvSpPr>
          <xdr:spPr>
            <a:xfrm>
              <a:off x="1257300" y="59612212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𝑙〗_𝐸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𝑙〗_𝐸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276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TextBox 305"/>
            <xdr:cNvSpPr txBox="1"/>
          </xdr:nvSpPr>
          <xdr:spPr>
            <a:xfrm>
              <a:off x="1257300" y="6603682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306" name="TextBox 305"/>
            <xdr:cNvSpPr txBox="1"/>
          </xdr:nvSpPr>
          <xdr:spPr>
            <a:xfrm>
              <a:off x="1257300" y="6603682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142874</xdr:colOff>
      <xdr:row>274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7" name="TextBox 5"/>
            <xdr:cNvSpPr txBox="1"/>
          </xdr:nvSpPr>
          <xdr:spPr>
            <a:xfrm>
              <a:off x="2762249" y="65532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7" name="TextBox 5"/>
            <xdr:cNvSpPr txBox="1"/>
          </xdr:nvSpPr>
          <xdr:spPr>
            <a:xfrm>
              <a:off x="2762249" y="65532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8" name="TextBox 5"/>
            <xdr:cNvSpPr txBox="1"/>
          </xdr:nvSpPr>
          <xdr:spPr>
            <a:xfrm>
              <a:off x="1104900" y="66703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8" name="TextBox 5"/>
            <xdr:cNvSpPr txBox="1"/>
          </xdr:nvSpPr>
          <xdr:spPr>
            <a:xfrm>
              <a:off x="1104900" y="66703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𝑙_𝑃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100/10)^2=50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104774</xdr:colOff>
      <xdr:row>283</xdr:row>
      <xdr:rowOff>38101</xdr:rowOff>
    </xdr:from>
    <xdr:ext cx="333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TextBox 5"/>
            <xdr:cNvSpPr txBox="1"/>
          </xdr:nvSpPr>
          <xdr:spPr>
            <a:xfrm>
              <a:off x="1657349" y="67684651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9" name="TextBox 5"/>
            <xdr:cNvSpPr txBox="1"/>
          </xdr:nvSpPr>
          <xdr:spPr>
            <a:xfrm>
              <a:off x="1657349" y="67684651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9524</xdr:colOff>
      <xdr:row>284</xdr:row>
      <xdr:rowOff>38101</xdr:rowOff>
    </xdr:from>
    <xdr:ext cx="752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TextBox 5"/>
            <xdr:cNvSpPr txBox="1"/>
          </xdr:nvSpPr>
          <xdr:spPr>
            <a:xfrm>
              <a:off x="466724" y="67922776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0" name="TextBox 5"/>
            <xdr:cNvSpPr txBox="1"/>
          </xdr:nvSpPr>
          <xdr:spPr>
            <a:xfrm>
              <a:off x="466724" y="67922776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, 𝑢(∆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12668</xdr:colOff>
      <xdr:row>285</xdr:row>
      <xdr:rowOff>32226</xdr:rowOff>
    </xdr:from>
    <xdr:ext cx="20736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TextBox 310"/>
            <xdr:cNvSpPr txBox="1"/>
          </xdr:nvSpPr>
          <xdr:spPr>
            <a:xfrm>
              <a:off x="1565243" y="68155026"/>
              <a:ext cx="2073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)=0.41×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1" name="TextBox 310"/>
            <xdr:cNvSpPr txBox="1"/>
          </xdr:nvSpPr>
          <xdr:spPr>
            <a:xfrm>
              <a:off x="1565243" y="68155026"/>
              <a:ext cx="20736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×𝑢(∆𝑡)=0.41×〖10〗^(−6)/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12668</xdr:colOff>
      <xdr:row>287</xdr:row>
      <xdr:rowOff>32226</xdr:rowOff>
    </xdr:from>
    <xdr:ext cx="14327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TextBox 311"/>
            <xdr:cNvSpPr txBox="1"/>
          </xdr:nvSpPr>
          <xdr:spPr>
            <a:xfrm>
              <a:off x="1412843" y="68631276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: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mm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2" name="TextBox 311"/>
            <xdr:cNvSpPr txBox="1"/>
          </xdr:nvSpPr>
          <xdr:spPr>
            <a:xfrm>
              <a:off x="1412843" y="68631276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   (𝑙_0  :mm)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12668</xdr:colOff>
      <xdr:row>289</xdr:row>
      <xdr:rowOff>32226</xdr:rowOff>
    </xdr:from>
    <xdr:ext cx="10839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3" name="TextBox 312"/>
            <xdr:cNvSpPr txBox="1"/>
          </xdr:nvSpPr>
          <xdr:spPr>
            <a:xfrm>
              <a:off x="1717643" y="69107526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0.41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3" name="TextBox 312"/>
            <xdr:cNvSpPr txBox="1"/>
          </xdr:nvSpPr>
          <xdr:spPr>
            <a:xfrm>
              <a:off x="1717643" y="69107526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12668</xdr:colOff>
      <xdr:row>289</xdr:row>
      <xdr:rowOff>41751</xdr:rowOff>
    </xdr:from>
    <xdr:ext cx="8969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4" name="TextBox 313"/>
            <xdr:cNvSpPr txBox="1"/>
          </xdr:nvSpPr>
          <xdr:spPr>
            <a:xfrm>
              <a:off x="3698843" y="69117051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4" name="TextBox 313"/>
            <xdr:cNvSpPr txBox="1"/>
          </xdr:nvSpPr>
          <xdr:spPr>
            <a:xfrm>
              <a:off x="3698843" y="69117051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9524</xdr:colOff>
      <xdr:row>292</xdr:row>
      <xdr:rowOff>38101</xdr:rowOff>
    </xdr:from>
    <xdr:ext cx="752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TextBox 5"/>
            <xdr:cNvSpPr txBox="1"/>
          </xdr:nvSpPr>
          <xdr:spPr>
            <a:xfrm>
              <a:off x="466724" y="69827776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</a:rPr>
                      <m:t>𝛿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5" name="TextBox 5"/>
            <xdr:cNvSpPr txBox="1"/>
          </xdr:nvSpPr>
          <xdr:spPr>
            <a:xfrm>
              <a:off x="466724" y="69827776"/>
              <a:ext cx="752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, 𝑢(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12668</xdr:colOff>
      <xdr:row>293</xdr:row>
      <xdr:rowOff>32226</xdr:rowOff>
    </xdr:from>
    <xdr:ext cx="21423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6" name="TextBox 315"/>
            <xdr:cNvSpPr txBox="1"/>
          </xdr:nvSpPr>
          <xdr:spPr>
            <a:xfrm>
              <a:off x="1565243" y="70060026"/>
              <a:ext cx="21423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)=0.82×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6" name="TextBox 315"/>
            <xdr:cNvSpPr txBox="1"/>
          </xdr:nvSpPr>
          <xdr:spPr>
            <a:xfrm>
              <a:off x="1565243" y="70060026"/>
              <a:ext cx="21423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×𝑢(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𝑡)=0.82×〖10〗^(−6)/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12668</xdr:colOff>
      <xdr:row>295</xdr:row>
      <xdr:rowOff>32226</xdr:rowOff>
    </xdr:from>
    <xdr:ext cx="14327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7" name="TextBox 316"/>
            <xdr:cNvSpPr txBox="1"/>
          </xdr:nvSpPr>
          <xdr:spPr>
            <a:xfrm>
              <a:off x="1412843" y="70536276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: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mm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7" name="TextBox 316"/>
            <xdr:cNvSpPr txBox="1"/>
          </xdr:nvSpPr>
          <xdr:spPr>
            <a:xfrm>
              <a:off x="1412843" y="70536276"/>
              <a:ext cx="1432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   (𝑙_0  :mm)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12668</xdr:colOff>
      <xdr:row>297</xdr:row>
      <xdr:rowOff>32226</xdr:rowOff>
    </xdr:from>
    <xdr:ext cx="10839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TextBox 317"/>
            <xdr:cNvSpPr txBox="1"/>
          </xdr:nvSpPr>
          <xdr:spPr>
            <a:xfrm>
              <a:off x="1717643" y="71012526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0.42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8" name="TextBox 317"/>
            <xdr:cNvSpPr txBox="1"/>
          </xdr:nvSpPr>
          <xdr:spPr>
            <a:xfrm>
              <a:off x="1717643" y="71012526"/>
              <a:ext cx="1083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0.42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12668</xdr:colOff>
      <xdr:row>297</xdr:row>
      <xdr:rowOff>41751</xdr:rowOff>
    </xdr:from>
    <xdr:ext cx="8969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TextBox 318"/>
            <xdr:cNvSpPr txBox="1"/>
          </xdr:nvSpPr>
          <xdr:spPr>
            <a:xfrm>
              <a:off x="3698843" y="71022051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  <m:r>
                      <a:rPr lang="en-US" altLang="ko-K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9" name="TextBox 318"/>
            <xdr:cNvSpPr txBox="1"/>
          </xdr:nvSpPr>
          <xdr:spPr>
            <a:xfrm>
              <a:off x="3698843" y="71022051"/>
              <a:ext cx="8969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〖10〗^3×𝑙_0  μm=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42</xdr:col>
      <xdr:colOff>142875</xdr:colOff>
      <xdr:row>303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65722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0" name="TextBox 2"/>
            <xdr:cNvSpPr txBox="1">
              <a:spLocks/>
            </xdr:cNvSpPr>
          </xdr:nvSpPr>
          <xdr:spPr>
            <a:xfrm>
              <a:off x="6572250" y="72447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304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1085850" y="726852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1" name="TextBox 2"/>
            <xdr:cNvSpPr txBox="1">
              <a:spLocks/>
            </xdr:cNvSpPr>
          </xdr:nvSpPr>
          <xdr:spPr>
            <a:xfrm>
              <a:off x="1085850" y="726852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304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TextBox 2"/>
            <xdr:cNvSpPr txBox="1">
              <a:spLocks/>
            </xdr:cNvSpPr>
          </xdr:nvSpPr>
          <xdr:spPr>
            <a:xfrm>
              <a:off x="2152649" y="726852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2" name="TextBox 2"/>
            <xdr:cNvSpPr txBox="1">
              <a:spLocks/>
            </xdr:cNvSpPr>
          </xdr:nvSpPr>
          <xdr:spPr>
            <a:xfrm>
              <a:off x="2152649" y="726852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142874</xdr:colOff>
      <xdr:row>304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TextBox 2"/>
            <xdr:cNvSpPr txBox="1">
              <a:spLocks/>
            </xdr:cNvSpPr>
          </xdr:nvSpPr>
          <xdr:spPr>
            <a:xfrm>
              <a:off x="3676649" y="726852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3" name="TextBox 2"/>
            <xdr:cNvSpPr txBox="1">
              <a:spLocks/>
            </xdr:cNvSpPr>
          </xdr:nvSpPr>
          <xdr:spPr>
            <a:xfrm>
              <a:off x="3676649" y="726852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104775</xdr:colOff>
      <xdr:row>313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TextBox 2"/>
            <xdr:cNvSpPr txBox="1">
              <a:spLocks/>
            </xdr:cNvSpPr>
          </xdr:nvSpPr>
          <xdr:spPr>
            <a:xfrm>
              <a:off x="196215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4" name="TextBox 2"/>
            <xdr:cNvSpPr txBox="1">
              <a:spLocks/>
            </xdr:cNvSpPr>
          </xdr:nvSpPr>
          <xdr:spPr>
            <a:xfrm>
              <a:off x="196215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95250</xdr:colOff>
      <xdr:row>313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TextBox 2"/>
            <xdr:cNvSpPr txBox="1">
              <a:spLocks/>
            </xdr:cNvSpPr>
          </xdr:nvSpPr>
          <xdr:spPr>
            <a:xfrm>
              <a:off x="2714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5" name="TextBox 2"/>
            <xdr:cNvSpPr txBox="1">
              <a:spLocks/>
            </xdr:cNvSpPr>
          </xdr:nvSpPr>
          <xdr:spPr>
            <a:xfrm>
              <a:off x="2714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85725</xdr:colOff>
      <xdr:row>313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6" name="TextBox 2"/>
            <xdr:cNvSpPr txBox="1">
              <a:spLocks/>
            </xdr:cNvSpPr>
          </xdr:nvSpPr>
          <xdr:spPr>
            <a:xfrm>
              <a:off x="346710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6" name="TextBox 2"/>
            <xdr:cNvSpPr txBox="1">
              <a:spLocks/>
            </xdr:cNvSpPr>
          </xdr:nvSpPr>
          <xdr:spPr>
            <a:xfrm>
              <a:off x="3467100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95250</xdr:colOff>
      <xdr:row>313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TextBox 2"/>
            <xdr:cNvSpPr txBox="1">
              <a:spLocks/>
            </xdr:cNvSpPr>
          </xdr:nvSpPr>
          <xdr:spPr>
            <a:xfrm>
              <a:off x="4238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7" name="TextBox 2"/>
            <xdr:cNvSpPr txBox="1">
              <a:spLocks/>
            </xdr:cNvSpPr>
          </xdr:nvSpPr>
          <xdr:spPr>
            <a:xfrm>
              <a:off x="4238625" y="74809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10</xdr:col>
      <xdr:colOff>114299</xdr:colOff>
      <xdr:row>311</xdr:row>
      <xdr:rowOff>0</xdr:rowOff>
    </xdr:from>
    <xdr:to>
      <xdr:col>43</xdr:col>
      <xdr:colOff>47624</xdr:colOff>
      <xdr:row>315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8" name="TextBox 2"/>
            <xdr:cNvSpPr txBox="1">
              <a:spLocks/>
            </xdr:cNvSpPr>
          </xdr:nvSpPr>
          <xdr:spPr>
            <a:xfrm>
              <a:off x="1666874" y="74314050"/>
              <a:ext cx="4962525" cy="95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8" name="TextBox 2"/>
            <xdr:cNvSpPr txBox="1">
              <a:spLocks/>
            </xdr:cNvSpPr>
          </xdr:nvSpPr>
          <xdr:spPr>
            <a:xfrm>
              <a:off x="1666874" y="74314050"/>
              <a:ext cx="4962525" cy="95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{█(</a:t>
              </a:r>
              <a:r>
                <a:rPr lang="en-US" altLang="ko-KR" b="0" i="0">
                  <a:latin typeface="Cambria Math" panose="02040503050406030204" pitchFamily="18" charset="0"/>
                </a:rPr>
                <a:t> @ @ @ @ @                                                                                                                                                     )  }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359</xdr:row>
      <xdr:rowOff>76200</xdr:rowOff>
    </xdr:from>
    <xdr:ext cx="153625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TextBox 328"/>
            <xdr:cNvSpPr txBox="1"/>
          </xdr:nvSpPr>
          <xdr:spPr>
            <a:xfrm>
              <a:off x="161925" y="85915500"/>
              <a:ext cx="153625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329" name="TextBox 328"/>
            <xdr:cNvSpPr txBox="1"/>
          </xdr:nvSpPr>
          <xdr:spPr>
            <a:xfrm>
              <a:off x="161925" y="85915500"/>
              <a:ext cx="153625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𝑙_𝑑=𝑙_𝑥2+𝑙_𝑥1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4762</xdr:colOff>
      <xdr:row>366</xdr:row>
      <xdr:rowOff>19050</xdr:rowOff>
    </xdr:from>
    <xdr:ext cx="2274469" cy="196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TextBox 329"/>
            <xdr:cNvSpPr txBox="1"/>
          </xdr:nvSpPr>
          <xdr:spPr>
            <a:xfrm>
              <a:off x="309562" y="87525225"/>
              <a:ext cx="2274469" cy="196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0" name="TextBox 329"/>
            <xdr:cNvSpPr txBox="1"/>
          </xdr:nvSpPr>
          <xdr:spPr>
            <a:xfrm>
              <a:off x="309562" y="87525225"/>
              <a:ext cx="2274469" cy="196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(𝑙_𝑑 )=𝑐_(𝑙_𝑥2)^2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(𝑙_𝑥2 )+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𝑐_(𝑙_𝑥1)^2∙𝑢^2 (𝑙_𝑥1 )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368</xdr:row>
      <xdr:rowOff>61919</xdr:rowOff>
    </xdr:from>
    <xdr:ext cx="2343462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1" name="TextBox 330"/>
            <xdr:cNvSpPr txBox="1"/>
          </xdr:nvSpPr>
          <xdr:spPr>
            <a:xfrm>
              <a:off x="461962" y="88044344"/>
              <a:ext cx="234346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1" name="TextBox 330"/>
            <xdr:cNvSpPr txBox="1"/>
          </xdr:nvSpPr>
          <xdr:spPr>
            <a:xfrm>
              <a:off x="461962" y="88044344"/>
              <a:ext cx="2343462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𝑐_(𝑙_𝑥2 )=(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𝑙_𝑑)/〖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𝑙〗_𝑥2 =1,  𝑐_(𝑙_𝑥1 )=(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𝑙_𝑑)/(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𝑙_𝑥1 )=−1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375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TextBox 4"/>
            <xdr:cNvSpPr txBox="1"/>
          </xdr:nvSpPr>
          <xdr:spPr>
            <a:xfrm>
              <a:off x="2190750" y="89877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2" name="TextBox 4"/>
            <xdr:cNvSpPr txBox="1"/>
          </xdr:nvSpPr>
          <xdr:spPr>
            <a:xfrm>
              <a:off x="2190750" y="89877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375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3" name="TextBox 4"/>
            <xdr:cNvSpPr txBox="1"/>
          </xdr:nvSpPr>
          <xdr:spPr>
            <a:xfrm>
              <a:off x="6305550" y="898779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3" name="TextBox 4"/>
            <xdr:cNvSpPr txBox="1"/>
          </xdr:nvSpPr>
          <xdr:spPr>
            <a:xfrm>
              <a:off x="6305550" y="8987790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386</xdr:row>
      <xdr:rowOff>57150</xdr:rowOff>
    </xdr:from>
    <xdr:ext cx="82490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4" name="TextBox 4"/>
            <xdr:cNvSpPr txBox="1"/>
          </xdr:nvSpPr>
          <xdr:spPr>
            <a:xfrm>
              <a:off x="1276350" y="92325825"/>
              <a:ext cx="82490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4" name="TextBox 4"/>
            <xdr:cNvSpPr txBox="1"/>
          </xdr:nvSpPr>
          <xdr:spPr>
            <a:xfrm>
              <a:off x="1276350" y="92325825"/>
              <a:ext cx="82490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𝑐_(𝑙_𝑥2 )=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𝑙_𝑑)/(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𝑙_𝑥2 )=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383</xdr:row>
      <xdr:rowOff>228600</xdr:rowOff>
    </xdr:from>
    <xdr:ext cx="1601016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5" name="TextBox 4"/>
            <xdr:cNvSpPr txBox="1"/>
          </xdr:nvSpPr>
          <xdr:spPr>
            <a:xfrm>
              <a:off x="2219325" y="91782900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5" name="TextBox 4"/>
            <xdr:cNvSpPr txBox="1"/>
          </xdr:nvSpPr>
          <xdr:spPr>
            <a:xfrm>
              <a:off x="2219325" y="91782900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377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TextBox 4"/>
            <xdr:cNvSpPr txBox="1"/>
          </xdr:nvSpPr>
          <xdr:spPr>
            <a:xfrm>
              <a:off x="6305550" y="901255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6" name="TextBox 4"/>
            <xdr:cNvSpPr txBox="1"/>
          </xdr:nvSpPr>
          <xdr:spPr>
            <a:xfrm>
              <a:off x="6305550" y="901255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397</xdr:row>
      <xdr:rowOff>57150</xdr:rowOff>
    </xdr:from>
    <xdr:ext cx="82490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7" name="TextBox 4"/>
            <xdr:cNvSpPr txBox="1"/>
          </xdr:nvSpPr>
          <xdr:spPr>
            <a:xfrm>
              <a:off x="1276350" y="94945200"/>
              <a:ext cx="82490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7" name="TextBox 4"/>
            <xdr:cNvSpPr txBox="1"/>
          </xdr:nvSpPr>
          <xdr:spPr>
            <a:xfrm>
              <a:off x="1276350" y="94945200"/>
              <a:ext cx="82490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𝑐_(𝑙_𝑥1 )=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𝑙_𝑑)/(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𝑙_𝑥1 )=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394</xdr:row>
      <xdr:rowOff>228600</xdr:rowOff>
    </xdr:from>
    <xdr:ext cx="1601016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TextBox 4"/>
            <xdr:cNvSpPr txBox="1"/>
          </xdr:nvSpPr>
          <xdr:spPr>
            <a:xfrm>
              <a:off x="2219325" y="944022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8" name="TextBox 4"/>
            <xdr:cNvSpPr txBox="1"/>
          </xdr:nvSpPr>
          <xdr:spPr>
            <a:xfrm>
              <a:off x="2219325" y="944022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398</xdr:row>
      <xdr:rowOff>228600</xdr:rowOff>
    </xdr:from>
    <xdr:ext cx="1601016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9" name="TextBox 4"/>
            <xdr:cNvSpPr txBox="1"/>
          </xdr:nvSpPr>
          <xdr:spPr>
            <a:xfrm>
              <a:off x="2219325" y="953547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9" name="TextBox 4"/>
            <xdr:cNvSpPr txBox="1"/>
          </xdr:nvSpPr>
          <xdr:spPr>
            <a:xfrm>
              <a:off x="2219325" y="953547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57150</xdr:colOff>
      <xdr:row>398</xdr:row>
      <xdr:rowOff>228600</xdr:rowOff>
    </xdr:from>
    <xdr:ext cx="1601016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TextBox 4"/>
            <xdr:cNvSpPr txBox="1"/>
          </xdr:nvSpPr>
          <xdr:spPr>
            <a:xfrm>
              <a:off x="4505325" y="953547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0" name="TextBox 4"/>
            <xdr:cNvSpPr txBox="1"/>
          </xdr:nvSpPr>
          <xdr:spPr>
            <a:xfrm>
              <a:off x="4505325" y="95354775"/>
              <a:ext cx="160101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9526</xdr:colOff>
      <xdr:row>403</xdr:row>
      <xdr:rowOff>9524</xdr:rowOff>
    </xdr:from>
    <xdr:ext cx="169545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TextBox 2"/>
            <xdr:cNvSpPr txBox="1">
              <a:spLocks/>
            </xdr:cNvSpPr>
          </xdr:nvSpPr>
          <xdr:spPr>
            <a:xfrm>
              <a:off x="161926" y="96326324"/>
              <a:ext cx="16954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1" name="TextBox 2"/>
            <xdr:cNvSpPr txBox="1">
              <a:spLocks/>
            </xdr:cNvSpPr>
          </xdr:nvSpPr>
          <xdr:spPr>
            <a:xfrm>
              <a:off x="161926" y="96326324"/>
              <a:ext cx="16954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(𝑙_𝑑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(𝑙_𝑥2 )+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𝑙_𝑥1 )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411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TextBox 2"/>
            <xdr:cNvSpPr txBox="1">
              <a:spLocks/>
            </xdr:cNvSpPr>
          </xdr:nvSpPr>
          <xdr:spPr>
            <a:xfrm>
              <a:off x="1857375" y="98240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2" name="TextBox 2"/>
            <xdr:cNvSpPr txBox="1">
              <a:spLocks/>
            </xdr:cNvSpPr>
          </xdr:nvSpPr>
          <xdr:spPr>
            <a:xfrm>
              <a:off x="1857375" y="98240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114300</xdr:colOff>
      <xdr:row>410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TextBox 2"/>
            <xdr:cNvSpPr txBox="1">
              <a:spLocks/>
            </xdr:cNvSpPr>
          </xdr:nvSpPr>
          <xdr:spPr>
            <a:xfrm>
              <a:off x="2124075" y="980122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3" name="TextBox 2"/>
            <xdr:cNvSpPr txBox="1">
              <a:spLocks/>
            </xdr:cNvSpPr>
          </xdr:nvSpPr>
          <xdr:spPr>
            <a:xfrm>
              <a:off x="2124075" y="980122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85725</xdr:colOff>
      <xdr:row>411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TextBox 2"/>
            <xdr:cNvSpPr txBox="1">
              <a:spLocks/>
            </xdr:cNvSpPr>
          </xdr:nvSpPr>
          <xdr:spPr>
            <a:xfrm>
              <a:off x="2552700" y="98240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4" name="TextBox 2"/>
            <xdr:cNvSpPr txBox="1">
              <a:spLocks/>
            </xdr:cNvSpPr>
          </xdr:nvSpPr>
          <xdr:spPr>
            <a:xfrm>
              <a:off x="2552700" y="98240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410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TextBox 344"/>
            <xdr:cNvSpPr txBox="1"/>
          </xdr:nvSpPr>
          <xdr:spPr>
            <a:xfrm>
              <a:off x="200025" y="98035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5" name="TextBox 344"/>
            <xdr:cNvSpPr txBox="1"/>
          </xdr:nvSpPr>
          <xdr:spPr>
            <a:xfrm>
              <a:off x="200025" y="98035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404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6" name="TextBox 2"/>
            <xdr:cNvSpPr txBox="1">
              <a:spLocks/>
            </xdr:cNvSpPr>
          </xdr:nvSpPr>
          <xdr:spPr>
            <a:xfrm>
              <a:off x="781050" y="96593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6" name="TextBox 2"/>
            <xdr:cNvSpPr txBox="1">
              <a:spLocks/>
            </xdr:cNvSpPr>
          </xdr:nvSpPr>
          <xdr:spPr>
            <a:xfrm>
              <a:off x="781050" y="96593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114298</xdr:colOff>
      <xdr:row>404</xdr:row>
      <xdr:rowOff>38101</xdr:rowOff>
    </xdr:from>
    <xdr:ext cx="1257301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TextBox 2"/>
            <xdr:cNvSpPr txBox="1">
              <a:spLocks/>
            </xdr:cNvSpPr>
          </xdr:nvSpPr>
          <xdr:spPr>
            <a:xfrm>
              <a:off x="2886073" y="96593026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7" name="TextBox 2"/>
            <xdr:cNvSpPr txBox="1">
              <a:spLocks/>
            </xdr:cNvSpPr>
          </xdr:nvSpPr>
          <xdr:spPr>
            <a:xfrm>
              <a:off x="2886073" y="96593026"/>
              <a:ext cx="125730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404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8" name="TextBox 2"/>
            <xdr:cNvSpPr txBox="1">
              <a:spLocks/>
            </xdr:cNvSpPr>
          </xdr:nvSpPr>
          <xdr:spPr>
            <a:xfrm>
              <a:off x="1847850" y="96593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8" name="TextBox 2"/>
            <xdr:cNvSpPr txBox="1">
              <a:spLocks/>
            </xdr:cNvSpPr>
          </xdr:nvSpPr>
          <xdr:spPr>
            <a:xfrm>
              <a:off x="1847850" y="96593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405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TextBox 2"/>
            <xdr:cNvSpPr txBox="1">
              <a:spLocks/>
            </xdr:cNvSpPr>
          </xdr:nvSpPr>
          <xdr:spPr>
            <a:xfrm>
              <a:off x="781050" y="96831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9" name="TextBox 2"/>
            <xdr:cNvSpPr txBox="1">
              <a:spLocks/>
            </xdr:cNvSpPr>
          </xdr:nvSpPr>
          <xdr:spPr>
            <a:xfrm>
              <a:off x="781050" y="96831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405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TextBox 2"/>
            <xdr:cNvSpPr txBox="1">
              <a:spLocks/>
            </xdr:cNvSpPr>
          </xdr:nvSpPr>
          <xdr:spPr>
            <a:xfrm>
              <a:off x="1819274" y="968311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0" name="TextBox 2"/>
            <xdr:cNvSpPr txBox="1">
              <a:spLocks/>
            </xdr:cNvSpPr>
          </xdr:nvSpPr>
          <xdr:spPr>
            <a:xfrm>
              <a:off x="1819274" y="968311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406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1" name="TextBox 4"/>
            <xdr:cNvSpPr txBox="1"/>
          </xdr:nvSpPr>
          <xdr:spPr>
            <a:xfrm>
              <a:off x="819150" y="97259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1" name="TextBox 4"/>
            <xdr:cNvSpPr txBox="1"/>
          </xdr:nvSpPr>
          <xdr:spPr>
            <a:xfrm>
              <a:off x="819150" y="97259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416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2" name="TextBox 4"/>
            <xdr:cNvSpPr txBox="1"/>
          </xdr:nvSpPr>
          <xdr:spPr>
            <a:xfrm>
              <a:off x="1876425" y="99641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2" name="TextBox 4"/>
            <xdr:cNvSpPr txBox="1"/>
          </xdr:nvSpPr>
          <xdr:spPr>
            <a:xfrm>
              <a:off x="1876425" y="99641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416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3" name="TextBox 4"/>
            <xdr:cNvSpPr txBox="1"/>
          </xdr:nvSpPr>
          <xdr:spPr>
            <a:xfrm>
              <a:off x="4010025" y="99641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3" name="TextBox 4"/>
            <xdr:cNvSpPr txBox="1"/>
          </xdr:nvSpPr>
          <xdr:spPr>
            <a:xfrm>
              <a:off x="4010025" y="99641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416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4" name="TextBox 4"/>
            <xdr:cNvSpPr txBox="1"/>
          </xdr:nvSpPr>
          <xdr:spPr>
            <a:xfrm>
              <a:off x="6143625" y="996410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4" name="TextBox 4"/>
            <xdr:cNvSpPr txBox="1"/>
          </xdr:nvSpPr>
          <xdr:spPr>
            <a:xfrm>
              <a:off x="6143625" y="9964102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6" t="s">
        <v>0</v>
      </c>
      <c r="B1" s="347"/>
      <c r="C1" s="347"/>
      <c r="D1" s="347"/>
      <c r="E1" s="347"/>
      <c r="F1" s="347"/>
      <c r="G1" s="347"/>
      <c r="H1" s="348"/>
      <c r="I1" s="349"/>
      <c r="J1" s="350"/>
    </row>
    <row r="2" spans="1:13" ht="12.95" customHeight="1">
      <c r="A2" s="326" t="s">
        <v>1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13" ht="12.95" customHeight="1">
      <c r="A3" s="327" t="s">
        <v>2</v>
      </c>
      <c r="B3" s="328"/>
      <c r="C3" s="351"/>
      <c r="D3" s="351"/>
      <c r="E3" s="351"/>
      <c r="F3" s="328" t="s">
        <v>3</v>
      </c>
      <c r="G3" s="328"/>
      <c r="H3" s="342"/>
      <c r="I3" s="341"/>
      <c r="J3" s="341"/>
    </row>
    <row r="4" spans="1:13" ht="12.95" customHeight="1">
      <c r="A4" s="328" t="s">
        <v>4</v>
      </c>
      <c r="B4" s="328"/>
      <c r="C4" s="352"/>
      <c r="D4" s="328"/>
      <c r="E4" s="328"/>
      <c r="F4" s="328" t="s">
        <v>5</v>
      </c>
      <c r="G4" s="328"/>
      <c r="H4" s="328"/>
      <c r="I4" s="341"/>
      <c r="J4" s="341"/>
    </row>
    <row r="5" spans="1:13" ht="12.95" customHeight="1">
      <c r="A5" s="328" t="s">
        <v>6</v>
      </c>
      <c r="B5" s="328"/>
      <c r="C5" s="328"/>
      <c r="D5" s="341"/>
      <c r="E5" s="341"/>
      <c r="F5" s="327" t="s">
        <v>7</v>
      </c>
      <c r="G5" s="328"/>
      <c r="H5" s="329"/>
      <c r="I5" s="330"/>
      <c r="J5" s="330"/>
    </row>
    <row r="6" spans="1:13" ht="12.95" customHeight="1">
      <c r="A6" s="328" t="s">
        <v>8</v>
      </c>
      <c r="B6" s="328"/>
      <c r="C6" s="328"/>
      <c r="D6" s="341"/>
      <c r="E6" s="341"/>
      <c r="F6" s="327" t="s">
        <v>9</v>
      </c>
      <c r="G6" s="328"/>
      <c r="H6" s="329"/>
      <c r="I6" s="330"/>
      <c r="J6" s="330"/>
    </row>
    <row r="7" spans="1:13" ht="12.95" customHeight="1">
      <c r="A7" s="328" t="s">
        <v>10</v>
      </c>
      <c r="B7" s="328"/>
      <c r="C7" s="344"/>
      <c r="D7" s="341"/>
      <c r="E7" s="341"/>
      <c r="F7" s="327" t="s">
        <v>11</v>
      </c>
      <c r="G7" s="328"/>
      <c r="H7" s="328"/>
      <c r="I7" s="341"/>
      <c r="J7" s="341"/>
    </row>
    <row r="8" spans="1:13" ht="12.95" customHeight="1">
      <c r="A8" s="328" t="s">
        <v>12</v>
      </c>
      <c r="B8" s="328"/>
      <c r="C8" s="342"/>
      <c r="D8" s="343"/>
      <c r="E8" s="343"/>
      <c r="F8" s="327" t="s">
        <v>13</v>
      </c>
      <c r="G8" s="328"/>
      <c r="H8" s="328"/>
      <c r="I8" s="341"/>
      <c r="J8" s="341"/>
    </row>
    <row r="9" spans="1:13" ht="12.95" customHeight="1">
      <c r="A9" s="327" t="s">
        <v>35</v>
      </c>
      <c r="B9" s="328"/>
      <c r="C9" s="329"/>
      <c r="D9" s="330"/>
      <c r="E9" s="330"/>
      <c r="F9" s="345" t="s">
        <v>14</v>
      </c>
      <c r="G9" s="345"/>
      <c r="H9" s="329"/>
      <c r="I9" s="330"/>
      <c r="J9" s="330"/>
    </row>
    <row r="10" spans="1:13" ht="23.25" customHeight="1">
      <c r="A10" s="328" t="s">
        <v>15</v>
      </c>
      <c r="B10" s="328"/>
      <c r="C10" s="329"/>
      <c r="D10" s="330"/>
      <c r="E10" s="330"/>
      <c r="F10" s="328" t="s">
        <v>16</v>
      </c>
      <c r="G10" s="328"/>
      <c r="H10" s="34"/>
      <c r="I10" s="333" t="s">
        <v>17</v>
      </c>
      <c r="J10" s="334"/>
      <c r="K10" s="4"/>
    </row>
    <row r="11" spans="1:13" ht="12.95" customHeight="1">
      <c r="A11" s="326" t="s">
        <v>18</v>
      </c>
      <c r="B11" s="326"/>
      <c r="C11" s="326"/>
      <c r="D11" s="326"/>
      <c r="E11" s="326"/>
      <c r="F11" s="326"/>
      <c r="G11" s="326"/>
      <c r="H11" s="326"/>
      <c r="I11" s="326"/>
      <c r="J11" s="326"/>
      <c r="K11" s="5"/>
    </row>
    <row r="12" spans="1:13" ht="17.25" customHeight="1">
      <c r="A12" s="3" t="s">
        <v>19</v>
      </c>
      <c r="B12" s="71"/>
      <c r="C12" s="6" t="s">
        <v>20</v>
      </c>
      <c r="D12" s="72"/>
      <c r="E12" s="6" t="s">
        <v>21</v>
      </c>
      <c r="F12" s="73"/>
      <c r="G12" s="335" t="s">
        <v>22</v>
      </c>
      <c r="H12" s="331"/>
      <c r="I12" s="337" t="s">
        <v>23</v>
      </c>
      <c r="J12" s="338"/>
      <c r="K12" s="4"/>
      <c r="L12" s="7"/>
      <c r="M12" s="7"/>
    </row>
    <row r="13" spans="1:13" ht="17.25" customHeight="1">
      <c r="A13" s="8" t="s">
        <v>24</v>
      </c>
      <c r="B13" s="71"/>
      <c r="C13" s="8" t="s">
        <v>25</v>
      </c>
      <c r="D13" s="72"/>
      <c r="E13" s="6" t="s">
        <v>26</v>
      </c>
      <c r="F13" s="73"/>
      <c r="G13" s="336"/>
      <c r="H13" s="332"/>
      <c r="I13" s="339"/>
      <c r="J13" s="340"/>
      <c r="K13" s="5"/>
    </row>
    <row r="14" spans="1:13" ht="12.95" customHeight="1">
      <c r="A14" s="326" t="s">
        <v>27</v>
      </c>
      <c r="B14" s="326"/>
      <c r="C14" s="326"/>
      <c r="D14" s="326"/>
      <c r="E14" s="326"/>
      <c r="F14" s="326"/>
      <c r="G14" s="326"/>
      <c r="H14" s="326"/>
      <c r="I14" s="326"/>
      <c r="J14" s="326"/>
      <c r="K14" s="5"/>
    </row>
    <row r="15" spans="1:13" ht="39" customHeight="1">
      <c r="A15" s="323"/>
      <c r="B15" s="324"/>
      <c r="C15" s="324"/>
      <c r="D15" s="324"/>
      <c r="E15" s="324"/>
      <c r="F15" s="324"/>
      <c r="G15" s="324"/>
      <c r="H15" s="324"/>
      <c r="I15" s="324"/>
      <c r="J15" s="325"/>
    </row>
    <row r="16" spans="1:13" ht="12.95" customHeight="1">
      <c r="A16" s="326" t="s">
        <v>28</v>
      </c>
      <c r="B16" s="326"/>
      <c r="C16" s="326"/>
      <c r="D16" s="326"/>
      <c r="E16" s="326"/>
      <c r="F16" s="326"/>
      <c r="G16" s="326"/>
      <c r="H16" s="326"/>
      <c r="I16" s="326"/>
      <c r="J16" s="326"/>
    </row>
    <row r="17" spans="1:12" ht="12.95" customHeight="1">
      <c r="A17" s="3" t="s">
        <v>29</v>
      </c>
      <c r="B17" s="327" t="s">
        <v>30</v>
      </c>
      <c r="C17" s="328"/>
      <c r="D17" s="328"/>
      <c r="E17" s="328"/>
      <c r="F17" s="327" t="s">
        <v>31</v>
      </c>
      <c r="G17" s="328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21"/>
      <c r="C18" s="322"/>
      <c r="D18" s="322"/>
      <c r="E18" s="322"/>
      <c r="F18" s="321"/>
      <c r="G18" s="322"/>
      <c r="H18" s="40"/>
      <c r="I18" s="17"/>
      <c r="J18" s="70"/>
      <c r="L18" s="5"/>
    </row>
    <row r="19" spans="1:12" ht="12.95" customHeight="1">
      <c r="A19" s="35"/>
      <c r="B19" s="321"/>
      <c r="C19" s="322"/>
      <c r="D19" s="322"/>
      <c r="E19" s="322"/>
      <c r="F19" s="321"/>
      <c r="G19" s="322"/>
      <c r="H19" s="20"/>
      <c r="I19" s="20"/>
      <c r="J19" s="70"/>
      <c r="L19" s="5"/>
    </row>
    <row r="20" spans="1:12" ht="12.95" customHeight="1">
      <c r="A20" s="35"/>
      <c r="B20" s="321"/>
      <c r="C20" s="322"/>
      <c r="D20" s="322"/>
      <c r="E20" s="322"/>
      <c r="F20" s="321"/>
      <c r="G20" s="322"/>
      <c r="H20" s="31"/>
      <c r="I20" s="31"/>
      <c r="J20" s="70"/>
      <c r="L20" s="5"/>
    </row>
    <row r="21" spans="1:12" ht="12.95" customHeight="1">
      <c r="A21" s="35"/>
      <c r="B21" s="321"/>
      <c r="C21" s="322"/>
      <c r="D21" s="322"/>
      <c r="E21" s="322"/>
      <c r="F21" s="321"/>
      <c r="G21" s="322"/>
      <c r="H21" s="31"/>
      <c r="I21" s="9"/>
      <c r="J21" s="70"/>
      <c r="L21" s="5"/>
    </row>
    <row r="22" spans="1:12" ht="12.95" customHeight="1">
      <c r="A22" s="35"/>
      <c r="B22" s="321"/>
      <c r="C22" s="322"/>
      <c r="D22" s="322"/>
      <c r="E22" s="322"/>
      <c r="F22" s="321"/>
      <c r="G22" s="322"/>
      <c r="H22" s="19"/>
      <c r="I22" s="11"/>
      <c r="J22" s="70"/>
      <c r="L22" s="5"/>
    </row>
    <row r="23" spans="1:12" ht="12.95" customHeight="1">
      <c r="A23" s="35"/>
      <c r="B23" s="321"/>
      <c r="C23" s="322"/>
      <c r="D23" s="322"/>
      <c r="E23" s="322"/>
      <c r="F23" s="321"/>
      <c r="G23" s="322"/>
      <c r="H23" s="11"/>
      <c r="I23" s="9"/>
      <c r="J23" s="70"/>
      <c r="L23" s="5"/>
    </row>
    <row r="24" spans="1:12" ht="12.95" customHeight="1">
      <c r="A24" s="35"/>
      <c r="B24" s="321"/>
      <c r="C24" s="322"/>
      <c r="D24" s="322"/>
      <c r="E24" s="322"/>
      <c r="F24" s="321"/>
      <c r="G24" s="322"/>
      <c r="H24" s="15"/>
      <c r="I24" s="9"/>
      <c r="J24" s="70"/>
      <c r="L24" s="5"/>
    </row>
    <row r="25" spans="1:12" ht="12.95" customHeight="1">
      <c r="A25" s="35"/>
      <c r="B25" s="321"/>
      <c r="C25" s="322"/>
      <c r="D25" s="322"/>
      <c r="E25" s="322"/>
      <c r="F25" s="321"/>
      <c r="G25" s="322"/>
      <c r="H25" s="15"/>
      <c r="I25" s="9"/>
      <c r="J25" s="70"/>
      <c r="L25" s="5"/>
    </row>
    <row r="26" spans="1:12" ht="12.95" customHeight="1">
      <c r="A26" s="35"/>
      <c r="B26" s="321"/>
      <c r="C26" s="322"/>
      <c r="D26" s="322"/>
      <c r="E26" s="322"/>
      <c r="F26" s="321"/>
      <c r="G26" s="322"/>
      <c r="H26" s="15"/>
      <c r="I26" s="9"/>
      <c r="J26" s="70"/>
      <c r="L26" s="5"/>
    </row>
    <row r="27" spans="1:12" ht="12.95" customHeight="1">
      <c r="A27" s="35"/>
      <c r="B27" s="321"/>
      <c r="C27" s="322"/>
      <c r="D27" s="322"/>
      <c r="E27" s="322"/>
      <c r="F27" s="321"/>
      <c r="G27" s="322"/>
      <c r="H27" s="9"/>
      <c r="I27" s="9"/>
      <c r="J27" s="70"/>
    </row>
    <row r="28" spans="1:12" ht="12.95" customHeight="1">
      <c r="A28" s="35"/>
      <c r="B28" s="321"/>
      <c r="C28" s="322"/>
      <c r="D28" s="322"/>
      <c r="E28" s="322"/>
      <c r="F28" s="321"/>
      <c r="G28" s="322"/>
      <c r="H28" s="9"/>
      <c r="I28" s="9"/>
      <c r="J28" s="70"/>
    </row>
    <row r="29" spans="1:12" ht="12.95" customHeight="1">
      <c r="A29" s="35"/>
      <c r="B29" s="321"/>
      <c r="C29" s="322"/>
      <c r="D29" s="322"/>
      <c r="E29" s="322"/>
      <c r="F29" s="321"/>
      <c r="G29" s="322"/>
      <c r="H29" s="9"/>
      <c r="I29" s="9"/>
      <c r="J29" s="70"/>
    </row>
    <row r="30" spans="1:12" ht="12.95" customHeight="1">
      <c r="A30" s="35"/>
      <c r="B30" s="321"/>
      <c r="C30" s="322"/>
      <c r="D30" s="322"/>
      <c r="E30" s="322"/>
      <c r="F30" s="321"/>
      <c r="G30" s="322"/>
      <c r="H30" s="9"/>
      <c r="I30" s="9"/>
      <c r="J30" s="70"/>
    </row>
    <row r="31" spans="1:12" ht="12.95" customHeight="1">
      <c r="A31" s="35"/>
      <c r="B31" s="321"/>
      <c r="C31" s="322"/>
      <c r="D31" s="322"/>
      <c r="E31" s="322"/>
      <c r="F31" s="321"/>
      <c r="G31" s="322"/>
      <c r="H31" s="9"/>
      <c r="I31" s="9"/>
      <c r="J31" s="70"/>
    </row>
    <row r="32" spans="1:12" ht="12.95" customHeight="1">
      <c r="A32" s="35"/>
      <c r="B32" s="321"/>
      <c r="C32" s="322"/>
      <c r="D32" s="322"/>
      <c r="E32" s="322"/>
      <c r="F32" s="321"/>
      <c r="G32" s="322"/>
      <c r="H32" s="9"/>
      <c r="I32" s="9"/>
      <c r="J32" s="70"/>
    </row>
    <row r="33" spans="1:10" ht="12.95" customHeight="1">
      <c r="A33" s="35"/>
      <c r="B33" s="321"/>
      <c r="C33" s="322"/>
      <c r="D33" s="322"/>
      <c r="E33" s="322"/>
      <c r="F33" s="321"/>
      <c r="G33" s="322"/>
      <c r="H33" s="9"/>
      <c r="I33" s="9"/>
      <c r="J33" s="70"/>
    </row>
    <row r="34" spans="1:10" ht="12.95" customHeight="1">
      <c r="A34" s="35"/>
      <c r="B34" s="321"/>
      <c r="C34" s="322"/>
      <c r="D34" s="322"/>
      <c r="E34" s="322"/>
      <c r="F34" s="321"/>
      <c r="G34" s="322"/>
      <c r="H34" s="9"/>
      <c r="I34" s="9"/>
      <c r="J34" s="70"/>
    </row>
    <row r="35" spans="1:10" ht="12.95" customHeight="1">
      <c r="A35" s="35"/>
      <c r="B35" s="321"/>
      <c r="C35" s="322"/>
      <c r="D35" s="322"/>
      <c r="E35" s="322"/>
      <c r="F35" s="321"/>
      <c r="G35" s="322"/>
      <c r="H35" s="9"/>
      <c r="I35" s="9"/>
      <c r="J35" s="70"/>
    </row>
    <row r="36" spans="1:10" ht="12.95" customHeight="1">
      <c r="A36" s="35"/>
      <c r="B36" s="321"/>
      <c r="C36" s="322"/>
      <c r="D36" s="322"/>
      <c r="E36" s="322"/>
      <c r="F36" s="321"/>
      <c r="G36" s="322"/>
      <c r="H36" s="9"/>
      <c r="I36" s="9"/>
      <c r="J36" s="70"/>
    </row>
    <row r="37" spans="1:10" ht="12.95" customHeight="1">
      <c r="A37" s="35"/>
      <c r="B37" s="321"/>
      <c r="C37" s="322"/>
      <c r="D37" s="322"/>
      <c r="E37" s="322"/>
      <c r="F37" s="321"/>
      <c r="G37" s="322"/>
      <c r="H37" s="9"/>
      <c r="I37" s="9"/>
      <c r="J37" s="70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7" t="s">
        <v>37</v>
      </c>
      <c r="B39" s="307"/>
      <c r="C39" s="307"/>
      <c r="D39" s="307"/>
      <c r="E39" s="307"/>
      <c r="F39" s="308" t="s">
        <v>38</v>
      </c>
      <c r="G39" s="311"/>
      <c r="H39" s="312"/>
      <c r="I39" s="312"/>
      <c r="J39" s="313"/>
    </row>
    <row r="40" spans="1:10" ht="12.95" customHeight="1">
      <c r="A40" s="307" t="s">
        <v>39</v>
      </c>
      <c r="B40" s="307"/>
      <c r="C40" s="307"/>
      <c r="D40" s="307"/>
      <c r="E40" s="307"/>
      <c r="F40" s="309"/>
      <c r="G40" s="314"/>
      <c r="H40" s="315"/>
      <c r="I40" s="315"/>
      <c r="J40" s="316"/>
    </row>
    <row r="41" spans="1:10" ht="12.95" customHeight="1">
      <c r="A41" s="307" t="s">
        <v>40</v>
      </c>
      <c r="B41" s="307"/>
      <c r="C41" s="307"/>
      <c r="D41" s="307"/>
      <c r="E41" s="307"/>
      <c r="F41" s="309"/>
      <c r="G41" s="314"/>
      <c r="H41" s="315"/>
      <c r="I41" s="315"/>
      <c r="J41" s="316"/>
    </row>
    <row r="42" spans="1:10" ht="12.95" customHeight="1">
      <c r="A42" s="307" t="s">
        <v>41</v>
      </c>
      <c r="B42" s="307"/>
      <c r="C42" s="320" t="s">
        <v>42</v>
      </c>
      <c r="D42" s="320"/>
      <c r="E42" s="320"/>
      <c r="F42" s="310"/>
      <c r="G42" s="317"/>
      <c r="H42" s="318"/>
      <c r="I42" s="318"/>
      <c r="J42" s="319"/>
    </row>
    <row r="43" spans="1:10" ht="12.95" customHeight="1">
      <c r="A43" s="306" t="s">
        <v>49</v>
      </c>
      <c r="B43" s="306"/>
      <c r="C43" s="306" t="e">
        <f ca="1">Calcu!L3</f>
        <v>#N/A</v>
      </c>
      <c r="D43" s="306"/>
      <c r="E43" s="306"/>
    </row>
    <row r="46" spans="1:10" ht="12.95" customHeight="1">
      <c r="B46" s="1" t="s">
        <v>86</v>
      </c>
    </row>
    <row r="47" spans="1:10" ht="12.95" customHeight="1">
      <c r="B47" s="1" t="s">
        <v>87</v>
      </c>
    </row>
    <row r="48" spans="1:10" ht="12.95" customHeight="1">
      <c r="A48" s="1" t="e">
        <f ca="1">Calcu!P87</f>
        <v>#N/A</v>
      </c>
      <c r="B48" s="1" t="s">
        <v>88</v>
      </c>
    </row>
    <row r="49" spans="1:2" ht="12.95" customHeight="1">
      <c r="A49" s="91"/>
    </row>
    <row r="50" spans="1:2" ht="12.95" customHeight="1">
      <c r="A50" s="1" t="str">
        <f ca="1">Calcu!M3</f>
        <v>PASS</v>
      </c>
      <c r="B50" s="1" t="s">
        <v>89</v>
      </c>
    </row>
    <row r="52" spans="1:2" ht="12.95" customHeight="1">
      <c r="B52" s="151" t="s">
        <v>158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79" bestFit="1" customWidth="1"/>
    <col min="2" max="2" width="6.6640625" style="79" bestFit="1" customWidth="1"/>
    <col min="3" max="3" width="14.88671875" style="79" bestFit="1" customWidth="1"/>
    <col min="4" max="4" width="4.44140625" style="79" bestFit="1" customWidth="1"/>
    <col min="5" max="5" width="3.6640625" style="79" bestFit="1" customWidth="1"/>
    <col min="6" max="6" width="4.88671875" style="79" bestFit="1" customWidth="1"/>
    <col min="7" max="13" width="1.77734375" style="79" customWidth="1"/>
    <col min="14" max="15" width="5.33203125" style="79" bestFit="1" customWidth="1"/>
    <col min="16" max="16" width="8.33203125" style="79" bestFit="1" customWidth="1"/>
    <col min="17" max="17" width="4" style="79" bestFit="1" customWidth="1"/>
    <col min="18" max="18" width="5.33203125" style="79" bestFit="1" customWidth="1"/>
    <col min="19" max="19" width="4" style="79" bestFit="1" customWidth="1"/>
    <col min="20" max="21" width="6.5546875" style="79" bestFit="1" customWidth="1"/>
    <col min="22" max="22" width="8.44140625" style="79" bestFit="1" customWidth="1"/>
    <col min="23" max="23" width="6.6640625" style="79" bestFit="1" customWidth="1"/>
    <col min="24" max="24" width="5.33203125" style="79" bestFit="1" customWidth="1"/>
    <col min="25" max="25" width="8.33203125" style="79" bestFit="1" customWidth="1"/>
    <col min="26" max="26" width="4" style="79" bestFit="1" customWidth="1"/>
    <col min="27" max="27" width="3.6640625" style="79" bestFit="1" customWidth="1"/>
    <col min="28" max="28" width="5.33203125" style="79" bestFit="1" customWidth="1"/>
    <col min="29" max="29" width="2.109375" style="79" bestFit="1" customWidth="1"/>
    <col min="30" max="32" width="5" style="79" bestFit="1" customWidth="1"/>
    <col min="33" max="34" width="1.77734375" style="79" customWidth="1"/>
    <col min="35" max="35" width="7.5546875" style="79" bestFit="1" customWidth="1"/>
    <col min="36" max="36" width="7.21875" style="79" bestFit="1" customWidth="1"/>
    <col min="37" max="16384" width="8.88671875" style="79"/>
  </cols>
  <sheetData>
    <row r="1" spans="1:36">
      <c r="A1" s="98" t="s">
        <v>169</v>
      </c>
      <c r="B1" s="98" t="s">
        <v>60</v>
      </c>
      <c r="C1" s="98" t="s">
        <v>61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 t="s">
        <v>75</v>
      </c>
      <c r="O1" s="98" t="s">
        <v>170</v>
      </c>
      <c r="P1" s="98" t="s">
        <v>171</v>
      </c>
      <c r="Q1" s="98" t="s">
        <v>172</v>
      </c>
      <c r="R1" s="98" t="s">
        <v>173</v>
      </c>
      <c r="S1" s="98" t="s">
        <v>172</v>
      </c>
      <c r="T1" s="98" t="s">
        <v>174</v>
      </c>
      <c r="U1" s="98" t="s">
        <v>76</v>
      </c>
      <c r="V1" s="98" t="s">
        <v>175</v>
      </c>
      <c r="W1" s="98" t="s">
        <v>62</v>
      </c>
      <c r="X1" s="98" t="s">
        <v>176</v>
      </c>
      <c r="Y1" s="98" t="s">
        <v>177</v>
      </c>
      <c r="Z1" s="98" t="s">
        <v>178</v>
      </c>
      <c r="AA1" s="98" t="s">
        <v>179</v>
      </c>
      <c r="AB1" s="98" t="s">
        <v>180</v>
      </c>
      <c r="AC1" s="574" t="s">
        <v>181</v>
      </c>
      <c r="AD1" s="575"/>
      <c r="AE1" s="575"/>
      <c r="AF1" s="575"/>
      <c r="AG1" s="575"/>
      <c r="AH1" s="576"/>
      <c r="AI1" s="98" t="s">
        <v>182</v>
      </c>
      <c r="AJ1" s="98" t="s">
        <v>85</v>
      </c>
    </row>
  </sheetData>
  <mergeCells count="1">
    <mergeCell ref="AC1:AH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73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0" s="12" customFormat="1" ht="33" customHeight="1">
      <c r="A1" s="14" t="s">
        <v>70</v>
      </c>
    </row>
    <row r="2" spans="1:20" s="12" customFormat="1" ht="17.100000000000001" customHeight="1">
      <c r="A2" s="16" t="s">
        <v>43</v>
      </c>
      <c r="C2" s="16"/>
      <c r="D2" s="80" t="s">
        <v>57</v>
      </c>
      <c r="G2" s="80" t="s">
        <v>91</v>
      </c>
      <c r="K2" s="16" t="s">
        <v>44</v>
      </c>
      <c r="N2" s="16" t="s">
        <v>160</v>
      </c>
      <c r="S2" s="16" t="s">
        <v>159</v>
      </c>
    </row>
    <row r="3" spans="1:20" s="12" customFormat="1" ht="13.5">
      <c r="A3" s="13" t="s">
        <v>194</v>
      </c>
      <c r="B3" s="13" t="s">
        <v>90</v>
      </c>
      <c r="C3" s="13" t="s">
        <v>56</v>
      </c>
      <c r="D3" s="13" t="s">
        <v>52</v>
      </c>
      <c r="E3" s="13" t="s">
        <v>53</v>
      </c>
      <c r="F3" s="13" t="s">
        <v>48</v>
      </c>
      <c r="G3" s="13" t="s">
        <v>92</v>
      </c>
      <c r="H3" s="13" t="s">
        <v>93</v>
      </c>
      <c r="I3" s="13" t="s">
        <v>94</v>
      </c>
      <c r="J3" s="13" t="s">
        <v>95</v>
      </c>
      <c r="K3" s="13" t="s">
        <v>45</v>
      </c>
      <c r="L3" s="41" t="s">
        <v>46</v>
      </c>
      <c r="M3" s="41" t="s">
        <v>47</v>
      </c>
      <c r="N3" s="41" t="s">
        <v>58</v>
      </c>
      <c r="O3" s="41" t="s">
        <v>59</v>
      </c>
      <c r="P3" s="93" t="s">
        <v>71</v>
      </c>
      <c r="Q3" s="93" t="s">
        <v>72</v>
      </c>
      <c r="R3" s="41" t="s">
        <v>73</v>
      </c>
      <c r="S3" s="41" t="s">
        <v>161</v>
      </c>
      <c r="T3" s="41" t="s">
        <v>162</v>
      </c>
    </row>
    <row r="4" spans="1:20" s="12" customFormat="1" ht="17.100000000000001" customHeight="1">
      <c r="A4" s="33"/>
      <c r="B4" s="33"/>
      <c r="C4" s="92"/>
      <c r="D4" s="22"/>
      <c r="E4" s="54"/>
      <c r="F4" s="42"/>
      <c r="G4" s="126"/>
      <c r="H4" s="126"/>
      <c r="I4" s="126"/>
      <c r="J4" s="126"/>
      <c r="K4" s="22"/>
      <c r="L4" s="22"/>
      <c r="M4" s="22"/>
      <c r="N4" s="22"/>
      <c r="O4" s="22"/>
      <c r="P4" s="94"/>
      <c r="Q4" s="94"/>
      <c r="R4" s="22"/>
      <c r="S4" s="22"/>
      <c r="T4" s="22"/>
    </row>
    <row r="5" spans="1:20" s="12" customFormat="1" ht="17.100000000000001" customHeight="1">
      <c r="A5" s="33"/>
      <c r="B5" s="33"/>
      <c r="C5" s="92"/>
      <c r="D5" s="22"/>
      <c r="E5" s="54"/>
      <c r="F5" s="42"/>
      <c r="G5" s="126"/>
      <c r="H5" s="126"/>
      <c r="I5" s="126"/>
      <c r="J5" s="126"/>
      <c r="K5" s="22"/>
      <c r="L5" s="23"/>
      <c r="M5" s="23"/>
      <c r="N5" s="23"/>
      <c r="O5" s="23"/>
      <c r="P5" s="95"/>
      <c r="Q5" s="95"/>
      <c r="R5" s="23"/>
      <c r="S5" s="23"/>
      <c r="T5" s="23"/>
    </row>
    <row r="6" spans="1:20" s="12" customFormat="1" ht="17.100000000000001" customHeight="1">
      <c r="A6" s="33"/>
      <c r="B6" s="33"/>
      <c r="C6" s="92"/>
      <c r="D6" s="22"/>
      <c r="E6" s="54"/>
      <c r="F6" s="42"/>
      <c r="G6" s="126"/>
      <c r="H6" s="126"/>
      <c r="I6" s="126"/>
      <c r="J6" s="126"/>
      <c r="K6" s="22"/>
      <c r="L6" s="23"/>
      <c r="M6" s="23"/>
      <c r="N6" s="23"/>
      <c r="O6" s="23"/>
      <c r="P6" s="95"/>
      <c r="Q6" s="95"/>
      <c r="R6" s="23"/>
      <c r="S6" s="23"/>
      <c r="T6" s="23"/>
    </row>
    <row r="7" spans="1:20" s="12" customFormat="1" ht="17.100000000000001" customHeight="1">
      <c r="A7" s="33"/>
      <c r="B7" s="33"/>
      <c r="C7" s="92"/>
      <c r="D7" s="22"/>
      <c r="E7" s="54"/>
      <c r="F7" s="42"/>
      <c r="G7" s="126"/>
      <c r="H7" s="126"/>
      <c r="I7" s="126"/>
      <c r="J7" s="126"/>
      <c r="K7" s="22"/>
      <c r="L7" s="23"/>
      <c r="M7" s="23"/>
      <c r="N7" s="23"/>
      <c r="O7" s="23"/>
      <c r="P7" s="95"/>
      <c r="Q7" s="95"/>
      <c r="R7" s="23"/>
      <c r="S7" s="23"/>
      <c r="T7" s="23"/>
    </row>
    <row r="8" spans="1:20" s="12" customFormat="1" ht="17.100000000000001" customHeight="1">
      <c r="A8" s="33"/>
      <c r="B8" s="33"/>
      <c r="C8" s="92"/>
      <c r="D8" s="22"/>
      <c r="E8" s="54"/>
      <c r="F8" s="42"/>
      <c r="G8" s="126"/>
      <c r="H8" s="126"/>
      <c r="I8" s="126"/>
      <c r="J8" s="126"/>
      <c r="K8" s="22"/>
      <c r="L8" s="23"/>
      <c r="M8" s="23"/>
      <c r="N8" s="23"/>
      <c r="O8" s="23"/>
      <c r="P8" s="95"/>
      <c r="Q8" s="95"/>
      <c r="R8" s="23"/>
      <c r="S8" s="23"/>
      <c r="T8" s="23"/>
    </row>
    <row r="9" spans="1:20" s="12" customFormat="1" ht="17.100000000000001" customHeight="1">
      <c r="A9" s="33"/>
      <c r="B9" s="33"/>
      <c r="C9" s="92"/>
      <c r="D9" s="22"/>
      <c r="E9" s="54"/>
      <c r="F9" s="42"/>
      <c r="G9" s="126"/>
      <c r="H9" s="126"/>
      <c r="I9" s="126"/>
      <c r="J9" s="126"/>
      <c r="K9" s="22"/>
      <c r="L9" s="23"/>
      <c r="M9" s="23"/>
      <c r="N9" s="23"/>
      <c r="O9" s="23"/>
      <c r="P9" s="95"/>
      <c r="Q9" s="95"/>
      <c r="R9" s="23"/>
      <c r="S9" s="23"/>
      <c r="T9" s="23"/>
    </row>
    <row r="10" spans="1:20" s="12" customFormat="1" ht="17.100000000000001" customHeight="1">
      <c r="A10" s="33"/>
      <c r="B10" s="33"/>
      <c r="C10" s="92"/>
      <c r="D10" s="22"/>
      <c r="E10" s="54"/>
      <c r="F10" s="42"/>
      <c r="G10" s="126"/>
      <c r="H10" s="126"/>
      <c r="I10" s="126"/>
      <c r="J10" s="126"/>
      <c r="K10" s="22"/>
      <c r="L10" s="23"/>
      <c r="M10" s="23"/>
      <c r="N10" s="23"/>
      <c r="O10" s="23"/>
      <c r="P10" s="95"/>
      <c r="Q10" s="95"/>
      <c r="R10" s="23"/>
      <c r="S10" s="23"/>
      <c r="T10" s="23"/>
    </row>
    <row r="11" spans="1:20" s="12" customFormat="1" ht="17.100000000000001" customHeight="1">
      <c r="A11" s="33"/>
      <c r="B11" s="33"/>
      <c r="C11" s="92"/>
      <c r="D11" s="22"/>
      <c r="E11" s="54"/>
      <c r="F11" s="42"/>
      <c r="G11" s="126"/>
      <c r="H11" s="126"/>
      <c r="I11" s="126"/>
      <c r="J11" s="126"/>
      <c r="K11" s="22"/>
      <c r="L11" s="23"/>
      <c r="M11" s="23"/>
      <c r="N11" s="23"/>
      <c r="O11" s="23"/>
      <c r="P11" s="95"/>
      <c r="Q11" s="95"/>
      <c r="R11" s="23"/>
      <c r="S11" s="23"/>
      <c r="T11" s="23"/>
    </row>
    <row r="12" spans="1:20" s="12" customFormat="1" ht="17.100000000000001" customHeight="1">
      <c r="A12" s="33"/>
      <c r="B12" s="33"/>
      <c r="C12" s="92"/>
      <c r="D12" s="22"/>
      <c r="E12" s="54"/>
      <c r="F12" s="42"/>
      <c r="G12" s="126"/>
      <c r="H12" s="126"/>
      <c r="I12" s="126"/>
      <c r="J12" s="126"/>
      <c r="K12" s="22"/>
      <c r="L12" s="23"/>
      <c r="M12" s="23"/>
      <c r="N12" s="23"/>
      <c r="O12" s="23"/>
      <c r="P12" s="95"/>
      <c r="Q12" s="95"/>
      <c r="R12" s="23"/>
      <c r="S12" s="23"/>
      <c r="T12" s="23"/>
    </row>
    <row r="13" spans="1:20" s="12" customFormat="1" ht="17.100000000000001" customHeight="1">
      <c r="A13" s="33"/>
      <c r="B13" s="33"/>
      <c r="C13" s="92"/>
      <c r="D13" s="22"/>
      <c r="E13" s="54"/>
      <c r="F13" s="42"/>
      <c r="G13" s="126"/>
      <c r="H13" s="126"/>
      <c r="I13" s="126"/>
      <c r="J13" s="126"/>
      <c r="K13" s="22"/>
      <c r="L13" s="23"/>
      <c r="M13" s="23"/>
      <c r="N13" s="23"/>
      <c r="O13" s="23"/>
      <c r="P13" s="95"/>
      <c r="Q13" s="95"/>
      <c r="R13" s="23"/>
      <c r="S13" s="23"/>
      <c r="T13" s="23"/>
    </row>
    <row r="14" spans="1:20" s="12" customFormat="1" ht="17.100000000000001" customHeight="1">
      <c r="A14" s="33"/>
      <c r="B14" s="33"/>
      <c r="C14" s="92"/>
      <c r="D14" s="22"/>
      <c r="E14" s="54"/>
      <c r="F14" s="42"/>
      <c r="G14" s="126"/>
      <c r="H14" s="126"/>
      <c r="I14" s="126"/>
      <c r="J14" s="126"/>
      <c r="K14" s="22"/>
      <c r="L14" s="23"/>
      <c r="M14" s="23"/>
      <c r="N14" s="23"/>
      <c r="O14" s="23"/>
      <c r="P14" s="95"/>
      <c r="Q14" s="95"/>
      <c r="R14" s="23"/>
      <c r="S14" s="23"/>
      <c r="T14" s="23"/>
    </row>
    <row r="15" spans="1:20" s="12" customFormat="1" ht="17.100000000000001" customHeight="1">
      <c r="A15" s="33"/>
      <c r="B15" s="33"/>
      <c r="C15" s="92"/>
      <c r="D15" s="22"/>
      <c r="E15" s="54"/>
      <c r="F15" s="42"/>
      <c r="G15" s="126"/>
      <c r="H15" s="126"/>
      <c r="I15" s="126"/>
      <c r="J15" s="126"/>
      <c r="K15" s="23"/>
      <c r="L15" s="23"/>
      <c r="M15" s="23"/>
      <c r="N15" s="23"/>
      <c r="O15" s="23"/>
      <c r="P15" s="95"/>
      <c r="Q15" s="95"/>
      <c r="R15" s="23"/>
      <c r="S15" s="23"/>
      <c r="T15" s="23"/>
    </row>
    <row r="16" spans="1:20" s="12" customFormat="1" ht="17.100000000000001" customHeight="1">
      <c r="A16" s="33"/>
      <c r="B16" s="33"/>
      <c r="C16" s="92"/>
      <c r="D16" s="22"/>
      <c r="E16" s="54"/>
      <c r="F16" s="42"/>
      <c r="G16" s="126"/>
      <c r="H16" s="126"/>
      <c r="I16" s="126"/>
      <c r="J16" s="126"/>
      <c r="K16" s="23"/>
      <c r="L16" s="23"/>
      <c r="M16" s="23"/>
      <c r="N16" s="23"/>
      <c r="O16" s="23"/>
      <c r="P16" s="95"/>
      <c r="Q16" s="95"/>
      <c r="R16" s="23"/>
      <c r="S16" s="23"/>
      <c r="T16" s="23"/>
    </row>
    <row r="17" spans="1:27" s="12" customFormat="1" ht="17.100000000000001" customHeight="1">
      <c r="A17" s="33"/>
      <c r="B17" s="33"/>
      <c r="C17" s="92"/>
      <c r="D17" s="22"/>
      <c r="E17" s="54"/>
      <c r="F17" s="42"/>
      <c r="G17" s="126"/>
      <c r="H17" s="126"/>
      <c r="I17" s="126"/>
      <c r="J17" s="126"/>
      <c r="K17" s="23"/>
      <c r="L17" s="23"/>
      <c r="M17" s="23"/>
      <c r="N17" s="23"/>
      <c r="O17" s="23"/>
      <c r="P17" s="95"/>
      <c r="Q17" s="95"/>
      <c r="R17" s="23"/>
      <c r="S17" s="23"/>
      <c r="T17" s="23"/>
    </row>
    <row r="18" spans="1:27" s="12" customFormat="1" ht="17.100000000000001" customHeight="1">
      <c r="A18" s="33"/>
      <c r="B18" s="33"/>
      <c r="C18" s="92"/>
      <c r="D18" s="22"/>
      <c r="E18" s="54"/>
      <c r="F18" s="42"/>
      <c r="G18" s="126"/>
      <c r="H18" s="126"/>
      <c r="I18" s="126"/>
      <c r="J18" s="126"/>
      <c r="K18" s="23"/>
      <c r="L18" s="23"/>
      <c r="M18" s="23"/>
      <c r="N18" s="23"/>
      <c r="O18" s="23"/>
      <c r="P18" s="95"/>
      <c r="Q18" s="95"/>
      <c r="R18" s="23"/>
      <c r="S18" s="23"/>
      <c r="T18" s="23"/>
    </row>
    <row r="19" spans="1:27" s="12" customFormat="1" ht="17.100000000000001" customHeight="1">
      <c r="A19" s="92"/>
      <c r="B19" s="92"/>
      <c r="C19" s="92"/>
      <c r="D19" s="94"/>
      <c r="E19" s="94"/>
      <c r="F19" s="94"/>
      <c r="G19" s="126"/>
      <c r="H19" s="126"/>
      <c r="I19" s="126"/>
      <c r="J19" s="126"/>
      <c r="K19" s="95"/>
      <c r="L19" s="95"/>
      <c r="M19" s="95"/>
      <c r="N19" s="95"/>
      <c r="O19" s="95"/>
      <c r="P19" s="95"/>
      <c r="Q19" s="95"/>
      <c r="R19" s="95"/>
      <c r="S19" s="95"/>
      <c r="T19" s="95"/>
    </row>
    <row r="20" spans="1:27" s="12" customFormat="1" ht="17.100000000000001" customHeight="1">
      <c r="A20" s="92"/>
      <c r="B20" s="92"/>
      <c r="C20" s="92"/>
      <c r="D20" s="94"/>
      <c r="E20" s="94"/>
      <c r="F20" s="94"/>
      <c r="G20" s="126"/>
      <c r="H20" s="126"/>
      <c r="I20" s="126"/>
      <c r="J20" s="126"/>
      <c r="K20" s="95"/>
      <c r="L20" s="95"/>
      <c r="M20" s="95"/>
      <c r="N20" s="95"/>
      <c r="O20" s="95"/>
      <c r="P20" s="95"/>
      <c r="Q20" s="95"/>
      <c r="R20" s="95"/>
      <c r="S20" s="95"/>
      <c r="T20" s="95"/>
    </row>
    <row r="21" spans="1:27" s="12" customFormat="1" ht="17.100000000000001" customHeight="1">
      <c r="A21" s="92"/>
      <c r="B21" s="92"/>
      <c r="C21" s="92"/>
      <c r="D21" s="94"/>
      <c r="E21" s="94"/>
      <c r="F21" s="94"/>
      <c r="G21" s="126"/>
      <c r="H21" s="126"/>
      <c r="I21" s="126"/>
      <c r="J21" s="126"/>
      <c r="K21" s="95"/>
      <c r="L21" s="95"/>
      <c r="M21" s="95"/>
      <c r="N21" s="95"/>
      <c r="O21" s="95"/>
      <c r="P21" s="95"/>
      <c r="Q21" s="95"/>
      <c r="R21" s="95"/>
      <c r="S21" s="95"/>
      <c r="T21" s="95"/>
    </row>
    <row r="22" spans="1:27" s="12" customFormat="1" ht="17.100000000000001" customHeight="1">
      <c r="A22" s="92"/>
      <c r="B22" s="92"/>
      <c r="C22" s="92"/>
      <c r="D22" s="94"/>
      <c r="E22" s="94"/>
      <c r="F22" s="94"/>
      <c r="G22" s="126"/>
      <c r="H22" s="126"/>
      <c r="I22" s="126"/>
      <c r="J22" s="126"/>
      <c r="K22" s="95"/>
      <c r="L22" s="95"/>
      <c r="M22" s="95"/>
      <c r="N22" s="95"/>
      <c r="O22" s="95"/>
      <c r="P22" s="95"/>
      <c r="Q22" s="95"/>
      <c r="R22" s="95"/>
      <c r="S22" s="95"/>
      <c r="T22" s="95"/>
    </row>
    <row r="23" spans="1:27" s="12" customFormat="1" ht="17.100000000000001" customHeight="1">
      <c r="A23" s="92"/>
      <c r="B23" s="92"/>
      <c r="C23" s="92"/>
      <c r="D23" s="94"/>
      <c r="E23" s="94"/>
      <c r="F23" s="94"/>
      <c r="G23" s="126"/>
      <c r="H23" s="126"/>
      <c r="I23" s="126"/>
      <c r="J23" s="126"/>
      <c r="K23" s="95"/>
      <c r="L23" s="95"/>
      <c r="M23" s="95"/>
      <c r="N23" s="95"/>
      <c r="O23" s="95"/>
      <c r="P23" s="95"/>
      <c r="Q23" s="95"/>
      <c r="R23" s="95"/>
      <c r="S23" s="95"/>
      <c r="T23" s="95"/>
    </row>
    <row r="24" spans="1:27" s="12" customFormat="1" ht="17.100000000000001" customHeight="1"/>
    <row r="25" spans="1:27" s="12" customFormat="1" ht="17.100000000000001" customHeight="1">
      <c r="A25" s="16" t="s">
        <v>74</v>
      </c>
    </row>
    <row r="26" spans="1:27" s="18" customFormat="1" ht="18" customHeight="1">
      <c r="A26" s="96" t="s">
        <v>132</v>
      </c>
      <c r="B26" s="96" t="s">
        <v>90</v>
      </c>
      <c r="C26" s="96" t="s">
        <v>97</v>
      </c>
      <c r="D26" s="96" t="s">
        <v>68</v>
      </c>
      <c r="E26" s="96" t="s">
        <v>77</v>
      </c>
      <c r="F26" s="96" t="s">
        <v>104</v>
      </c>
      <c r="G26" s="96" t="s">
        <v>127</v>
      </c>
      <c r="H26" s="96" t="s">
        <v>98</v>
      </c>
      <c r="I26" s="96" t="s">
        <v>99</v>
      </c>
      <c r="J26" s="96" t="s">
        <v>100</v>
      </c>
      <c r="K26" s="96" t="s">
        <v>163</v>
      </c>
      <c r="L26" s="96" t="s">
        <v>128</v>
      </c>
      <c r="M26" s="96" t="s">
        <v>101</v>
      </c>
      <c r="N26" s="96" t="s">
        <v>102</v>
      </c>
      <c r="O26" s="96" t="s">
        <v>103</v>
      </c>
      <c r="P26" s="96" t="s">
        <v>164</v>
      </c>
      <c r="Q26" s="96" t="s">
        <v>165</v>
      </c>
      <c r="R26" s="96" t="s">
        <v>166</v>
      </c>
      <c r="S26" s="96" t="s">
        <v>167</v>
      </c>
      <c r="T26" s="96" t="s">
        <v>168</v>
      </c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81"/>
      <c r="B27" s="81"/>
      <c r="C27" s="81"/>
      <c r="D27" s="81"/>
      <c r="E27" s="81"/>
      <c r="F27" s="81"/>
      <c r="G27" s="81"/>
      <c r="H27" s="81"/>
      <c r="I27" s="97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81"/>
      <c r="B28" s="81"/>
      <c r="C28" s="81"/>
      <c r="D28" s="81"/>
      <c r="E28" s="81"/>
      <c r="F28" s="81"/>
      <c r="G28" s="81"/>
      <c r="H28" s="81"/>
      <c r="I28" s="97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81"/>
      <c r="B29" s="81"/>
      <c r="C29" s="81"/>
      <c r="D29" s="81"/>
      <c r="E29" s="81"/>
      <c r="F29" s="81"/>
      <c r="G29" s="81"/>
      <c r="H29" s="81"/>
      <c r="I29" s="97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81"/>
      <c r="B30" s="81"/>
      <c r="C30" s="81"/>
      <c r="D30" s="81"/>
      <c r="E30" s="81"/>
      <c r="F30" s="81"/>
      <c r="G30" s="81"/>
      <c r="H30" s="81"/>
      <c r="I30" s="97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81"/>
      <c r="B31" s="81"/>
      <c r="C31" s="81"/>
      <c r="D31" s="81"/>
      <c r="E31" s="81"/>
      <c r="F31" s="81"/>
      <c r="G31" s="81"/>
      <c r="H31" s="81"/>
      <c r="I31" s="97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81"/>
      <c r="B32" s="81"/>
      <c r="C32" s="81"/>
      <c r="D32" s="81"/>
      <c r="E32" s="81"/>
      <c r="F32" s="81"/>
      <c r="G32" s="81"/>
      <c r="H32" s="81"/>
      <c r="I32" s="97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12"/>
      <c r="V32" s="12"/>
      <c r="W32" s="12"/>
      <c r="X32" s="12"/>
      <c r="Y32" s="12"/>
      <c r="Z32" s="12"/>
      <c r="AA32" s="12"/>
    </row>
    <row r="33" spans="1:37" ht="17.100000000000001" customHeight="1">
      <c r="A33" s="81"/>
      <c r="B33" s="81"/>
      <c r="C33" s="81"/>
      <c r="D33" s="81"/>
      <c r="E33" s="81"/>
      <c r="F33" s="81"/>
      <c r="G33" s="81"/>
      <c r="H33" s="81"/>
      <c r="I33" s="97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12"/>
      <c r="V33" s="12"/>
      <c r="W33" s="12"/>
      <c r="X33" s="12"/>
      <c r="Y33" s="12"/>
      <c r="Z33" s="12"/>
      <c r="AA33" s="12"/>
    </row>
    <row r="34" spans="1:37" ht="17.100000000000001" customHeight="1">
      <c r="A34" s="81"/>
      <c r="B34" s="81"/>
      <c r="C34" s="81"/>
      <c r="D34" s="81"/>
      <c r="E34" s="81"/>
      <c r="F34" s="81"/>
      <c r="G34" s="81"/>
      <c r="H34" s="81"/>
      <c r="I34" s="97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12"/>
      <c r="V34" s="12"/>
      <c r="W34" s="12"/>
      <c r="X34" s="12"/>
      <c r="Y34" s="12"/>
      <c r="Z34" s="12"/>
      <c r="AA34" s="12"/>
    </row>
    <row r="35" spans="1:37" ht="17.100000000000001" customHeight="1">
      <c r="A35" s="81"/>
      <c r="B35" s="81"/>
      <c r="C35" s="81"/>
      <c r="D35" s="81"/>
      <c r="E35" s="81"/>
      <c r="F35" s="81"/>
      <c r="G35" s="81"/>
      <c r="H35" s="81"/>
      <c r="I35" s="97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12"/>
      <c r="V35" s="12"/>
      <c r="W35" s="12"/>
      <c r="X35" s="12"/>
      <c r="Y35" s="12"/>
      <c r="Z35" s="12"/>
      <c r="AA35" s="12"/>
    </row>
    <row r="36" spans="1:37" ht="17.100000000000001" customHeight="1">
      <c r="A36" s="81"/>
      <c r="B36" s="81"/>
      <c r="C36" s="81"/>
      <c r="D36" s="81"/>
      <c r="E36" s="81"/>
      <c r="F36" s="81"/>
      <c r="G36" s="81"/>
      <c r="H36" s="81"/>
      <c r="I36" s="97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12"/>
      <c r="V36" s="12"/>
      <c r="W36" s="12"/>
      <c r="X36" s="12"/>
      <c r="Y36" s="12"/>
      <c r="Z36" s="12"/>
      <c r="AA36" s="12"/>
    </row>
    <row r="37" spans="1:37" ht="17.100000000000001" customHeight="1">
      <c r="A37" s="81"/>
      <c r="B37" s="81"/>
      <c r="C37" s="81"/>
      <c r="D37" s="81"/>
      <c r="E37" s="81"/>
      <c r="F37" s="81"/>
      <c r="G37" s="81"/>
      <c r="H37" s="81"/>
      <c r="I37" s="97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12"/>
      <c r="V37" s="12"/>
      <c r="W37" s="12"/>
      <c r="X37" s="12"/>
      <c r="Y37" s="12"/>
      <c r="Z37" s="12"/>
      <c r="AA37" s="12"/>
    </row>
    <row r="38" spans="1:37" ht="17.100000000000001" customHeight="1">
      <c r="A38" s="81"/>
      <c r="B38" s="81"/>
      <c r="C38" s="81"/>
      <c r="D38" s="81"/>
      <c r="E38" s="81"/>
      <c r="F38" s="81"/>
      <c r="G38" s="81"/>
      <c r="H38" s="81"/>
      <c r="I38" s="97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12"/>
      <c r="V38" s="12"/>
      <c r="W38" s="12"/>
      <c r="X38" s="12"/>
      <c r="Y38" s="12"/>
      <c r="Z38" s="12"/>
      <c r="AA38" s="12"/>
    </row>
    <row r="39" spans="1:37" ht="17.100000000000001" customHeight="1">
      <c r="A39" s="81"/>
      <c r="B39" s="81"/>
      <c r="C39" s="81"/>
      <c r="D39" s="81"/>
      <c r="E39" s="81"/>
      <c r="F39" s="81"/>
      <c r="G39" s="81"/>
      <c r="H39" s="81"/>
      <c r="I39" s="97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12"/>
      <c r="V39" s="12"/>
      <c r="W39" s="12"/>
      <c r="X39" s="12"/>
      <c r="Y39" s="12"/>
      <c r="Z39" s="12"/>
      <c r="AA39" s="12"/>
    </row>
    <row r="40" spans="1:37" ht="17.100000000000001" customHeight="1">
      <c r="A40" s="81"/>
      <c r="B40" s="81"/>
      <c r="C40" s="81"/>
      <c r="D40" s="81"/>
      <c r="E40" s="81"/>
      <c r="F40" s="81"/>
      <c r="G40" s="81"/>
      <c r="H40" s="81"/>
      <c r="I40" s="97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12"/>
      <c r="V40" s="12"/>
      <c r="W40" s="12"/>
      <c r="X40" s="12"/>
      <c r="Y40" s="12"/>
      <c r="Z40" s="12"/>
      <c r="AA40" s="12"/>
    </row>
    <row r="41" spans="1:37" ht="17.100000000000001" customHeight="1">
      <c r="A41" s="81"/>
      <c r="B41" s="81"/>
      <c r="C41" s="81"/>
      <c r="D41" s="81"/>
      <c r="E41" s="81"/>
      <c r="F41" s="81"/>
      <c r="G41" s="81"/>
      <c r="H41" s="81"/>
      <c r="I41" s="97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12"/>
      <c r="V41" s="12"/>
      <c r="W41" s="12"/>
      <c r="X41" s="12"/>
      <c r="Y41" s="12"/>
      <c r="Z41" s="12"/>
      <c r="AA41" s="12"/>
    </row>
    <row r="42" spans="1:37" ht="17.100000000000001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12"/>
      <c r="V42" s="12"/>
      <c r="W42" s="12"/>
      <c r="X42" s="12"/>
      <c r="Y42" s="12"/>
      <c r="Z42" s="12"/>
      <c r="AA42" s="12"/>
    </row>
    <row r="43" spans="1:37" ht="17.100000000000001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12"/>
      <c r="V43" s="12"/>
      <c r="W43" s="12"/>
      <c r="X43" s="12"/>
      <c r="Y43" s="12"/>
      <c r="Z43" s="12"/>
      <c r="AA43" s="12"/>
    </row>
    <row r="44" spans="1:37" ht="17.100000000000001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12"/>
      <c r="V44" s="12"/>
      <c r="W44" s="12"/>
      <c r="X44" s="12"/>
      <c r="Y44" s="12"/>
      <c r="Z44" s="12"/>
      <c r="AA44" s="12"/>
    </row>
    <row r="45" spans="1:37" ht="17.100000000000001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12"/>
      <c r="V45" s="12"/>
      <c r="W45" s="12"/>
      <c r="X45" s="12"/>
      <c r="Y45" s="12"/>
      <c r="Z45" s="12"/>
      <c r="AA45" s="12"/>
    </row>
    <row r="46" spans="1:37" ht="17.100000000000001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12"/>
      <c r="V46" s="12"/>
      <c r="W46" s="12"/>
      <c r="X46" s="12"/>
      <c r="Y46" s="12"/>
      <c r="Z46" s="12"/>
      <c r="AA46" s="12"/>
    </row>
    <row r="47" spans="1:37" ht="17.100000000000001" customHeight="1">
      <c r="AF47" s="12"/>
      <c r="AG47" s="12"/>
      <c r="AH47" s="12"/>
      <c r="AI47" s="12"/>
      <c r="AJ47" s="12"/>
      <c r="AK47" s="12"/>
    </row>
    <row r="48" spans="1:37" ht="17.100000000000001" customHeight="1">
      <c r="A48" s="16" t="s">
        <v>126</v>
      </c>
    </row>
    <row r="49" spans="1:36" ht="17.100000000000001" customHeight="1">
      <c r="A49" s="96" t="s">
        <v>106</v>
      </c>
      <c r="B49" s="96" t="s">
        <v>107</v>
      </c>
      <c r="C49" s="96" t="s">
        <v>108</v>
      </c>
      <c r="D49" s="96" t="s">
        <v>884</v>
      </c>
      <c r="E49" s="96" t="s">
        <v>885</v>
      </c>
      <c r="F49" s="96" t="s">
        <v>886</v>
      </c>
      <c r="G49" s="96"/>
      <c r="H49" s="96"/>
      <c r="I49" s="96"/>
      <c r="J49" s="96"/>
      <c r="K49" s="96"/>
      <c r="L49" s="96"/>
      <c r="M49" s="96"/>
      <c r="N49" s="96" t="s">
        <v>111</v>
      </c>
      <c r="O49" s="96" t="s">
        <v>112</v>
      </c>
      <c r="P49" s="96" t="s">
        <v>113</v>
      </c>
      <c r="Q49" s="96" t="s">
        <v>114</v>
      </c>
      <c r="R49" s="96" t="s">
        <v>115</v>
      </c>
      <c r="S49" s="96" t="s">
        <v>114</v>
      </c>
      <c r="T49" s="96" t="s">
        <v>116</v>
      </c>
      <c r="U49" s="96"/>
      <c r="V49" s="96" t="s">
        <v>117</v>
      </c>
      <c r="W49" s="96" t="s">
        <v>118</v>
      </c>
      <c r="X49" s="96"/>
      <c r="Y49" s="96" t="s">
        <v>130</v>
      </c>
      <c r="Z49" s="96"/>
      <c r="AA49" s="96"/>
      <c r="AB49" s="96"/>
      <c r="AC49" s="96"/>
      <c r="AD49" s="96"/>
      <c r="AE49" s="96"/>
      <c r="AF49" s="96"/>
      <c r="AG49" s="96"/>
      <c r="AH49" s="96"/>
      <c r="AI49" s="96" t="s">
        <v>119</v>
      </c>
      <c r="AJ49" s="96" t="s">
        <v>85</v>
      </c>
    </row>
    <row r="50" spans="1:36" ht="17.100000000000001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1:36" ht="17.100000000000001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1:36" ht="17.100000000000001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1:36" ht="17.100000000000001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ht="17.100000000000001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ht="17.100000000000001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ht="17.100000000000001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ht="17.100000000000001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ht="17.100000000000001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ht="17.100000000000001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ht="17.100000000000001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ht="17.100000000000001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ht="17.100000000000001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ht="17.100000000000001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ht="17.10000000000000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1:36" ht="17.100000000000001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1:36" ht="17.100000000000001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</row>
    <row r="67" spans="1:36" ht="17.100000000000001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</row>
    <row r="68" spans="1:36" ht="17.100000000000001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1:36" ht="17.100000000000001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1" spans="1:36" ht="17.100000000000001" customHeight="1">
      <c r="A71" s="16" t="s">
        <v>105</v>
      </c>
    </row>
    <row r="72" spans="1:36" ht="17.100000000000001" customHeight="1">
      <c r="A72" s="96" t="s">
        <v>106</v>
      </c>
      <c r="B72" s="96" t="s">
        <v>107</v>
      </c>
      <c r="C72" s="96" t="s">
        <v>108</v>
      </c>
      <c r="D72" s="96" t="s">
        <v>109</v>
      </c>
      <c r="E72" s="96" t="s">
        <v>110</v>
      </c>
      <c r="F72" s="96"/>
      <c r="G72" s="96"/>
      <c r="H72" s="96"/>
      <c r="I72" s="96"/>
      <c r="J72" s="96"/>
      <c r="K72" s="96"/>
      <c r="L72" s="96"/>
      <c r="M72" s="96"/>
      <c r="N72" s="96" t="s">
        <v>111</v>
      </c>
      <c r="O72" s="96" t="s">
        <v>112</v>
      </c>
      <c r="P72" s="96" t="s">
        <v>113</v>
      </c>
      <c r="Q72" s="96" t="s">
        <v>114</v>
      </c>
      <c r="R72" s="96" t="s">
        <v>115</v>
      </c>
      <c r="S72" s="96" t="s">
        <v>114</v>
      </c>
      <c r="T72" s="96" t="s">
        <v>116</v>
      </c>
      <c r="U72" s="96"/>
      <c r="V72" s="96" t="s">
        <v>117</v>
      </c>
      <c r="W72" s="96" t="s">
        <v>118</v>
      </c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 t="s">
        <v>119</v>
      </c>
      <c r="AJ72" s="96" t="s">
        <v>85</v>
      </c>
    </row>
    <row r="73" spans="1:36" ht="17.100000000000001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1"/>
  <sheetViews>
    <sheetView showGridLines="0" showWhiteSpace="0" zoomScaleNormal="100" zoomScaleSheetLayoutView="100" workbookViewId="0">
      <selection sqref="A1:J2"/>
    </sheetView>
  </sheetViews>
  <sheetFormatPr defaultColWidth="10.77734375" defaultRowHeight="15" customHeight="1"/>
  <cols>
    <col min="1" max="2" width="3.77734375" style="37" customWidth="1"/>
    <col min="3" max="3" width="12.77734375" style="37" customWidth="1"/>
    <col min="4" max="4" width="3.77734375" style="37" customWidth="1"/>
    <col min="5" max="5" width="9.77734375" style="37" customWidth="1"/>
    <col min="6" max="8" width="12.77734375" style="37" customWidth="1"/>
    <col min="9" max="10" width="3.77734375" style="37" customWidth="1"/>
    <col min="11" max="16384" width="10.77734375" style="37"/>
  </cols>
  <sheetData>
    <row r="1" spans="1:10" s="47" customFormat="1" ht="33" customHeight="1">
      <c r="A1" s="355" t="s">
        <v>34</v>
      </c>
      <c r="B1" s="355"/>
      <c r="C1" s="355"/>
      <c r="D1" s="355"/>
      <c r="E1" s="355"/>
      <c r="F1" s="355"/>
      <c r="G1" s="355"/>
      <c r="H1" s="355"/>
      <c r="I1" s="355"/>
      <c r="J1" s="355"/>
    </row>
    <row r="2" spans="1:10" s="47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</row>
    <row r="3" spans="1:10" s="47" customFormat="1" ht="12.75" customHeight="1">
      <c r="A3" s="48" t="s">
        <v>66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s="49" customFormat="1" ht="13.5" customHeight="1">
      <c r="A4" s="74" t="str">
        <f>" 교   정   번   호(Calibration No) : "&amp;기본정보!H3</f>
        <v xml:space="preserve"> 교   정   번   호(Calibration No) : </v>
      </c>
      <c r="B4" s="128"/>
      <c r="C4" s="75"/>
      <c r="D4" s="75"/>
      <c r="E4" s="128"/>
      <c r="F4" s="75"/>
      <c r="G4" s="128"/>
      <c r="H4" s="128"/>
      <c r="I4" s="127"/>
      <c r="J4" s="82"/>
    </row>
    <row r="5" spans="1:10" s="36" customFormat="1" ht="15" customHeight="1"/>
    <row r="6" spans="1:10" ht="15" customHeight="1">
      <c r="C6" s="53" t="str">
        <f>"○ 품명 : "&amp;기본정보!C$5</f>
        <v xml:space="preserve">○ 품명 : </v>
      </c>
    </row>
    <row r="7" spans="1:10" ht="15" customHeight="1">
      <c r="C7" s="53" t="str">
        <f>"○ 제작회사 : "&amp;기본정보!C$6</f>
        <v xml:space="preserve">○ 제작회사 : </v>
      </c>
    </row>
    <row r="8" spans="1:10" ht="15" customHeight="1">
      <c r="C8" s="53" t="str">
        <f>"○ 형식 : "&amp;기본정보!C$7</f>
        <v xml:space="preserve">○ 형식 : </v>
      </c>
    </row>
    <row r="9" spans="1:10" ht="15" customHeight="1">
      <c r="C9" s="53" t="str">
        <f>"○ 기기번호 : "&amp;기본정보!C$8</f>
        <v xml:space="preserve">○ 기기번호 : </v>
      </c>
    </row>
    <row r="11" spans="1:10" ht="15" customHeight="1">
      <c r="C11" s="38" t="s">
        <v>876</v>
      </c>
    </row>
    <row r="12" spans="1:10" ht="15" customHeight="1">
      <c r="C12" s="353" t="s">
        <v>877</v>
      </c>
      <c r="D12" s="365"/>
      <c r="E12" s="354"/>
      <c r="F12" s="370" t="s">
        <v>878</v>
      </c>
      <c r="G12" s="354"/>
      <c r="H12" s="360" t="s">
        <v>438</v>
      </c>
    </row>
    <row r="13" spans="1:10" ht="15" customHeight="1">
      <c r="A13" s="44"/>
      <c r="C13" s="356" t="s">
        <v>426</v>
      </c>
      <c r="D13" s="366" t="s">
        <v>775</v>
      </c>
      <c r="E13" s="367"/>
      <c r="F13" s="363" t="s">
        <v>426</v>
      </c>
      <c r="G13" s="358" t="s">
        <v>775</v>
      </c>
      <c r="H13" s="361"/>
      <c r="I13" s="51"/>
    </row>
    <row r="14" spans="1:10" ht="15" customHeight="1">
      <c r="A14" s="44"/>
      <c r="C14" s="357"/>
      <c r="D14" s="368"/>
      <c r="E14" s="369"/>
      <c r="F14" s="364"/>
      <c r="G14" s="359"/>
      <c r="H14" s="362"/>
      <c r="I14" s="51"/>
    </row>
    <row r="15" spans="1:10" ht="15" customHeight="1">
      <c r="A15" s="44" t="e">
        <f ca="1">IF(Calcu!AB35=TRUE,"","삭제")</f>
        <v>#N/A</v>
      </c>
      <c r="C15" s="302" t="e">
        <f ca="1">Calcu!AE35</f>
        <v>#N/A</v>
      </c>
      <c r="D15" s="353" t="e">
        <f ca="1">Calcu!AH35</f>
        <v>#N/A</v>
      </c>
      <c r="E15" s="354"/>
      <c r="F15" s="304" t="e">
        <f ca="1">Calcu!AE60</f>
        <v>#N/A</v>
      </c>
      <c r="G15" s="305" t="e">
        <f ca="1">Calcu!AH60</f>
        <v>#N/A</v>
      </c>
      <c r="H15" s="303" t="e">
        <f ca="1">Calcu!AI35</f>
        <v>#N/A</v>
      </c>
      <c r="I15" s="51"/>
    </row>
    <row r="16" spans="1:10" ht="15" customHeight="1">
      <c r="A16" s="44" t="e">
        <f ca="1">IF(Calcu!AB36=TRUE,"","삭제")</f>
        <v>#N/A</v>
      </c>
      <c r="C16" s="302" t="e">
        <f ca="1">Calcu!AE36</f>
        <v>#N/A</v>
      </c>
      <c r="D16" s="353" t="e">
        <f ca="1">Calcu!AH36</f>
        <v>#N/A</v>
      </c>
      <c r="E16" s="354"/>
      <c r="F16" s="304" t="e">
        <f ca="1">Calcu!AE61</f>
        <v>#N/A</v>
      </c>
      <c r="G16" s="305" t="e">
        <f ca="1">Calcu!AH61</f>
        <v>#N/A</v>
      </c>
      <c r="H16" s="303" t="e">
        <f ca="1">Calcu!AI36</f>
        <v>#N/A</v>
      </c>
      <c r="I16" s="51"/>
    </row>
    <row r="17" spans="1:9" ht="15" customHeight="1">
      <c r="A17" s="44" t="e">
        <f ca="1">IF(Calcu!AB37=TRUE,"","삭제")</f>
        <v>#N/A</v>
      </c>
      <c r="C17" s="302" t="e">
        <f ca="1">Calcu!AE37</f>
        <v>#N/A</v>
      </c>
      <c r="D17" s="353" t="e">
        <f ca="1">Calcu!AH37</f>
        <v>#N/A</v>
      </c>
      <c r="E17" s="354"/>
      <c r="F17" s="304" t="e">
        <f ca="1">Calcu!AE62</f>
        <v>#N/A</v>
      </c>
      <c r="G17" s="305" t="e">
        <f ca="1">Calcu!AH62</f>
        <v>#N/A</v>
      </c>
      <c r="H17" s="303" t="e">
        <f ca="1">Calcu!AI37</f>
        <v>#N/A</v>
      </c>
      <c r="I17" s="51"/>
    </row>
    <row r="18" spans="1:9" ht="15" customHeight="1">
      <c r="A18" s="44" t="e">
        <f ca="1">IF(Calcu!AB38=TRUE,"","삭제")</f>
        <v>#N/A</v>
      </c>
      <c r="C18" s="302" t="e">
        <f ca="1">Calcu!AE38</f>
        <v>#N/A</v>
      </c>
      <c r="D18" s="353" t="e">
        <f ca="1">Calcu!AH38</f>
        <v>#N/A</v>
      </c>
      <c r="E18" s="354"/>
      <c r="F18" s="304" t="e">
        <f ca="1">Calcu!AE63</f>
        <v>#N/A</v>
      </c>
      <c r="G18" s="305" t="e">
        <f ca="1">Calcu!AH63</f>
        <v>#N/A</v>
      </c>
      <c r="H18" s="303" t="e">
        <f ca="1">Calcu!AI38</f>
        <v>#N/A</v>
      </c>
      <c r="I18" s="51"/>
    </row>
    <row r="19" spans="1:9" ht="15" customHeight="1">
      <c r="A19" s="44" t="e">
        <f ca="1">IF(Calcu!AB39=TRUE,"","삭제")</f>
        <v>#N/A</v>
      </c>
      <c r="C19" s="302" t="e">
        <f ca="1">Calcu!AE39</f>
        <v>#N/A</v>
      </c>
      <c r="D19" s="353" t="e">
        <f ca="1">Calcu!AH39</f>
        <v>#N/A</v>
      </c>
      <c r="E19" s="354"/>
      <c r="F19" s="304" t="e">
        <f ca="1">Calcu!AE64</f>
        <v>#N/A</v>
      </c>
      <c r="G19" s="305" t="e">
        <f ca="1">Calcu!AH64</f>
        <v>#N/A</v>
      </c>
      <c r="H19" s="303" t="e">
        <f ca="1">Calcu!AI39</f>
        <v>#N/A</v>
      </c>
      <c r="I19" s="51"/>
    </row>
    <row r="20" spans="1:9" ht="15" customHeight="1">
      <c r="A20" s="44" t="e">
        <f ca="1">IF(Calcu!AB40=TRUE,"","삭제")</f>
        <v>#N/A</v>
      </c>
      <c r="C20" s="302" t="e">
        <f ca="1">Calcu!AE40</f>
        <v>#N/A</v>
      </c>
      <c r="D20" s="353" t="e">
        <f ca="1">Calcu!AH40</f>
        <v>#N/A</v>
      </c>
      <c r="E20" s="354"/>
      <c r="F20" s="304" t="e">
        <f ca="1">Calcu!AE65</f>
        <v>#N/A</v>
      </c>
      <c r="G20" s="305" t="e">
        <f ca="1">Calcu!AH65</f>
        <v>#N/A</v>
      </c>
      <c r="H20" s="303" t="e">
        <f ca="1">Calcu!AI40</f>
        <v>#N/A</v>
      </c>
      <c r="I20" s="51"/>
    </row>
    <row r="21" spans="1:9" ht="15" customHeight="1">
      <c r="A21" s="44" t="e">
        <f ca="1">IF(Calcu!AB41=TRUE,"","삭제")</f>
        <v>#N/A</v>
      </c>
      <c r="C21" s="302" t="e">
        <f ca="1">Calcu!AE41</f>
        <v>#N/A</v>
      </c>
      <c r="D21" s="353" t="e">
        <f ca="1">Calcu!AH41</f>
        <v>#N/A</v>
      </c>
      <c r="E21" s="354"/>
      <c r="F21" s="304" t="e">
        <f ca="1">Calcu!AE66</f>
        <v>#N/A</v>
      </c>
      <c r="G21" s="305" t="e">
        <f ca="1">Calcu!AH66</f>
        <v>#N/A</v>
      </c>
      <c r="H21" s="303" t="e">
        <f ca="1">Calcu!AI41</f>
        <v>#N/A</v>
      </c>
      <c r="I21" s="51"/>
    </row>
    <row r="22" spans="1:9" ht="15" customHeight="1">
      <c r="A22" s="44" t="e">
        <f ca="1">IF(Calcu!AB42=TRUE,"","삭제")</f>
        <v>#N/A</v>
      </c>
      <c r="C22" s="302" t="e">
        <f ca="1">Calcu!AE42</f>
        <v>#N/A</v>
      </c>
      <c r="D22" s="353" t="e">
        <f ca="1">Calcu!AH42</f>
        <v>#N/A</v>
      </c>
      <c r="E22" s="354"/>
      <c r="F22" s="304" t="e">
        <f ca="1">Calcu!AE67</f>
        <v>#N/A</v>
      </c>
      <c r="G22" s="305" t="e">
        <f ca="1">Calcu!AH67</f>
        <v>#N/A</v>
      </c>
      <c r="H22" s="303" t="e">
        <f ca="1">Calcu!AI42</f>
        <v>#N/A</v>
      </c>
      <c r="I22" s="51"/>
    </row>
    <row r="23" spans="1:9" ht="15" customHeight="1">
      <c r="A23" s="44" t="e">
        <f ca="1">IF(Calcu!AB43=TRUE,"","삭제")</f>
        <v>#N/A</v>
      </c>
      <c r="C23" s="302" t="e">
        <f ca="1">Calcu!AE43</f>
        <v>#N/A</v>
      </c>
      <c r="D23" s="353" t="e">
        <f ca="1">Calcu!AH43</f>
        <v>#N/A</v>
      </c>
      <c r="E23" s="354"/>
      <c r="F23" s="304" t="e">
        <f ca="1">Calcu!AE68</f>
        <v>#N/A</v>
      </c>
      <c r="G23" s="305" t="e">
        <f ca="1">Calcu!AH68</f>
        <v>#N/A</v>
      </c>
      <c r="H23" s="303" t="e">
        <f ca="1">Calcu!AI43</f>
        <v>#N/A</v>
      </c>
      <c r="I23" s="51"/>
    </row>
    <row r="24" spans="1:9" ht="15" customHeight="1">
      <c r="A24" s="44" t="e">
        <f ca="1">IF(Calcu!AB44=TRUE,"","삭제")</f>
        <v>#N/A</v>
      </c>
      <c r="C24" s="302" t="e">
        <f ca="1">Calcu!AE44</f>
        <v>#N/A</v>
      </c>
      <c r="D24" s="353" t="e">
        <f ca="1">Calcu!AH44</f>
        <v>#N/A</v>
      </c>
      <c r="E24" s="354"/>
      <c r="F24" s="304" t="e">
        <f ca="1">Calcu!AE69</f>
        <v>#N/A</v>
      </c>
      <c r="G24" s="305" t="e">
        <f ca="1">Calcu!AH69</f>
        <v>#N/A</v>
      </c>
      <c r="H24" s="303" t="e">
        <f ca="1">Calcu!AI44</f>
        <v>#N/A</v>
      </c>
      <c r="I24" s="51"/>
    </row>
    <row r="25" spans="1:9" ht="15" customHeight="1">
      <c r="A25" s="44" t="e">
        <f ca="1">IF(Calcu!AB45=TRUE,"","삭제")</f>
        <v>#N/A</v>
      </c>
      <c r="C25" s="302" t="e">
        <f ca="1">Calcu!AE45</f>
        <v>#N/A</v>
      </c>
      <c r="D25" s="353" t="e">
        <f ca="1">Calcu!AH45</f>
        <v>#N/A</v>
      </c>
      <c r="E25" s="354"/>
      <c r="F25" s="304" t="e">
        <f ca="1">Calcu!AE70</f>
        <v>#N/A</v>
      </c>
      <c r="G25" s="305" t="e">
        <f ca="1">Calcu!AH70</f>
        <v>#N/A</v>
      </c>
      <c r="H25" s="303" t="e">
        <f ca="1">Calcu!AI45</f>
        <v>#N/A</v>
      </c>
      <c r="I25" s="51"/>
    </row>
    <row r="26" spans="1:9" ht="15" customHeight="1">
      <c r="A26" s="44" t="e">
        <f ca="1">IF(Calcu!AB46=TRUE,"","삭제")</f>
        <v>#N/A</v>
      </c>
      <c r="C26" s="302" t="e">
        <f ca="1">Calcu!AE46</f>
        <v>#N/A</v>
      </c>
      <c r="D26" s="353" t="e">
        <f ca="1">Calcu!AH46</f>
        <v>#N/A</v>
      </c>
      <c r="E26" s="354"/>
      <c r="F26" s="304" t="e">
        <f ca="1">Calcu!AE71</f>
        <v>#N/A</v>
      </c>
      <c r="G26" s="305" t="e">
        <f ca="1">Calcu!AH71</f>
        <v>#N/A</v>
      </c>
      <c r="H26" s="303" t="e">
        <f ca="1">Calcu!AI46</f>
        <v>#N/A</v>
      </c>
      <c r="I26" s="51"/>
    </row>
    <row r="27" spans="1:9" ht="15" customHeight="1">
      <c r="A27" s="44" t="e">
        <f ca="1">IF(Calcu!AB47=TRUE,"","삭제")</f>
        <v>#N/A</v>
      </c>
      <c r="C27" s="302" t="e">
        <f ca="1">Calcu!AE47</f>
        <v>#N/A</v>
      </c>
      <c r="D27" s="353" t="e">
        <f ca="1">Calcu!AH47</f>
        <v>#N/A</v>
      </c>
      <c r="E27" s="354"/>
      <c r="F27" s="304" t="e">
        <f ca="1">Calcu!AE72</f>
        <v>#N/A</v>
      </c>
      <c r="G27" s="305" t="e">
        <f ca="1">Calcu!AH72</f>
        <v>#N/A</v>
      </c>
      <c r="H27" s="303" t="e">
        <f ca="1">Calcu!AI47</f>
        <v>#N/A</v>
      </c>
      <c r="I27" s="51"/>
    </row>
    <row r="28" spans="1:9" ht="15" customHeight="1">
      <c r="A28" s="44" t="e">
        <f ca="1">IF(Calcu!AB48=TRUE,"","삭제")</f>
        <v>#N/A</v>
      </c>
      <c r="C28" s="302" t="e">
        <f ca="1">Calcu!AE48</f>
        <v>#N/A</v>
      </c>
      <c r="D28" s="353" t="e">
        <f ca="1">Calcu!AH48</f>
        <v>#N/A</v>
      </c>
      <c r="E28" s="354"/>
      <c r="F28" s="304" t="e">
        <f ca="1">Calcu!AE73</f>
        <v>#N/A</v>
      </c>
      <c r="G28" s="305" t="e">
        <f ca="1">Calcu!AH73</f>
        <v>#N/A</v>
      </c>
      <c r="H28" s="303" t="e">
        <f ca="1">Calcu!AI48</f>
        <v>#N/A</v>
      </c>
      <c r="I28" s="51"/>
    </row>
    <row r="29" spans="1:9" ht="15" customHeight="1">
      <c r="A29" s="44" t="e">
        <f ca="1">IF(Calcu!AB49=TRUE,"","삭제")</f>
        <v>#N/A</v>
      </c>
      <c r="C29" s="302" t="e">
        <f ca="1">Calcu!AE49</f>
        <v>#N/A</v>
      </c>
      <c r="D29" s="353" t="e">
        <f ca="1">Calcu!AH49</f>
        <v>#N/A</v>
      </c>
      <c r="E29" s="354"/>
      <c r="F29" s="304" t="e">
        <f ca="1">Calcu!AE74</f>
        <v>#N/A</v>
      </c>
      <c r="G29" s="305" t="e">
        <f ca="1">Calcu!AH74</f>
        <v>#N/A</v>
      </c>
      <c r="H29" s="303" t="e">
        <f ca="1">Calcu!AI49</f>
        <v>#N/A</v>
      </c>
      <c r="I29" s="51"/>
    </row>
    <row r="30" spans="1:9" ht="15" customHeight="1">
      <c r="A30" s="44" t="e">
        <f ca="1">IF(Calcu!AB50=TRUE,"","삭제")</f>
        <v>#N/A</v>
      </c>
      <c r="C30" s="302" t="e">
        <f ca="1">Calcu!AE50</f>
        <v>#N/A</v>
      </c>
      <c r="D30" s="353" t="e">
        <f ca="1">Calcu!AH50</f>
        <v>#N/A</v>
      </c>
      <c r="E30" s="354"/>
      <c r="F30" s="304" t="e">
        <f ca="1">Calcu!AE75</f>
        <v>#N/A</v>
      </c>
      <c r="G30" s="305" t="e">
        <f ca="1">Calcu!AH75</f>
        <v>#N/A</v>
      </c>
      <c r="H30" s="303" t="e">
        <f ca="1">Calcu!AI50</f>
        <v>#N/A</v>
      </c>
      <c r="I30" s="51"/>
    </row>
    <row r="31" spans="1:9" ht="15" customHeight="1">
      <c r="A31" s="44" t="e">
        <f ca="1">IF(Calcu!AB51=TRUE,"","삭제")</f>
        <v>#N/A</v>
      </c>
      <c r="C31" s="302" t="e">
        <f ca="1">Calcu!AE51</f>
        <v>#N/A</v>
      </c>
      <c r="D31" s="353" t="e">
        <f ca="1">Calcu!AH51</f>
        <v>#N/A</v>
      </c>
      <c r="E31" s="354"/>
      <c r="F31" s="304" t="e">
        <f ca="1">Calcu!AE76</f>
        <v>#N/A</v>
      </c>
      <c r="G31" s="305" t="e">
        <f ca="1">Calcu!AH76</f>
        <v>#N/A</v>
      </c>
      <c r="H31" s="303" t="e">
        <f ca="1">Calcu!AI51</f>
        <v>#N/A</v>
      </c>
      <c r="I31" s="51"/>
    </row>
    <row r="32" spans="1:9" ht="15" customHeight="1">
      <c r="A32" s="44" t="e">
        <f ca="1">IF(Calcu!AB52=TRUE,"","삭제")</f>
        <v>#N/A</v>
      </c>
      <c r="C32" s="302" t="e">
        <f ca="1">Calcu!AE52</f>
        <v>#N/A</v>
      </c>
      <c r="D32" s="353" t="e">
        <f ca="1">Calcu!AH52</f>
        <v>#N/A</v>
      </c>
      <c r="E32" s="354"/>
      <c r="F32" s="304" t="e">
        <f ca="1">Calcu!AE77</f>
        <v>#N/A</v>
      </c>
      <c r="G32" s="305" t="e">
        <f ca="1">Calcu!AH77</f>
        <v>#N/A</v>
      </c>
      <c r="H32" s="303" t="e">
        <f ca="1">Calcu!AI52</f>
        <v>#N/A</v>
      </c>
      <c r="I32" s="51"/>
    </row>
    <row r="33" spans="1:9" ht="15" customHeight="1">
      <c r="A33" s="44" t="e">
        <f ca="1">IF(Calcu!AB53=TRUE,"","삭제")</f>
        <v>#N/A</v>
      </c>
      <c r="C33" s="302" t="e">
        <f ca="1">Calcu!AE53</f>
        <v>#N/A</v>
      </c>
      <c r="D33" s="353" t="e">
        <f ca="1">Calcu!AH53</f>
        <v>#N/A</v>
      </c>
      <c r="E33" s="354"/>
      <c r="F33" s="304" t="e">
        <f ca="1">Calcu!AE78</f>
        <v>#N/A</v>
      </c>
      <c r="G33" s="305" t="e">
        <f ca="1">Calcu!AH78</f>
        <v>#N/A</v>
      </c>
      <c r="H33" s="303" t="e">
        <f ca="1">Calcu!AI53</f>
        <v>#N/A</v>
      </c>
      <c r="I33" s="51"/>
    </row>
    <row r="34" spans="1:9" ht="15" customHeight="1">
      <c r="A34" s="44" t="e">
        <f ca="1">IF(Calcu!AB54=TRUE,"","삭제")</f>
        <v>#N/A</v>
      </c>
      <c r="C34" s="302" t="e">
        <f ca="1">Calcu!AE54</f>
        <v>#N/A</v>
      </c>
      <c r="D34" s="353" t="e">
        <f ca="1">Calcu!AH54</f>
        <v>#N/A</v>
      </c>
      <c r="E34" s="354"/>
      <c r="F34" s="304" t="e">
        <f ca="1">Calcu!AE79</f>
        <v>#N/A</v>
      </c>
      <c r="G34" s="305" t="e">
        <f ca="1">Calcu!AH79</f>
        <v>#N/A</v>
      </c>
      <c r="H34" s="303" t="e">
        <f ca="1">Calcu!AI54</f>
        <v>#N/A</v>
      </c>
      <c r="I34" s="51"/>
    </row>
    <row r="35" spans="1:9" ht="15" customHeight="1">
      <c r="A35" s="44"/>
      <c r="C35" s="84"/>
      <c r="D35" s="84"/>
      <c r="E35" s="51"/>
    </row>
    <row r="36" spans="1:9" ht="15" customHeight="1">
      <c r="A36" s="44"/>
      <c r="C36" s="38" t="s">
        <v>429</v>
      </c>
      <c r="D36" s="51"/>
      <c r="E36" s="51"/>
    </row>
    <row r="37" spans="1:9" ht="15" customHeight="1">
      <c r="A37" s="44"/>
      <c r="C37" s="247" t="s">
        <v>428</v>
      </c>
      <c r="D37" s="133" t="e">
        <f ca="1">Calcu!T53</f>
        <v>#N/A</v>
      </c>
      <c r="E37" s="37" t="e">
        <f ca="1">Calcu!U53</f>
        <v>#N/A</v>
      </c>
      <c r="F37" s="132"/>
    </row>
    <row r="38" spans="1:9" ht="15" customHeight="1">
      <c r="A38" s="44"/>
      <c r="C38" s="247" t="s">
        <v>427</v>
      </c>
      <c r="D38" s="133" t="e">
        <f ca="1">Calcu!T81</f>
        <v>#N/A</v>
      </c>
      <c r="E38" s="37" t="e">
        <f ca="1">Calcu!U81</f>
        <v>#N/A</v>
      </c>
      <c r="F38" s="132"/>
    </row>
    <row r="39" spans="1:9" ht="15" customHeight="1">
      <c r="A39" s="44"/>
      <c r="C39" s="38"/>
      <c r="D39" s="133" t="e">
        <f ca="1">IF(Calcu!E63="사다리꼴","(신뢰수준 95 %,","(신뢰수준 약 95 %,")</f>
        <v>#N/A</v>
      </c>
      <c r="E39" s="132" t="e">
        <f ca="1">Calcu!E64&amp;IF(Calcu!E63="사다리꼴",", 사다리꼴 확률분포)",")")</f>
        <v>#N/A</v>
      </c>
      <c r="G39" s="132"/>
      <c r="H39" s="132"/>
    </row>
    <row r="40" spans="1:9" ht="15" customHeight="1">
      <c r="A40" s="44"/>
      <c r="C40" s="38" t="s">
        <v>873</v>
      </c>
      <c r="D40" s="133"/>
      <c r="E40" s="132"/>
      <c r="G40" s="132"/>
      <c r="H40" s="132"/>
    </row>
    <row r="41" spans="1:9" ht="15" customHeight="1">
      <c r="C41" s="62"/>
      <c r="D41" s="62"/>
      <c r="E41" s="62"/>
      <c r="F41" s="62"/>
      <c r="G41" s="62"/>
      <c r="H41" s="62"/>
      <c r="I41" s="62"/>
    </row>
  </sheetData>
  <mergeCells count="28">
    <mergeCell ref="D23:E23"/>
    <mergeCell ref="D17:E17"/>
    <mergeCell ref="D18:E18"/>
    <mergeCell ref="D19:E19"/>
    <mergeCell ref="D20:E20"/>
    <mergeCell ref="D21:E21"/>
    <mergeCell ref="D22:E22"/>
    <mergeCell ref="A1:J2"/>
    <mergeCell ref="D15:E15"/>
    <mergeCell ref="D16:E16"/>
    <mergeCell ref="C13:C14"/>
    <mergeCell ref="G13:G14"/>
    <mergeCell ref="H12:H14"/>
    <mergeCell ref="F13:F14"/>
    <mergeCell ref="C12:E12"/>
    <mergeCell ref="D13:E14"/>
    <mergeCell ref="F12:G12"/>
    <mergeCell ref="D24:E24"/>
    <mergeCell ref="D25:E25"/>
    <mergeCell ref="D26:E26"/>
    <mergeCell ref="D32:E32"/>
    <mergeCell ref="D33:E33"/>
    <mergeCell ref="D34:E34"/>
    <mergeCell ref="D27:E27"/>
    <mergeCell ref="D28:E28"/>
    <mergeCell ref="D29:E29"/>
    <mergeCell ref="D30:E30"/>
    <mergeCell ref="D31:E31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2"/>
  <sheetViews>
    <sheetView showGridLines="0" showWhiteSpace="0" zoomScaleNormal="100" zoomScaleSheetLayoutView="100" workbookViewId="0">
      <selection sqref="A1:J2"/>
    </sheetView>
  </sheetViews>
  <sheetFormatPr defaultColWidth="10.77734375" defaultRowHeight="15" customHeight="1"/>
  <cols>
    <col min="1" max="2" width="3.77734375" style="37" customWidth="1"/>
    <col min="3" max="3" width="12.77734375" style="37" customWidth="1"/>
    <col min="4" max="4" width="9.77734375" style="37" customWidth="1"/>
    <col min="5" max="5" width="3.77734375" style="37" customWidth="1"/>
    <col min="6" max="8" width="12.77734375" style="37" customWidth="1"/>
    <col min="9" max="10" width="3.77734375" style="37" customWidth="1"/>
    <col min="11" max="16384" width="10.77734375" style="37"/>
  </cols>
  <sheetData>
    <row r="1" spans="1:10" s="64" customFormat="1" ht="33" customHeight="1">
      <c r="A1" s="371" t="s">
        <v>54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s="64" customFormat="1" ht="33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</row>
    <row r="3" spans="1:10" s="47" customFormat="1" ht="12.75" customHeight="1">
      <c r="A3" s="48" t="s">
        <v>66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s="49" customFormat="1" ht="13.5" customHeight="1">
      <c r="A4" s="74" t="str">
        <f>" 교   정   번   호(Calibration No) : "&amp;기본정보!H3</f>
        <v xml:space="preserve"> 교   정   번   호(Calibration No) : </v>
      </c>
      <c r="B4" s="128"/>
      <c r="C4" s="75"/>
      <c r="D4" s="75"/>
      <c r="E4" s="128"/>
      <c r="F4" s="75"/>
      <c r="G4" s="82"/>
      <c r="H4" s="76"/>
      <c r="I4" s="127"/>
      <c r="J4" s="82"/>
    </row>
    <row r="5" spans="1:10" s="36" customFormat="1" ht="15" customHeight="1"/>
    <row r="6" spans="1:10" ht="15" customHeight="1">
      <c r="C6" s="53" t="str">
        <f>"○ Description : "&amp;기본정보!C$5</f>
        <v xml:space="preserve">○ Description : </v>
      </c>
    </row>
    <row r="7" spans="1:10" ht="15" customHeight="1">
      <c r="C7" s="53" t="str">
        <f>"○ Manufacturer  : "&amp;기본정보!C$6</f>
        <v xml:space="preserve">○ Manufacturer  : </v>
      </c>
    </row>
    <row r="8" spans="1:10" ht="15" customHeight="1">
      <c r="C8" s="53" t="str">
        <f>"○ Model Name : "&amp;기본정보!C$7</f>
        <v xml:space="preserve">○ Model Name : </v>
      </c>
    </row>
    <row r="9" spans="1:10" ht="15" customHeight="1">
      <c r="C9" s="53" t="str">
        <f>"○ Serial Number : "&amp;기본정보!C$8</f>
        <v xml:space="preserve">○ Serial Number : </v>
      </c>
    </row>
    <row r="11" spans="1:10" ht="15" customHeight="1">
      <c r="C11" s="38" t="s">
        <v>131</v>
      </c>
    </row>
    <row r="12" spans="1:10" ht="15" customHeight="1">
      <c r="C12" s="353" t="s">
        <v>879</v>
      </c>
      <c r="D12" s="365"/>
      <c r="E12" s="365"/>
      <c r="F12" s="370" t="s">
        <v>880</v>
      </c>
      <c r="G12" s="354"/>
      <c r="H12" s="360" t="s">
        <v>881</v>
      </c>
    </row>
    <row r="13" spans="1:10" ht="15" customHeight="1">
      <c r="A13" s="44"/>
      <c r="C13" s="356" t="s">
        <v>882</v>
      </c>
      <c r="D13" s="366" t="s">
        <v>883</v>
      </c>
      <c r="E13" s="373"/>
      <c r="F13" s="363" t="s">
        <v>882</v>
      </c>
      <c r="G13" s="358" t="s">
        <v>883</v>
      </c>
      <c r="H13" s="375"/>
    </row>
    <row r="14" spans="1:10" ht="15" customHeight="1">
      <c r="A14" s="44"/>
      <c r="C14" s="377"/>
      <c r="D14" s="368"/>
      <c r="E14" s="374"/>
      <c r="F14" s="378"/>
      <c r="G14" s="359"/>
      <c r="H14" s="376"/>
    </row>
    <row r="15" spans="1:10" ht="15" customHeight="1">
      <c r="A15" s="44" t="e">
        <f ca="1">IF(Calcu!AB35=TRUE,"","삭제")</f>
        <v>#N/A</v>
      </c>
      <c r="C15" s="248" t="e">
        <f ca="1">Calcu!AE35</f>
        <v>#N/A</v>
      </c>
      <c r="D15" s="372" t="e">
        <f ca="1">Calcu!AH35</f>
        <v>#N/A</v>
      </c>
      <c r="E15" s="365"/>
      <c r="F15" s="304" t="e">
        <f ca="1">Calcu!AE60</f>
        <v>#N/A</v>
      </c>
      <c r="G15" s="305" t="e">
        <f ca="1">Calcu!AH60</f>
        <v>#N/A</v>
      </c>
      <c r="H15" s="303" t="e">
        <f ca="1">Calcu!AI35</f>
        <v>#N/A</v>
      </c>
    </row>
    <row r="16" spans="1:10" ht="15" customHeight="1">
      <c r="A16" s="44" t="e">
        <f ca="1">IF(Calcu!AB36=TRUE,"","삭제")</f>
        <v>#N/A</v>
      </c>
      <c r="C16" s="248" t="e">
        <f ca="1">Calcu!AE36</f>
        <v>#N/A</v>
      </c>
      <c r="D16" s="372" t="e">
        <f ca="1">Calcu!AH36</f>
        <v>#N/A</v>
      </c>
      <c r="E16" s="365"/>
      <c r="F16" s="304" t="e">
        <f ca="1">Calcu!AE61</f>
        <v>#N/A</v>
      </c>
      <c r="G16" s="305" t="e">
        <f ca="1">Calcu!AH61</f>
        <v>#N/A</v>
      </c>
      <c r="H16" s="303" t="e">
        <f ca="1">Calcu!AI36</f>
        <v>#N/A</v>
      </c>
    </row>
    <row r="17" spans="1:8" ht="15" customHeight="1">
      <c r="A17" s="44" t="e">
        <f ca="1">IF(Calcu!AB37=TRUE,"","삭제")</f>
        <v>#N/A</v>
      </c>
      <c r="C17" s="248" t="e">
        <f ca="1">Calcu!AE37</f>
        <v>#N/A</v>
      </c>
      <c r="D17" s="372" t="e">
        <f ca="1">Calcu!AH37</f>
        <v>#N/A</v>
      </c>
      <c r="E17" s="365"/>
      <c r="F17" s="304" t="e">
        <f ca="1">Calcu!AE62</f>
        <v>#N/A</v>
      </c>
      <c r="G17" s="305" t="e">
        <f ca="1">Calcu!AH62</f>
        <v>#N/A</v>
      </c>
      <c r="H17" s="303" t="e">
        <f ca="1">Calcu!AI37</f>
        <v>#N/A</v>
      </c>
    </row>
    <row r="18" spans="1:8" ht="15" customHeight="1">
      <c r="A18" s="44" t="e">
        <f ca="1">IF(Calcu!AB38=TRUE,"","삭제")</f>
        <v>#N/A</v>
      </c>
      <c r="C18" s="248" t="e">
        <f ca="1">Calcu!AE38</f>
        <v>#N/A</v>
      </c>
      <c r="D18" s="372" t="e">
        <f ca="1">Calcu!AH38</f>
        <v>#N/A</v>
      </c>
      <c r="E18" s="365"/>
      <c r="F18" s="304" t="e">
        <f ca="1">Calcu!AE63</f>
        <v>#N/A</v>
      </c>
      <c r="G18" s="305" t="e">
        <f ca="1">Calcu!AH63</f>
        <v>#N/A</v>
      </c>
      <c r="H18" s="303" t="e">
        <f ca="1">Calcu!AI38</f>
        <v>#N/A</v>
      </c>
    </row>
    <row r="19" spans="1:8" ht="15" customHeight="1">
      <c r="A19" s="44" t="e">
        <f ca="1">IF(Calcu!AB39=TRUE,"","삭제")</f>
        <v>#N/A</v>
      </c>
      <c r="C19" s="248" t="e">
        <f ca="1">Calcu!AE39</f>
        <v>#N/A</v>
      </c>
      <c r="D19" s="372" t="e">
        <f ca="1">Calcu!AH39</f>
        <v>#N/A</v>
      </c>
      <c r="E19" s="365"/>
      <c r="F19" s="304" t="e">
        <f ca="1">Calcu!AE64</f>
        <v>#N/A</v>
      </c>
      <c r="G19" s="305" t="e">
        <f ca="1">Calcu!AH64</f>
        <v>#N/A</v>
      </c>
      <c r="H19" s="303" t="e">
        <f ca="1">Calcu!AI39</f>
        <v>#N/A</v>
      </c>
    </row>
    <row r="20" spans="1:8" ht="15" customHeight="1">
      <c r="A20" s="44" t="e">
        <f ca="1">IF(Calcu!AB40=TRUE,"","삭제")</f>
        <v>#N/A</v>
      </c>
      <c r="C20" s="248" t="e">
        <f ca="1">Calcu!AE40</f>
        <v>#N/A</v>
      </c>
      <c r="D20" s="372" t="e">
        <f ca="1">Calcu!AH40</f>
        <v>#N/A</v>
      </c>
      <c r="E20" s="365"/>
      <c r="F20" s="304" t="e">
        <f ca="1">Calcu!AE65</f>
        <v>#N/A</v>
      </c>
      <c r="G20" s="305" t="e">
        <f ca="1">Calcu!AH65</f>
        <v>#N/A</v>
      </c>
      <c r="H20" s="303" t="e">
        <f ca="1">Calcu!AI40</f>
        <v>#N/A</v>
      </c>
    </row>
    <row r="21" spans="1:8" ht="15" customHeight="1">
      <c r="A21" s="44" t="e">
        <f ca="1">IF(Calcu!AB41=TRUE,"","삭제")</f>
        <v>#N/A</v>
      </c>
      <c r="C21" s="248" t="e">
        <f ca="1">Calcu!AE41</f>
        <v>#N/A</v>
      </c>
      <c r="D21" s="372" t="e">
        <f ca="1">Calcu!AH41</f>
        <v>#N/A</v>
      </c>
      <c r="E21" s="365"/>
      <c r="F21" s="304" t="e">
        <f ca="1">Calcu!AE66</f>
        <v>#N/A</v>
      </c>
      <c r="G21" s="305" t="e">
        <f ca="1">Calcu!AH66</f>
        <v>#N/A</v>
      </c>
      <c r="H21" s="303" t="e">
        <f ca="1">Calcu!AI41</f>
        <v>#N/A</v>
      </c>
    </row>
    <row r="22" spans="1:8" ht="15" customHeight="1">
      <c r="A22" s="44" t="e">
        <f ca="1">IF(Calcu!AB42=TRUE,"","삭제")</f>
        <v>#N/A</v>
      </c>
      <c r="C22" s="248" t="e">
        <f ca="1">Calcu!AE42</f>
        <v>#N/A</v>
      </c>
      <c r="D22" s="372" t="e">
        <f ca="1">Calcu!AH42</f>
        <v>#N/A</v>
      </c>
      <c r="E22" s="365"/>
      <c r="F22" s="304" t="e">
        <f ca="1">Calcu!AE67</f>
        <v>#N/A</v>
      </c>
      <c r="G22" s="305" t="e">
        <f ca="1">Calcu!AH67</f>
        <v>#N/A</v>
      </c>
      <c r="H22" s="303" t="e">
        <f ca="1">Calcu!AI42</f>
        <v>#N/A</v>
      </c>
    </row>
    <row r="23" spans="1:8" ht="15" customHeight="1">
      <c r="A23" s="44" t="e">
        <f ca="1">IF(Calcu!AB43=TRUE,"","삭제")</f>
        <v>#N/A</v>
      </c>
      <c r="C23" s="248" t="e">
        <f ca="1">Calcu!AE43</f>
        <v>#N/A</v>
      </c>
      <c r="D23" s="372" t="e">
        <f ca="1">Calcu!AH43</f>
        <v>#N/A</v>
      </c>
      <c r="E23" s="365"/>
      <c r="F23" s="304" t="e">
        <f ca="1">Calcu!AE68</f>
        <v>#N/A</v>
      </c>
      <c r="G23" s="305" t="e">
        <f ca="1">Calcu!AH68</f>
        <v>#N/A</v>
      </c>
      <c r="H23" s="303" t="e">
        <f ca="1">Calcu!AI43</f>
        <v>#N/A</v>
      </c>
    </row>
    <row r="24" spans="1:8" ht="15" customHeight="1">
      <c r="A24" s="44" t="e">
        <f ca="1">IF(Calcu!AB44=TRUE,"","삭제")</f>
        <v>#N/A</v>
      </c>
      <c r="C24" s="248" t="e">
        <f ca="1">Calcu!AE44</f>
        <v>#N/A</v>
      </c>
      <c r="D24" s="372" t="e">
        <f ca="1">Calcu!AH44</f>
        <v>#N/A</v>
      </c>
      <c r="E24" s="365"/>
      <c r="F24" s="304" t="e">
        <f ca="1">Calcu!AE69</f>
        <v>#N/A</v>
      </c>
      <c r="G24" s="305" t="e">
        <f ca="1">Calcu!AH69</f>
        <v>#N/A</v>
      </c>
      <c r="H24" s="303" t="e">
        <f ca="1">Calcu!AI44</f>
        <v>#N/A</v>
      </c>
    </row>
    <row r="25" spans="1:8" ht="15" customHeight="1">
      <c r="A25" s="44" t="e">
        <f ca="1">IF(Calcu!AB45=TRUE,"","삭제")</f>
        <v>#N/A</v>
      </c>
      <c r="C25" s="248" t="e">
        <f ca="1">Calcu!AE45</f>
        <v>#N/A</v>
      </c>
      <c r="D25" s="372" t="e">
        <f ca="1">Calcu!AH45</f>
        <v>#N/A</v>
      </c>
      <c r="E25" s="365"/>
      <c r="F25" s="304" t="e">
        <f ca="1">Calcu!AE70</f>
        <v>#N/A</v>
      </c>
      <c r="G25" s="305" t="e">
        <f ca="1">Calcu!AH70</f>
        <v>#N/A</v>
      </c>
      <c r="H25" s="303" t="e">
        <f ca="1">Calcu!AI45</f>
        <v>#N/A</v>
      </c>
    </row>
    <row r="26" spans="1:8" ht="15" customHeight="1">
      <c r="A26" s="44" t="e">
        <f ca="1">IF(Calcu!AB46=TRUE,"","삭제")</f>
        <v>#N/A</v>
      </c>
      <c r="C26" s="248" t="e">
        <f ca="1">Calcu!AE46</f>
        <v>#N/A</v>
      </c>
      <c r="D26" s="372" t="e">
        <f ca="1">Calcu!AH46</f>
        <v>#N/A</v>
      </c>
      <c r="E26" s="365"/>
      <c r="F26" s="304" t="e">
        <f ca="1">Calcu!AE71</f>
        <v>#N/A</v>
      </c>
      <c r="G26" s="305" t="e">
        <f ca="1">Calcu!AH71</f>
        <v>#N/A</v>
      </c>
      <c r="H26" s="303" t="e">
        <f ca="1">Calcu!AI46</f>
        <v>#N/A</v>
      </c>
    </row>
    <row r="27" spans="1:8" ht="15" customHeight="1">
      <c r="A27" s="44" t="e">
        <f ca="1">IF(Calcu!AB47=TRUE,"","삭제")</f>
        <v>#N/A</v>
      </c>
      <c r="C27" s="248" t="e">
        <f ca="1">Calcu!AE47</f>
        <v>#N/A</v>
      </c>
      <c r="D27" s="372" t="e">
        <f ca="1">Calcu!AH47</f>
        <v>#N/A</v>
      </c>
      <c r="E27" s="365"/>
      <c r="F27" s="304" t="e">
        <f ca="1">Calcu!AE72</f>
        <v>#N/A</v>
      </c>
      <c r="G27" s="305" t="e">
        <f ca="1">Calcu!AH72</f>
        <v>#N/A</v>
      </c>
      <c r="H27" s="303" t="e">
        <f ca="1">Calcu!AI47</f>
        <v>#N/A</v>
      </c>
    </row>
    <row r="28" spans="1:8" ht="15" customHeight="1">
      <c r="A28" s="44" t="e">
        <f ca="1">IF(Calcu!AB48=TRUE,"","삭제")</f>
        <v>#N/A</v>
      </c>
      <c r="C28" s="248" t="e">
        <f ca="1">Calcu!AE48</f>
        <v>#N/A</v>
      </c>
      <c r="D28" s="372" t="e">
        <f ca="1">Calcu!AH48</f>
        <v>#N/A</v>
      </c>
      <c r="E28" s="365"/>
      <c r="F28" s="304" t="e">
        <f ca="1">Calcu!AE73</f>
        <v>#N/A</v>
      </c>
      <c r="G28" s="305" t="e">
        <f ca="1">Calcu!AH73</f>
        <v>#N/A</v>
      </c>
      <c r="H28" s="303" t="e">
        <f ca="1">Calcu!AI48</f>
        <v>#N/A</v>
      </c>
    </row>
    <row r="29" spans="1:8" ht="15" customHeight="1">
      <c r="A29" s="44" t="e">
        <f ca="1">IF(Calcu!AB49=TRUE,"","삭제")</f>
        <v>#N/A</v>
      </c>
      <c r="C29" s="248" t="e">
        <f ca="1">Calcu!AE49</f>
        <v>#N/A</v>
      </c>
      <c r="D29" s="372" t="e">
        <f ca="1">Calcu!AH49</f>
        <v>#N/A</v>
      </c>
      <c r="E29" s="365"/>
      <c r="F29" s="304" t="e">
        <f ca="1">Calcu!AE74</f>
        <v>#N/A</v>
      </c>
      <c r="G29" s="305" t="e">
        <f ca="1">Calcu!AH74</f>
        <v>#N/A</v>
      </c>
      <c r="H29" s="303" t="e">
        <f ca="1">Calcu!AI49</f>
        <v>#N/A</v>
      </c>
    </row>
    <row r="30" spans="1:8" ht="15" customHeight="1">
      <c r="A30" s="44" t="e">
        <f ca="1">IF(Calcu!AB50=TRUE,"","삭제")</f>
        <v>#N/A</v>
      </c>
      <c r="C30" s="248" t="e">
        <f ca="1">Calcu!AE50</f>
        <v>#N/A</v>
      </c>
      <c r="D30" s="372" t="e">
        <f ca="1">Calcu!AH50</f>
        <v>#N/A</v>
      </c>
      <c r="E30" s="365"/>
      <c r="F30" s="304" t="e">
        <f ca="1">Calcu!AE75</f>
        <v>#N/A</v>
      </c>
      <c r="G30" s="305" t="e">
        <f ca="1">Calcu!AH75</f>
        <v>#N/A</v>
      </c>
      <c r="H30" s="303" t="e">
        <f ca="1">Calcu!AI50</f>
        <v>#N/A</v>
      </c>
    </row>
    <row r="31" spans="1:8" ht="15" customHeight="1">
      <c r="A31" s="44" t="e">
        <f ca="1">IF(Calcu!AB51=TRUE,"","삭제")</f>
        <v>#N/A</v>
      </c>
      <c r="C31" s="248" t="e">
        <f ca="1">Calcu!AE51</f>
        <v>#N/A</v>
      </c>
      <c r="D31" s="372" t="e">
        <f ca="1">Calcu!AH51</f>
        <v>#N/A</v>
      </c>
      <c r="E31" s="365"/>
      <c r="F31" s="304" t="e">
        <f ca="1">Calcu!AE76</f>
        <v>#N/A</v>
      </c>
      <c r="G31" s="305" t="e">
        <f ca="1">Calcu!AH76</f>
        <v>#N/A</v>
      </c>
      <c r="H31" s="303" t="e">
        <f ca="1">Calcu!AI51</f>
        <v>#N/A</v>
      </c>
    </row>
    <row r="32" spans="1:8" ht="15" customHeight="1">
      <c r="A32" s="44" t="e">
        <f ca="1">IF(Calcu!AB52=TRUE,"","삭제")</f>
        <v>#N/A</v>
      </c>
      <c r="C32" s="248" t="e">
        <f ca="1">Calcu!AE52</f>
        <v>#N/A</v>
      </c>
      <c r="D32" s="372" t="e">
        <f ca="1">Calcu!AH52</f>
        <v>#N/A</v>
      </c>
      <c r="E32" s="365"/>
      <c r="F32" s="304" t="e">
        <f ca="1">Calcu!AE77</f>
        <v>#N/A</v>
      </c>
      <c r="G32" s="305" t="e">
        <f ca="1">Calcu!AH77</f>
        <v>#N/A</v>
      </c>
      <c r="H32" s="303" t="e">
        <f ca="1">Calcu!AI52</f>
        <v>#N/A</v>
      </c>
    </row>
    <row r="33" spans="1:8" ht="15" customHeight="1">
      <c r="A33" s="44" t="e">
        <f ca="1">IF(Calcu!AB53=TRUE,"","삭제")</f>
        <v>#N/A</v>
      </c>
      <c r="C33" s="248" t="e">
        <f ca="1">Calcu!AE53</f>
        <v>#N/A</v>
      </c>
      <c r="D33" s="372" t="e">
        <f ca="1">Calcu!AH53</f>
        <v>#N/A</v>
      </c>
      <c r="E33" s="365"/>
      <c r="F33" s="304" t="e">
        <f ca="1">Calcu!AE78</f>
        <v>#N/A</v>
      </c>
      <c r="G33" s="305" t="e">
        <f ca="1">Calcu!AH78</f>
        <v>#N/A</v>
      </c>
      <c r="H33" s="303" t="e">
        <f ca="1">Calcu!AI53</f>
        <v>#N/A</v>
      </c>
    </row>
    <row r="34" spans="1:8" ht="15" customHeight="1">
      <c r="A34" s="44" t="e">
        <f ca="1">IF(Calcu!AB54=TRUE,"","삭제")</f>
        <v>#N/A</v>
      </c>
      <c r="C34" s="248" t="e">
        <f ca="1">Calcu!AE54</f>
        <v>#N/A</v>
      </c>
      <c r="D34" s="372" t="e">
        <f ca="1">Calcu!AH54</f>
        <v>#N/A</v>
      </c>
      <c r="E34" s="365"/>
      <c r="F34" s="304" t="e">
        <f ca="1">Calcu!AE79</f>
        <v>#N/A</v>
      </c>
      <c r="G34" s="305" t="e">
        <f ca="1">Calcu!AH79</f>
        <v>#N/A</v>
      </c>
      <c r="H34" s="303" t="e">
        <f ca="1">Calcu!AI54</f>
        <v>#N/A</v>
      </c>
    </row>
    <row r="35" spans="1:8" ht="15" customHeight="1">
      <c r="A35" s="44"/>
      <c r="C35" s="84"/>
      <c r="D35" s="84"/>
      <c r="E35" s="51"/>
    </row>
    <row r="36" spans="1:8" ht="15" customHeight="1">
      <c r="A36" s="44"/>
      <c r="C36" s="38" t="s">
        <v>849</v>
      </c>
      <c r="G36" s="132"/>
    </row>
    <row r="37" spans="1:8" ht="15" customHeight="1">
      <c r="A37" s="44"/>
      <c r="C37" s="38"/>
      <c r="D37" s="129" t="s">
        <v>847</v>
      </c>
      <c r="E37" s="133" t="e">
        <f ca="1">Calcu!T53</f>
        <v>#N/A</v>
      </c>
      <c r="F37" s="132" t="e">
        <f ca="1">Calcu!U53</f>
        <v>#N/A</v>
      </c>
      <c r="G37" s="132"/>
    </row>
    <row r="38" spans="1:8" ht="15" customHeight="1">
      <c r="A38" s="44"/>
      <c r="C38" s="38"/>
      <c r="D38" s="129" t="s">
        <v>848</v>
      </c>
      <c r="E38" s="133" t="e">
        <f ca="1">Calcu!T81</f>
        <v>#N/A</v>
      </c>
      <c r="F38" s="132" t="e">
        <f ca="1">Calcu!U81</f>
        <v>#N/A</v>
      </c>
      <c r="G38" s="132"/>
    </row>
    <row r="39" spans="1:8" ht="15" customHeight="1">
      <c r="A39" s="44"/>
      <c r="E39" s="133" t="e">
        <f ca="1">IF(Calcu!E63="사다리꼴","(Confidence level 95 %,","(Confidence level about 95 %,")</f>
        <v>#N/A</v>
      </c>
      <c r="F39" s="132" t="e">
        <f ca="1">Calcu!E64&amp;")"</f>
        <v>#N/A</v>
      </c>
    </row>
    <row r="40" spans="1:8" ht="15" customHeight="1">
      <c r="A40" s="44" t="e">
        <f ca="1">IF(Calcu!E63="사다리꼴","","삭제")</f>
        <v>#N/A</v>
      </c>
      <c r="C40" s="50" t="e">
        <f ca="1">IF(Calcu!E63="사다리꼴","※ Trapezoid probability distribution.","")</f>
        <v>#N/A</v>
      </c>
      <c r="E40" s="129"/>
      <c r="F40" s="50"/>
    </row>
    <row r="41" spans="1:8" ht="15" customHeight="1">
      <c r="C41" s="38" t="s">
        <v>874</v>
      </c>
    </row>
    <row r="42" spans="1:8" ht="15" customHeight="1">
      <c r="C42" s="62"/>
      <c r="D42" s="62"/>
      <c r="E42" s="62"/>
      <c r="F42" s="62"/>
      <c r="G42" s="62"/>
      <c r="H42" s="63"/>
    </row>
  </sheetData>
  <mergeCells count="28">
    <mergeCell ref="D22:E22"/>
    <mergeCell ref="D23:E23"/>
    <mergeCell ref="D24:E24"/>
    <mergeCell ref="D25:E25"/>
    <mergeCell ref="D26:E26"/>
    <mergeCell ref="D32:E32"/>
    <mergeCell ref="D33:E33"/>
    <mergeCell ref="D34:E34"/>
    <mergeCell ref="D27:E27"/>
    <mergeCell ref="D28:E28"/>
    <mergeCell ref="D29:E29"/>
    <mergeCell ref="D30:E30"/>
    <mergeCell ref="D31:E31"/>
    <mergeCell ref="A1:J2"/>
    <mergeCell ref="D18:E18"/>
    <mergeCell ref="D19:E19"/>
    <mergeCell ref="D20:E20"/>
    <mergeCell ref="D21:E21"/>
    <mergeCell ref="D15:E15"/>
    <mergeCell ref="D16:E16"/>
    <mergeCell ref="D17:E17"/>
    <mergeCell ref="C12:E12"/>
    <mergeCell ref="F12:G12"/>
    <mergeCell ref="G13:G14"/>
    <mergeCell ref="D13:E14"/>
    <mergeCell ref="H12:H14"/>
    <mergeCell ref="C13:C14"/>
    <mergeCell ref="F13:F14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topLeftCell="A18" zoomScaleNormal="100" zoomScaleSheetLayoutView="100" workbookViewId="0">
      <selection activeCell="F36" sqref="F36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7.1093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55" t="s">
        <v>138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17" s="47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17" s="47" customFormat="1" ht="12.75" customHeight="1">
      <c r="A3" s="48" t="s">
        <v>139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143" t="str">
        <f>" 교   정   번   호(Calibration No) : "&amp;기본정보!H3</f>
        <v xml:space="preserve"> 교   정   번   호(Calibration No) : </v>
      </c>
      <c r="B4" s="143"/>
      <c r="C4" s="143"/>
      <c r="D4" s="143"/>
      <c r="E4" s="143"/>
      <c r="F4" s="128"/>
      <c r="G4" s="128"/>
      <c r="H4" s="128"/>
      <c r="I4" s="128"/>
      <c r="J4" s="128"/>
      <c r="K4" s="144"/>
      <c r="L4" s="127"/>
      <c r="M4" s="145"/>
      <c r="N4" s="145"/>
      <c r="O4" s="145"/>
      <c r="P4" s="145"/>
      <c r="Q4" s="145"/>
    </row>
    <row r="5" spans="1:17" s="36" customFormat="1" ht="15" customHeight="1"/>
    <row r="6" spans="1:17" ht="15" customHeight="1">
      <c r="E6" s="53" t="str">
        <f>"○ 품명 : "&amp;기본정보!C$5</f>
        <v xml:space="preserve">○ 품명 : </v>
      </c>
      <c r="G6" s="53"/>
    </row>
    <row r="7" spans="1:17" ht="15" customHeight="1">
      <c r="E7" s="53" t="str">
        <f>"○ 제작회사 : "&amp;기본정보!C$6</f>
        <v xml:space="preserve">○ 제작회사 : </v>
      </c>
      <c r="G7" s="53"/>
    </row>
    <row r="8" spans="1:17" ht="15" customHeight="1">
      <c r="E8" s="53" t="str">
        <f>"○ 형식 : "&amp;기본정보!C$7</f>
        <v xml:space="preserve">○ 형식 : </v>
      </c>
      <c r="G8" s="53"/>
    </row>
    <row r="9" spans="1:17" ht="15" customHeight="1">
      <c r="E9" s="53" t="str">
        <f>"○ 기기번호 : "&amp;기본정보!C$8</f>
        <v xml:space="preserve">○ 기기번호 : </v>
      </c>
      <c r="G9" s="53"/>
    </row>
    <row r="11" spans="1:17" ht="15" customHeight="1">
      <c r="E11" s="38" t="s">
        <v>140</v>
      </c>
      <c r="G11" s="38"/>
    </row>
    <row r="12" spans="1:17" ht="15" customHeight="1">
      <c r="E12" s="38"/>
      <c r="G12" s="38"/>
    </row>
    <row r="13" spans="1:17" s="146" customFormat="1" ht="15" customHeight="1">
      <c r="B13" s="386"/>
      <c r="C13" s="386"/>
      <c r="D13" s="386"/>
      <c r="E13" s="384" t="s">
        <v>850</v>
      </c>
      <c r="F13" s="388" t="s">
        <v>193</v>
      </c>
      <c r="G13" s="390" t="s">
        <v>141</v>
      </c>
      <c r="H13" s="392" t="s">
        <v>142</v>
      </c>
      <c r="I13" s="394"/>
      <c r="J13" s="395" t="s">
        <v>143</v>
      </c>
      <c r="K13" s="395"/>
      <c r="L13" s="395"/>
      <c r="M13" s="379" t="s">
        <v>144</v>
      </c>
      <c r="N13" s="379"/>
      <c r="O13" s="379"/>
      <c r="P13" s="380"/>
      <c r="Q13" s="382" t="s">
        <v>145</v>
      </c>
    </row>
    <row r="14" spans="1:17" s="147" customFormat="1" ht="22.5">
      <c r="B14" s="387"/>
      <c r="C14" s="387"/>
      <c r="D14" s="387"/>
      <c r="E14" s="385"/>
      <c r="F14" s="389"/>
      <c r="G14" s="391"/>
      <c r="H14" s="393"/>
      <c r="I14" s="387"/>
      <c r="J14" s="149" t="s">
        <v>155</v>
      </c>
      <c r="K14" s="150" t="s">
        <v>156</v>
      </c>
      <c r="L14" s="150" t="s">
        <v>157</v>
      </c>
      <c r="M14" s="149" t="s">
        <v>155</v>
      </c>
      <c r="N14" s="150" t="s">
        <v>156</v>
      </c>
      <c r="O14" s="150" t="s">
        <v>157</v>
      </c>
      <c r="P14" s="381"/>
      <c r="Q14" s="383"/>
    </row>
    <row r="15" spans="1:17" ht="15" customHeight="1">
      <c r="A15" s="44" t="e">
        <f ca="1">IF(Calcu!AB35=TRUE,"","삭제")</f>
        <v>#N/A</v>
      </c>
      <c r="C15" s="43"/>
      <c r="D15" s="43"/>
      <c r="E15" s="37" t="s">
        <v>851</v>
      </c>
      <c r="F15" s="51" t="e">
        <f ca="1">Calcu!AE35</f>
        <v>#N/A</v>
      </c>
      <c r="G15" s="51" t="s">
        <v>129</v>
      </c>
      <c r="H15" s="51" t="e">
        <f ca="1">Calcu!AJ35</f>
        <v>#N/A</v>
      </c>
      <c r="J15" s="37" t="e">
        <f ca="1">Calcu!AF35</f>
        <v>#N/A</v>
      </c>
      <c r="K15" s="37" t="e">
        <f ca="1">Calcu!AG35</f>
        <v>#N/A</v>
      </c>
      <c r="L15" s="37" t="e">
        <f ca="1">LEFT(Calcu!AK35,1)</f>
        <v>#N/A</v>
      </c>
      <c r="M15" s="37" t="s">
        <v>146</v>
      </c>
      <c r="N15" s="37" t="s">
        <v>146</v>
      </c>
      <c r="O15" s="37" t="s">
        <v>147</v>
      </c>
      <c r="Q15" s="37" t="e">
        <f ca="1">Calcu!AL35</f>
        <v>#N/A</v>
      </c>
    </row>
    <row r="16" spans="1:17" ht="15" customHeight="1">
      <c r="A16" s="44" t="e">
        <f ca="1">IF(Calcu!AB36=TRUE,"","삭제")</f>
        <v>#N/A</v>
      </c>
      <c r="C16" s="43"/>
      <c r="D16" s="43"/>
      <c r="E16" s="37" t="s">
        <v>851</v>
      </c>
      <c r="F16" s="51" t="e">
        <f ca="1">Calcu!AE36</f>
        <v>#N/A</v>
      </c>
      <c r="G16" s="51" t="s">
        <v>129</v>
      </c>
      <c r="H16" s="51" t="e">
        <f ca="1">Calcu!AJ36</f>
        <v>#N/A</v>
      </c>
      <c r="J16" s="37" t="e">
        <f ca="1">Calcu!AF36</f>
        <v>#N/A</v>
      </c>
      <c r="K16" s="37" t="e">
        <f ca="1">Calcu!AG36</f>
        <v>#N/A</v>
      </c>
      <c r="L16" s="37" t="e">
        <f ca="1">LEFT(Calcu!AK36,1)</f>
        <v>#N/A</v>
      </c>
      <c r="M16" s="37" t="s">
        <v>147</v>
      </c>
      <c r="N16" s="37" t="s">
        <v>147</v>
      </c>
      <c r="O16" s="37" t="s">
        <v>147</v>
      </c>
      <c r="Q16" s="37" t="e">
        <f ca="1">Calcu!AL36</f>
        <v>#N/A</v>
      </c>
    </row>
    <row r="17" spans="1:17" ht="15" customHeight="1">
      <c r="A17" s="44" t="e">
        <f ca="1">IF(Calcu!AB37=TRUE,"","삭제")</f>
        <v>#N/A</v>
      </c>
      <c r="C17" s="43"/>
      <c r="D17" s="43"/>
      <c r="E17" s="37" t="s">
        <v>851</v>
      </c>
      <c r="F17" s="51" t="e">
        <f ca="1">Calcu!AE37</f>
        <v>#N/A</v>
      </c>
      <c r="G17" s="51" t="s">
        <v>129</v>
      </c>
      <c r="H17" s="51" t="e">
        <f ca="1">Calcu!AJ37</f>
        <v>#N/A</v>
      </c>
      <c r="J17" s="37" t="e">
        <f ca="1">Calcu!AF37</f>
        <v>#N/A</v>
      </c>
      <c r="K17" s="37" t="e">
        <f ca="1">Calcu!AG37</f>
        <v>#N/A</v>
      </c>
      <c r="L17" s="37" t="e">
        <f ca="1">LEFT(Calcu!AK37,1)</f>
        <v>#N/A</v>
      </c>
      <c r="M17" s="37" t="s">
        <v>148</v>
      </c>
      <c r="N17" s="37" t="s">
        <v>148</v>
      </c>
      <c r="O17" s="37" t="s">
        <v>147</v>
      </c>
      <c r="Q17" s="37" t="e">
        <f ca="1">Calcu!AL37</f>
        <v>#N/A</v>
      </c>
    </row>
    <row r="18" spans="1:17" ht="15" customHeight="1">
      <c r="A18" s="44" t="e">
        <f ca="1">IF(Calcu!AB38=TRUE,"","삭제")</f>
        <v>#N/A</v>
      </c>
      <c r="C18" s="43"/>
      <c r="D18" s="43"/>
      <c r="E18" s="37" t="s">
        <v>851</v>
      </c>
      <c r="F18" s="51" t="e">
        <f ca="1">Calcu!AE38</f>
        <v>#N/A</v>
      </c>
      <c r="G18" s="51" t="s">
        <v>129</v>
      </c>
      <c r="H18" s="51" t="e">
        <f ca="1">Calcu!AJ38</f>
        <v>#N/A</v>
      </c>
      <c r="J18" s="37" t="e">
        <f ca="1">Calcu!AF38</f>
        <v>#N/A</v>
      </c>
      <c r="K18" s="37" t="e">
        <f ca="1">Calcu!AG38</f>
        <v>#N/A</v>
      </c>
      <c r="L18" s="37" t="e">
        <f ca="1">LEFT(Calcu!AK38,1)</f>
        <v>#N/A</v>
      </c>
      <c r="M18" s="37" t="s">
        <v>147</v>
      </c>
      <c r="N18" s="37" t="s">
        <v>147</v>
      </c>
      <c r="O18" s="37" t="s">
        <v>147</v>
      </c>
      <c r="Q18" s="37" t="e">
        <f ca="1">Calcu!AL38</f>
        <v>#N/A</v>
      </c>
    </row>
    <row r="19" spans="1:17" ht="15" customHeight="1">
      <c r="A19" s="44" t="e">
        <f ca="1">IF(Calcu!AB39=TRUE,"","삭제")</f>
        <v>#N/A</v>
      </c>
      <c r="C19" s="43"/>
      <c r="D19" s="43"/>
      <c r="E19" s="37" t="s">
        <v>851</v>
      </c>
      <c r="F19" s="51" t="e">
        <f ca="1">Calcu!AE39</f>
        <v>#N/A</v>
      </c>
      <c r="G19" s="51" t="s">
        <v>129</v>
      </c>
      <c r="H19" s="51" t="e">
        <f ca="1">Calcu!AJ39</f>
        <v>#N/A</v>
      </c>
      <c r="J19" s="37" t="e">
        <f ca="1">Calcu!AF39</f>
        <v>#N/A</v>
      </c>
      <c r="K19" s="37" t="e">
        <f ca="1">Calcu!AG39</f>
        <v>#N/A</v>
      </c>
      <c r="L19" s="37" t="e">
        <f ca="1">LEFT(Calcu!AK39,1)</f>
        <v>#N/A</v>
      </c>
      <c r="M19" s="37" t="s">
        <v>146</v>
      </c>
      <c r="N19" s="37" t="s">
        <v>147</v>
      </c>
      <c r="O19" s="37" t="s">
        <v>146</v>
      </c>
      <c r="Q19" s="37" t="e">
        <f ca="1">Calcu!AL39</f>
        <v>#N/A</v>
      </c>
    </row>
    <row r="20" spans="1:17" ht="15" customHeight="1">
      <c r="A20" s="44" t="e">
        <f ca="1">IF(Calcu!AB40=TRUE,"","삭제")</f>
        <v>#N/A</v>
      </c>
      <c r="C20" s="43"/>
      <c r="D20" s="43"/>
      <c r="E20" s="37" t="s">
        <v>851</v>
      </c>
      <c r="F20" s="51" t="e">
        <f ca="1">Calcu!AE40</f>
        <v>#N/A</v>
      </c>
      <c r="G20" s="51" t="s">
        <v>129</v>
      </c>
      <c r="H20" s="51" t="e">
        <f ca="1">Calcu!AJ40</f>
        <v>#N/A</v>
      </c>
      <c r="J20" s="37" t="e">
        <f ca="1">Calcu!AF40</f>
        <v>#N/A</v>
      </c>
      <c r="K20" s="37" t="e">
        <f ca="1">Calcu!AG40</f>
        <v>#N/A</v>
      </c>
      <c r="L20" s="37" t="e">
        <f ca="1">LEFT(Calcu!AK40,1)</f>
        <v>#N/A</v>
      </c>
      <c r="M20" s="37" t="s">
        <v>147</v>
      </c>
      <c r="N20" s="37" t="s">
        <v>146</v>
      </c>
      <c r="O20" s="37" t="s">
        <v>147</v>
      </c>
      <c r="Q20" s="37" t="e">
        <f ca="1">Calcu!AL40</f>
        <v>#N/A</v>
      </c>
    </row>
    <row r="21" spans="1:17" ht="15" customHeight="1">
      <c r="A21" s="44" t="e">
        <f ca="1">IF(Calcu!AB41=TRUE,"","삭제")</f>
        <v>#N/A</v>
      </c>
      <c r="C21" s="43"/>
      <c r="D21" s="43"/>
      <c r="E21" s="37" t="s">
        <v>851</v>
      </c>
      <c r="F21" s="51" t="e">
        <f ca="1">Calcu!AE41</f>
        <v>#N/A</v>
      </c>
      <c r="G21" s="51" t="s">
        <v>129</v>
      </c>
      <c r="H21" s="51" t="e">
        <f ca="1">Calcu!AJ41</f>
        <v>#N/A</v>
      </c>
      <c r="J21" s="37" t="e">
        <f ca="1">Calcu!AF41</f>
        <v>#N/A</v>
      </c>
      <c r="K21" s="37" t="e">
        <f ca="1">Calcu!AG41</f>
        <v>#N/A</v>
      </c>
      <c r="L21" s="37" t="e">
        <f ca="1">LEFT(Calcu!AK41,1)</f>
        <v>#N/A</v>
      </c>
      <c r="M21" s="37" t="s">
        <v>147</v>
      </c>
      <c r="N21" s="37" t="s">
        <v>148</v>
      </c>
      <c r="O21" s="37" t="s">
        <v>149</v>
      </c>
      <c r="Q21" s="37" t="e">
        <f ca="1">Calcu!AL41</f>
        <v>#N/A</v>
      </c>
    </row>
    <row r="22" spans="1:17" ht="15" customHeight="1">
      <c r="A22" s="44" t="e">
        <f ca="1">IF(Calcu!AB42=TRUE,"","삭제")</f>
        <v>#N/A</v>
      </c>
      <c r="C22" s="43"/>
      <c r="D22" s="43"/>
      <c r="E22" s="37" t="s">
        <v>851</v>
      </c>
      <c r="F22" s="51" t="e">
        <f ca="1">Calcu!AE42</f>
        <v>#N/A</v>
      </c>
      <c r="G22" s="51" t="s">
        <v>129</v>
      </c>
      <c r="H22" s="51" t="e">
        <f ca="1">Calcu!AJ42</f>
        <v>#N/A</v>
      </c>
      <c r="J22" s="37" t="e">
        <f ca="1">Calcu!AF42</f>
        <v>#N/A</v>
      </c>
      <c r="K22" s="37" t="e">
        <f ca="1">Calcu!AG42</f>
        <v>#N/A</v>
      </c>
      <c r="L22" s="37" t="e">
        <f ca="1">LEFT(Calcu!AK42,1)</f>
        <v>#N/A</v>
      </c>
      <c r="M22" s="37" t="s">
        <v>146</v>
      </c>
      <c r="N22" s="37" t="s">
        <v>147</v>
      </c>
      <c r="O22" s="37" t="s">
        <v>146</v>
      </c>
      <c r="Q22" s="37" t="e">
        <f ca="1">Calcu!AL42</f>
        <v>#N/A</v>
      </c>
    </row>
    <row r="23" spans="1:17" ht="15" customHeight="1">
      <c r="A23" s="44" t="e">
        <f ca="1">IF(Calcu!AB43=TRUE,"","삭제")</f>
        <v>#N/A</v>
      </c>
      <c r="C23" s="43"/>
      <c r="D23" s="43"/>
      <c r="E23" s="37" t="s">
        <v>851</v>
      </c>
      <c r="F23" s="51" t="e">
        <f ca="1">Calcu!AE43</f>
        <v>#N/A</v>
      </c>
      <c r="G23" s="51" t="s">
        <v>129</v>
      </c>
      <c r="H23" s="51" t="e">
        <f ca="1">Calcu!AJ43</f>
        <v>#N/A</v>
      </c>
      <c r="J23" s="37" t="e">
        <f ca="1">Calcu!AF43</f>
        <v>#N/A</v>
      </c>
      <c r="K23" s="37" t="e">
        <f ca="1">Calcu!AG43</f>
        <v>#N/A</v>
      </c>
      <c r="L23" s="37" t="e">
        <f ca="1">LEFT(Calcu!AK43,1)</f>
        <v>#N/A</v>
      </c>
      <c r="M23" s="37" t="s">
        <v>150</v>
      </c>
      <c r="N23" s="37" t="s">
        <v>151</v>
      </c>
      <c r="O23" s="37" t="s">
        <v>150</v>
      </c>
      <c r="Q23" s="37" t="e">
        <f ca="1">Calcu!AL43</f>
        <v>#N/A</v>
      </c>
    </row>
    <row r="24" spans="1:17" ht="15" customHeight="1">
      <c r="A24" s="44" t="e">
        <f ca="1">IF(Calcu!AB44=TRUE,"","삭제")</f>
        <v>#N/A</v>
      </c>
      <c r="C24" s="43"/>
      <c r="D24" s="43"/>
      <c r="E24" s="37" t="s">
        <v>851</v>
      </c>
      <c r="F24" s="51" t="e">
        <f ca="1">Calcu!AE44</f>
        <v>#N/A</v>
      </c>
      <c r="G24" s="51" t="s">
        <v>129</v>
      </c>
      <c r="H24" s="51" t="e">
        <f ca="1">Calcu!AJ44</f>
        <v>#N/A</v>
      </c>
      <c r="J24" s="37" t="e">
        <f ca="1">Calcu!AF44</f>
        <v>#N/A</v>
      </c>
      <c r="K24" s="37" t="e">
        <f ca="1">Calcu!AG44</f>
        <v>#N/A</v>
      </c>
      <c r="L24" s="37" t="e">
        <f ca="1">LEFT(Calcu!AK44,1)</f>
        <v>#N/A</v>
      </c>
      <c r="M24" s="37" t="s">
        <v>152</v>
      </c>
      <c r="N24" s="37" t="s">
        <v>153</v>
      </c>
      <c r="O24" s="37" t="s">
        <v>146</v>
      </c>
      <c r="Q24" s="37" t="e">
        <f ca="1">Calcu!AL44</f>
        <v>#N/A</v>
      </c>
    </row>
    <row r="25" spans="1:17" ht="15" customHeight="1">
      <c r="A25" s="44" t="e">
        <f ca="1">IF(Calcu!AB45=TRUE,"","삭제")</f>
        <v>#N/A</v>
      </c>
      <c r="C25" s="43"/>
      <c r="D25" s="43"/>
      <c r="E25" s="37" t="s">
        <v>851</v>
      </c>
      <c r="F25" s="51" t="e">
        <f ca="1">Calcu!AE45</f>
        <v>#N/A</v>
      </c>
      <c r="G25" s="51" t="s">
        <v>129</v>
      </c>
      <c r="H25" s="51" t="e">
        <f ca="1">Calcu!AJ45</f>
        <v>#N/A</v>
      </c>
      <c r="J25" s="37" t="e">
        <f ca="1">Calcu!AF45</f>
        <v>#N/A</v>
      </c>
      <c r="K25" s="37" t="e">
        <f ca="1">Calcu!AG45</f>
        <v>#N/A</v>
      </c>
      <c r="L25" s="37" t="e">
        <f ca="1">LEFT(Calcu!AK45,1)</f>
        <v>#N/A</v>
      </c>
      <c r="M25" s="37" t="s">
        <v>154</v>
      </c>
      <c r="N25" s="37" t="s">
        <v>154</v>
      </c>
      <c r="O25" s="37" t="s">
        <v>154</v>
      </c>
      <c r="Q25" s="37" t="e">
        <f ca="1">Calcu!AL45</f>
        <v>#N/A</v>
      </c>
    </row>
    <row r="26" spans="1:17" ht="15" customHeight="1">
      <c r="A26" s="44" t="e">
        <f ca="1">IF(Calcu!AB46=TRUE,"","삭제")</f>
        <v>#N/A</v>
      </c>
      <c r="C26" s="43"/>
      <c r="D26" s="43"/>
      <c r="E26" s="37" t="s">
        <v>851</v>
      </c>
      <c r="F26" s="51" t="e">
        <f ca="1">Calcu!AE46</f>
        <v>#N/A</v>
      </c>
      <c r="G26" s="51" t="s">
        <v>129</v>
      </c>
      <c r="H26" s="51" t="e">
        <f ca="1">Calcu!AJ46</f>
        <v>#N/A</v>
      </c>
      <c r="J26" s="37" t="e">
        <f ca="1">Calcu!AF46</f>
        <v>#N/A</v>
      </c>
      <c r="K26" s="37" t="e">
        <f ca="1">Calcu!AG46</f>
        <v>#N/A</v>
      </c>
      <c r="L26" s="37" t="e">
        <f ca="1">LEFT(Calcu!AK46,1)</f>
        <v>#N/A</v>
      </c>
      <c r="M26" s="37" t="s">
        <v>154</v>
      </c>
      <c r="N26" s="37" t="s">
        <v>154</v>
      </c>
      <c r="O26" s="37" t="s">
        <v>154</v>
      </c>
      <c r="Q26" s="37" t="e">
        <f ca="1">Calcu!AL46</f>
        <v>#N/A</v>
      </c>
    </row>
    <row r="27" spans="1:17" ht="15" customHeight="1">
      <c r="A27" s="44" t="e">
        <f ca="1">IF(Calcu!AB47=TRUE,"","삭제")</f>
        <v>#N/A</v>
      </c>
      <c r="C27" s="43"/>
      <c r="D27" s="43"/>
      <c r="E27" s="37" t="s">
        <v>851</v>
      </c>
      <c r="F27" s="51" t="e">
        <f ca="1">Calcu!AE47</f>
        <v>#N/A</v>
      </c>
      <c r="G27" s="51" t="s">
        <v>129</v>
      </c>
      <c r="H27" s="51" t="e">
        <f ca="1">Calcu!AJ47</f>
        <v>#N/A</v>
      </c>
      <c r="J27" s="37" t="e">
        <f ca="1">Calcu!AF47</f>
        <v>#N/A</v>
      </c>
      <c r="K27" s="37" t="e">
        <f ca="1">Calcu!AG47</f>
        <v>#N/A</v>
      </c>
      <c r="L27" s="37" t="e">
        <f ca="1">LEFT(Calcu!AK47,1)</f>
        <v>#N/A</v>
      </c>
      <c r="M27" s="37" t="s">
        <v>154</v>
      </c>
      <c r="N27" s="37" t="s">
        <v>154</v>
      </c>
      <c r="O27" s="37" t="s">
        <v>154</v>
      </c>
      <c r="Q27" s="37" t="e">
        <f ca="1">Calcu!AL47</f>
        <v>#N/A</v>
      </c>
    </row>
    <row r="28" spans="1:17" ht="15" customHeight="1">
      <c r="A28" s="44" t="e">
        <f ca="1">IF(Calcu!AB48=TRUE,"","삭제")</f>
        <v>#N/A</v>
      </c>
      <c r="C28" s="43"/>
      <c r="D28" s="43"/>
      <c r="E28" s="37" t="s">
        <v>851</v>
      </c>
      <c r="F28" s="51" t="e">
        <f ca="1">Calcu!AE48</f>
        <v>#N/A</v>
      </c>
      <c r="G28" s="51" t="s">
        <v>129</v>
      </c>
      <c r="H28" s="51" t="e">
        <f ca="1">Calcu!AJ48</f>
        <v>#N/A</v>
      </c>
      <c r="J28" s="37" t="e">
        <f ca="1">Calcu!AF48</f>
        <v>#N/A</v>
      </c>
      <c r="K28" s="37" t="e">
        <f ca="1">Calcu!AG48</f>
        <v>#N/A</v>
      </c>
      <c r="L28" s="37" t="e">
        <f ca="1">LEFT(Calcu!AK48,1)</f>
        <v>#N/A</v>
      </c>
      <c r="M28" s="37" t="s">
        <v>146</v>
      </c>
      <c r="N28" s="37" t="s">
        <v>154</v>
      </c>
      <c r="O28" s="37" t="s">
        <v>154</v>
      </c>
      <c r="Q28" s="37" t="e">
        <f ca="1">Calcu!AL48</f>
        <v>#N/A</v>
      </c>
    </row>
    <row r="29" spans="1:17" ht="15" customHeight="1">
      <c r="A29" s="44" t="e">
        <f ca="1">IF(Calcu!AB49=TRUE,"","삭제")</f>
        <v>#N/A</v>
      </c>
      <c r="C29" s="43"/>
      <c r="D29" s="43"/>
      <c r="E29" s="37" t="s">
        <v>851</v>
      </c>
      <c r="F29" s="51" t="e">
        <f ca="1">Calcu!AE49</f>
        <v>#N/A</v>
      </c>
      <c r="G29" s="51" t="s">
        <v>129</v>
      </c>
      <c r="H29" s="51" t="e">
        <f ca="1">Calcu!AJ49</f>
        <v>#N/A</v>
      </c>
      <c r="J29" s="37" t="e">
        <f ca="1">Calcu!AF49</f>
        <v>#N/A</v>
      </c>
      <c r="K29" s="37" t="e">
        <f ca="1">Calcu!AG49</f>
        <v>#N/A</v>
      </c>
      <c r="L29" s="37" t="e">
        <f ca="1">LEFT(Calcu!AK49,1)</f>
        <v>#N/A</v>
      </c>
      <c r="M29" s="37" t="s">
        <v>154</v>
      </c>
      <c r="N29" s="37" t="s">
        <v>154</v>
      </c>
      <c r="O29" s="37" t="s">
        <v>154</v>
      </c>
      <c r="Q29" s="37" t="e">
        <f ca="1">Calcu!AL49</f>
        <v>#N/A</v>
      </c>
    </row>
    <row r="30" spans="1:17" ht="15" customHeight="1">
      <c r="A30" s="44" t="e">
        <f ca="1">IF(Calcu!AB50=TRUE,"","삭제")</f>
        <v>#N/A</v>
      </c>
      <c r="C30" s="43"/>
      <c r="D30" s="43"/>
      <c r="E30" s="37" t="s">
        <v>851</v>
      </c>
      <c r="F30" s="51" t="e">
        <f ca="1">Calcu!AE50</f>
        <v>#N/A</v>
      </c>
      <c r="G30" s="51" t="s">
        <v>129</v>
      </c>
      <c r="H30" s="51" t="e">
        <f ca="1">Calcu!AJ50</f>
        <v>#N/A</v>
      </c>
      <c r="J30" s="37" t="e">
        <f ca="1">Calcu!AF50</f>
        <v>#N/A</v>
      </c>
      <c r="K30" s="37" t="e">
        <f ca="1">Calcu!AG50</f>
        <v>#N/A</v>
      </c>
      <c r="L30" s="37" t="e">
        <f ca="1">LEFT(Calcu!AK50,1)</f>
        <v>#N/A</v>
      </c>
      <c r="M30" s="37" t="s">
        <v>154</v>
      </c>
      <c r="N30" s="37" t="s">
        <v>148</v>
      </c>
      <c r="O30" s="37" t="s">
        <v>148</v>
      </c>
      <c r="Q30" s="37" t="e">
        <f ca="1">Calcu!AL50</f>
        <v>#N/A</v>
      </c>
    </row>
    <row r="31" spans="1:17" ht="15" customHeight="1">
      <c r="A31" s="44" t="e">
        <f ca="1">IF(Calcu!AB51=TRUE,"","삭제")</f>
        <v>#N/A</v>
      </c>
      <c r="C31" s="43"/>
      <c r="D31" s="43"/>
      <c r="E31" s="37" t="s">
        <v>851</v>
      </c>
      <c r="F31" s="51" t="e">
        <f ca="1">Calcu!AE51</f>
        <v>#N/A</v>
      </c>
      <c r="G31" s="51" t="s">
        <v>129</v>
      </c>
      <c r="H31" s="51" t="e">
        <f ca="1">Calcu!AJ51</f>
        <v>#N/A</v>
      </c>
      <c r="J31" s="37" t="e">
        <f ca="1">Calcu!AF51</f>
        <v>#N/A</v>
      </c>
      <c r="K31" s="37" t="e">
        <f ca="1">Calcu!AG51</f>
        <v>#N/A</v>
      </c>
      <c r="L31" s="37" t="e">
        <f ca="1">LEFT(Calcu!AK51,1)</f>
        <v>#N/A</v>
      </c>
      <c r="M31" s="37" t="s">
        <v>148</v>
      </c>
      <c r="N31" s="37" t="s">
        <v>154</v>
      </c>
      <c r="O31" s="37" t="s">
        <v>148</v>
      </c>
      <c r="Q31" s="37" t="e">
        <f ca="1">Calcu!AL51</f>
        <v>#N/A</v>
      </c>
    </row>
    <row r="32" spans="1:17" ht="15" customHeight="1">
      <c r="A32" s="44" t="e">
        <f ca="1">IF(Calcu!AB52=TRUE,"","삭제")</f>
        <v>#N/A</v>
      </c>
      <c r="C32" s="43"/>
      <c r="D32" s="43"/>
      <c r="E32" s="37" t="s">
        <v>851</v>
      </c>
      <c r="F32" s="51" t="e">
        <f ca="1">Calcu!AE52</f>
        <v>#N/A</v>
      </c>
      <c r="G32" s="51" t="s">
        <v>129</v>
      </c>
      <c r="H32" s="51" t="e">
        <f ca="1">Calcu!AJ52</f>
        <v>#N/A</v>
      </c>
      <c r="J32" s="37" t="e">
        <f ca="1">Calcu!AF52</f>
        <v>#N/A</v>
      </c>
      <c r="K32" s="37" t="e">
        <f ca="1">Calcu!AG52</f>
        <v>#N/A</v>
      </c>
      <c r="L32" s="37" t="e">
        <f ca="1">LEFT(Calcu!AK52,1)</f>
        <v>#N/A</v>
      </c>
      <c r="M32" s="37" t="s">
        <v>154</v>
      </c>
      <c r="N32" s="37" t="s">
        <v>154</v>
      </c>
      <c r="O32" s="37" t="s">
        <v>154</v>
      </c>
      <c r="Q32" s="37" t="e">
        <f ca="1">Calcu!AL52</f>
        <v>#N/A</v>
      </c>
    </row>
    <row r="33" spans="1:17" ht="15" customHeight="1">
      <c r="A33" s="44" t="e">
        <f ca="1">IF(Calcu!AB53=TRUE,"","삭제")</f>
        <v>#N/A</v>
      </c>
      <c r="C33" s="43"/>
      <c r="D33" s="43"/>
      <c r="E33" s="37" t="s">
        <v>851</v>
      </c>
      <c r="F33" s="51" t="e">
        <f ca="1">Calcu!AE53</f>
        <v>#N/A</v>
      </c>
      <c r="G33" s="51" t="s">
        <v>129</v>
      </c>
      <c r="H33" s="51" t="e">
        <f ca="1">Calcu!AJ53</f>
        <v>#N/A</v>
      </c>
      <c r="J33" s="37" t="e">
        <f ca="1">Calcu!AF53</f>
        <v>#N/A</v>
      </c>
      <c r="K33" s="37" t="e">
        <f ca="1">Calcu!AG53</f>
        <v>#N/A</v>
      </c>
      <c r="L33" s="37" t="e">
        <f ca="1">LEFT(Calcu!AK53,1)</f>
        <v>#N/A</v>
      </c>
      <c r="M33" s="37" t="s">
        <v>154</v>
      </c>
      <c r="N33" s="37" t="s">
        <v>148</v>
      </c>
      <c r="O33" s="37" t="s">
        <v>148</v>
      </c>
      <c r="Q33" s="37" t="e">
        <f ca="1">Calcu!AL53</f>
        <v>#N/A</v>
      </c>
    </row>
    <row r="34" spans="1:17" ht="15" customHeight="1">
      <c r="A34" s="44" t="e">
        <f ca="1">IF(Calcu!AB54=TRUE,"","삭제")</f>
        <v>#N/A</v>
      </c>
      <c r="C34" s="43"/>
      <c r="D34" s="43"/>
      <c r="E34" s="37" t="s">
        <v>851</v>
      </c>
      <c r="F34" s="51" t="e">
        <f ca="1">Calcu!AE54</f>
        <v>#N/A</v>
      </c>
      <c r="G34" s="51" t="s">
        <v>129</v>
      </c>
      <c r="H34" s="51" t="e">
        <f ca="1">Calcu!AJ54</f>
        <v>#N/A</v>
      </c>
      <c r="J34" s="37" t="e">
        <f ca="1">Calcu!AF54</f>
        <v>#N/A</v>
      </c>
      <c r="K34" s="37" t="e">
        <f ca="1">Calcu!AG54</f>
        <v>#N/A</v>
      </c>
      <c r="L34" s="37" t="e">
        <f ca="1">LEFT(Calcu!AK54,1)</f>
        <v>#N/A</v>
      </c>
      <c r="M34" s="37" t="s">
        <v>154</v>
      </c>
      <c r="N34" s="37" t="s">
        <v>148</v>
      </c>
      <c r="O34" s="37" t="s">
        <v>148</v>
      </c>
      <c r="Q34" s="37" t="e">
        <f ca="1">Calcu!AL54</f>
        <v>#N/A</v>
      </c>
    </row>
    <row r="35" spans="1:17" ht="15" customHeight="1">
      <c r="A35" s="44"/>
      <c r="C35" s="43"/>
      <c r="D35" s="43"/>
      <c r="F35" s="51"/>
      <c r="G35" s="51"/>
      <c r="H35" s="51"/>
    </row>
    <row r="36" spans="1:17" ht="15" customHeight="1">
      <c r="A36" s="44" t="e">
        <f ca="1">IF(Calcu!AB60=TRUE,"","삭제")</f>
        <v>#N/A</v>
      </c>
      <c r="C36" s="43"/>
      <c r="D36" s="43"/>
      <c r="E36" s="37" t="s">
        <v>852</v>
      </c>
      <c r="F36" s="51" t="e">
        <f ca="1">Calcu!AE60</f>
        <v>#N/A</v>
      </c>
      <c r="G36" s="51" t="s">
        <v>129</v>
      </c>
      <c r="H36" s="51" t="e">
        <f ca="1">Calcu!AJ60</f>
        <v>#N/A</v>
      </c>
      <c r="J36" s="37" t="e">
        <f ca="1">Calcu!AF60</f>
        <v>#N/A</v>
      </c>
      <c r="K36" s="37" t="e">
        <f ca="1">Calcu!AG60</f>
        <v>#N/A</v>
      </c>
      <c r="L36" s="37" t="e">
        <f ca="1">LEFT(Calcu!AK60,1)</f>
        <v>#N/A</v>
      </c>
      <c r="M36" s="37" t="s">
        <v>146</v>
      </c>
      <c r="N36" s="37" t="s">
        <v>146</v>
      </c>
      <c r="O36" s="37" t="s">
        <v>146</v>
      </c>
      <c r="Q36" s="37" t="e">
        <f ca="1">Calcu!AL60</f>
        <v>#N/A</v>
      </c>
    </row>
    <row r="37" spans="1:17" ht="15" customHeight="1">
      <c r="A37" s="44" t="e">
        <f ca="1">IF(Calcu!AB61=TRUE,"","삭제")</f>
        <v>#N/A</v>
      </c>
      <c r="C37" s="43"/>
      <c r="D37" s="43"/>
      <c r="E37" s="37" t="s">
        <v>852</v>
      </c>
      <c r="F37" s="51" t="e">
        <f ca="1">Calcu!AE61</f>
        <v>#N/A</v>
      </c>
      <c r="G37" s="51" t="s">
        <v>129</v>
      </c>
      <c r="H37" s="51" t="e">
        <f ca="1">Calcu!AJ61</f>
        <v>#N/A</v>
      </c>
      <c r="J37" s="37" t="e">
        <f ca="1">Calcu!AF61</f>
        <v>#N/A</v>
      </c>
      <c r="K37" s="37" t="e">
        <f ca="1">Calcu!AG61</f>
        <v>#N/A</v>
      </c>
      <c r="L37" s="37" t="e">
        <f ca="1">LEFT(Calcu!AK61,1)</f>
        <v>#N/A</v>
      </c>
      <c r="M37" s="37" t="s">
        <v>146</v>
      </c>
      <c r="N37" s="37" t="s">
        <v>146</v>
      </c>
      <c r="O37" s="37" t="s">
        <v>146</v>
      </c>
      <c r="Q37" s="37" t="e">
        <f ca="1">Calcu!AL61</f>
        <v>#N/A</v>
      </c>
    </row>
    <row r="38" spans="1:17" ht="15" customHeight="1">
      <c r="A38" s="44" t="e">
        <f ca="1">IF(Calcu!AB62=TRUE,"","삭제")</f>
        <v>#N/A</v>
      </c>
      <c r="C38" s="43"/>
      <c r="D38" s="43"/>
      <c r="E38" s="37" t="s">
        <v>852</v>
      </c>
      <c r="F38" s="51" t="e">
        <f ca="1">Calcu!AE62</f>
        <v>#N/A</v>
      </c>
      <c r="G38" s="51" t="s">
        <v>129</v>
      </c>
      <c r="H38" s="51" t="e">
        <f ca="1">Calcu!AJ62</f>
        <v>#N/A</v>
      </c>
      <c r="J38" s="37" t="e">
        <f ca="1">Calcu!AF62</f>
        <v>#N/A</v>
      </c>
      <c r="K38" s="37" t="e">
        <f ca="1">Calcu!AG62</f>
        <v>#N/A</v>
      </c>
      <c r="L38" s="37" t="e">
        <f ca="1">LEFT(Calcu!AK62,1)</f>
        <v>#N/A</v>
      </c>
      <c r="M38" s="37" t="s">
        <v>146</v>
      </c>
      <c r="N38" s="37" t="s">
        <v>146</v>
      </c>
      <c r="O38" s="37" t="s">
        <v>146</v>
      </c>
      <c r="Q38" s="37" t="e">
        <f ca="1">Calcu!AL62</f>
        <v>#N/A</v>
      </c>
    </row>
    <row r="39" spans="1:17" ht="15" customHeight="1">
      <c r="A39" s="44" t="e">
        <f ca="1">IF(Calcu!AB63=TRUE,"","삭제")</f>
        <v>#N/A</v>
      </c>
      <c r="C39" s="43"/>
      <c r="D39" s="43"/>
      <c r="E39" s="37" t="s">
        <v>852</v>
      </c>
      <c r="F39" s="51" t="e">
        <f ca="1">Calcu!AE63</f>
        <v>#N/A</v>
      </c>
      <c r="G39" s="51" t="s">
        <v>129</v>
      </c>
      <c r="H39" s="51" t="e">
        <f ca="1">Calcu!AJ63</f>
        <v>#N/A</v>
      </c>
      <c r="J39" s="37" t="e">
        <f ca="1">Calcu!AF63</f>
        <v>#N/A</v>
      </c>
      <c r="K39" s="37" t="e">
        <f ca="1">Calcu!AG63</f>
        <v>#N/A</v>
      </c>
      <c r="L39" s="37" t="e">
        <f ca="1">LEFT(Calcu!AK63,1)</f>
        <v>#N/A</v>
      </c>
      <c r="M39" s="37" t="s">
        <v>146</v>
      </c>
      <c r="N39" s="37" t="s">
        <v>146</v>
      </c>
      <c r="O39" s="37" t="s">
        <v>146</v>
      </c>
      <c r="Q39" s="37" t="e">
        <f ca="1">Calcu!AL63</f>
        <v>#N/A</v>
      </c>
    </row>
    <row r="40" spans="1:17" ht="15" customHeight="1">
      <c r="A40" s="44" t="e">
        <f ca="1">IF(Calcu!AB64=TRUE,"","삭제")</f>
        <v>#N/A</v>
      </c>
      <c r="C40" s="43"/>
      <c r="D40" s="43"/>
      <c r="E40" s="37" t="s">
        <v>852</v>
      </c>
      <c r="F40" s="51" t="e">
        <f ca="1">Calcu!AE64</f>
        <v>#N/A</v>
      </c>
      <c r="G40" s="51" t="s">
        <v>129</v>
      </c>
      <c r="H40" s="51" t="e">
        <f ca="1">Calcu!AJ64</f>
        <v>#N/A</v>
      </c>
      <c r="J40" s="37" t="e">
        <f ca="1">Calcu!AF64</f>
        <v>#N/A</v>
      </c>
      <c r="K40" s="37" t="e">
        <f ca="1">Calcu!AG64</f>
        <v>#N/A</v>
      </c>
      <c r="L40" s="37" t="e">
        <f ca="1">LEFT(Calcu!AK64,1)</f>
        <v>#N/A</v>
      </c>
      <c r="M40" s="37" t="s">
        <v>146</v>
      </c>
      <c r="N40" s="37" t="s">
        <v>146</v>
      </c>
      <c r="O40" s="37" t="s">
        <v>146</v>
      </c>
      <c r="Q40" s="37" t="e">
        <f ca="1">Calcu!AL64</f>
        <v>#N/A</v>
      </c>
    </row>
    <row r="41" spans="1:17" ht="15" customHeight="1">
      <c r="A41" s="44" t="e">
        <f ca="1">IF(Calcu!AB65=TRUE,"","삭제")</f>
        <v>#N/A</v>
      </c>
      <c r="C41" s="43"/>
      <c r="D41" s="43"/>
      <c r="E41" s="37" t="s">
        <v>852</v>
      </c>
      <c r="F41" s="51" t="e">
        <f ca="1">Calcu!AE65</f>
        <v>#N/A</v>
      </c>
      <c r="G41" s="51" t="s">
        <v>129</v>
      </c>
      <c r="H41" s="51" t="e">
        <f ca="1">Calcu!AJ65</f>
        <v>#N/A</v>
      </c>
      <c r="J41" s="37" t="e">
        <f ca="1">Calcu!AF65</f>
        <v>#N/A</v>
      </c>
      <c r="K41" s="37" t="e">
        <f ca="1">Calcu!AG65</f>
        <v>#N/A</v>
      </c>
      <c r="L41" s="37" t="e">
        <f ca="1">LEFT(Calcu!AK65,1)</f>
        <v>#N/A</v>
      </c>
      <c r="M41" s="37" t="s">
        <v>146</v>
      </c>
      <c r="N41" s="37" t="s">
        <v>146</v>
      </c>
      <c r="O41" s="37" t="s">
        <v>146</v>
      </c>
      <c r="Q41" s="37" t="e">
        <f ca="1">Calcu!AL65</f>
        <v>#N/A</v>
      </c>
    </row>
    <row r="42" spans="1:17" ht="15" customHeight="1">
      <c r="A42" s="44" t="e">
        <f ca="1">IF(Calcu!AB66=TRUE,"","삭제")</f>
        <v>#N/A</v>
      </c>
      <c r="C42" s="43"/>
      <c r="D42" s="43"/>
      <c r="E42" s="37" t="s">
        <v>852</v>
      </c>
      <c r="F42" s="51" t="e">
        <f ca="1">Calcu!AE66</f>
        <v>#N/A</v>
      </c>
      <c r="G42" s="51" t="s">
        <v>129</v>
      </c>
      <c r="H42" s="51" t="e">
        <f ca="1">Calcu!AJ66</f>
        <v>#N/A</v>
      </c>
      <c r="J42" s="37" t="e">
        <f ca="1">Calcu!AF66</f>
        <v>#N/A</v>
      </c>
      <c r="K42" s="37" t="e">
        <f ca="1">Calcu!AG66</f>
        <v>#N/A</v>
      </c>
      <c r="L42" s="37" t="e">
        <f ca="1">LEFT(Calcu!AK66,1)</f>
        <v>#N/A</v>
      </c>
      <c r="M42" s="37" t="s">
        <v>146</v>
      </c>
      <c r="N42" s="37" t="s">
        <v>146</v>
      </c>
      <c r="O42" s="37" t="s">
        <v>146</v>
      </c>
      <c r="Q42" s="37" t="e">
        <f ca="1">Calcu!AL66</f>
        <v>#N/A</v>
      </c>
    </row>
    <row r="43" spans="1:17" ht="15" customHeight="1">
      <c r="A43" s="44" t="e">
        <f ca="1">IF(Calcu!AB67=TRUE,"","삭제")</f>
        <v>#N/A</v>
      </c>
      <c r="C43" s="43"/>
      <c r="D43" s="43"/>
      <c r="E43" s="37" t="s">
        <v>852</v>
      </c>
      <c r="F43" s="51" t="e">
        <f ca="1">Calcu!AE67</f>
        <v>#N/A</v>
      </c>
      <c r="G43" s="51" t="s">
        <v>129</v>
      </c>
      <c r="H43" s="51" t="e">
        <f ca="1">Calcu!AJ67</f>
        <v>#N/A</v>
      </c>
      <c r="J43" s="37" t="e">
        <f ca="1">Calcu!AF67</f>
        <v>#N/A</v>
      </c>
      <c r="K43" s="37" t="e">
        <f ca="1">Calcu!AG67</f>
        <v>#N/A</v>
      </c>
      <c r="L43" s="37" t="e">
        <f ca="1">LEFT(Calcu!AK67,1)</f>
        <v>#N/A</v>
      </c>
      <c r="M43" s="37" t="s">
        <v>146</v>
      </c>
      <c r="N43" s="37" t="s">
        <v>146</v>
      </c>
      <c r="O43" s="37" t="s">
        <v>146</v>
      </c>
      <c r="Q43" s="37" t="e">
        <f ca="1">Calcu!AL67</f>
        <v>#N/A</v>
      </c>
    </row>
    <row r="44" spans="1:17" ht="15" customHeight="1">
      <c r="A44" s="44" t="e">
        <f ca="1">IF(Calcu!AB68=TRUE,"","삭제")</f>
        <v>#N/A</v>
      </c>
      <c r="C44" s="43"/>
      <c r="D44" s="43"/>
      <c r="E44" s="37" t="s">
        <v>852</v>
      </c>
      <c r="F44" s="51" t="e">
        <f ca="1">Calcu!AE68</f>
        <v>#N/A</v>
      </c>
      <c r="G44" s="51" t="s">
        <v>129</v>
      </c>
      <c r="H44" s="51" t="e">
        <f ca="1">Calcu!AJ68</f>
        <v>#N/A</v>
      </c>
      <c r="J44" s="37" t="e">
        <f ca="1">Calcu!AF68</f>
        <v>#N/A</v>
      </c>
      <c r="K44" s="37" t="e">
        <f ca="1">Calcu!AG68</f>
        <v>#N/A</v>
      </c>
      <c r="L44" s="37" t="e">
        <f ca="1">LEFT(Calcu!AK68,1)</f>
        <v>#N/A</v>
      </c>
      <c r="M44" s="37" t="s">
        <v>146</v>
      </c>
      <c r="N44" s="37" t="s">
        <v>146</v>
      </c>
      <c r="O44" s="37" t="s">
        <v>146</v>
      </c>
      <c r="Q44" s="37" t="e">
        <f ca="1">Calcu!AL68</f>
        <v>#N/A</v>
      </c>
    </row>
    <row r="45" spans="1:17" ht="15" customHeight="1">
      <c r="A45" s="44" t="e">
        <f ca="1">IF(Calcu!AB69=TRUE,"","삭제")</f>
        <v>#N/A</v>
      </c>
      <c r="C45" s="43"/>
      <c r="D45" s="43"/>
      <c r="E45" s="37" t="s">
        <v>852</v>
      </c>
      <c r="F45" s="51" t="e">
        <f ca="1">Calcu!AE69</f>
        <v>#N/A</v>
      </c>
      <c r="G45" s="51" t="s">
        <v>129</v>
      </c>
      <c r="H45" s="51" t="e">
        <f ca="1">Calcu!AJ69</f>
        <v>#N/A</v>
      </c>
      <c r="J45" s="37" t="e">
        <f ca="1">Calcu!AF69</f>
        <v>#N/A</v>
      </c>
      <c r="K45" s="37" t="e">
        <f ca="1">Calcu!AG69</f>
        <v>#N/A</v>
      </c>
      <c r="L45" s="37" t="e">
        <f ca="1">LEFT(Calcu!AK69,1)</f>
        <v>#N/A</v>
      </c>
      <c r="M45" s="37" t="s">
        <v>146</v>
      </c>
      <c r="N45" s="37" t="s">
        <v>146</v>
      </c>
      <c r="O45" s="37" t="s">
        <v>146</v>
      </c>
      <c r="Q45" s="37" t="e">
        <f ca="1">Calcu!AL69</f>
        <v>#N/A</v>
      </c>
    </row>
    <row r="46" spans="1:17" ht="15" customHeight="1">
      <c r="A46" s="44" t="e">
        <f ca="1">IF(Calcu!AB70=TRUE,"","삭제")</f>
        <v>#N/A</v>
      </c>
      <c r="C46" s="43"/>
      <c r="D46" s="43"/>
      <c r="E46" s="37" t="s">
        <v>852</v>
      </c>
      <c r="F46" s="51" t="e">
        <f ca="1">Calcu!AE70</f>
        <v>#N/A</v>
      </c>
      <c r="G46" s="51" t="s">
        <v>129</v>
      </c>
      <c r="H46" s="51" t="e">
        <f ca="1">Calcu!AJ70</f>
        <v>#N/A</v>
      </c>
      <c r="J46" s="37" t="e">
        <f ca="1">Calcu!AF70</f>
        <v>#N/A</v>
      </c>
      <c r="K46" s="37" t="e">
        <f ca="1">Calcu!AG70</f>
        <v>#N/A</v>
      </c>
      <c r="L46" s="37" t="e">
        <f ca="1">LEFT(Calcu!AK70,1)</f>
        <v>#N/A</v>
      </c>
      <c r="M46" s="37" t="s">
        <v>146</v>
      </c>
      <c r="N46" s="37" t="s">
        <v>146</v>
      </c>
      <c r="O46" s="37" t="s">
        <v>146</v>
      </c>
      <c r="Q46" s="37" t="e">
        <f ca="1">Calcu!AL70</f>
        <v>#N/A</v>
      </c>
    </row>
    <row r="47" spans="1:17" ht="15" customHeight="1">
      <c r="A47" s="44" t="e">
        <f ca="1">IF(Calcu!AB71=TRUE,"","삭제")</f>
        <v>#N/A</v>
      </c>
      <c r="C47" s="43"/>
      <c r="D47" s="43"/>
      <c r="E47" s="37" t="s">
        <v>852</v>
      </c>
      <c r="F47" s="51" t="e">
        <f ca="1">Calcu!AE71</f>
        <v>#N/A</v>
      </c>
      <c r="G47" s="51" t="s">
        <v>129</v>
      </c>
      <c r="H47" s="51" t="e">
        <f ca="1">Calcu!AJ71</f>
        <v>#N/A</v>
      </c>
      <c r="J47" s="37" t="e">
        <f ca="1">Calcu!AF71</f>
        <v>#N/A</v>
      </c>
      <c r="K47" s="37" t="e">
        <f ca="1">Calcu!AG71</f>
        <v>#N/A</v>
      </c>
      <c r="L47" s="37" t="e">
        <f ca="1">LEFT(Calcu!AK71,1)</f>
        <v>#N/A</v>
      </c>
      <c r="M47" s="37" t="s">
        <v>146</v>
      </c>
      <c r="N47" s="37" t="s">
        <v>146</v>
      </c>
      <c r="O47" s="37" t="s">
        <v>146</v>
      </c>
      <c r="Q47" s="37" t="e">
        <f ca="1">Calcu!AL71</f>
        <v>#N/A</v>
      </c>
    </row>
    <row r="48" spans="1:17" ht="15" customHeight="1">
      <c r="A48" s="44" t="e">
        <f ca="1">IF(Calcu!AB72=TRUE,"","삭제")</f>
        <v>#N/A</v>
      </c>
      <c r="C48" s="43"/>
      <c r="D48" s="43"/>
      <c r="E48" s="37" t="s">
        <v>852</v>
      </c>
      <c r="F48" s="51" t="e">
        <f ca="1">Calcu!AE72</f>
        <v>#N/A</v>
      </c>
      <c r="G48" s="51" t="s">
        <v>129</v>
      </c>
      <c r="H48" s="51" t="e">
        <f ca="1">Calcu!AJ72</f>
        <v>#N/A</v>
      </c>
      <c r="J48" s="37" t="e">
        <f ca="1">Calcu!AF72</f>
        <v>#N/A</v>
      </c>
      <c r="K48" s="37" t="e">
        <f ca="1">Calcu!AG72</f>
        <v>#N/A</v>
      </c>
      <c r="L48" s="37" t="e">
        <f ca="1">LEFT(Calcu!AK72,1)</f>
        <v>#N/A</v>
      </c>
      <c r="M48" s="37" t="s">
        <v>146</v>
      </c>
      <c r="N48" s="37" t="s">
        <v>146</v>
      </c>
      <c r="O48" s="37" t="s">
        <v>146</v>
      </c>
      <c r="Q48" s="37" t="e">
        <f ca="1">Calcu!AL72</f>
        <v>#N/A</v>
      </c>
    </row>
    <row r="49" spans="1:17" ht="15" customHeight="1">
      <c r="A49" s="44" t="e">
        <f ca="1">IF(Calcu!AB73=TRUE,"","삭제")</f>
        <v>#N/A</v>
      </c>
      <c r="C49" s="43"/>
      <c r="D49" s="43"/>
      <c r="E49" s="37" t="s">
        <v>852</v>
      </c>
      <c r="F49" s="51" t="e">
        <f ca="1">Calcu!AE73</f>
        <v>#N/A</v>
      </c>
      <c r="G49" s="51" t="s">
        <v>129</v>
      </c>
      <c r="H49" s="51" t="e">
        <f ca="1">Calcu!AJ73</f>
        <v>#N/A</v>
      </c>
      <c r="J49" s="37" t="e">
        <f ca="1">Calcu!AF73</f>
        <v>#N/A</v>
      </c>
      <c r="K49" s="37" t="e">
        <f ca="1">Calcu!AG73</f>
        <v>#N/A</v>
      </c>
      <c r="L49" s="37" t="e">
        <f ca="1">LEFT(Calcu!AK73,1)</f>
        <v>#N/A</v>
      </c>
      <c r="M49" s="37" t="s">
        <v>146</v>
      </c>
      <c r="N49" s="37" t="s">
        <v>146</v>
      </c>
      <c r="O49" s="37" t="s">
        <v>146</v>
      </c>
      <c r="Q49" s="37" t="e">
        <f ca="1">Calcu!AL73</f>
        <v>#N/A</v>
      </c>
    </row>
    <row r="50" spans="1:17" ht="15" customHeight="1">
      <c r="A50" s="44" t="e">
        <f ca="1">IF(Calcu!AB74=TRUE,"","삭제")</f>
        <v>#N/A</v>
      </c>
      <c r="C50" s="43"/>
      <c r="D50" s="43"/>
      <c r="E50" s="37" t="s">
        <v>852</v>
      </c>
      <c r="F50" s="51" t="e">
        <f ca="1">Calcu!AE74</f>
        <v>#N/A</v>
      </c>
      <c r="G50" s="51" t="s">
        <v>129</v>
      </c>
      <c r="H50" s="51" t="e">
        <f ca="1">Calcu!AJ74</f>
        <v>#N/A</v>
      </c>
      <c r="J50" s="37" t="e">
        <f ca="1">Calcu!AF74</f>
        <v>#N/A</v>
      </c>
      <c r="K50" s="37" t="e">
        <f ca="1">Calcu!AG74</f>
        <v>#N/A</v>
      </c>
      <c r="L50" s="37" t="e">
        <f ca="1">LEFT(Calcu!AK74,1)</f>
        <v>#N/A</v>
      </c>
      <c r="M50" s="37" t="s">
        <v>146</v>
      </c>
      <c r="N50" s="37" t="s">
        <v>146</v>
      </c>
      <c r="O50" s="37" t="s">
        <v>146</v>
      </c>
      <c r="Q50" s="37" t="e">
        <f ca="1">Calcu!AL74</f>
        <v>#N/A</v>
      </c>
    </row>
    <row r="51" spans="1:17" ht="15" customHeight="1">
      <c r="A51" s="44" t="e">
        <f ca="1">IF(Calcu!AB75=TRUE,"","삭제")</f>
        <v>#N/A</v>
      </c>
      <c r="C51" s="43"/>
      <c r="D51" s="43"/>
      <c r="E51" s="37" t="s">
        <v>852</v>
      </c>
      <c r="F51" s="51" t="e">
        <f ca="1">Calcu!AE75</f>
        <v>#N/A</v>
      </c>
      <c r="G51" s="51" t="s">
        <v>129</v>
      </c>
      <c r="H51" s="51" t="e">
        <f ca="1">Calcu!AJ75</f>
        <v>#N/A</v>
      </c>
      <c r="J51" s="37" t="e">
        <f ca="1">Calcu!AF75</f>
        <v>#N/A</v>
      </c>
      <c r="K51" s="37" t="e">
        <f ca="1">Calcu!AG75</f>
        <v>#N/A</v>
      </c>
      <c r="L51" s="37" t="e">
        <f ca="1">LEFT(Calcu!AK75,1)</f>
        <v>#N/A</v>
      </c>
      <c r="M51" s="37" t="s">
        <v>146</v>
      </c>
      <c r="N51" s="37" t="s">
        <v>146</v>
      </c>
      <c r="O51" s="37" t="s">
        <v>146</v>
      </c>
      <c r="Q51" s="37" t="e">
        <f ca="1">Calcu!AL75</f>
        <v>#N/A</v>
      </c>
    </row>
    <row r="52" spans="1:17" ht="15" customHeight="1">
      <c r="A52" s="44" t="e">
        <f ca="1">IF(Calcu!AB76=TRUE,"","삭제")</f>
        <v>#N/A</v>
      </c>
      <c r="C52" s="43"/>
      <c r="D52" s="43"/>
      <c r="E52" s="37" t="s">
        <v>852</v>
      </c>
      <c r="F52" s="51" t="e">
        <f ca="1">Calcu!AE76</f>
        <v>#N/A</v>
      </c>
      <c r="G52" s="51" t="s">
        <v>129</v>
      </c>
      <c r="H52" s="51" t="e">
        <f ca="1">Calcu!AJ76</f>
        <v>#N/A</v>
      </c>
      <c r="J52" s="37" t="e">
        <f ca="1">Calcu!AF76</f>
        <v>#N/A</v>
      </c>
      <c r="K52" s="37" t="e">
        <f ca="1">Calcu!AG76</f>
        <v>#N/A</v>
      </c>
      <c r="L52" s="37" t="e">
        <f ca="1">LEFT(Calcu!AK76,1)</f>
        <v>#N/A</v>
      </c>
      <c r="M52" s="37" t="s">
        <v>146</v>
      </c>
      <c r="N52" s="37" t="s">
        <v>146</v>
      </c>
      <c r="O52" s="37" t="s">
        <v>146</v>
      </c>
      <c r="Q52" s="37" t="e">
        <f ca="1">Calcu!AL76</f>
        <v>#N/A</v>
      </c>
    </row>
    <row r="53" spans="1:17" ht="15" customHeight="1">
      <c r="A53" s="44" t="e">
        <f ca="1">IF(Calcu!AB77=TRUE,"","삭제")</f>
        <v>#N/A</v>
      </c>
      <c r="C53" s="43"/>
      <c r="D53" s="43"/>
      <c r="E53" s="37" t="s">
        <v>852</v>
      </c>
      <c r="F53" s="51" t="e">
        <f ca="1">Calcu!AE77</f>
        <v>#N/A</v>
      </c>
      <c r="G53" s="51" t="s">
        <v>129</v>
      </c>
      <c r="H53" s="51" t="e">
        <f ca="1">Calcu!AJ77</f>
        <v>#N/A</v>
      </c>
      <c r="J53" s="37" t="e">
        <f ca="1">Calcu!AF77</f>
        <v>#N/A</v>
      </c>
      <c r="K53" s="37" t="e">
        <f ca="1">Calcu!AG77</f>
        <v>#N/A</v>
      </c>
      <c r="L53" s="37" t="e">
        <f ca="1">LEFT(Calcu!AK77,1)</f>
        <v>#N/A</v>
      </c>
      <c r="M53" s="37" t="s">
        <v>146</v>
      </c>
      <c r="N53" s="37" t="s">
        <v>146</v>
      </c>
      <c r="O53" s="37" t="s">
        <v>146</v>
      </c>
      <c r="Q53" s="37" t="e">
        <f ca="1">Calcu!AL77</f>
        <v>#N/A</v>
      </c>
    </row>
    <row r="54" spans="1:17" ht="15" customHeight="1">
      <c r="A54" s="44" t="e">
        <f ca="1">IF(Calcu!AB78=TRUE,"","삭제")</f>
        <v>#N/A</v>
      </c>
      <c r="C54" s="43"/>
      <c r="D54" s="43"/>
      <c r="E54" s="37" t="s">
        <v>852</v>
      </c>
      <c r="F54" s="51" t="e">
        <f ca="1">Calcu!AE78</f>
        <v>#N/A</v>
      </c>
      <c r="G54" s="51" t="s">
        <v>129</v>
      </c>
      <c r="H54" s="51" t="e">
        <f ca="1">Calcu!AJ78</f>
        <v>#N/A</v>
      </c>
      <c r="J54" s="37" t="e">
        <f ca="1">Calcu!AF78</f>
        <v>#N/A</v>
      </c>
      <c r="K54" s="37" t="e">
        <f ca="1">Calcu!AG78</f>
        <v>#N/A</v>
      </c>
      <c r="L54" s="37" t="e">
        <f ca="1">LEFT(Calcu!AK78,1)</f>
        <v>#N/A</v>
      </c>
      <c r="M54" s="37" t="s">
        <v>146</v>
      </c>
      <c r="N54" s="37" t="s">
        <v>146</v>
      </c>
      <c r="O54" s="37" t="s">
        <v>146</v>
      </c>
      <c r="Q54" s="37" t="e">
        <f ca="1">Calcu!AL78</f>
        <v>#N/A</v>
      </c>
    </row>
    <row r="55" spans="1:17" ht="15" customHeight="1">
      <c r="A55" s="44" t="e">
        <f ca="1">IF(Calcu!AB79=TRUE,"","삭제")</f>
        <v>#N/A</v>
      </c>
      <c r="C55" s="43"/>
      <c r="D55" s="43"/>
      <c r="E55" s="37" t="s">
        <v>852</v>
      </c>
      <c r="F55" s="51" t="e">
        <f ca="1">Calcu!AE79</f>
        <v>#N/A</v>
      </c>
      <c r="G55" s="51" t="s">
        <v>129</v>
      </c>
      <c r="H55" s="51" t="e">
        <f ca="1">Calcu!AJ79</f>
        <v>#N/A</v>
      </c>
      <c r="J55" s="37" t="e">
        <f ca="1">Calcu!AF79</f>
        <v>#N/A</v>
      </c>
      <c r="K55" s="37" t="e">
        <f ca="1">Calcu!AG79</f>
        <v>#N/A</v>
      </c>
      <c r="L55" s="37" t="e">
        <f ca="1">LEFT(Calcu!AK79,1)</f>
        <v>#N/A</v>
      </c>
      <c r="M55" s="37" t="s">
        <v>146</v>
      </c>
      <c r="N55" s="37" t="s">
        <v>146</v>
      </c>
      <c r="O55" s="37" t="s">
        <v>146</v>
      </c>
      <c r="Q55" s="37" t="e">
        <f ca="1">Calcu!AL79</f>
        <v>#N/A</v>
      </c>
    </row>
    <row r="56" spans="1:17" ht="15" customHeight="1">
      <c r="A56" s="44"/>
      <c r="C56" s="43"/>
      <c r="D56" s="43"/>
      <c r="G56" s="133" t="e">
        <f ca="1">IF(Calcu!E63="사다리꼴","※ 신뢰수준 95 %,","※ 신뢰수준 약 95 %,")</f>
        <v>#N/A</v>
      </c>
      <c r="H56" s="132" t="e">
        <f ca="1">Calcu!E64&amp;IF(Calcu!E63="사다리꼴",", 사다리꼴 확률분포","")</f>
        <v>#N/A</v>
      </c>
    </row>
    <row r="57" spans="1:17" ht="15" customHeight="1"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3"/>
    </row>
  </sheetData>
  <mergeCells count="13">
    <mergeCell ref="M13:O13"/>
    <mergeCell ref="P13:P14"/>
    <mergeCell ref="Q13:Q14"/>
    <mergeCell ref="A1:Q2"/>
    <mergeCell ref="E13:E14"/>
    <mergeCell ref="C13:C14"/>
    <mergeCell ref="D13:D14"/>
    <mergeCell ref="F13:F14"/>
    <mergeCell ref="G13:G14"/>
    <mergeCell ref="H13:H14"/>
    <mergeCell ref="I13:I14"/>
    <mergeCell ref="J13:L13"/>
    <mergeCell ref="B13:B14"/>
  </mergeCells>
  <phoneticPr fontId="4" type="noConversion"/>
  <printOptions horizontalCentered="1"/>
  <pageMargins left="0" right="0" top="0.35433070866141736" bottom="0.59055118110236227" header="0" footer="0"/>
  <pageSetup paperSize="9" scale="96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9"/>
  <sheetViews>
    <sheetView showGridLines="0" showWhiteSpace="0" topLeftCell="A16" zoomScaleNormal="100" zoomScaleSheetLayoutView="100" workbookViewId="0">
      <selection activeCell="E29" sqref="E29:E48"/>
    </sheetView>
  </sheetViews>
  <sheetFormatPr defaultColWidth="10.77734375" defaultRowHeight="15" customHeight="1"/>
  <cols>
    <col min="1" max="3" width="3.77734375" style="37" customWidth="1"/>
    <col min="4" max="8" width="10.77734375" style="37" customWidth="1"/>
    <col min="9" max="10" width="3.77734375" style="37" customWidth="1"/>
    <col min="11" max="11" width="3.77734375" style="77" customWidth="1"/>
    <col min="12" max="12" width="6.77734375" style="88" customWidth="1"/>
    <col min="13" max="16384" width="10.77734375" style="77"/>
  </cols>
  <sheetData>
    <row r="1" spans="1:12" s="64" customFormat="1" ht="33" customHeight="1">
      <c r="A1" s="398" t="s">
        <v>63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66"/>
    </row>
    <row r="2" spans="1:12" s="64" customFormat="1" ht="33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66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65"/>
      <c r="L3" s="87"/>
    </row>
    <row r="4" spans="1:12" s="66" customFormat="1" ht="13.5" customHeight="1">
      <c r="A4" s="74"/>
      <c r="B4" s="74"/>
      <c r="C4" s="75"/>
      <c r="D4" s="128"/>
      <c r="E4" s="75"/>
      <c r="F4" s="82"/>
      <c r="G4" s="75"/>
      <c r="H4" s="75"/>
      <c r="I4" s="76"/>
      <c r="J4" s="82"/>
      <c r="K4" s="74"/>
      <c r="L4" s="36"/>
    </row>
    <row r="5" spans="1:12" s="67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69" customFormat="1" ht="15" customHeight="1">
      <c r="A6" s="43"/>
      <c r="C6" s="43"/>
      <c r="D6" s="38" t="s">
        <v>96</v>
      </c>
      <c r="F6" s="37"/>
      <c r="G6" s="52"/>
      <c r="H6" s="52"/>
      <c r="I6" s="51"/>
      <c r="J6" s="37"/>
      <c r="K6" s="78"/>
    </row>
    <row r="7" spans="1:12" s="69" customFormat="1" ht="15" customHeight="1">
      <c r="A7" s="43"/>
      <c r="C7" s="43"/>
      <c r="D7" s="122" t="s">
        <v>853</v>
      </c>
      <c r="E7" s="122" t="s">
        <v>90</v>
      </c>
      <c r="F7" s="122" t="s">
        <v>68</v>
      </c>
      <c r="G7" s="121" t="s">
        <v>67</v>
      </c>
      <c r="H7" s="396" t="s">
        <v>69</v>
      </c>
    </row>
    <row r="8" spans="1:12" s="69" customFormat="1" ht="15" customHeight="1">
      <c r="A8" s="43"/>
      <c r="C8" s="43"/>
      <c r="D8" s="249"/>
      <c r="E8" s="123" t="s">
        <v>125</v>
      </c>
      <c r="F8" s="123" t="s">
        <v>125</v>
      </c>
      <c r="G8" s="123" t="s">
        <v>125</v>
      </c>
      <c r="H8" s="397"/>
    </row>
    <row r="9" spans="1:12" s="69" customFormat="1" ht="15" customHeight="1">
      <c r="A9" s="44" t="e">
        <f ca="1">IF(Calcu!AB35=TRUE,"","삭제")</f>
        <v>#N/A</v>
      </c>
      <c r="C9" s="43"/>
      <c r="D9" s="111" t="s">
        <v>854</v>
      </c>
      <c r="E9" s="111" t="e">
        <f ca="1">Calcu!AE35</f>
        <v>#N/A</v>
      </c>
      <c r="F9" s="111" t="e">
        <f ca="1">Calcu!AF35</f>
        <v>#N/A</v>
      </c>
      <c r="G9" s="111" t="e">
        <f ca="1">Calcu!AJ35</f>
        <v>#N/A</v>
      </c>
      <c r="H9" s="111" t="e">
        <f ca="1">Calcu!AK35</f>
        <v>#N/A</v>
      </c>
    </row>
    <row r="10" spans="1:12" s="69" customFormat="1" ht="15" customHeight="1">
      <c r="A10" s="44" t="e">
        <f ca="1">IF(Calcu!AB36=TRUE,"","삭제")</f>
        <v>#N/A</v>
      </c>
      <c r="C10" s="43"/>
      <c r="D10" s="111" t="s">
        <v>854</v>
      </c>
      <c r="E10" s="111" t="e">
        <f ca="1">Calcu!AE36</f>
        <v>#N/A</v>
      </c>
      <c r="F10" s="111" t="e">
        <f ca="1">Calcu!AF36</f>
        <v>#N/A</v>
      </c>
      <c r="G10" s="111" t="e">
        <f ca="1">Calcu!AJ36</f>
        <v>#N/A</v>
      </c>
      <c r="H10" s="111" t="e">
        <f ca="1">Calcu!AK36</f>
        <v>#N/A</v>
      </c>
    </row>
    <row r="11" spans="1:12" s="69" customFormat="1" ht="15" customHeight="1">
      <c r="A11" s="44" t="e">
        <f ca="1">IF(Calcu!AB37=TRUE,"","삭제")</f>
        <v>#N/A</v>
      </c>
      <c r="C11" s="43"/>
      <c r="D11" s="111" t="s">
        <v>854</v>
      </c>
      <c r="E11" s="111" t="e">
        <f ca="1">Calcu!AE37</f>
        <v>#N/A</v>
      </c>
      <c r="F11" s="111" t="e">
        <f ca="1">Calcu!AF37</f>
        <v>#N/A</v>
      </c>
      <c r="G11" s="111" t="e">
        <f ca="1">Calcu!AJ37</f>
        <v>#N/A</v>
      </c>
      <c r="H11" s="111" t="e">
        <f ca="1">Calcu!AK37</f>
        <v>#N/A</v>
      </c>
    </row>
    <row r="12" spans="1:12" s="69" customFormat="1" ht="15" customHeight="1">
      <c r="A12" s="44" t="e">
        <f ca="1">IF(Calcu!AB38=TRUE,"","삭제")</f>
        <v>#N/A</v>
      </c>
      <c r="C12" s="43"/>
      <c r="D12" s="111" t="s">
        <v>854</v>
      </c>
      <c r="E12" s="111" t="e">
        <f ca="1">Calcu!AE38</f>
        <v>#N/A</v>
      </c>
      <c r="F12" s="111" t="e">
        <f ca="1">Calcu!AF38</f>
        <v>#N/A</v>
      </c>
      <c r="G12" s="111" t="e">
        <f ca="1">Calcu!AJ38</f>
        <v>#N/A</v>
      </c>
      <c r="H12" s="111" t="e">
        <f ca="1">Calcu!AK38</f>
        <v>#N/A</v>
      </c>
    </row>
    <row r="13" spans="1:12" s="69" customFormat="1" ht="15" customHeight="1">
      <c r="A13" s="44" t="e">
        <f ca="1">IF(Calcu!AB39=TRUE,"","삭제")</f>
        <v>#N/A</v>
      </c>
      <c r="C13" s="43"/>
      <c r="D13" s="111" t="s">
        <v>854</v>
      </c>
      <c r="E13" s="111" t="e">
        <f ca="1">Calcu!AE39</f>
        <v>#N/A</v>
      </c>
      <c r="F13" s="111" t="e">
        <f ca="1">Calcu!AF39</f>
        <v>#N/A</v>
      </c>
      <c r="G13" s="111" t="e">
        <f ca="1">Calcu!AJ39</f>
        <v>#N/A</v>
      </c>
      <c r="H13" s="111" t="e">
        <f ca="1">Calcu!AK39</f>
        <v>#N/A</v>
      </c>
    </row>
    <row r="14" spans="1:12" s="69" customFormat="1" ht="15" customHeight="1">
      <c r="A14" s="44" t="e">
        <f ca="1">IF(Calcu!AB40=TRUE,"","삭제")</f>
        <v>#N/A</v>
      </c>
      <c r="C14" s="43"/>
      <c r="D14" s="111" t="s">
        <v>854</v>
      </c>
      <c r="E14" s="111" t="e">
        <f ca="1">Calcu!AE40</f>
        <v>#N/A</v>
      </c>
      <c r="F14" s="111" t="e">
        <f ca="1">Calcu!AF40</f>
        <v>#N/A</v>
      </c>
      <c r="G14" s="111" t="e">
        <f ca="1">Calcu!AJ40</f>
        <v>#N/A</v>
      </c>
      <c r="H14" s="111" t="e">
        <f ca="1">Calcu!AK40</f>
        <v>#N/A</v>
      </c>
    </row>
    <row r="15" spans="1:12" s="69" customFormat="1" ht="15" customHeight="1">
      <c r="A15" s="44" t="e">
        <f ca="1">IF(Calcu!AB41=TRUE,"","삭제")</f>
        <v>#N/A</v>
      </c>
      <c r="C15" s="43"/>
      <c r="D15" s="111" t="s">
        <v>854</v>
      </c>
      <c r="E15" s="111" t="e">
        <f ca="1">Calcu!AE41</f>
        <v>#N/A</v>
      </c>
      <c r="F15" s="111" t="e">
        <f ca="1">Calcu!AF41</f>
        <v>#N/A</v>
      </c>
      <c r="G15" s="111" t="e">
        <f ca="1">Calcu!AJ41</f>
        <v>#N/A</v>
      </c>
      <c r="H15" s="111" t="e">
        <f ca="1">Calcu!AK41</f>
        <v>#N/A</v>
      </c>
    </row>
    <row r="16" spans="1:12" s="69" customFormat="1" ht="15" customHeight="1">
      <c r="A16" s="44" t="e">
        <f ca="1">IF(Calcu!AB42=TRUE,"","삭제")</f>
        <v>#N/A</v>
      </c>
      <c r="C16" s="43"/>
      <c r="D16" s="111" t="s">
        <v>854</v>
      </c>
      <c r="E16" s="111" t="e">
        <f ca="1">Calcu!AE42</f>
        <v>#N/A</v>
      </c>
      <c r="F16" s="111" t="e">
        <f ca="1">Calcu!AF42</f>
        <v>#N/A</v>
      </c>
      <c r="G16" s="111" t="e">
        <f ca="1">Calcu!AJ42</f>
        <v>#N/A</v>
      </c>
      <c r="H16" s="111" t="e">
        <f ca="1">Calcu!AK42</f>
        <v>#N/A</v>
      </c>
    </row>
    <row r="17" spans="1:8" s="69" customFormat="1" ht="15" customHeight="1">
      <c r="A17" s="44" t="e">
        <f ca="1">IF(Calcu!AB43=TRUE,"","삭제")</f>
        <v>#N/A</v>
      </c>
      <c r="C17" s="43"/>
      <c r="D17" s="111" t="s">
        <v>854</v>
      </c>
      <c r="E17" s="111" t="e">
        <f ca="1">Calcu!AE43</f>
        <v>#N/A</v>
      </c>
      <c r="F17" s="111" t="e">
        <f ca="1">Calcu!AF43</f>
        <v>#N/A</v>
      </c>
      <c r="G17" s="111" t="e">
        <f ca="1">Calcu!AJ43</f>
        <v>#N/A</v>
      </c>
      <c r="H17" s="111" t="e">
        <f ca="1">Calcu!AK43</f>
        <v>#N/A</v>
      </c>
    </row>
    <row r="18" spans="1:8" s="69" customFormat="1" ht="15" customHeight="1">
      <c r="A18" s="44" t="e">
        <f ca="1">IF(Calcu!AB44=TRUE,"","삭제")</f>
        <v>#N/A</v>
      </c>
      <c r="C18" s="43"/>
      <c r="D18" s="111" t="s">
        <v>854</v>
      </c>
      <c r="E18" s="111" t="e">
        <f ca="1">Calcu!AE44</f>
        <v>#N/A</v>
      </c>
      <c r="F18" s="111" t="e">
        <f ca="1">Calcu!AF44</f>
        <v>#N/A</v>
      </c>
      <c r="G18" s="111" t="e">
        <f ca="1">Calcu!AJ44</f>
        <v>#N/A</v>
      </c>
      <c r="H18" s="111" t="e">
        <f ca="1">Calcu!AK44</f>
        <v>#N/A</v>
      </c>
    </row>
    <row r="19" spans="1:8" s="69" customFormat="1" ht="15" customHeight="1">
      <c r="A19" s="44" t="e">
        <f ca="1">IF(Calcu!AB45=TRUE,"","삭제")</f>
        <v>#N/A</v>
      </c>
      <c r="C19" s="43"/>
      <c r="D19" s="111" t="s">
        <v>854</v>
      </c>
      <c r="E19" s="111" t="e">
        <f ca="1">Calcu!AE45</f>
        <v>#N/A</v>
      </c>
      <c r="F19" s="111" t="e">
        <f ca="1">Calcu!AF45</f>
        <v>#N/A</v>
      </c>
      <c r="G19" s="111" t="e">
        <f ca="1">Calcu!AJ45</f>
        <v>#N/A</v>
      </c>
      <c r="H19" s="111" t="e">
        <f ca="1">Calcu!AK45</f>
        <v>#N/A</v>
      </c>
    </row>
    <row r="20" spans="1:8" s="69" customFormat="1" ht="15" customHeight="1">
      <c r="A20" s="44" t="e">
        <f ca="1">IF(Calcu!AB46=TRUE,"","삭제")</f>
        <v>#N/A</v>
      </c>
      <c r="C20" s="43"/>
      <c r="D20" s="111" t="s">
        <v>854</v>
      </c>
      <c r="E20" s="111" t="e">
        <f ca="1">Calcu!AE46</f>
        <v>#N/A</v>
      </c>
      <c r="F20" s="111" t="e">
        <f ca="1">Calcu!AF46</f>
        <v>#N/A</v>
      </c>
      <c r="G20" s="111" t="e">
        <f ca="1">Calcu!AJ46</f>
        <v>#N/A</v>
      </c>
      <c r="H20" s="111" t="e">
        <f ca="1">Calcu!AK46</f>
        <v>#N/A</v>
      </c>
    </row>
    <row r="21" spans="1:8" s="69" customFormat="1" ht="15" customHeight="1">
      <c r="A21" s="44" t="e">
        <f ca="1">IF(Calcu!AB47=TRUE,"","삭제")</f>
        <v>#N/A</v>
      </c>
      <c r="C21" s="43"/>
      <c r="D21" s="111" t="s">
        <v>854</v>
      </c>
      <c r="E21" s="111" t="e">
        <f ca="1">Calcu!AE47</f>
        <v>#N/A</v>
      </c>
      <c r="F21" s="111" t="e">
        <f ca="1">Calcu!AF47</f>
        <v>#N/A</v>
      </c>
      <c r="G21" s="111" t="e">
        <f ca="1">Calcu!AJ47</f>
        <v>#N/A</v>
      </c>
      <c r="H21" s="111" t="e">
        <f ca="1">Calcu!AK47</f>
        <v>#N/A</v>
      </c>
    </row>
    <row r="22" spans="1:8" s="69" customFormat="1" ht="15" customHeight="1">
      <c r="A22" s="44" t="e">
        <f ca="1">IF(Calcu!AB48=TRUE,"","삭제")</f>
        <v>#N/A</v>
      </c>
      <c r="C22" s="43"/>
      <c r="D22" s="111" t="s">
        <v>854</v>
      </c>
      <c r="E22" s="111" t="e">
        <f ca="1">Calcu!AE48</f>
        <v>#N/A</v>
      </c>
      <c r="F22" s="111" t="e">
        <f ca="1">Calcu!AF48</f>
        <v>#N/A</v>
      </c>
      <c r="G22" s="111" t="e">
        <f ca="1">Calcu!AJ48</f>
        <v>#N/A</v>
      </c>
      <c r="H22" s="111" t="e">
        <f ca="1">Calcu!AK48</f>
        <v>#N/A</v>
      </c>
    </row>
    <row r="23" spans="1:8" s="69" customFormat="1" ht="15" customHeight="1">
      <c r="A23" s="44" t="e">
        <f ca="1">IF(Calcu!AB49=TRUE,"","삭제")</f>
        <v>#N/A</v>
      </c>
      <c r="C23" s="43"/>
      <c r="D23" s="111" t="s">
        <v>854</v>
      </c>
      <c r="E23" s="111" t="e">
        <f ca="1">Calcu!AE49</f>
        <v>#N/A</v>
      </c>
      <c r="F23" s="111" t="e">
        <f ca="1">Calcu!AF49</f>
        <v>#N/A</v>
      </c>
      <c r="G23" s="111" t="e">
        <f ca="1">Calcu!AJ49</f>
        <v>#N/A</v>
      </c>
      <c r="H23" s="111" t="e">
        <f ca="1">Calcu!AK49</f>
        <v>#N/A</v>
      </c>
    </row>
    <row r="24" spans="1:8" s="69" customFormat="1" ht="15" customHeight="1">
      <c r="A24" s="44" t="e">
        <f ca="1">IF(Calcu!AB50=TRUE,"","삭제")</f>
        <v>#N/A</v>
      </c>
      <c r="C24" s="43"/>
      <c r="D24" s="111" t="s">
        <v>854</v>
      </c>
      <c r="E24" s="111" t="e">
        <f ca="1">Calcu!AE50</f>
        <v>#N/A</v>
      </c>
      <c r="F24" s="111" t="e">
        <f ca="1">Calcu!AF50</f>
        <v>#N/A</v>
      </c>
      <c r="G24" s="111" t="e">
        <f ca="1">Calcu!AJ50</f>
        <v>#N/A</v>
      </c>
      <c r="H24" s="111" t="e">
        <f ca="1">Calcu!AK50</f>
        <v>#N/A</v>
      </c>
    </row>
    <row r="25" spans="1:8" s="69" customFormat="1" ht="15" customHeight="1">
      <c r="A25" s="44" t="e">
        <f ca="1">IF(Calcu!AB51=TRUE,"","삭제")</f>
        <v>#N/A</v>
      </c>
      <c r="C25" s="43"/>
      <c r="D25" s="111" t="s">
        <v>854</v>
      </c>
      <c r="E25" s="111" t="e">
        <f ca="1">Calcu!AE51</f>
        <v>#N/A</v>
      </c>
      <c r="F25" s="111" t="e">
        <f ca="1">Calcu!AF51</f>
        <v>#N/A</v>
      </c>
      <c r="G25" s="111" t="e">
        <f ca="1">Calcu!AJ51</f>
        <v>#N/A</v>
      </c>
      <c r="H25" s="111" t="e">
        <f ca="1">Calcu!AK51</f>
        <v>#N/A</v>
      </c>
    </row>
    <row r="26" spans="1:8" s="69" customFormat="1" ht="15" customHeight="1">
      <c r="A26" s="44" t="e">
        <f ca="1">IF(Calcu!AB52=TRUE,"","삭제")</f>
        <v>#N/A</v>
      </c>
      <c r="C26" s="43"/>
      <c r="D26" s="111" t="s">
        <v>854</v>
      </c>
      <c r="E26" s="111" t="e">
        <f ca="1">Calcu!AE52</f>
        <v>#N/A</v>
      </c>
      <c r="F26" s="111" t="e">
        <f ca="1">Calcu!AF52</f>
        <v>#N/A</v>
      </c>
      <c r="G26" s="111" t="e">
        <f ca="1">Calcu!AJ52</f>
        <v>#N/A</v>
      </c>
      <c r="H26" s="111" t="e">
        <f ca="1">Calcu!AK52</f>
        <v>#N/A</v>
      </c>
    </row>
    <row r="27" spans="1:8" s="69" customFormat="1" ht="15" customHeight="1">
      <c r="A27" s="44" t="e">
        <f ca="1">IF(Calcu!AB53=TRUE,"","삭제")</f>
        <v>#N/A</v>
      </c>
      <c r="C27" s="43"/>
      <c r="D27" s="111" t="s">
        <v>854</v>
      </c>
      <c r="E27" s="111" t="e">
        <f ca="1">Calcu!AE53</f>
        <v>#N/A</v>
      </c>
      <c r="F27" s="111" t="e">
        <f ca="1">Calcu!AF53</f>
        <v>#N/A</v>
      </c>
      <c r="G27" s="111" t="e">
        <f ca="1">Calcu!AJ53</f>
        <v>#N/A</v>
      </c>
      <c r="H27" s="111" t="e">
        <f ca="1">Calcu!AK53</f>
        <v>#N/A</v>
      </c>
    </row>
    <row r="28" spans="1:8" s="69" customFormat="1" ht="15" customHeight="1">
      <c r="A28" s="44" t="e">
        <f ca="1">IF(Calcu!AB54=TRUE,"","삭제")</f>
        <v>#N/A</v>
      </c>
      <c r="C28" s="43"/>
      <c r="D28" s="111" t="s">
        <v>854</v>
      </c>
      <c r="E28" s="111" t="e">
        <f ca="1">Calcu!AE54</f>
        <v>#N/A</v>
      </c>
      <c r="F28" s="111" t="e">
        <f ca="1">Calcu!AF54</f>
        <v>#N/A</v>
      </c>
      <c r="G28" s="111" t="e">
        <f ca="1">Calcu!AJ54</f>
        <v>#N/A</v>
      </c>
      <c r="H28" s="111" t="e">
        <f ca="1">Calcu!AK54</f>
        <v>#N/A</v>
      </c>
    </row>
    <row r="29" spans="1:8" ht="15" customHeight="1">
      <c r="A29" s="44" t="e">
        <f ca="1">IF(Calcu!AB60=TRUE,"","삭제")</f>
        <v>#N/A</v>
      </c>
      <c r="D29" s="111" t="s">
        <v>855</v>
      </c>
      <c r="E29" s="111" t="e">
        <f ca="1">Calcu!AE60</f>
        <v>#N/A</v>
      </c>
      <c r="F29" s="111" t="e">
        <f ca="1">Calcu!AF60</f>
        <v>#N/A</v>
      </c>
      <c r="G29" s="111" t="e">
        <f ca="1">Calcu!AJ60</f>
        <v>#N/A</v>
      </c>
      <c r="H29" s="111" t="e">
        <f ca="1">Calcu!AK60</f>
        <v>#N/A</v>
      </c>
    </row>
    <row r="30" spans="1:8" ht="15" customHeight="1">
      <c r="A30" s="44" t="e">
        <f ca="1">IF(Calcu!AB61=TRUE,"","삭제")</f>
        <v>#N/A</v>
      </c>
      <c r="D30" s="111" t="s">
        <v>855</v>
      </c>
      <c r="E30" s="111" t="e">
        <f ca="1">Calcu!AE61</f>
        <v>#N/A</v>
      </c>
      <c r="F30" s="111" t="e">
        <f ca="1">Calcu!AF61</f>
        <v>#N/A</v>
      </c>
      <c r="G30" s="111" t="e">
        <f ca="1">Calcu!AJ61</f>
        <v>#N/A</v>
      </c>
      <c r="H30" s="111" t="e">
        <f ca="1">Calcu!AK61</f>
        <v>#N/A</v>
      </c>
    </row>
    <row r="31" spans="1:8" ht="15" customHeight="1">
      <c r="A31" s="44" t="e">
        <f ca="1">IF(Calcu!AB62=TRUE,"","삭제")</f>
        <v>#N/A</v>
      </c>
      <c r="D31" s="111" t="s">
        <v>855</v>
      </c>
      <c r="E31" s="111" t="e">
        <f ca="1">Calcu!AE62</f>
        <v>#N/A</v>
      </c>
      <c r="F31" s="111" t="e">
        <f ca="1">Calcu!AF62</f>
        <v>#N/A</v>
      </c>
      <c r="G31" s="111" t="e">
        <f ca="1">Calcu!AJ62</f>
        <v>#N/A</v>
      </c>
      <c r="H31" s="111" t="e">
        <f ca="1">Calcu!AK62</f>
        <v>#N/A</v>
      </c>
    </row>
    <row r="32" spans="1:8" ht="15" customHeight="1">
      <c r="A32" s="44" t="e">
        <f ca="1">IF(Calcu!AB63=TRUE,"","삭제")</f>
        <v>#N/A</v>
      </c>
      <c r="D32" s="111" t="s">
        <v>855</v>
      </c>
      <c r="E32" s="111" t="e">
        <f ca="1">Calcu!AE63</f>
        <v>#N/A</v>
      </c>
      <c r="F32" s="111" t="e">
        <f ca="1">Calcu!AF63</f>
        <v>#N/A</v>
      </c>
      <c r="G32" s="111" t="e">
        <f ca="1">Calcu!AJ63</f>
        <v>#N/A</v>
      </c>
      <c r="H32" s="111" t="e">
        <f ca="1">Calcu!AK63</f>
        <v>#N/A</v>
      </c>
    </row>
    <row r="33" spans="1:8" ht="15" customHeight="1">
      <c r="A33" s="44" t="e">
        <f ca="1">IF(Calcu!AB64=TRUE,"","삭제")</f>
        <v>#N/A</v>
      </c>
      <c r="D33" s="111" t="s">
        <v>855</v>
      </c>
      <c r="E33" s="111" t="e">
        <f ca="1">Calcu!AE64</f>
        <v>#N/A</v>
      </c>
      <c r="F33" s="111" t="e">
        <f ca="1">Calcu!AF64</f>
        <v>#N/A</v>
      </c>
      <c r="G33" s="111" t="e">
        <f ca="1">Calcu!AJ64</f>
        <v>#N/A</v>
      </c>
      <c r="H33" s="111" t="e">
        <f ca="1">Calcu!AK64</f>
        <v>#N/A</v>
      </c>
    </row>
    <row r="34" spans="1:8" ht="15" customHeight="1">
      <c r="A34" s="44" t="e">
        <f ca="1">IF(Calcu!AB65=TRUE,"","삭제")</f>
        <v>#N/A</v>
      </c>
      <c r="D34" s="111" t="s">
        <v>855</v>
      </c>
      <c r="E34" s="111" t="e">
        <f ca="1">Calcu!AE65</f>
        <v>#N/A</v>
      </c>
      <c r="F34" s="111" t="e">
        <f ca="1">Calcu!AF65</f>
        <v>#N/A</v>
      </c>
      <c r="G34" s="111" t="e">
        <f ca="1">Calcu!AJ65</f>
        <v>#N/A</v>
      </c>
      <c r="H34" s="111" t="e">
        <f ca="1">Calcu!AK65</f>
        <v>#N/A</v>
      </c>
    </row>
    <row r="35" spans="1:8" ht="15" customHeight="1">
      <c r="A35" s="44" t="e">
        <f ca="1">IF(Calcu!AB66=TRUE,"","삭제")</f>
        <v>#N/A</v>
      </c>
      <c r="D35" s="111" t="s">
        <v>855</v>
      </c>
      <c r="E35" s="111" t="e">
        <f ca="1">Calcu!AE66</f>
        <v>#N/A</v>
      </c>
      <c r="F35" s="111" t="e">
        <f ca="1">Calcu!AF66</f>
        <v>#N/A</v>
      </c>
      <c r="G35" s="111" t="e">
        <f ca="1">Calcu!AJ66</f>
        <v>#N/A</v>
      </c>
      <c r="H35" s="111" t="e">
        <f ca="1">Calcu!AK66</f>
        <v>#N/A</v>
      </c>
    </row>
    <row r="36" spans="1:8" ht="15" customHeight="1">
      <c r="A36" s="44" t="e">
        <f ca="1">IF(Calcu!AB67=TRUE,"","삭제")</f>
        <v>#N/A</v>
      </c>
      <c r="D36" s="111" t="s">
        <v>855</v>
      </c>
      <c r="E36" s="111" t="e">
        <f ca="1">Calcu!AE67</f>
        <v>#N/A</v>
      </c>
      <c r="F36" s="111" t="e">
        <f ca="1">Calcu!AF67</f>
        <v>#N/A</v>
      </c>
      <c r="G36" s="111" t="e">
        <f ca="1">Calcu!AJ67</f>
        <v>#N/A</v>
      </c>
      <c r="H36" s="111" t="e">
        <f ca="1">Calcu!AK67</f>
        <v>#N/A</v>
      </c>
    </row>
    <row r="37" spans="1:8" ht="15" customHeight="1">
      <c r="A37" s="44" t="e">
        <f ca="1">IF(Calcu!AB68=TRUE,"","삭제")</f>
        <v>#N/A</v>
      </c>
      <c r="D37" s="111" t="s">
        <v>855</v>
      </c>
      <c r="E37" s="111" t="e">
        <f ca="1">Calcu!AE68</f>
        <v>#N/A</v>
      </c>
      <c r="F37" s="111" t="e">
        <f ca="1">Calcu!AF68</f>
        <v>#N/A</v>
      </c>
      <c r="G37" s="111" t="e">
        <f ca="1">Calcu!AJ68</f>
        <v>#N/A</v>
      </c>
      <c r="H37" s="111" t="e">
        <f ca="1">Calcu!AK68</f>
        <v>#N/A</v>
      </c>
    </row>
    <row r="38" spans="1:8" ht="15" customHeight="1">
      <c r="A38" s="44" t="e">
        <f ca="1">IF(Calcu!AB69=TRUE,"","삭제")</f>
        <v>#N/A</v>
      </c>
      <c r="D38" s="111" t="s">
        <v>855</v>
      </c>
      <c r="E38" s="111" t="e">
        <f ca="1">Calcu!AE69</f>
        <v>#N/A</v>
      </c>
      <c r="F38" s="111" t="e">
        <f ca="1">Calcu!AF69</f>
        <v>#N/A</v>
      </c>
      <c r="G38" s="111" t="e">
        <f ca="1">Calcu!AJ69</f>
        <v>#N/A</v>
      </c>
      <c r="H38" s="111" t="e">
        <f ca="1">Calcu!AK69</f>
        <v>#N/A</v>
      </c>
    </row>
    <row r="39" spans="1:8" ht="15" customHeight="1">
      <c r="A39" s="44" t="e">
        <f ca="1">IF(Calcu!AB70=TRUE,"","삭제")</f>
        <v>#N/A</v>
      </c>
      <c r="D39" s="111" t="s">
        <v>855</v>
      </c>
      <c r="E39" s="111" t="e">
        <f ca="1">Calcu!AE70</f>
        <v>#N/A</v>
      </c>
      <c r="F39" s="111" t="e">
        <f ca="1">Calcu!AF70</f>
        <v>#N/A</v>
      </c>
      <c r="G39" s="111" t="e">
        <f ca="1">Calcu!AJ70</f>
        <v>#N/A</v>
      </c>
      <c r="H39" s="111" t="e">
        <f ca="1">Calcu!AK70</f>
        <v>#N/A</v>
      </c>
    </row>
    <row r="40" spans="1:8" ht="15" customHeight="1">
      <c r="A40" s="44" t="e">
        <f ca="1">IF(Calcu!AB71=TRUE,"","삭제")</f>
        <v>#N/A</v>
      </c>
      <c r="D40" s="111" t="s">
        <v>855</v>
      </c>
      <c r="E40" s="111" t="e">
        <f ca="1">Calcu!AE71</f>
        <v>#N/A</v>
      </c>
      <c r="F40" s="111" t="e">
        <f ca="1">Calcu!AF71</f>
        <v>#N/A</v>
      </c>
      <c r="G40" s="111" t="e">
        <f ca="1">Calcu!AJ71</f>
        <v>#N/A</v>
      </c>
      <c r="H40" s="111" t="e">
        <f ca="1">Calcu!AK71</f>
        <v>#N/A</v>
      </c>
    </row>
    <row r="41" spans="1:8" ht="15" customHeight="1">
      <c r="A41" s="44" t="e">
        <f ca="1">IF(Calcu!AB72=TRUE,"","삭제")</f>
        <v>#N/A</v>
      </c>
      <c r="D41" s="111" t="s">
        <v>855</v>
      </c>
      <c r="E41" s="111" t="e">
        <f ca="1">Calcu!AE72</f>
        <v>#N/A</v>
      </c>
      <c r="F41" s="111" t="e">
        <f ca="1">Calcu!AF72</f>
        <v>#N/A</v>
      </c>
      <c r="G41" s="111" t="e">
        <f ca="1">Calcu!AJ72</f>
        <v>#N/A</v>
      </c>
      <c r="H41" s="111" t="e">
        <f ca="1">Calcu!AK72</f>
        <v>#N/A</v>
      </c>
    </row>
    <row r="42" spans="1:8" ht="15" customHeight="1">
      <c r="A42" s="44" t="e">
        <f ca="1">IF(Calcu!AB73=TRUE,"","삭제")</f>
        <v>#N/A</v>
      </c>
      <c r="D42" s="111" t="s">
        <v>855</v>
      </c>
      <c r="E42" s="111" t="e">
        <f ca="1">Calcu!AE73</f>
        <v>#N/A</v>
      </c>
      <c r="F42" s="111" t="e">
        <f ca="1">Calcu!AF73</f>
        <v>#N/A</v>
      </c>
      <c r="G42" s="111" t="e">
        <f ca="1">Calcu!AJ73</f>
        <v>#N/A</v>
      </c>
      <c r="H42" s="111" t="e">
        <f ca="1">Calcu!AK73</f>
        <v>#N/A</v>
      </c>
    </row>
    <row r="43" spans="1:8" ht="15" customHeight="1">
      <c r="A43" s="44" t="e">
        <f ca="1">IF(Calcu!AB74=TRUE,"","삭제")</f>
        <v>#N/A</v>
      </c>
      <c r="D43" s="111" t="s">
        <v>855</v>
      </c>
      <c r="E43" s="111" t="e">
        <f ca="1">Calcu!AE74</f>
        <v>#N/A</v>
      </c>
      <c r="F43" s="111" t="e">
        <f ca="1">Calcu!AF74</f>
        <v>#N/A</v>
      </c>
      <c r="G43" s="111" t="e">
        <f ca="1">Calcu!AJ74</f>
        <v>#N/A</v>
      </c>
      <c r="H43" s="111" t="e">
        <f ca="1">Calcu!AK74</f>
        <v>#N/A</v>
      </c>
    </row>
    <row r="44" spans="1:8" ht="15" customHeight="1">
      <c r="A44" s="44" t="e">
        <f ca="1">IF(Calcu!AB75=TRUE,"","삭제")</f>
        <v>#N/A</v>
      </c>
      <c r="D44" s="111" t="s">
        <v>855</v>
      </c>
      <c r="E44" s="111" t="e">
        <f ca="1">Calcu!AE75</f>
        <v>#N/A</v>
      </c>
      <c r="F44" s="111" t="e">
        <f ca="1">Calcu!AF75</f>
        <v>#N/A</v>
      </c>
      <c r="G44" s="111" t="e">
        <f ca="1">Calcu!AJ75</f>
        <v>#N/A</v>
      </c>
      <c r="H44" s="111" t="e">
        <f ca="1">Calcu!AK75</f>
        <v>#N/A</v>
      </c>
    </row>
    <row r="45" spans="1:8" ht="15" customHeight="1">
      <c r="A45" s="44" t="e">
        <f ca="1">IF(Calcu!AB76=TRUE,"","삭제")</f>
        <v>#N/A</v>
      </c>
      <c r="D45" s="111" t="s">
        <v>855</v>
      </c>
      <c r="E45" s="111" t="e">
        <f ca="1">Calcu!AE76</f>
        <v>#N/A</v>
      </c>
      <c r="F45" s="111" t="e">
        <f ca="1">Calcu!AF76</f>
        <v>#N/A</v>
      </c>
      <c r="G45" s="111" t="e">
        <f ca="1">Calcu!AJ76</f>
        <v>#N/A</v>
      </c>
      <c r="H45" s="111" t="e">
        <f ca="1">Calcu!AK76</f>
        <v>#N/A</v>
      </c>
    </row>
    <row r="46" spans="1:8" ht="15" customHeight="1">
      <c r="A46" s="44" t="e">
        <f ca="1">IF(Calcu!AB77=TRUE,"","삭제")</f>
        <v>#N/A</v>
      </c>
      <c r="D46" s="111" t="s">
        <v>855</v>
      </c>
      <c r="E46" s="111" t="e">
        <f ca="1">Calcu!AE77</f>
        <v>#N/A</v>
      </c>
      <c r="F46" s="111" t="e">
        <f ca="1">Calcu!AF77</f>
        <v>#N/A</v>
      </c>
      <c r="G46" s="111" t="e">
        <f ca="1">Calcu!AJ77</f>
        <v>#N/A</v>
      </c>
      <c r="H46" s="111" t="e">
        <f ca="1">Calcu!AK77</f>
        <v>#N/A</v>
      </c>
    </row>
    <row r="47" spans="1:8" ht="15" customHeight="1">
      <c r="A47" s="44" t="e">
        <f ca="1">IF(Calcu!AB78=TRUE,"","삭제")</f>
        <v>#N/A</v>
      </c>
      <c r="D47" s="111" t="s">
        <v>855</v>
      </c>
      <c r="E47" s="111" t="e">
        <f ca="1">Calcu!AE78</f>
        <v>#N/A</v>
      </c>
      <c r="F47" s="111" t="e">
        <f ca="1">Calcu!AF78</f>
        <v>#N/A</v>
      </c>
      <c r="G47" s="111" t="e">
        <f ca="1">Calcu!AJ78</f>
        <v>#N/A</v>
      </c>
      <c r="H47" s="111" t="e">
        <f ca="1">Calcu!AK78</f>
        <v>#N/A</v>
      </c>
    </row>
    <row r="48" spans="1:8" ht="15" customHeight="1">
      <c r="A48" s="44" t="e">
        <f ca="1">IF(Calcu!AB79=TRUE,"","삭제")</f>
        <v>#N/A</v>
      </c>
      <c r="D48" s="111" t="s">
        <v>855</v>
      </c>
      <c r="E48" s="111" t="e">
        <f ca="1">Calcu!AE79</f>
        <v>#N/A</v>
      </c>
      <c r="F48" s="111" t="e">
        <f ca="1">Calcu!AF79</f>
        <v>#N/A</v>
      </c>
      <c r="G48" s="111" t="e">
        <f ca="1">Calcu!AJ79</f>
        <v>#N/A</v>
      </c>
      <c r="H48" s="111" t="e">
        <f ca="1">Calcu!AK79</f>
        <v>#N/A</v>
      </c>
    </row>
    <row r="49" spans="3:9" ht="15" customHeight="1">
      <c r="C49" s="62"/>
      <c r="D49" s="62"/>
      <c r="E49" s="124"/>
      <c r="F49" s="124"/>
      <c r="G49" s="124"/>
      <c r="H49" s="124"/>
      <c r="I49" s="62"/>
    </row>
  </sheetData>
  <mergeCells count="2">
    <mergeCell ref="H7:H8"/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77" customWidth="1"/>
    <col min="13" max="16384" width="10.77734375" style="69"/>
  </cols>
  <sheetData>
    <row r="1" spans="1:12" s="64" customFormat="1" ht="33" customHeight="1">
      <c r="A1" s="398" t="s">
        <v>55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</row>
    <row r="2" spans="1:12" s="64" customFormat="1" ht="33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65"/>
    </row>
    <row r="4" spans="1:12" s="66" customFormat="1" ht="13.5" customHeight="1">
      <c r="A4" s="74"/>
      <c r="B4" s="74"/>
      <c r="C4" s="75"/>
      <c r="D4" s="75"/>
      <c r="E4" s="82"/>
      <c r="F4" s="75"/>
      <c r="G4" s="75"/>
      <c r="H4" s="83"/>
      <c r="I4" s="76"/>
      <c r="J4" s="82"/>
      <c r="K4" s="82"/>
      <c r="L4" s="74"/>
    </row>
    <row r="5" spans="1:12" s="6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67"/>
    </row>
    <row r="6" spans="1:12" s="37" customFormat="1" ht="15" customHeight="1">
      <c r="C6" s="53" t="str">
        <f>"○ 품명 : "&amp;기본정보!C$5</f>
        <v xml:space="preserve">○ 품명 : </v>
      </c>
      <c r="L6" s="77"/>
    </row>
    <row r="7" spans="1:12" s="37" customFormat="1" ht="15" customHeight="1">
      <c r="C7" s="53" t="str">
        <f>"○ 제작회사 : "&amp;기본정보!C$6</f>
        <v xml:space="preserve">○ 제작회사 : </v>
      </c>
      <c r="L7" s="77"/>
    </row>
    <row r="8" spans="1:12" s="37" customFormat="1" ht="15" customHeight="1">
      <c r="C8" s="53" t="str">
        <f>"○ 형식 : "&amp;기본정보!C$7</f>
        <v xml:space="preserve">○ 형식 : </v>
      </c>
      <c r="L8" s="77"/>
    </row>
    <row r="9" spans="1:12" s="37" customFormat="1" ht="15" customHeight="1">
      <c r="C9" s="53" t="str">
        <f>"○ 기기번호 : "&amp;기본정보!C$8</f>
        <v xml:space="preserve">○ 기기번호 : </v>
      </c>
      <c r="L9" s="77"/>
    </row>
    <row r="10" spans="1:12" s="37" customFormat="1" ht="15" customHeight="1">
      <c r="L10" s="77"/>
    </row>
    <row r="11" spans="1:12" ht="15" customHeight="1">
      <c r="B11" s="62"/>
      <c r="C11" s="89"/>
      <c r="D11" s="89"/>
      <c r="E11" s="89"/>
      <c r="F11" s="89"/>
      <c r="G11" s="89"/>
      <c r="H11" s="90"/>
      <c r="I11" s="90"/>
      <c r="J11" s="89"/>
      <c r="K11" s="6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9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9" width="8.77734375" style="26" customWidth="1"/>
    <col min="10" max="10" width="3.77734375" style="45" customWidth="1"/>
    <col min="11" max="12" width="12.77734375" style="45" customWidth="1"/>
    <col min="13" max="13" width="8.88671875" style="45" customWidth="1"/>
    <col min="14" max="16" width="8.88671875" style="45"/>
    <col min="17" max="16361" width="8.88671875" style="28"/>
    <col min="16362" max="16362" width="8.88671875" style="28" customWidth="1"/>
    <col min="16363" max="16384" width="8.88671875" style="28"/>
  </cols>
  <sheetData>
    <row r="1" spans="1:27" s="60" customFormat="1" ht="25.5">
      <c r="A1" s="56" t="s">
        <v>829</v>
      </c>
      <c r="B1" s="30"/>
      <c r="C1" s="30"/>
      <c r="D1" s="30"/>
      <c r="E1" s="57"/>
      <c r="F1" s="26"/>
      <c r="G1" s="26"/>
      <c r="H1" s="26"/>
      <c r="I1" s="26"/>
      <c r="J1" s="26"/>
      <c r="K1" s="58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27" s="27" customFormat="1" ht="15" customHeight="1">
      <c r="A3" s="46"/>
      <c r="B3" s="125" t="s">
        <v>830</v>
      </c>
      <c r="C3" s="280">
        <f>기본정보!C3</f>
        <v>0</v>
      </c>
      <c r="D3" s="125" t="s">
        <v>831</v>
      </c>
      <c r="E3" s="405">
        <f>기본정보!H3</f>
        <v>0</v>
      </c>
      <c r="F3" s="406"/>
      <c r="G3" s="125" t="s">
        <v>832</v>
      </c>
      <c r="H3" s="281">
        <f>기본정보!H8</f>
        <v>0</v>
      </c>
      <c r="I3" s="24"/>
    </row>
    <row r="4" spans="1:27" s="27" customFormat="1" ht="15" customHeight="1">
      <c r="A4" s="46"/>
      <c r="B4" s="125" t="s">
        <v>833</v>
      </c>
      <c r="C4" s="282">
        <f>기본정보!C8</f>
        <v>0</v>
      </c>
      <c r="D4" s="125" t="s">
        <v>834</v>
      </c>
      <c r="E4" s="401">
        <f>기본정보!H4</f>
        <v>0</v>
      </c>
      <c r="F4" s="402"/>
      <c r="G4" s="125" t="s">
        <v>835</v>
      </c>
      <c r="H4" s="281">
        <f>기본정보!H9</f>
        <v>0</v>
      </c>
      <c r="I4" s="24"/>
    </row>
    <row r="5" spans="1:27" s="27" customFormat="1" ht="15" customHeight="1">
      <c r="A5" s="46"/>
      <c r="D5" s="24"/>
      <c r="E5" s="24"/>
      <c r="F5" s="24"/>
      <c r="G5" s="24"/>
      <c r="H5" s="24"/>
      <c r="I5" s="24"/>
    </row>
    <row r="6" spans="1:27" s="27" customFormat="1" ht="15" customHeight="1">
      <c r="A6" s="46"/>
      <c r="B6" s="85" t="s">
        <v>836</v>
      </c>
      <c r="C6" s="24"/>
      <c r="D6" s="24"/>
      <c r="E6" s="24"/>
      <c r="F6" s="24"/>
      <c r="G6" s="24"/>
      <c r="H6" s="24"/>
      <c r="I6" s="24"/>
    </row>
    <row r="7" spans="1:27" ht="15" customHeight="1">
      <c r="A7" s="28"/>
      <c r="B7" s="86" t="s">
        <v>837</v>
      </c>
      <c r="E7" s="30"/>
      <c r="F7" s="25"/>
      <c r="G7" s="24"/>
      <c r="H7" s="24"/>
      <c r="I7" s="24"/>
      <c r="J7" s="24"/>
      <c r="K7" s="86" t="s">
        <v>838</v>
      </c>
      <c r="L7" s="27"/>
      <c r="Q7" s="45"/>
    </row>
    <row r="8" spans="1:27" ht="15" customHeight="1">
      <c r="B8" s="399" t="s">
        <v>839</v>
      </c>
      <c r="C8" s="399" t="s">
        <v>840</v>
      </c>
      <c r="D8" s="399" t="s">
        <v>841</v>
      </c>
      <c r="E8" s="403" t="s">
        <v>842</v>
      </c>
      <c r="F8" s="404"/>
      <c r="G8" s="404"/>
      <c r="H8" s="404"/>
      <c r="I8" s="407"/>
      <c r="J8" s="27"/>
      <c r="K8" s="403" t="s">
        <v>843</v>
      </c>
      <c r="L8" s="404"/>
      <c r="N8" s="28"/>
      <c r="O8" s="28"/>
      <c r="P8" s="28"/>
    </row>
    <row r="9" spans="1:27" ht="15" customHeight="1">
      <c r="B9" s="400"/>
      <c r="C9" s="400"/>
      <c r="D9" s="400"/>
      <c r="E9" s="125" t="s">
        <v>844</v>
      </c>
      <c r="F9" s="125" t="s">
        <v>64</v>
      </c>
      <c r="G9" s="125" t="s">
        <v>65</v>
      </c>
      <c r="H9" s="125" t="s">
        <v>83</v>
      </c>
      <c r="I9" s="125" t="s">
        <v>84</v>
      </c>
      <c r="J9" s="27"/>
      <c r="K9" s="125" t="s">
        <v>845</v>
      </c>
      <c r="L9" s="125" t="s">
        <v>846</v>
      </c>
      <c r="M9" s="28"/>
      <c r="N9" s="28"/>
      <c r="O9" s="28"/>
      <c r="P9" s="28"/>
    </row>
    <row r="10" spans="1:27" ht="15" customHeight="1">
      <c r="B10" s="280" t="str">
        <f>Calcu!C9</f>
        <v/>
      </c>
      <c r="C10" s="280" t="str">
        <f>Calcu!D9</f>
        <v/>
      </c>
      <c r="D10" s="280" t="str">
        <f>Calcu!E9</f>
        <v/>
      </c>
      <c r="E10" s="280" t="str">
        <f ca="1">TEXT(Calcu!F9,Calcu!$Q$53)</f>
        <v/>
      </c>
      <c r="F10" s="280" t="str">
        <f ca="1">TEXT(Calcu!G9,Calcu!$Q$53)</f>
        <v/>
      </c>
      <c r="G10" s="280" t="str">
        <f ca="1">TEXT(Calcu!H9,Calcu!$Q$53)</f>
        <v/>
      </c>
      <c r="H10" s="280" t="str">
        <f ca="1">TEXT(Calcu!I9,Calcu!$Q$53)</f>
        <v/>
      </c>
      <c r="I10" s="280" t="str">
        <f ca="1">TEXT(Calcu!J9,Calcu!$Q$53)</f>
        <v/>
      </c>
      <c r="J10" s="27"/>
      <c r="K10" s="280" t="str">
        <f ca="1">TEXT(Calcu!L9,Calcu!$Q$53)</f>
        <v/>
      </c>
      <c r="L10" s="280" t="str">
        <f ca="1">TEXT(Calcu!M9,Calcu!$Q$53)</f>
        <v/>
      </c>
      <c r="M10" s="28"/>
      <c r="N10" s="28"/>
      <c r="O10" s="28"/>
      <c r="P10" s="28"/>
    </row>
    <row r="11" spans="1:27" ht="13.5" customHeight="1">
      <c r="B11" s="280" t="str">
        <f>Calcu!C10</f>
        <v/>
      </c>
      <c r="C11" s="280" t="str">
        <f>Calcu!D10</f>
        <v/>
      </c>
      <c r="D11" s="280" t="str">
        <f>Calcu!E10</f>
        <v/>
      </c>
      <c r="E11" s="280" t="str">
        <f ca="1">TEXT(Calcu!F10,Calcu!$Q$53)</f>
        <v/>
      </c>
      <c r="F11" s="280" t="str">
        <f ca="1">TEXT(Calcu!G10,Calcu!$Q$53)</f>
        <v/>
      </c>
      <c r="G11" s="280" t="str">
        <f ca="1">TEXT(Calcu!H10,Calcu!$Q$53)</f>
        <v/>
      </c>
      <c r="H11" s="280" t="str">
        <f ca="1">TEXT(Calcu!I10,Calcu!$Q$53)</f>
        <v/>
      </c>
      <c r="I11" s="280" t="str">
        <f ca="1">TEXT(Calcu!J10,Calcu!$Q$53)</f>
        <v/>
      </c>
      <c r="J11" s="27"/>
      <c r="K11" s="280" t="str">
        <f ca="1">TEXT(Calcu!L10,Calcu!$Q$53)</f>
        <v/>
      </c>
      <c r="L11" s="280" t="str">
        <f ca="1">TEXT(Calcu!M10,Calcu!$Q$53)</f>
        <v/>
      </c>
      <c r="M11" s="28"/>
      <c r="N11" s="28"/>
      <c r="O11" s="28"/>
      <c r="P11" s="28"/>
    </row>
    <row r="12" spans="1:27" ht="13.5" customHeight="1">
      <c r="B12" s="280" t="str">
        <f>Calcu!C11</f>
        <v/>
      </c>
      <c r="C12" s="280" t="str">
        <f>Calcu!D11</f>
        <v/>
      </c>
      <c r="D12" s="280" t="str">
        <f>Calcu!E11</f>
        <v/>
      </c>
      <c r="E12" s="280" t="str">
        <f ca="1">TEXT(Calcu!F11,Calcu!$Q$53)</f>
        <v/>
      </c>
      <c r="F12" s="280" t="str">
        <f ca="1">TEXT(Calcu!G11,Calcu!$Q$53)</f>
        <v/>
      </c>
      <c r="G12" s="280" t="str">
        <f ca="1">TEXT(Calcu!H11,Calcu!$Q$53)</f>
        <v/>
      </c>
      <c r="H12" s="280" t="str">
        <f ca="1">TEXT(Calcu!I11,Calcu!$Q$53)</f>
        <v/>
      </c>
      <c r="I12" s="280" t="str">
        <f ca="1">TEXT(Calcu!J11,Calcu!$Q$53)</f>
        <v/>
      </c>
      <c r="J12" s="27"/>
      <c r="K12" s="280" t="str">
        <f ca="1">TEXT(Calcu!L11,Calcu!$Q$53)</f>
        <v/>
      </c>
      <c r="L12" s="280" t="str">
        <f ca="1">TEXT(Calcu!M11,Calcu!$Q$53)</f>
        <v/>
      </c>
      <c r="M12" s="28"/>
      <c r="N12" s="28"/>
      <c r="O12" s="28"/>
      <c r="P12" s="28"/>
    </row>
    <row r="13" spans="1:27" ht="13.5" customHeight="1">
      <c r="B13" s="280" t="str">
        <f>Calcu!C12</f>
        <v/>
      </c>
      <c r="C13" s="280" t="str">
        <f>Calcu!D12</f>
        <v/>
      </c>
      <c r="D13" s="280" t="str">
        <f>Calcu!E12</f>
        <v/>
      </c>
      <c r="E13" s="280" t="str">
        <f ca="1">TEXT(Calcu!F12,Calcu!$Q$53)</f>
        <v/>
      </c>
      <c r="F13" s="280" t="str">
        <f ca="1">TEXT(Calcu!G12,Calcu!$Q$53)</f>
        <v/>
      </c>
      <c r="G13" s="280" t="str">
        <f ca="1">TEXT(Calcu!H12,Calcu!$Q$53)</f>
        <v/>
      </c>
      <c r="H13" s="280" t="str">
        <f ca="1">TEXT(Calcu!I12,Calcu!$Q$53)</f>
        <v/>
      </c>
      <c r="I13" s="280" t="str">
        <f ca="1">TEXT(Calcu!J12,Calcu!$Q$53)</f>
        <v/>
      </c>
      <c r="J13" s="27"/>
      <c r="K13" s="280" t="str">
        <f ca="1">TEXT(Calcu!L12,Calcu!$Q$53)</f>
        <v/>
      </c>
      <c r="L13" s="280" t="str">
        <f ca="1">TEXT(Calcu!M12,Calcu!$Q$53)</f>
        <v/>
      </c>
      <c r="M13" s="28"/>
      <c r="N13" s="28"/>
      <c r="O13" s="28"/>
      <c r="P13" s="28"/>
    </row>
    <row r="14" spans="1:27" ht="13.5" customHeight="1">
      <c r="B14" s="280" t="str">
        <f>Calcu!C13</f>
        <v/>
      </c>
      <c r="C14" s="280" t="str">
        <f>Calcu!D13</f>
        <v/>
      </c>
      <c r="D14" s="280" t="str">
        <f>Calcu!E13</f>
        <v/>
      </c>
      <c r="E14" s="280" t="str">
        <f ca="1">TEXT(Calcu!F13,Calcu!$Q$53)</f>
        <v/>
      </c>
      <c r="F14" s="280" t="str">
        <f ca="1">TEXT(Calcu!G13,Calcu!$Q$53)</f>
        <v/>
      </c>
      <c r="G14" s="280" t="str">
        <f ca="1">TEXT(Calcu!H13,Calcu!$Q$53)</f>
        <v/>
      </c>
      <c r="H14" s="280" t="str">
        <f ca="1">TEXT(Calcu!I13,Calcu!$Q$53)</f>
        <v/>
      </c>
      <c r="I14" s="280" t="str">
        <f ca="1">TEXT(Calcu!J13,Calcu!$Q$53)</f>
        <v/>
      </c>
      <c r="J14" s="27"/>
      <c r="K14" s="280" t="str">
        <f ca="1">TEXT(Calcu!L13,Calcu!$Q$53)</f>
        <v/>
      </c>
      <c r="L14" s="280" t="str">
        <f ca="1">TEXT(Calcu!M13,Calcu!$Q$53)</f>
        <v/>
      </c>
      <c r="M14" s="28"/>
      <c r="N14" s="28"/>
      <c r="O14" s="28"/>
      <c r="P14" s="28"/>
    </row>
    <row r="15" spans="1:27" ht="13.5" customHeight="1">
      <c r="B15" s="280" t="str">
        <f>Calcu!C14</f>
        <v/>
      </c>
      <c r="C15" s="280" t="str">
        <f>Calcu!D14</f>
        <v/>
      </c>
      <c r="D15" s="280" t="str">
        <f>Calcu!E14</f>
        <v/>
      </c>
      <c r="E15" s="280" t="str">
        <f ca="1">TEXT(Calcu!F14,Calcu!$Q$53)</f>
        <v/>
      </c>
      <c r="F15" s="280" t="str">
        <f ca="1">TEXT(Calcu!G14,Calcu!$Q$53)</f>
        <v/>
      </c>
      <c r="G15" s="280" t="str">
        <f ca="1">TEXT(Calcu!H14,Calcu!$Q$53)</f>
        <v/>
      </c>
      <c r="H15" s="280" t="str">
        <f ca="1">TEXT(Calcu!I14,Calcu!$Q$53)</f>
        <v/>
      </c>
      <c r="I15" s="280" t="str">
        <f ca="1">TEXT(Calcu!J14,Calcu!$Q$53)</f>
        <v/>
      </c>
      <c r="J15" s="27"/>
      <c r="K15" s="280" t="str">
        <f ca="1">TEXT(Calcu!L14,Calcu!$Q$53)</f>
        <v/>
      </c>
      <c r="L15" s="280" t="str">
        <f ca="1">TEXT(Calcu!M14,Calcu!$Q$53)</f>
        <v/>
      </c>
      <c r="M15" s="28"/>
      <c r="N15" s="28"/>
      <c r="O15" s="28"/>
      <c r="P15" s="28"/>
    </row>
    <row r="16" spans="1:27" ht="13.5" customHeight="1">
      <c r="B16" s="280" t="str">
        <f>Calcu!C15</f>
        <v/>
      </c>
      <c r="C16" s="280" t="str">
        <f>Calcu!D15</f>
        <v/>
      </c>
      <c r="D16" s="280" t="str">
        <f>Calcu!E15</f>
        <v/>
      </c>
      <c r="E16" s="280" t="str">
        <f ca="1">TEXT(Calcu!F15,Calcu!$Q$53)</f>
        <v/>
      </c>
      <c r="F16" s="280" t="str">
        <f ca="1">TEXT(Calcu!G15,Calcu!$Q$53)</f>
        <v/>
      </c>
      <c r="G16" s="280" t="str">
        <f ca="1">TEXT(Calcu!H15,Calcu!$Q$53)</f>
        <v/>
      </c>
      <c r="H16" s="280" t="str">
        <f ca="1">TEXT(Calcu!I15,Calcu!$Q$53)</f>
        <v/>
      </c>
      <c r="I16" s="280" t="str">
        <f ca="1">TEXT(Calcu!J15,Calcu!$Q$53)</f>
        <v/>
      </c>
      <c r="K16" s="280" t="str">
        <f ca="1">TEXT(Calcu!L15,Calcu!$Q$53)</f>
        <v/>
      </c>
      <c r="L16" s="280" t="str">
        <f ca="1">TEXT(Calcu!M15,Calcu!$Q$53)</f>
        <v/>
      </c>
      <c r="M16" s="28"/>
      <c r="N16" s="28"/>
      <c r="O16" s="28"/>
      <c r="P16" s="28"/>
    </row>
    <row r="17" spans="2:16" ht="13.5" customHeight="1">
      <c r="B17" s="280" t="str">
        <f>Calcu!C16</f>
        <v/>
      </c>
      <c r="C17" s="280" t="str">
        <f>Calcu!D16</f>
        <v/>
      </c>
      <c r="D17" s="280" t="str">
        <f>Calcu!E16</f>
        <v/>
      </c>
      <c r="E17" s="280" t="str">
        <f ca="1">TEXT(Calcu!F16,Calcu!$Q$53)</f>
        <v/>
      </c>
      <c r="F17" s="280" t="str">
        <f ca="1">TEXT(Calcu!G16,Calcu!$Q$53)</f>
        <v/>
      </c>
      <c r="G17" s="280" t="str">
        <f ca="1">TEXT(Calcu!H16,Calcu!$Q$53)</f>
        <v/>
      </c>
      <c r="H17" s="280" t="str">
        <f ca="1">TEXT(Calcu!I16,Calcu!$Q$53)</f>
        <v/>
      </c>
      <c r="I17" s="280" t="str">
        <f ca="1">TEXT(Calcu!J16,Calcu!$Q$53)</f>
        <v/>
      </c>
      <c r="K17" s="280" t="str">
        <f ca="1">TEXT(Calcu!L16,Calcu!$Q$53)</f>
        <v/>
      </c>
      <c r="L17" s="280" t="str">
        <f ca="1">TEXT(Calcu!M16,Calcu!$Q$53)</f>
        <v/>
      </c>
      <c r="M17" s="28"/>
      <c r="N17" s="28"/>
      <c r="O17" s="28"/>
      <c r="P17" s="28"/>
    </row>
    <row r="18" spans="2:16" ht="13.5" customHeight="1">
      <c r="B18" s="280" t="str">
        <f>Calcu!C17</f>
        <v/>
      </c>
      <c r="C18" s="280" t="str">
        <f>Calcu!D17</f>
        <v/>
      </c>
      <c r="D18" s="280" t="str">
        <f>Calcu!E17</f>
        <v/>
      </c>
      <c r="E18" s="280" t="str">
        <f ca="1">TEXT(Calcu!F17,Calcu!$Q$53)</f>
        <v/>
      </c>
      <c r="F18" s="280" t="str">
        <f ca="1">TEXT(Calcu!G17,Calcu!$Q$53)</f>
        <v/>
      </c>
      <c r="G18" s="280" t="str">
        <f ca="1">TEXT(Calcu!H17,Calcu!$Q$53)</f>
        <v/>
      </c>
      <c r="H18" s="280" t="str">
        <f ca="1">TEXT(Calcu!I17,Calcu!$Q$53)</f>
        <v/>
      </c>
      <c r="I18" s="280" t="str">
        <f ca="1">TEXT(Calcu!J17,Calcu!$Q$53)</f>
        <v/>
      </c>
      <c r="K18" s="280" t="str">
        <f ca="1">TEXT(Calcu!L17,Calcu!$Q$53)</f>
        <v/>
      </c>
      <c r="L18" s="280" t="str">
        <f ca="1">TEXT(Calcu!M17,Calcu!$Q$53)</f>
        <v/>
      </c>
      <c r="M18" s="28"/>
      <c r="N18" s="28"/>
      <c r="O18" s="28"/>
      <c r="P18" s="28"/>
    </row>
    <row r="19" spans="2:16" ht="13.5" customHeight="1">
      <c r="B19" s="280" t="str">
        <f>Calcu!C18</f>
        <v/>
      </c>
      <c r="C19" s="280" t="str">
        <f>Calcu!D18</f>
        <v/>
      </c>
      <c r="D19" s="280" t="str">
        <f>Calcu!E18</f>
        <v/>
      </c>
      <c r="E19" s="280" t="str">
        <f ca="1">TEXT(Calcu!F18,Calcu!$Q$53)</f>
        <v/>
      </c>
      <c r="F19" s="280" t="str">
        <f ca="1">TEXT(Calcu!G18,Calcu!$Q$53)</f>
        <v/>
      </c>
      <c r="G19" s="280" t="str">
        <f ca="1">TEXT(Calcu!H18,Calcu!$Q$53)</f>
        <v/>
      </c>
      <c r="H19" s="280" t="str">
        <f ca="1">TEXT(Calcu!I18,Calcu!$Q$53)</f>
        <v/>
      </c>
      <c r="I19" s="280" t="str">
        <f ca="1">TEXT(Calcu!J18,Calcu!$Q$53)</f>
        <v/>
      </c>
      <c r="K19" s="280" t="str">
        <f ca="1">TEXT(Calcu!L18,Calcu!$Q$53)</f>
        <v/>
      </c>
      <c r="L19" s="280" t="str">
        <f ca="1">TEXT(Calcu!M18,Calcu!$Q$53)</f>
        <v/>
      </c>
      <c r="M19" s="28"/>
      <c r="N19" s="28"/>
      <c r="O19" s="28"/>
      <c r="P19" s="28"/>
    </row>
    <row r="20" spans="2:16" ht="13.5" customHeight="1">
      <c r="B20" s="280" t="str">
        <f>Calcu!C19</f>
        <v/>
      </c>
      <c r="C20" s="280" t="str">
        <f>Calcu!D19</f>
        <v/>
      </c>
      <c r="D20" s="280" t="str">
        <f>Calcu!E19</f>
        <v/>
      </c>
      <c r="E20" s="280" t="str">
        <f ca="1">TEXT(Calcu!F19,Calcu!$Q$53)</f>
        <v/>
      </c>
      <c r="F20" s="280" t="str">
        <f ca="1">TEXT(Calcu!G19,Calcu!$Q$53)</f>
        <v/>
      </c>
      <c r="G20" s="280" t="str">
        <f ca="1">TEXT(Calcu!H19,Calcu!$Q$53)</f>
        <v/>
      </c>
      <c r="H20" s="280" t="str">
        <f ca="1">TEXT(Calcu!I19,Calcu!$Q$53)</f>
        <v/>
      </c>
      <c r="I20" s="280" t="str">
        <f ca="1">TEXT(Calcu!J19,Calcu!$Q$53)</f>
        <v/>
      </c>
      <c r="K20" s="280" t="str">
        <f ca="1">TEXT(Calcu!L19,Calcu!$Q$53)</f>
        <v/>
      </c>
      <c r="L20" s="280" t="str">
        <f ca="1">TEXT(Calcu!M19,Calcu!$Q$53)</f>
        <v/>
      </c>
      <c r="M20" s="28"/>
      <c r="N20" s="28"/>
      <c r="O20" s="28"/>
      <c r="P20" s="28"/>
    </row>
    <row r="21" spans="2:16" ht="13.5" customHeight="1">
      <c r="B21" s="280" t="str">
        <f>Calcu!C20</f>
        <v/>
      </c>
      <c r="C21" s="280" t="str">
        <f>Calcu!D20</f>
        <v/>
      </c>
      <c r="D21" s="280" t="str">
        <f>Calcu!E20</f>
        <v/>
      </c>
      <c r="E21" s="280" t="str">
        <f ca="1">TEXT(Calcu!F20,Calcu!$Q$53)</f>
        <v/>
      </c>
      <c r="F21" s="280" t="str">
        <f ca="1">TEXT(Calcu!G20,Calcu!$Q$53)</f>
        <v/>
      </c>
      <c r="G21" s="280" t="str">
        <f ca="1">TEXT(Calcu!H20,Calcu!$Q$53)</f>
        <v/>
      </c>
      <c r="H21" s="280" t="str">
        <f ca="1">TEXT(Calcu!I20,Calcu!$Q$53)</f>
        <v/>
      </c>
      <c r="I21" s="280" t="str">
        <f ca="1">TEXT(Calcu!J20,Calcu!$Q$53)</f>
        <v/>
      </c>
      <c r="K21" s="280" t="str">
        <f ca="1">TEXT(Calcu!L20,Calcu!$Q$53)</f>
        <v/>
      </c>
      <c r="L21" s="280" t="str">
        <f ca="1">TEXT(Calcu!M20,Calcu!$Q$53)</f>
        <v/>
      </c>
      <c r="M21" s="28"/>
      <c r="N21" s="28"/>
      <c r="O21" s="28"/>
      <c r="P21" s="28"/>
    </row>
    <row r="22" spans="2:16" ht="13.5" customHeight="1">
      <c r="B22" s="280" t="str">
        <f>Calcu!C21</f>
        <v/>
      </c>
      <c r="C22" s="280" t="str">
        <f>Calcu!D21</f>
        <v/>
      </c>
      <c r="D22" s="280" t="str">
        <f>Calcu!E21</f>
        <v/>
      </c>
      <c r="E22" s="280" t="str">
        <f ca="1">TEXT(Calcu!F21,Calcu!$Q$53)</f>
        <v/>
      </c>
      <c r="F22" s="280" t="str">
        <f ca="1">TEXT(Calcu!G21,Calcu!$Q$53)</f>
        <v/>
      </c>
      <c r="G22" s="280" t="str">
        <f ca="1">TEXT(Calcu!H21,Calcu!$Q$53)</f>
        <v/>
      </c>
      <c r="H22" s="280" t="str">
        <f ca="1">TEXT(Calcu!I21,Calcu!$Q$53)</f>
        <v/>
      </c>
      <c r="I22" s="280" t="str">
        <f ca="1">TEXT(Calcu!J21,Calcu!$Q$53)</f>
        <v/>
      </c>
      <c r="K22" s="280" t="str">
        <f ca="1">TEXT(Calcu!L21,Calcu!$Q$53)</f>
        <v/>
      </c>
      <c r="L22" s="280" t="str">
        <f ca="1">TEXT(Calcu!M21,Calcu!$Q$53)</f>
        <v/>
      </c>
      <c r="M22" s="28"/>
      <c r="N22" s="28"/>
      <c r="O22" s="28"/>
      <c r="P22" s="28"/>
    </row>
    <row r="23" spans="2:16" ht="13.5" customHeight="1">
      <c r="B23" s="280" t="str">
        <f>Calcu!C22</f>
        <v/>
      </c>
      <c r="C23" s="280" t="str">
        <f>Calcu!D22</f>
        <v/>
      </c>
      <c r="D23" s="280" t="str">
        <f>Calcu!E22</f>
        <v/>
      </c>
      <c r="E23" s="280" t="str">
        <f ca="1">TEXT(Calcu!F22,Calcu!$Q$53)</f>
        <v/>
      </c>
      <c r="F23" s="280" t="str">
        <f ca="1">TEXT(Calcu!G22,Calcu!$Q$53)</f>
        <v/>
      </c>
      <c r="G23" s="280" t="str">
        <f ca="1">TEXT(Calcu!H22,Calcu!$Q$53)</f>
        <v/>
      </c>
      <c r="H23" s="280" t="str">
        <f ca="1">TEXT(Calcu!I22,Calcu!$Q$53)</f>
        <v/>
      </c>
      <c r="I23" s="280" t="str">
        <f ca="1">TEXT(Calcu!J22,Calcu!$Q$53)</f>
        <v/>
      </c>
      <c r="K23" s="280" t="str">
        <f ca="1">TEXT(Calcu!L22,Calcu!$Q$53)</f>
        <v/>
      </c>
      <c r="L23" s="280" t="str">
        <f ca="1">TEXT(Calcu!M22,Calcu!$Q$53)</f>
        <v/>
      </c>
      <c r="M23" s="28"/>
      <c r="N23" s="28"/>
      <c r="O23" s="28"/>
      <c r="P23" s="28"/>
    </row>
    <row r="24" spans="2:16" ht="13.5" customHeight="1">
      <c r="B24" s="280" t="str">
        <f>Calcu!C23</f>
        <v/>
      </c>
      <c r="C24" s="280" t="str">
        <f>Calcu!D23</f>
        <v/>
      </c>
      <c r="D24" s="280" t="str">
        <f>Calcu!E23</f>
        <v/>
      </c>
      <c r="E24" s="280" t="str">
        <f ca="1">TEXT(Calcu!F23,Calcu!$Q$53)</f>
        <v/>
      </c>
      <c r="F24" s="280" t="str">
        <f ca="1">TEXT(Calcu!G23,Calcu!$Q$53)</f>
        <v/>
      </c>
      <c r="G24" s="280" t="str">
        <f ca="1">TEXT(Calcu!H23,Calcu!$Q$53)</f>
        <v/>
      </c>
      <c r="H24" s="280" t="str">
        <f ca="1">TEXT(Calcu!I23,Calcu!$Q$53)</f>
        <v/>
      </c>
      <c r="I24" s="280" t="str">
        <f ca="1">TEXT(Calcu!J23,Calcu!$Q$53)</f>
        <v/>
      </c>
      <c r="K24" s="280" t="str">
        <f ca="1">TEXT(Calcu!L23,Calcu!$Q$53)</f>
        <v/>
      </c>
      <c r="L24" s="280" t="str">
        <f ca="1">TEXT(Calcu!M23,Calcu!$Q$53)</f>
        <v/>
      </c>
      <c r="M24" s="28"/>
      <c r="N24" s="28"/>
      <c r="O24" s="28"/>
      <c r="P24" s="28"/>
    </row>
    <row r="25" spans="2:16" ht="13.5" customHeight="1">
      <c r="B25" s="280" t="str">
        <f>Calcu!C24</f>
        <v/>
      </c>
      <c r="C25" s="280" t="str">
        <f>Calcu!D24</f>
        <v/>
      </c>
      <c r="D25" s="280" t="str">
        <f>Calcu!E24</f>
        <v/>
      </c>
      <c r="E25" s="280" t="str">
        <f ca="1">TEXT(Calcu!F24,Calcu!$Q$53)</f>
        <v/>
      </c>
      <c r="F25" s="280" t="str">
        <f ca="1">TEXT(Calcu!G24,Calcu!$Q$53)</f>
        <v/>
      </c>
      <c r="G25" s="280" t="str">
        <f ca="1">TEXT(Calcu!H24,Calcu!$Q$53)</f>
        <v/>
      </c>
      <c r="H25" s="280" t="str">
        <f ca="1">TEXT(Calcu!I24,Calcu!$Q$53)</f>
        <v/>
      </c>
      <c r="I25" s="280" t="str">
        <f ca="1">TEXT(Calcu!J24,Calcu!$Q$53)</f>
        <v/>
      </c>
      <c r="K25" s="280" t="str">
        <f ca="1">TEXT(Calcu!L24,Calcu!$Q$53)</f>
        <v/>
      </c>
      <c r="L25" s="280" t="str">
        <f ca="1">TEXT(Calcu!M24,Calcu!$Q$53)</f>
        <v/>
      </c>
      <c r="M25" s="28"/>
      <c r="N25" s="28"/>
      <c r="O25" s="28"/>
      <c r="P25" s="28"/>
    </row>
    <row r="26" spans="2:16" ht="13.5" customHeight="1">
      <c r="B26" s="280" t="str">
        <f>Calcu!C25</f>
        <v/>
      </c>
      <c r="C26" s="280" t="str">
        <f>Calcu!D25</f>
        <v/>
      </c>
      <c r="D26" s="280" t="str">
        <f>Calcu!E25</f>
        <v/>
      </c>
      <c r="E26" s="280" t="str">
        <f ca="1">TEXT(Calcu!F25,Calcu!$Q$53)</f>
        <v/>
      </c>
      <c r="F26" s="280" t="str">
        <f ca="1">TEXT(Calcu!G25,Calcu!$Q$53)</f>
        <v/>
      </c>
      <c r="G26" s="280" t="str">
        <f ca="1">TEXT(Calcu!H25,Calcu!$Q$53)</f>
        <v/>
      </c>
      <c r="H26" s="280" t="str">
        <f ca="1">TEXT(Calcu!I25,Calcu!$Q$53)</f>
        <v/>
      </c>
      <c r="I26" s="280" t="str">
        <f ca="1">TEXT(Calcu!J25,Calcu!$Q$53)</f>
        <v/>
      </c>
      <c r="K26" s="280" t="str">
        <f ca="1">TEXT(Calcu!L25,Calcu!$Q$53)</f>
        <v/>
      </c>
      <c r="L26" s="280" t="str">
        <f ca="1">TEXT(Calcu!M25,Calcu!$Q$53)</f>
        <v/>
      </c>
      <c r="M26" s="28"/>
      <c r="N26" s="28"/>
      <c r="O26" s="28"/>
      <c r="P26" s="28"/>
    </row>
    <row r="27" spans="2:16" ht="13.5" customHeight="1">
      <c r="B27" s="280" t="str">
        <f>Calcu!C26</f>
        <v/>
      </c>
      <c r="C27" s="280" t="str">
        <f>Calcu!D26</f>
        <v/>
      </c>
      <c r="D27" s="280" t="str">
        <f>Calcu!E26</f>
        <v/>
      </c>
      <c r="E27" s="280" t="str">
        <f ca="1">TEXT(Calcu!F26,Calcu!$Q$53)</f>
        <v/>
      </c>
      <c r="F27" s="280" t="str">
        <f ca="1">TEXT(Calcu!G26,Calcu!$Q$53)</f>
        <v/>
      </c>
      <c r="G27" s="280" t="str">
        <f ca="1">TEXT(Calcu!H26,Calcu!$Q$53)</f>
        <v/>
      </c>
      <c r="H27" s="280" t="str">
        <f ca="1">TEXT(Calcu!I26,Calcu!$Q$53)</f>
        <v/>
      </c>
      <c r="I27" s="280" t="str">
        <f ca="1">TEXT(Calcu!J26,Calcu!$Q$53)</f>
        <v/>
      </c>
      <c r="K27" s="280" t="str">
        <f ca="1">TEXT(Calcu!L26,Calcu!$Q$53)</f>
        <v/>
      </c>
      <c r="L27" s="280" t="str">
        <f ca="1">TEXT(Calcu!M26,Calcu!$Q$53)</f>
        <v/>
      </c>
      <c r="M27" s="28"/>
      <c r="N27" s="28"/>
      <c r="O27" s="28"/>
      <c r="P27" s="28"/>
    </row>
    <row r="28" spans="2:16" ht="13.5" customHeight="1">
      <c r="B28" s="280" t="str">
        <f>Calcu!C27</f>
        <v/>
      </c>
      <c r="C28" s="280" t="str">
        <f>Calcu!D27</f>
        <v/>
      </c>
      <c r="D28" s="280" t="str">
        <f>Calcu!E27</f>
        <v/>
      </c>
      <c r="E28" s="280" t="str">
        <f ca="1">TEXT(Calcu!F27,Calcu!$Q$53)</f>
        <v/>
      </c>
      <c r="F28" s="280" t="str">
        <f ca="1">TEXT(Calcu!G27,Calcu!$Q$53)</f>
        <v/>
      </c>
      <c r="G28" s="280" t="str">
        <f ca="1">TEXT(Calcu!H27,Calcu!$Q$53)</f>
        <v/>
      </c>
      <c r="H28" s="280" t="str">
        <f ca="1">TEXT(Calcu!I27,Calcu!$Q$53)</f>
        <v/>
      </c>
      <c r="I28" s="280" t="str">
        <f ca="1">TEXT(Calcu!J27,Calcu!$Q$53)</f>
        <v/>
      </c>
      <c r="K28" s="280" t="str">
        <f ca="1">TEXT(Calcu!L27,Calcu!$Q$53)</f>
        <v/>
      </c>
      <c r="L28" s="280" t="str">
        <f ca="1">TEXT(Calcu!M27,Calcu!$Q$53)</f>
        <v/>
      </c>
      <c r="M28" s="28"/>
      <c r="N28" s="28"/>
      <c r="O28" s="28"/>
      <c r="P28" s="28"/>
    </row>
    <row r="29" spans="2:16" ht="13.5" customHeight="1">
      <c r="B29" s="280" t="str">
        <f>Calcu!C28</f>
        <v/>
      </c>
      <c r="C29" s="280" t="str">
        <f>Calcu!D28</f>
        <v/>
      </c>
      <c r="D29" s="280" t="str">
        <f>Calcu!E28</f>
        <v/>
      </c>
      <c r="E29" s="280" t="str">
        <f ca="1">TEXT(Calcu!F28,Calcu!$Q$53)</f>
        <v/>
      </c>
      <c r="F29" s="280" t="str">
        <f ca="1">TEXT(Calcu!G28,Calcu!$Q$53)</f>
        <v/>
      </c>
      <c r="G29" s="280" t="str">
        <f ca="1">TEXT(Calcu!H28,Calcu!$Q$53)</f>
        <v/>
      </c>
      <c r="H29" s="280" t="str">
        <f ca="1">TEXT(Calcu!I28,Calcu!$Q$53)</f>
        <v/>
      </c>
      <c r="I29" s="280" t="str">
        <f ca="1">TEXT(Calcu!J28,Calcu!$Q$53)</f>
        <v/>
      </c>
      <c r="K29" s="280" t="str">
        <f ca="1">TEXT(Calcu!L28,Calcu!$Q$53)</f>
        <v/>
      </c>
      <c r="L29" s="280" t="str">
        <f ca="1">TEXT(Calcu!M28,Calcu!$Q$53)</f>
        <v/>
      </c>
      <c r="M29" s="28"/>
      <c r="N29" s="28"/>
      <c r="O29" s="28"/>
      <c r="P29" s="28"/>
    </row>
  </sheetData>
  <sortState ref="P5:Q14">
    <sortCondition descending="1" ref="P5"/>
  </sortState>
  <mergeCells count="7">
    <mergeCell ref="B8:B9"/>
    <mergeCell ref="C8:C9"/>
    <mergeCell ref="E4:F4"/>
    <mergeCell ref="K8:L8"/>
    <mergeCell ref="E3:F3"/>
    <mergeCell ref="D8:D9"/>
    <mergeCell ref="E8:I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418"/>
  <sheetViews>
    <sheetView showGridLines="0" zoomScaleNormal="100" zoomScaleSheetLayoutView="100" workbookViewId="0"/>
  </sheetViews>
  <sheetFormatPr defaultColWidth="1.77734375" defaultRowHeight="18.75" customHeight="1"/>
  <cols>
    <col min="1" max="2" width="1.77734375" style="55"/>
    <col min="3" max="3" width="1.77734375" style="55" customWidth="1"/>
    <col min="4" max="4" width="2.109375" style="55" bestFit="1" customWidth="1"/>
    <col min="5" max="6" width="1.77734375" style="55"/>
    <col min="7" max="7" width="1.77734375" style="55" customWidth="1"/>
    <col min="8" max="11" width="1.77734375" style="55"/>
    <col min="12" max="12" width="1.77734375" style="55" customWidth="1"/>
    <col min="13" max="23" width="1.77734375" style="55"/>
    <col min="24" max="24" width="1.77734375" style="55" customWidth="1"/>
    <col min="25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56" s="188" customFormat="1" ht="31.5">
      <c r="A1" s="187" t="s">
        <v>502</v>
      </c>
    </row>
    <row r="2" spans="1:56" s="188" customFormat="1" ht="26.25">
      <c r="A2" s="273" t="s">
        <v>503</v>
      </c>
    </row>
    <row r="3" spans="1:56" s="188" customFormat="1" ht="18.75" customHeight="1">
      <c r="A3" s="189" t="s">
        <v>504</v>
      </c>
    </row>
    <row r="4" spans="1:56" s="188" customFormat="1" ht="18.75" customHeight="1">
      <c r="B4" s="541" t="s">
        <v>505</v>
      </c>
      <c r="C4" s="541"/>
      <c r="D4" s="541"/>
      <c r="E4" s="541"/>
      <c r="F4" s="541"/>
      <c r="G4" s="541"/>
      <c r="H4" s="541" t="s">
        <v>506</v>
      </c>
      <c r="I4" s="541"/>
      <c r="J4" s="541"/>
      <c r="K4" s="541"/>
      <c r="L4" s="541"/>
      <c r="M4" s="541"/>
      <c r="N4" s="541" t="s">
        <v>430</v>
      </c>
      <c r="O4" s="541"/>
      <c r="P4" s="541"/>
      <c r="Q4" s="541"/>
      <c r="R4" s="541"/>
      <c r="S4" s="541"/>
    </row>
    <row r="5" spans="1:56" s="188" customFormat="1" ht="18.75" customHeight="1">
      <c r="B5" s="542" t="s">
        <v>507</v>
      </c>
      <c r="C5" s="542"/>
      <c r="D5" s="542"/>
      <c r="E5" s="542"/>
      <c r="F5" s="542"/>
      <c r="G5" s="542"/>
      <c r="H5" s="542" t="s">
        <v>431</v>
      </c>
      <c r="I5" s="542"/>
      <c r="J5" s="542"/>
      <c r="K5" s="542"/>
      <c r="L5" s="542"/>
      <c r="M5" s="542"/>
      <c r="N5" s="542" t="s">
        <v>508</v>
      </c>
      <c r="O5" s="542"/>
      <c r="P5" s="542"/>
      <c r="Q5" s="542"/>
      <c r="R5" s="542"/>
      <c r="S5" s="542"/>
    </row>
    <row r="6" spans="1:56" s="188" customFormat="1" ht="18.75" customHeight="1">
      <c r="A6" s="187"/>
    </row>
    <row r="7" spans="1:56" ht="18.75" customHeight="1">
      <c r="A7" s="190" t="s">
        <v>509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</row>
    <row r="8" spans="1:56" ht="18.75" customHeight="1">
      <c r="A8" s="190"/>
      <c r="B8" s="467" t="s">
        <v>426</v>
      </c>
      <c r="C8" s="468"/>
      <c r="D8" s="468"/>
      <c r="E8" s="468"/>
      <c r="F8" s="469"/>
      <c r="G8" s="507" t="s">
        <v>510</v>
      </c>
      <c r="H8" s="508"/>
      <c r="I8" s="508"/>
      <c r="J8" s="508"/>
      <c r="K8" s="508"/>
      <c r="L8" s="508"/>
      <c r="M8" s="508"/>
      <c r="N8" s="508"/>
      <c r="O8" s="508"/>
      <c r="P8" s="508"/>
      <c r="Q8" s="508"/>
      <c r="R8" s="508"/>
      <c r="S8" s="508"/>
      <c r="T8" s="508"/>
      <c r="U8" s="508"/>
      <c r="V8" s="508"/>
      <c r="W8" s="508"/>
      <c r="X8" s="508"/>
      <c r="Y8" s="508"/>
      <c r="Z8" s="508"/>
      <c r="AA8" s="508"/>
      <c r="AB8" s="508"/>
      <c r="AC8" s="508"/>
      <c r="AD8" s="508"/>
      <c r="AE8" s="509"/>
      <c r="AF8" s="467" t="s">
        <v>511</v>
      </c>
      <c r="AG8" s="468"/>
      <c r="AH8" s="468"/>
      <c r="AI8" s="468"/>
      <c r="AJ8" s="469"/>
      <c r="AK8" s="467" t="s">
        <v>432</v>
      </c>
      <c r="AL8" s="468"/>
      <c r="AM8" s="468"/>
      <c r="AN8" s="468"/>
      <c r="AO8" s="469"/>
      <c r="AP8" s="467" t="s">
        <v>433</v>
      </c>
      <c r="AQ8" s="468"/>
      <c r="AR8" s="468"/>
      <c r="AS8" s="468"/>
      <c r="AT8" s="469"/>
      <c r="AU8" s="467" t="s">
        <v>434</v>
      </c>
      <c r="AV8" s="468"/>
      <c r="AW8" s="468"/>
      <c r="AX8" s="468"/>
      <c r="AY8" s="469"/>
      <c r="AZ8" s="467" t="s">
        <v>435</v>
      </c>
      <c r="BA8" s="468"/>
      <c r="BB8" s="468"/>
      <c r="BC8" s="468"/>
      <c r="BD8" s="469"/>
    </row>
    <row r="9" spans="1:56" ht="18.75" customHeight="1">
      <c r="A9" s="190"/>
      <c r="B9" s="470"/>
      <c r="C9" s="471"/>
      <c r="D9" s="471"/>
      <c r="E9" s="471"/>
      <c r="F9" s="472"/>
      <c r="G9" s="507" t="s">
        <v>188</v>
      </c>
      <c r="H9" s="508"/>
      <c r="I9" s="508"/>
      <c r="J9" s="508"/>
      <c r="K9" s="509"/>
      <c r="L9" s="507" t="s">
        <v>224</v>
      </c>
      <c r="M9" s="508"/>
      <c r="N9" s="508"/>
      <c r="O9" s="508"/>
      <c r="P9" s="509"/>
      <c r="Q9" s="507" t="s">
        <v>436</v>
      </c>
      <c r="R9" s="508"/>
      <c r="S9" s="508"/>
      <c r="T9" s="508"/>
      <c r="U9" s="509"/>
      <c r="V9" s="507" t="s">
        <v>512</v>
      </c>
      <c r="W9" s="508"/>
      <c r="X9" s="508"/>
      <c r="Y9" s="508"/>
      <c r="Z9" s="509"/>
      <c r="AA9" s="507" t="s">
        <v>437</v>
      </c>
      <c r="AB9" s="508"/>
      <c r="AC9" s="508"/>
      <c r="AD9" s="508"/>
      <c r="AE9" s="509"/>
      <c r="AF9" s="470"/>
      <c r="AG9" s="471"/>
      <c r="AH9" s="471"/>
      <c r="AI9" s="471"/>
      <c r="AJ9" s="472"/>
      <c r="AK9" s="470"/>
      <c r="AL9" s="471"/>
      <c r="AM9" s="471"/>
      <c r="AN9" s="471"/>
      <c r="AO9" s="472"/>
      <c r="AP9" s="470"/>
      <c r="AQ9" s="471"/>
      <c r="AR9" s="471"/>
      <c r="AS9" s="471"/>
      <c r="AT9" s="472"/>
      <c r="AU9" s="470"/>
      <c r="AV9" s="471"/>
      <c r="AW9" s="471"/>
      <c r="AX9" s="471"/>
      <c r="AY9" s="472"/>
      <c r="AZ9" s="470"/>
      <c r="BA9" s="471"/>
      <c r="BB9" s="471"/>
      <c r="BC9" s="471"/>
      <c r="BD9" s="472"/>
    </row>
    <row r="10" spans="1:56" ht="18.75" customHeight="1">
      <c r="A10" s="190"/>
      <c r="B10" s="460" t="str">
        <f>Calcu!D9</f>
        <v/>
      </c>
      <c r="C10" s="461"/>
      <c r="D10" s="461"/>
      <c r="E10" s="461"/>
      <c r="F10" s="462"/>
      <c r="G10" s="463" t="str">
        <f>Calcu!F9</f>
        <v/>
      </c>
      <c r="H10" s="464"/>
      <c r="I10" s="464"/>
      <c r="J10" s="464"/>
      <c r="K10" s="465"/>
      <c r="L10" s="463" t="str">
        <f>Calcu!G9</f>
        <v/>
      </c>
      <c r="M10" s="464"/>
      <c r="N10" s="464"/>
      <c r="O10" s="464"/>
      <c r="P10" s="465"/>
      <c r="Q10" s="463" t="str">
        <f>Calcu!H9</f>
        <v/>
      </c>
      <c r="R10" s="464"/>
      <c r="S10" s="464"/>
      <c r="T10" s="464"/>
      <c r="U10" s="465"/>
      <c r="V10" s="463" t="str">
        <f>Calcu!I9</f>
        <v/>
      </c>
      <c r="W10" s="464"/>
      <c r="X10" s="464"/>
      <c r="Y10" s="464"/>
      <c r="Z10" s="465"/>
      <c r="AA10" s="463" t="str">
        <f>Calcu!J9</f>
        <v/>
      </c>
      <c r="AB10" s="464"/>
      <c r="AC10" s="464"/>
      <c r="AD10" s="464"/>
      <c r="AE10" s="465"/>
      <c r="AF10" s="463" t="str">
        <f>Calcu!K9</f>
        <v/>
      </c>
      <c r="AG10" s="464"/>
      <c r="AH10" s="464"/>
      <c r="AI10" s="464"/>
      <c r="AJ10" s="465"/>
      <c r="AK10" s="511" t="str">
        <f>Calcu!O9</f>
        <v/>
      </c>
      <c r="AL10" s="512"/>
      <c r="AM10" s="512"/>
      <c r="AN10" s="512"/>
      <c r="AO10" s="513"/>
      <c r="AP10" s="463" t="str">
        <f>Calcu!P9</f>
        <v/>
      </c>
      <c r="AQ10" s="464"/>
      <c r="AR10" s="464"/>
      <c r="AS10" s="464"/>
      <c r="AT10" s="465"/>
      <c r="AU10" s="463" t="str">
        <f>Calcu!X9</f>
        <v/>
      </c>
      <c r="AV10" s="464"/>
      <c r="AW10" s="464"/>
      <c r="AX10" s="464"/>
      <c r="AY10" s="465"/>
      <c r="AZ10" s="463" t="str">
        <f>Calcu!Y9</f>
        <v/>
      </c>
      <c r="BA10" s="464"/>
      <c r="BB10" s="464"/>
      <c r="BC10" s="464"/>
      <c r="BD10" s="465"/>
    </row>
    <row r="11" spans="1:56" ht="18.75" customHeight="1">
      <c r="A11" s="190"/>
      <c r="B11" s="460" t="str">
        <f>Calcu!D10</f>
        <v/>
      </c>
      <c r="C11" s="461"/>
      <c r="D11" s="461"/>
      <c r="E11" s="461"/>
      <c r="F11" s="462"/>
      <c r="G11" s="463" t="str">
        <f>Calcu!F10</f>
        <v/>
      </c>
      <c r="H11" s="464"/>
      <c r="I11" s="464"/>
      <c r="J11" s="464"/>
      <c r="K11" s="465"/>
      <c r="L11" s="463" t="str">
        <f>Calcu!G10</f>
        <v/>
      </c>
      <c r="M11" s="464"/>
      <c r="N11" s="464"/>
      <c r="O11" s="464"/>
      <c r="P11" s="465"/>
      <c r="Q11" s="463" t="str">
        <f>Calcu!H10</f>
        <v/>
      </c>
      <c r="R11" s="464"/>
      <c r="S11" s="464"/>
      <c r="T11" s="464"/>
      <c r="U11" s="465"/>
      <c r="V11" s="463" t="str">
        <f>Calcu!I10</f>
        <v/>
      </c>
      <c r="W11" s="464"/>
      <c r="X11" s="464"/>
      <c r="Y11" s="464"/>
      <c r="Z11" s="465"/>
      <c r="AA11" s="463" t="str">
        <f>Calcu!J10</f>
        <v/>
      </c>
      <c r="AB11" s="464"/>
      <c r="AC11" s="464"/>
      <c r="AD11" s="464"/>
      <c r="AE11" s="465"/>
      <c r="AF11" s="463" t="str">
        <f>Calcu!K10</f>
        <v/>
      </c>
      <c r="AG11" s="464"/>
      <c r="AH11" s="464"/>
      <c r="AI11" s="464"/>
      <c r="AJ11" s="465"/>
      <c r="AK11" s="511" t="str">
        <f>Calcu!O10</f>
        <v/>
      </c>
      <c r="AL11" s="512"/>
      <c r="AM11" s="512"/>
      <c r="AN11" s="512"/>
      <c r="AO11" s="513"/>
      <c r="AP11" s="463" t="str">
        <f>Calcu!P10</f>
        <v/>
      </c>
      <c r="AQ11" s="464"/>
      <c r="AR11" s="464"/>
      <c r="AS11" s="464"/>
      <c r="AT11" s="465"/>
      <c r="AU11" s="463" t="str">
        <f>Calcu!X10</f>
        <v/>
      </c>
      <c r="AV11" s="464"/>
      <c r="AW11" s="464"/>
      <c r="AX11" s="464"/>
      <c r="AY11" s="465"/>
      <c r="AZ11" s="463" t="str">
        <f>Calcu!Y10</f>
        <v/>
      </c>
      <c r="BA11" s="464"/>
      <c r="BB11" s="464"/>
      <c r="BC11" s="464"/>
      <c r="BD11" s="465"/>
    </row>
    <row r="12" spans="1:56" ht="18.75" customHeight="1">
      <c r="A12" s="190"/>
      <c r="B12" s="460" t="str">
        <f>Calcu!D11</f>
        <v/>
      </c>
      <c r="C12" s="461"/>
      <c r="D12" s="461"/>
      <c r="E12" s="461"/>
      <c r="F12" s="462"/>
      <c r="G12" s="463" t="str">
        <f>Calcu!F11</f>
        <v/>
      </c>
      <c r="H12" s="464"/>
      <c r="I12" s="464"/>
      <c r="J12" s="464"/>
      <c r="K12" s="465"/>
      <c r="L12" s="463" t="str">
        <f>Calcu!G11</f>
        <v/>
      </c>
      <c r="M12" s="464"/>
      <c r="N12" s="464"/>
      <c r="O12" s="464"/>
      <c r="P12" s="465"/>
      <c r="Q12" s="463" t="str">
        <f>Calcu!H11</f>
        <v/>
      </c>
      <c r="R12" s="464"/>
      <c r="S12" s="464"/>
      <c r="T12" s="464"/>
      <c r="U12" s="465"/>
      <c r="V12" s="463" t="str">
        <f>Calcu!I11</f>
        <v/>
      </c>
      <c r="W12" s="464"/>
      <c r="X12" s="464"/>
      <c r="Y12" s="464"/>
      <c r="Z12" s="465"/>
      <c r="AA12" s="463" t="str">
        <f>Calcu!J11</f>
        <v/>
      </c>
      <c r="AB12" s="464"/>
      <c r="AC12" s="464"/>
      <c r="AD12" s="464"/>
      <c r="AE12" s="465"/>
      <c r="AF12" s="463" t="str">
        <f>Calcu!K11</f>
        <v/>
      </c>
      <c r="AG12" s="464"/>
      <c r="AH12" s="464"/>
      <c r="AI12" s="464"/>
      <c r="AJ12" s="465"/>
      <c r="AK12" s="511" t="str">
        <f>Calcu!O11</f>
        <v/>
      </c>
      <c r="AL12" s="512"/>
      <c r="AM12" s="512"/>
      <c r="AN12" s="512"/>
      <c r="AO12" s="513"/>
      <c r="AP12" s="463" t="str">
        <f>Calcu!P11</f>
        <v/>
      </c>
      <c r="AQ12" s="464"/>
      <c r="AR12" s="464"/>
      <c r="AS12" s="464"/>
      <c r="AT12" s="465"/>
      <c r="AU12" s="463" t="str">
        <f>Calcu!X11</f>
        <v/>
      </c>
      <c r="AV12" s="464"/>
      <c r="AW12" s="464"/>
      <c r="AX12" s="464"/>
      <c r="AY12" s="465"/>
      <c r="AZ12" s="463" t="str">
        <f>Calcu!Y11</f>
        <v/>
      </c>
      <c r="BA12" s="464"/>
      <c r="BB12" s="464"/>
      <c r="BC12" s="464"/>
      <c r="BD12" s="465"/>
    </row>
    <row r="13" spans="1:56" ht="18.75" customHeight="1">
      <c r="A13" s="190"/>
      <c r="B13" s="460" t="str">
        <f>Calcu!D12</f>
        <v/>
      </c>
      <c r="C13" s="461"/>
      <c r="D13" s="461"/>
      <c r="E13" s="461"/>
      <c r="F13" s="462"/>
      <c r="G13" s="463" t="str">
        <f>Calcu!F12</f>
        <v/>
      </c>
      <c r="H13" s="464"/>
      <c r="I13" s="464"/>
      <c r="J13" s="464"/>
      <c r="K13" s="465"/>
      <c r="L13" s="463" t="str">
        <f>Calcu!G12</f>
        <v/>
      </c>
      <c r="M13" s="464"/>
      <c r="N13" s="464"/>
      <c r="O13" s="464"/>
      <c r="P13" s="465"/>
      <c r="Q13" s="463" t="str">
        <f>Calcu!H12</f>
        <v/>
      </c>
      <c r="R13" s="464"/>
      <c r="S13" s="464"/>
      <c r="T13" s="464"/>
      <c r="U13" s="465"/>
      <c r="V13" s="463" t="str">
        <f>Calcu!I12</f>
        <v/>
      </c>
      <c r="W13" s="464"/>
      <c r="X13" s="464"/>
      <c r="Y13" s="464"/>
      <c r="Z13" s="465"/>
      <c r="AA13" s="463" t="str">
        <f>Calcu!J12</f>
        <v/>
      </c>
      <c r="AB13" s="464"/>
      <c r="AC13" s="464"/>
      <c r="AD13" s="464"/>
      <c r="AE13" s="465"/>
      <c r="AF13" s="463" t="str">
        <f>Calcu!K12</f>
        <v/>
      </c>
      <c r="AG13" s="464"/>
      <c r="AH13" s="464"/>
      <c r="AI13" s="464"/>
      <c r="AJ13" s="465"/>
      <c r="AK13" s="511" t="str">
        <f>Calcu!O12</f>
        <v/>
      </c>
      <c r="AL13" s="512"/>
      <c r="AM13" s="512"/>
      <c r="AN13" s="512"/>
      <c r="AO13" s="513"/>
      <c r="AP13" s="463" t="str">
        <f>Calcu!P12</f>
        <v/>
      </c>
      <c r="AQ13" s="464"/>
      <c r="AR13" s="464"/>
      <c r="AS13" s="464"/>
      <c r="AT13" s="465"/>
      <c r="AU13" s="463" t="str">
        <f>Calcu!X12</f>
        <v/>
      </c>
      <c r="AV13" s="464"/>
      <c r="AW13" s="464"/>
      <c r="AX13" s="464"/>
      <c r="AY13" s="465"/>
      <c r="AZ13" s="463" t="str">
        <f>Calcu!Y12</f>
        <v/>
      </c>
      <c r="BA13" s="464"/>
      <c r="BB13" s="464"/>
      <c r="BC13" s="464"/>
      <c r="BD13" s="465"/>
    </row>
    <row r="14" spans="1:56" ht="18.75" customHeight="1">
      <c r="A14" s="190"/>
      <c r="B14" s="460" t="str">
        <f>Calcu!D13</f>
        <v/>
      </c>
      <c r="C14" s="461"/>
      <c r="D14" s="461"/>
      <c r="E14" s="461"/>
      <c r="F14" s="462"/>
      <c r="G14" s="463" t="str">
        <f>Calcu!F13</f>
        <v/>
      </c>
      <c r="H14" s="464"/>
      <c r="I14" s="464"/>
      <c r="J14" s="464"/>
      <c r="K14" s="465"/>
      <c r="L14" s="463" t="str">
        <f>Calcu!G13</f>
        <v/>
      </c>
      <c r="M14" s="464"/>
      <c r="N14" s="464"/>
      <c r="O14" s="464"/>
      <c r="P14" s="465"/>
      <c r="Q14" s="463" t="str">
        <f>Calcu!H13</f>
        <v/>
      </c>
      <c r="R14" s="464"/>
      <c r="S14" s="464"/>
      <c r="T14" s="464"/>
      <c r="U14" s="465"/>
      <c r="V14" s="463" t="str">
        <f>Calcu!I13</f>
        <v/>
      </c>
      <c r="W14" s="464"/>
      <c r="X14" s="464"/>
      <c r="Y14" s="464"/>
      <c r="Z14" s="465"/>
      <c r="AA14" s="463" t="str">
        <f>Calcu!J13</f>
        <v/>
      </c>
      <c r="AB14" s="464"/>
      <c r="AC14" s="464"/>
      <c r="AD14" s="464"/>
      <c r="AE14" s="465"/>
      <c r="AF14" s="463" t="str">
        <f>Calcu!K13</f>
        <v/>
      </c>
      <c r="AG14" s="464"/>
      <c r="AH14" s="464"/>
      <c r="AI14" s="464"/>
      <c r="AJ14" s="465"/>
      <c r="AK14" s="511" t="str">
        <f>Calcu!O13</f>
        <v/>
      </c>
      <c r="AL14" s="512"/>
      <c r="AM14" s="512"/>
      <c r="AN14" s="512"/>
      <c r="AO14" s="513"/>
      <c r="AP14" s="463" t="str">
        <f>Calcu!P13</f>
        <v/>
      </c>
      <c r="AQ14" s="464"/>
      <c r="AR14" s="464"/>
      <c r="AS14" s="464"/>
      <c r="AT14" s="465"/>
      <c r="AU14" s="463" t="str">
        <f>Calcu!X13</f>
        <v/>
      </c>
      <c r="AV14" s="464"/>
      <c r="AW14" s="464"/>
      <c r="AX14" s="464"/>
      <c r="AY14" s="465"/>
      <c r="AZ14" s="463" t="str">
        <f>Calcu!Y13</f>
        <v/>
      </c>
      <c r="BA14" s="464"/>
      <c r="BB14" s="464"/>
      <c r="BC14" s="464"/>
      <c r="BD14" s="465"/>
    </row>
    <row r="15" spans="1:56" ht="18.75" customHeight="1">
      <c r="A15" s="190"/>
      <c r="B15" s="460" t="str">
        <f>Calcu!D14</f>
        <v/>
      </c>
      <c r="C15" s="461"/>
      <c r="D15" s="461"/>
      <c r="E15" s="461"/>
      <c r="F15" s="462"/>
      <c r="G15" s="463" t="str">
        <f>Calcu!F14</f>
        <v/>
      </c>
      <c r="H15" s="464"/>
      <c r="I15" s="464"/>
      <c r="J15" s="464"/>
      <c r="K15" s="465"/>
      <c r="L15" s="463" t="str">
        <f>Calcu!G14</f>
        <v/>
      </c>
      <c r="M15" s="464"/>
      <c r="N15" s="464"/>
      <c r="O15" s="464"/>
      <c r="P15" s="465"/>
      <c r="Q15" s="463" t="str">
        <f>Calcu!H14</f>
        <v/>
      </c>
      <c r="R15" s="464"/>
      <c r="S15" s="464"/>
      <c r="T15" s="464"/>
      <c r="U15" s="465"/>
      <c r="V15" s="463" t="str">
        <f>Calcu!I14</f>
        <v/>
      </c>
      <c r="W15" s="464"/>
      <c r="X15" s="464"/>
      <c r="Y15" s="464"/>
      <c r="Z15" s="465"/>
      <c r="AA15" s="463" t="str">
        <f>Calcu!J14</f>
        <v/>
      </c>
      <c r="AB15" s="464"/>
      <c r="AC15" s="464"/>
      <c r="AD15" s="464"/>
      <c r="AE15" s="465"/>
      <c r="AF15" s="463" t="str">
        <f>Calcu!K14</f>
        <v/>
      </c>
      <c r="AG15" s="464"/>
      <c r="AH15" s="464"/>
      <c r="AI15" s="464"/>
      <c r="AJ15" s="465"/>
      <c r="AK15" s="511" t="str">
        <f>Calcu!O14</f>
        <v/>
      </c>
      <c r="AL15" s="512"/>
      <c r="AM15" s="512"/>
      <c r="AN15" s="512"/>
      <c r="AO15" s="513"/>
      <c r="AP15" s="463" t="str">
        <f>Calcu!P14</f>
        <v/>
      </c>
      <c r="AQ15" s="464"/>
      <c r="AR15" s="464"/>
      <c r="AS15" s="464"/>
      <c r="AT15" s="465"/>
      <c r="AU15" s="463" t="str">
        <f>Calcu!X14</f>
        <v/>
      </c>
      <c r="AV15" s="464"/>
      <c r="AW15" s="464"/>
      <c r="AX15" s="464"/>
      <c r="AY15" s="465"/>
      <c r="AZ15" s="463" t="str">
        <f>Calcu!Y14</f>
        <v/>
      </c>
      <c r="BA15" s="464"/>
      <c r="BB15" s="464"/>
      <c r="BC15" s="464"/>
      <c r="BD15" s="465"/>
    </row>
    <row r="16" spans="1:56" ht="18.75" customHeight="1">
      <c r="A16" s="190"/>
      <c r="B16" s="460" t="str">
        <f>Calcu!D15</f>
        <v/>
      </c>
      <c r="C16" s="461"/>
      <c r="D16" s="461"/>
      <c r="E16" s="461"/>
      <c r="F16" s="462"/>
      <c r="G16" s="463" t="str">
        <f>Calcu!F15</f>
        <v/>
      </c>
      <c r="H16" s="464"/>
      <c r="I16" s="464"/>
      <c r="J16" s="464"/>
      <c r="K16" s="465"/>
      <c r="L16" s="463" t="str">
        <f>Calcu!G15</f>
        <v/>
      </c>
      <c r="M16" s="464"/>
      <c r="N16" s="464"/>
      <c r="O16" s="464"/>
      <c r="P16" s="465"/>
      <c r="Q16" s="463" t="str">
        <f>Calcu!H15</f>
        <v/>
      </c>
      <c r="R16" s="464"/>
      <c r="S16" s="464"/>
      <c r="T16" s="464"/>
      <c r="U16" s="465"/>
      <c r="V16" s="463" t="str">
        <f>Calcu!I15</f>
        <v/>
      </c>
      <c r="W16" s="464"/>
      <c r="X16" s="464"/>
      <c r="Y16" s="464"/>
      <c r="Z16" s="465"/>
      <c r="AA16" s="463" t="str">
        <f>Calcu!J15</f>
        <v/>
      </c>
      <c r="AB16" s="464"/>
      <c r="AC16" s="464"/>
      <c r="AD16" s="464"/>
      <c r="AE16" s="465"/>
      <c r="AF16" s="463" t="str">
        <f>Calcu!K15</f>
        <v/>
      </c>
      <c r="AG16" s="464"/>
      <c r="AH16" s="464"/>
      <c r="AI16" s="464"/>
      <c r="AJ16" s="465"/>
      <c r="AK16" s="511" t="str">
        <f>Calcu!O15</f>
        <v/>
      </c>
      <c r="AL16" s="512"/>
      <c r="AM16" s="512"/>
      <c r="AN16" s="512"/>
      <c r="AO16" s="513"/>
      <c r="AP16" s="463" t="str">
        <f>Calcu!P15</f>
        <v/>
      </c>
      <c r="AQ16" s="464"/>
      <c r="AR16" s="464"/>
      <c r="AS16" s="464"/>
      <c r="AT16" s="465"/>
      <c r="AU16" s="463" t="str">
        <f>Calcu!X15</f>
        <v/>
      </c>
      <c r="AV16" s="464"/>
      <c r="AW16" s="464"/>
      <c r="AX16" s="464"/>
      <c r="AY16" s="465"/>
      <c r="AZ16" s="463" t="str">
        <f>Calcu!Y15</f>
        <v/>
      </c>
      <c r="BA16" s="464"/>
      <c r="BB16" s="464"/>
      <c r="BC16" s="464"/>
      <c r="BD16" s="465"/>
    </row>
    <row r="17" spans="1:56" ht="18.75" customHeight="1">
      <c r="A17" s="190"/>
      <c r="B17" s="460" t="str">
        <f>Calcu!D16</f>
        <v/>
      </c>
      <c r="C17" s="461"/>
      <c r="D17" s="461"/>
      <c r="E17" s="461"/>
      <c r="F17" s="462"/>
      <c r="G17" s="463" t="str">
        <f>Calcu!F16</f>
        <v/>
      </c>
      <c r="H17" s="464"/>
      <c r="I17" s="464"/>
      <c r="J17" s="464"/>
      <c r="K17" s="465"/>
      <c r="L17" s="463" t="str">
        <f>Calcu!G16</f>
        <v/>
      </c>
      <c r="M17" s="464"/>
      <c r="N17" s="464"/>
      <c r="O17" s="464"/>
      <c r="P17" s="465"/>
      <c r="Q17" s="463" t="str">
        <f>Calcu!H16</f>
        <v/>
      </c>
      <c r="R17" s="464"/>
      <c r="S17" s="464"/>
      <c r="T17" s="464"/>
      <c r="U17" s="465"/>
      <c r="V17" s="463" t="str">
        <f>Calcu!I16</f>
        <v/>
      </c>
      <c r="W17" s="464"/>
      <c r="X17" s="464"/>
      <c r="Y17" s="464"/>
      <c r="Z17" s="465"/>
      <c r="AA17" s="463" t="str">
        <f>Calcu!J16</f>
        <v/>
      </c>
      <c r="AB17" s="464"/>
      <c r="AC17" s="464"/>
      <c r="AD17" s="464"/>
      <c r="AE17" s="465"/>
      <c r="AF17" s="463" t="str">
        <f>Calcu!K16</f>
        <v/>
      </c>
      <c r="AG17" s="464"/>
      <c r="AH17" s="464"/>
      <c r="AI17" s="464"/>
      <c r="AJ17" s="465"/>
      <c r="AK17" s="511" t="str">
        <f>Calcu!O16</f>
        <v/>
      </c>
      <c r="AL17" s="512"/>
      <c r="AM17" s="512"/>
      <c r="AN17" s="512"/>
      <c r="AO17" s="513"/>
      <c r="AP17" s="463" t="str">
        <f>Calcu!P16</f>
        <v/>
      </c>
      <c r="AQ17" s="464"/>
      <c r="AR17" s="464"/>
      <c r="AS17" s="464"/>
      <c r="AT17" s="465"/>
      <c r="AU17" s="463" t="str">
        <f>Calcu!X16</f>
        <v/>
      </c>
      <c r="AV17" s="464"/>
      <c r="AW17" s="464"/>
      <c r="AX17" s="464"/>
      <c r="AY17" s="465"/>
      <c r="AZ17" s="463" t="str">
        <f>Calcu!Y16</f>
        <v/>
      </c>
      <c r="BA17" s="464"/>
      <c r="BB17" s="464"/>
      <c r="BC17" s="464"/>
      <c r="BD17" s="465"/>
    </row>
    <row r="18" spans="1:56" ht="18.75" customHeight="1">
      <c r="A18" s="190"/>
      <c r="B18" s="460" t="str">
        <f>Calcu!D17</f>
        <v/>
      </c>
      <c r="C18" s="461"/>
      <c r="D18" s="461"/>
      <c r="E18" s="461"/>
      <c r="F18" s="462"/>
      <c r="G18" s="463" t="str">
        <f>Calcu!F17</f>
        <v/>
      </c>
      <c r="H18" s="464"/>
      <c r="I18" s="464"/>
      <c r="J18" s="464"/>
      <c r="K18" s="465"/>
      <c r="L18" s="463" t="str">
        <f>Calcu!G17</f>
        <v/>
      </c>
      <c r="M18" s="464"/>
      <c r="N18" s="464"/>
      <c r="O18" s="464"/>
      <c r="P18" s="465"/>
      <c r="Q18" s="463" t="str">
        <f>Calcu!H17</f>
        <v/>
      </c>
      <c r="R18" s="464"/>
      <c r="S18" s="464"/>
      <c r="T18" s="464"/>
      <c r="U18" s="465"/>
      <c r="V18" s="463" t="str">
        <f>Calcu!I17</f>
        <v/>
      </c>
      <c r="W18" s="464"/>
      <c r="X18" s="464"/>
      <c r="Y18" s="464"/>
      <c r="Z18" s="465"/>
      <c r="AA18" s="463" t="str">
        <f>Calcu!J17</f>
        <v/>
      </c>
      <c r="AB18" s="464"/>
      <c r="AC18" s="464"/>
      <c r="AD18" s="464"/>
      <c r="AE18" s="465"/>
      <c r="AF18" s="463" t="str">
        <f>Calcu!K17</f>
        <v/>
      </c>
      <c r="AG18" s="464"/>
      <c r="AH18" s="464"/>
      <c r="AI18" s="464"/>
      <c r="AJ18" s="465"/>
      <c r="AK18" s="511" t="str">
        <f>Calcu!O17</f>
        <v/>
      </c>
      <c r="AL18" s="512"/>
      <c r="AM18" s="512"/>
      <c r="AN18" s="512"/>
      <c r="AO18" s="513"/>
      <c r="AP18" s="463" t="str">
        <f>Calcu!P17</f>
        <v/>
      </c>
      <c r="AQ18" s="464"/>
      <c r="AR18" s="464"/>
      <c r="AS18" s="464"/>
      <c r="AT18" s="465"/>
      <c r="AU18" s="463" t="str">
        <f>Calcu!X17</f>
        <v/>
      </c>
      <c r="AV18" s="464"/>
      <c r="AW18" s="464"/>
      <c r="AX18" s="464"/>
      <c r="AY18" s="465"/>
      <c r="AZ18" s="463" t="str">
        <f>Calcu!Y17</f>
        <v/>
      </c>
      <c r="BA18" s="464"/>
      <c r="BB18" s="464"/>
      <c r="BC18" s="464"/>
      <c r="BD18" s="465"/>
    </row>
    <row r="19" spans="1:56" ht="18.75" customHeight="1">
      <c r="A19" s="190"/>
      <c r="B19" s="460" t="str">
        <f>Calcu!D18</f>
        <v/>
      </c>
      <c r="C19" s="461"/>
      <c r="D19" s="461"/>
      <c r="E19" s="461"/>
      <c r="F19" s="462"/>
      <c r="G19" s="463" t="str">
        <f>Calcu!F18</f>
        <v/>
      </c>
      <c r="H19" s="464"/>
      <c r="I19" s="464"/>
      <c r="J19" s="464"/>
      <c r="K19" s="465"/>
      <c r="L19" s="463" t="str">
        <f>Calcu!G18</f>
        <v/>
      </c>
      <c r="M19" s="464"/>
      <c r="N19" s="464"/>
      <c r="O19" s="464"/>
      <c r="P19" s="465"/>
      <c r="Q19" s="463" t="str">
        <f>Calcu!H18</f>
        <v/>
      </c>
      <c r="R19" s="464"/>
      <c r="S19" s="464"/>
      <c r="T19" s="464"/>
      <c r="U19" s="465"/>
      <c r="V19" s="463" t="str">
        <f>Calcu!I18</f>
        <v/>
      </c>
      <c r="W19" s="464"/>
      <c r="X19" s="464"/>
      <c r="Y19" s="464"/>
      <c r="Z19" s="465"/>
      <c r="AA19" s="463" t="str">
        <f>Calcu!J18</f>
        <v/>
      </c>
      <c r="AB19" s="464"/>
      <c r="AC19" s="464"/>
      <c r="AD19" s="464"/>
      <c r="AE19" s="465"/>
      <c r="AF19" s="463" t="str">
        <f>Calcu!K18</f>
        <v/>
      </c>
      <c r="AG19" s="464"/>
      <c r="AH19" s="464"/>
      <c r="AI19" s="464"/>
      <c r="AJ19" s="465"/>
      <c r="AK19" s="511" t="str">
        <f>Calcu!O18</f>
        <v/>
      </c>
      <c r="AL19" s="512"/>
      <c r="AM19" s="512"/>
      <c r="AN19" s="512"/>
      <c r="AO19" s="513"/>
      <c r="AP19" s="463" t="str">
        <f>Calcu!P18</f>
        <v/>
      </c>
      <c r="AQ19" s="464"/>
      <c r="AR19" s="464"/>
      <c r="AS19" s="464"/>
      <c r="AT19" s="465"/>
      <c r="AU19" s="463" t="str">
        <f>Calcu!X18</f>
        <v/>
      </c>
      <c r="AV19" s="464"/>
      <c r="AW19" s="464"/>
      <c r="AX19" s="464"/>
      <c r="AY19" s="465"/>
      <c r="AZ19" s="463" t="str">
        <f>Calcu!Y18</f>
        <v/>
      </c>
      <c r="BA19" s="464"/>
      <c r="BB19" s="464"/>
      <c r="BC19" s="464"/>
      <c r="BD19" s="465"/>
    </row>
    <row r="20" spans="1:56" ht="18.75" customHeight="1">
      <c r="A20" s="190"/>
      <c r="B20" s="460" t="str">
        <f>Calcu!D19</f>
        <v/>
      </c>
      <c r="C20" s="461"/>
      <c r="D20" s="461"/>
      <c r="E20" s="461"/>
      <c r="F20" s="462"/>
      <c r="G20" s="463" t="str">
        <f>Calcu!F19</f>
        <v/>
      </c>
      <c r="H20" s="464"/>
      <c r="I20" s="464"/>
      <c r="J20" s="464"/>
      <c r="K20" s="465"/>
      <c r="L20" s="463" t="str">
        <f>Calcu!G19</f>
        <v/>
      </c>
      <c r="M20" s="464"/>
      <c r="N20" s="464"/>
      <c r="O20" s="464"/>
      <c r="P20" s="465"/>
      <c r="Q20" s="463" t="str">
        <f>Calcu!H19</f>
        <v/>
      </c>
      <c r="R20" s="464"/>
      <c r="S20" s="464"/>
      <c r="T20" s="464"/>
      <c r="U20" s="465"/>
      <c r="V20" s="463" t="str">
        <f>Calcu!I19</f>
        <v/>
      </c>
      <c r="W20" s="464"/>
      <c r="X20" s="464"/>
      <c r="Y20" s="464"/>
      <c r="Z20" s="465"/>
      <c r="AA20" s="463" t="str">
        <f>Calcu!J19</f>
        <v/>
      </c>
      <c r="AB20" s="464"/>
      <c r="AC20" s="464"/>
      <c r="AD20" s="464"/>
      <c r="AE20" s="465"/>
      <c r="AF20" s="463" t="str">
        <f>Calcu!K19</f>
        <v/>
      </c>
      <c r="AG20" s="464"/>
      <c r="AH20" s="464"/>
      <c r="AI20" s="464"/>
      <c r="AJ20" s="465"/>
      <c r="AK20" s="511" t="str">
        <f>Calcu!O19</f>
        <v/>
      </c>
      <c r="AL20" s="512"/>
      <c r="AM20" s="512"/>
      <c r="AN20" s="512"/>
      <c r="AO20" s="513"/>
      <c r="AP20" s="463" t="str">
        <f>Calcu!P19</f>
        <v/>
      </c>
      <c r="AQ20" s="464"/>
      <c r="AR20" s="464"/>
      <c r="AS20" s="464"/>
      <c r="AT20" s="465"/>
      <c r="AU20" s="463" t="str">
        <f>Calcu!X19</f>
        <v/>
      </c>
      <c r="AV20" s="464"/>
      <c r="AW20" s="464"/>
      <c r="AX20" s="464"/>
      <c r="AY20" s="465"/>
      <c r="AZ20" s="463" t="str">
        <f>Calcu!Y19</f>
        <v/>
      </c>
      <c r="BA20" s="464"/>
      <c r="BB20" s="464"/>
      <c r="BC20" s="464"/>
      <c r="BD20" s="465"/>
    </row>
    <row r="21" spans="1:56" ht="18.75" customHeight="1">
      <c r="A21" s="190"/>
      <c r="B21" s="460" t="str">
        <f>Calcu!D20</f>
        <v/>
      </c>
      <c r="C21" s="461"/>
      <c r="D21" s="461"/>
      <c r="E21" s="461"/>
      <c r="F21" s="462"/>
      <c r="G21" s="463" t="str">
        <f>Calcu!F20</f>
        <v/>
      </c>
      <c r="H21" s="464"/>
      <c r="I21" s="464"/>
      <c r="J21" s="464"/>
      <c r="K21" s="465"/>
      <c r="L21" s="463" t="str">
        <f>Calcu!G20</f>
        <v/>
      </c>
      <c r="M21" s="464"/>
      <c r="N21" s="464"/>
      <c r="O21" s="464"/>
      <c r="P21" s="465"/>
      <c r="Q21" s="463" t="str">
        <f>Calcu!H20</f>
        <v/>
      </c>
      <c r="R21" s="464"/>
      <c r="S21" s="464"/>
      <c r="T21" s="464"/>
      <c r="U21" s="465"/>
      <c r="V21" s="463" t="str">
        <f>Calcu!I20</f>
        <v/>
      </c>
      <c r="W21" s="464"/>
      <c r="X21" s="464"/>
      <c r="Y21" s="464"/>
      <c r="Z21" s="465"/>
      <c r="AA21" s="463" t="str">
        <f>Calcu!J20</f>
        <v/>
      </c>
      <c r="AB21" s="464"/>
      <c r="AC21" s="464"/>
      <c r="AD21" s="464"/>
      <c r="AE21" s="465"/>
      <c r="AF21" s="463" t="str">
        <f>Calcu!K20</f>
        <v/>
      </c>
      <c r="AG21" s="464"/>
      <c r="AH21" s="464"/>
      <c r="AI21" s="464"/>
      <c r="AJ21" s="465"/>
      <c r="AK21" s="511" t="str">
        <f>Calcu!O20</f>
        <v/>
      </c>
      <c r="AL21" s="512"/>
      <c r="AM21" s="512"/>
      <c r="AN21" s="512"/>
      <c r="AO21" s="513"/>
      <c r="AP21" s="463" t="str">
        <f>Calcu!P20</f>
        <v/>
      </c>
      <c r="AQ21" s="464"/>
      <c r="AR21" s="464"/>
      <c r="AS21" s="464"/>
      <c r="AT21" s="465"/>
      <c r="AU21" s="463" t="str">
        <f>Calcu!X20</f>
        <v/>
      </c>
      <c r="AV21" s="464"/>
      <c r="AW21" s="464"/>
      <c r="AX21" s="464"/>
      <c r="AY21" s="465"/>
      <c r="AZ21" s="463" t="str">
        <f>Calcu!Y20</f>
        <v/>
      </c>
      <c r="BA21" s="464"/>
      <c r="BB21" s="464"/>
      <c r="BC21" s="464"/>
      <c r="BD21" s="465"/>
    </row>
    <row r="22" spans="1:56" ht="18.75" customHeight="1">
      <c r="A22" s="190"/>
      <c r="B22" s="460" t="str">
        <f>Calcu!D21</f>
        <v/>
      </c>
      <c r="C22" s="461"/>
      <c r="D22" s="461"/>
      <c r="E22" s="461"/>
      <c r="F22" s="462"/>
      <c r="G22" s="463" t="str">
        <f>Calcu!F21</f>
        <v/>
      </c>
      <c r="H22" s="464"/>
      <c r="I22" s="464"/>
      <c r="J22" s="464"/>
      <c r="K22" s="465"/>
      <c r="L22" s="463" t="str">
        <f>Calcu!G21</f>
        <v/>
      </c>
      <c r="M22" s="464"/>
      <c r="N22" s="464"/>
      <c r="O22" s="464"/>
      <c r="P22" s="465"/>
      <c r="Q22" s="463" t="str">
        <f>Calcu!H21</f>
        <v/>
      </c>
      <c r="R22" s="464"/>
      <c r="S22" s="464"/>
      <c r="T22" s="464"/>
      <c r="U22" s="465"/>
      <c r="V22" s="463" t="str">
        <f>Calcu!I21</f>
        <v/>
      </c>
      <c r="W22" s="464"/>
      <c r="X22" s="464"/>
      <c r="Y22" s="464"/>
      <c r="Z22" s="465"/>
      <c r="AA22" s="463" t="str">
        <f>Calcu!J21</f>
        <v/>
      </c>
      <c r="AB22" s="464"/>
      <c r="AC22" s="464"/>
      <c r="AD22" s="464"/>
      <c r="AE22" s="465"/>
      <c r="AF22" s="463" t="str">
        <f>Calcu!K21</f>
        <v/>
      </c>
      <c r="AG22" s="464"/>
      <c r="AH22" s="464"/>
      <c r="AI22" s="464"/>
      <c r="AJ22" s="465"/>
      <c r="AK22" s="511" t="str">
        <f>Calcu!O21</f>
        <v/>
      </c>
      <c r="AL22" s="512"/>
      <c r="AM22" s="512"/>
      <c r="AN22" s="512"/>
      <c r="AO22" s="513"/>
      <c r="AP22" s="463" t="str">
        <f>Calcu!P21</f>
        <v/>
      </c>
      <c r="AQ22" s="464"/>
      <c r="AR22" s="464"/>
      <c r="AS22" s="464"/>
      <c r="AT22" s="465"/>
      <c r="AU22" s="463" t="str">
        <f>Calcu!X21</f>
        <v/>
      </c>
      <c r="AV22" s="464"/>
      <c r="AW22" s="464"/>
      <c r="AX22" s="464"/>
      <c r="AY22" s="465"/>
      <c r="AZ22" s="463" t="str">
        <f>Calcu!Y21</f>
        <v/>
      </c>
      <c r="BA22" s="464"/>
      <c r="BB22" s="464"/>
      <c r="BC22" s="464"/>
      <c r="BD22" s="465"/>
    </row>
    <row r="23" spans="1:56" ht="18.75" customHeight="1">
      <c r="A23" s="190"/>
      <c r="B23" s="460" t="str">
        <f>Calcu!D22</f>
        <v/>
      </c>
      <c r="C23" s="461"/>
      <c r="D23" s="461"/>
      <c r="E23" s="461"/>
      <c r="F23" s="462"/>
      <c r="G23" s="463" t="str">
        <f>Calcu!F22</f>
        <v/>
      </c>
      <c r="H23" s="464"/>
      <c r="I23" s="464"/>
      <c r="J23" s="464"/>
      <c r="K23" s="465"/>
      <c r="L23" s="463" t="str">
        <f>Calcu!G22</f>
        <v/>
      </c>
      <c r="M23" s="464"/>
      <c r="N23" s="464"/>
      <c r="O23" s="464"/>
      <c r="P23" s="465"/>
      <c r="Q23" s="463" t="str">
        <f>Calcu!H22</f>
        <v/>
      </c>
      <c r="R23" s="464"/>
      <c r="S23" s="464"/>
      <c r="T23" s="464"/>
      <c r="U23" s="465"/>
      <c r="V23" s="463" t="str">
        <f>Calcu!I22</f>
        <v/>
      </c>
      <c r="W23" s="464"/>
      <c r="X23" s="464"/>
      <c r="Y23" s="464"/>
      <c r="Z23" s="465"/>
      <c r="AA23" s="463" t="str">
        <f>Calcu!J22</f>
        <v/>
      </c>
      <c r="AB23" s="464"/>
      <c r="AC23" s="464"/>
      <c r="AD23" s="464"/>
      <c r="AE23" s="465"/>
      <c r="AF23" s="463" t="str">
        <f>Calcu!K22</f>
        <v/>
      </c>
      <c r="AG23" s="464"/>
      <c r="AH23" s="464"/>
      <c r="AI23" s="464"/>
      <c r="AJ23" s="465"/>
      <c r="AK23" s="511" t="str">
        <f>Calcu!O22</f>
        <v/>
      </c>
      <c r="AL23" s="512"/>
      <c r="AM23" s="512"/>
      <c r="AN23" s="512"/>
      <c r="AO23" s="513"/>
      <c r="AP23" s="463" t="str">
        <f>Calcu!P22</f>
        <v/>
      </c>
      <c r="AQ23" s="464"/>
      <c r="AR23" s="464"/>
      <c r="AS23" s="464"/>
      <c r="AT23" s="465"/>
      <c r="AU23" s="463" t="str">
        <f>Calcu!X22</f>
        <v/>
      </c>
      <c r="AV23" s="464"/>
      <c r="AW23" s="464"/>
      <c r="AX23" s="464"/>
      <c r="AY23" s="465"/>
      <c r="AZ23" s="463" t="str">
        <f>Calcu!Y22</f>
        <v/>
      </c>
      <c r="BA23" s="464"/>
      <c r="BB23" s="464"/>
      <c r="BC23" s="464"/>
      <c r="BD23" s="465"/>
    </row>
    <row r="24" spans="1:56" ht="18.75" customHeight="1">
      <c r="A24" s="190"/>
      <c r="B24" s="460" t="str">
        <f>Calcu!D23</f>
        <v/>
      </c>
      <c r="C24" s="461"/>
      <c r="D24" s="461"/>
      <c r="E24" s="461"/>
      <c r="F24" s="462"/>
      <c r="G24" s="463" t="str">
        <f>Calcu!F23</f>
        <v/>
      </c>
      <c r="H24" s="464"/>
      <c r="I24" s="464"/>
      <c r="J24" s="464"/>
      <c r="K24" s="465"/>
      <c r="L24" s="463" t="str">
        <f>Calcu!G23</f>
        <v/>
      </c>
      <c r="M24" s="464"/>
      <c r="N24" s="464"/>
      <c r="O24" s="464"/>
      <c r="P24" s="465"/>
      <c r="Q24" s="463" t="str">
        <f>Calcu!H23</f>
        <v/>
      </c>
      <c r="R24" s="464"/>
      <c r="S24" s="464"/>
      <c r="T24" s="464"/>
      <c r="U24" s="465"/>
      <c r="V24" s="463" t="str">
        <f>Calcu!I23</f>
        <v/>
      </c>
      <c r="W24" s="464"/>
      <c r="X24" s="464"/>
      <c r="Y24" s="464"/>
      <c r="Z24" s="465"/>
      <c r="AA24" s="463" t="str">
        <f>Calcu!J23</f>
        <v/>
      </c>
      <c r="AB24" s="464"/>
      <c r="AC24" s="464"/>
      <c r="AD24" s="464"/>
      <c r="AE24" s="465"/>
      <c r="AF24" s="463" t="str">
        <f>Calcu!K23</f>
        <v/>
      </c>
      <c r="AG24" s="464"/>
      <c r="AH24" s="464"/>
      <c r="AI24" s="464"/>
      <c r="AJ24" s="465"/>
      <c r="AK24" s="511" t="str">
        <f>Calcu!O23</f>
        <v/>
      </c>
      <c r="AL24" s="512"/>
      <c r="AM24" s="512"/>
      <c r="AN24" s="512"/>
      <c r="AO24" s="513"/>
      <c r="AP24" s="463" t="str">
        <f>Calcu!P23</f>
        <v/>
      </c>
      <c r="AQ24" s="464"/>
      <c r="AR24" s="464"/>
      <c r="AS24" s="464"/>
      <c r="AT24" s="465"/>
      <c r="AU24" s="463" t="str">
        <f>Calcu!X23</f>
        <v/>
      </c>
      <c r="AV24" s="464"/>
      <c r="AW24" s="464"/>
      <c r="AX24" s="464"/>
      <c r="AY24" s="465"/>
      <c r="AZ24" s="463" t="str">
        <f>Calcu!Y23</f>
        <v/>
      </c>
      <c r="BA24" s="464"/>
      <c r="BB24" s="464"/>
      <c r="BC24" s="464"/>
      <c r="BD24" s="465"/>
    </row>
    <row r="25" spans="1:56" ht="18.75" customHeight="1">
      <c r="A25" s="190"/>
      <c r="B25" s="460" t="str">
        <f>Calcu!D24</f>
        <v/>
      </c>
      <c r="C25" s="461"/>
      <c r="D25" s="461"/>
      <c r="E25" s="461"/>
      <c r="F25" s="462"/>
      <c r="G25" s="463" t="str">
        <f>Calcu!F24</f>
        <v/>
      </c>
      <c r="H25" s="464"/>
      <c r="I25" s="464"/>
      <c r="J25" s="464"/>
      <c r="K25" s="465"/>
      <c r="L25" s="463" t="str">
        <f>Calcu!G24</f>
        <v/>
      </c>
      <c r="M25" s="464"/>
      <c r="N25" s="464"/>
      <c r="O25" s="464"/>
      <c r="P25" s="465"/>
      <c r="Q25" s="463" t="str">
        <f>Calcu!H24</f>
        <v/>
      </c>
      <c r="R25" s="464"/>
      <c r="S25" s="464"/>
      <c r="T25" s="464"/>
      <c r="U25" s="465"/>
      <c r="V25" s="463" t="str">
        <f>Calcu!I24</f>
        <v/>
      </c>
      <c r="W25" s="464"/>
      <c r="X25" s="464"/>
      <c r="Y25" s="464"/>
      <c r="Z25" s="465"/>
      <c r="AA25" s="463" t="str">
        <f>Calcu!J24</f>
        <v/>
      </c>
      <c r="AB25" s="464"/>
      <c r="AC25" s="464"/>
      <c r="AD25" s="464"/>
      <c r="AE25" s="465"/>
      <c r="AF25" s="463" t="str">
        <f>Calcu!K24</f>
        <v/>
      </c>
      <c r="AG25" s="464"/>
      <c r="AH25" s="464"/>
      <c r="AI25" s="464"/>
      <c r="AJ25" s="465"/>
      <c r="AK25" s="511" t="str">
        <f>Calcu!O24</f>
        <v/>
      </c>
      <c r="AL25" s="512"/>
      <c r="AM25" s="512"/>
      <c r="AN25" s="512"/>
      <c r="AO25" s="513"/>
      <c r="AP25" s="463" t="str">
        <f>Calcu!P24</f>
        <v/>
      </c>
      <c r="AQ25" s="464"/>
      <c r="AR25" s="464"/>
      <c r="AS25" s="464"/>
      <c r="AT25" s="465"/>
      <c r="AU25" s="463" t="str">
        <f>Calcu!X24</f>
        <v/>
      </c>
      <c r="AV25" s="464"/>
      <c r="AW25" s="464"/>
      <c r="AX25" s="464"/>
      <c r="AY25" s="465"/>
      <c r="AZ25" s="463" t="str">
        <f>Calcu!Y24</f>
        <v/>
      </c>
      <c r="BA25" s="464"/>
      <c r="BB25" s="464"/>
      <c r="BC25" s="464"/>
      <c r="BD25" s="465"/>
    </row>
    <row r="26" spans="1:56" ht="18.75" customHeight="1">
      <c r="A26" s="190"/>
      <c r="B26" s="460" t="str">
        <f>Calcu!D25</f>
        <v/>
      </c>
      <c r="C26" s="461"/>
      <c r="D26" s="461"/>
      <c r="E26" s="461"/>
      <c r="F26" s="462"/>
      <c r="G26" s="463" t="str">
        <f>Calcu!F25</f>
        <v/>
      </c>
      <c r="H26" s="464"/>
      <c r="I26" s="464"/>
      <c r="J26" s="464"/>
      <c r="K26" s="465"/>
      <c r="L26" s="463" t="str">
        <f>Calcu!G25</f>
        <v/>
      </c>
      <c r="M26" s="464"/>
      <c r="N26" s="464"/>
      <c r="O26" s="464"/>
      <c r="P26" s="465"/>
      <c r="Q26" s="463" t="str">
        <f>Calcu!H25</f>
        <v/>
      </c>
      <c r="R26" s="464"/>
      <c r="S26" s="464"/>
      <c r="T26" s="464"/>
      <c r="U26" s="465"/>
      <c r="V26" s="463" t="str">
        <f>Calcu!I25</f>
        <v/>
      </c>
      <c r="W26" s="464"/>
      <c r="X26" s="464"/>
      <c r="Y26" s="464"/>
      <c r="Z26" s="465"/>
      <c r="AA26" s="463" t="str">
        <f>Calcu!J25</f>
        <v/>
      </c>
      <c r="AB26" s="464"/>
      <c r="AC26" s="464"/>
      <c r="AD26" s="464"/>
      <c r="AE26" s="465"/>
      <c r="AF26" s="463" t="str">
        <f>Calcu!K25</f>
        <v/>
      </c>
      <c r="AG26" s="464"/>
      <c r="AH26" s="464"/>
      <c r="AI26" s="464"/>
      <c r="AJ26" s="465"/>
      <c r="AK26" s="511" t="str">
        <f>Calcu!O25</f>
        <v/>
      </c>
      <c r="AL26" s="512"/>
      <c r="AM26" s="512"/>
      <c r="AN26" s="512"/>
      <c r="AO26" s="513"/>
      <c r="AP26" s="463" t="str">
        <f>Calcu!P25</f>
        <v/>
      </c>
      <c r="AQ26" s="464"/>
      <c r="AR26" s="464"/>
      <c r="AS26" s="464"/>
      <c r="AT26" s="465"/>
      <c r="AU26" s="463" t="str">
        <f>Calcu!X25</f>
        <v/>
      </c>
      <c r="AV26" s="464"/>
      <c r="AW26" s="464"/>
      <c r="AX26" s="464"/>
      <c r="AY26" s="465"/>
      <c r="AZ26" s="463" t="str">
        <f>Calcu!Y25</f>
        <v/>
      </c>
      <c r="BA26" s="464"/>
      <c r="BB26" s="464"/>
      <c r="BC26" s="464"/>
      <c r="BD26" s="465"/>
    </row>
    <row r="27" spans="1:56" ht="18.75" customHeight="1">
      <c r="A27" s="190"/>
      <c r="B27" s="460" t="str">
        <f>Calcu!D26</f>
        <v/>
      </c>
      <c r="C27" s="461"/>
      <c r="D27" s="461"/>
      <c r="E27" s="461"/>
      <c r="F27" s="462"/>
      <c r="G27" s="463" t="str">
        <f>Calcu!F26</f>
        <v/>
      </c>
      <c r="H27" s="464"/>
      <c r="I27" s="464"/>
      <c r="J27" s="464"/>
      <c r="K27" s="465"/>
      <c r="L27" s="463" t="str">
        <f>Calcu!G26</f>
        <v/>
      </c>
      <c r="M27" s="464"/>
      <c r="N27" s="464"/>
      <c r="O27" s="464"/>
      <c r="P27" s="465"/>
      <c r="Q27" s="463" t="str">
        <f>Calcu!H26</f>
        <v/>
      </c>
      <c r="R27" s="464"/>
      <c r="S27" s="464"/>
      <c r="T27" s="464"/>
      <c r="U27" s="465"/>
      <c r="V27" s="463" t="str">
        <f>Calcu!I26</f>
        <v/>
      </c>
      <c r="W27" s="464"/>
      <c r="X27" s="464"/>
      <c r="Y27" s="464"/>
      <c r="Z27" s="465"/>
      <c r="AA27" s="463" t="str">
        <f>Calcu!J26</f>
        <v/>
      </c>
      <c r="AB27" s="464"/>
      <c r="AC27" s="464"/>
      <c r="AD27" s="464"/>
      <c r="AE27" s="465"/>
      <c r="AF27" s="463" t="str">
        <f>Calcu!K26</f>
        <v/>
      </c>
      <c r="AG27" s="464"/>
      <c r="AH27" s="464"/>
      <c r="AI27" s="464"/>
      <c r="AJ27" s="465"/>
      <c r="AK27" s="511" t="str">
        <f>Calcu!O26</f>
        <v/>
      </c>
      <c r="AL27" s="512"/>
      <c r="AM27" s="512"/>
      <c r="AN27" s="512"/>
      <c r="AO27" s="513"/>
      <c r="AP27" s="463" t="str">
        <f>Calcu!P26</f>
        <v/>
      </c>
      <c r="AQ27" s="464"/>
      <c r="AR27" s="464"/>
      <c r="AS27" s="464"/>
      <c r="AT27" s="465"/>
      <c r="AU27" s="463" t="str">
        <f>Calcu!X26</f>
        <v/>
      </c>
      <c r="AV27" s="464"/>
      <c r="AW27" s="464"/>
      <c r="AX27" s="464"/>
      <c r="AY27" s="465"/>
      <c r="AZ27" s="463" t="str">
        <f>Calcu!Y26</f>
        <v/>
      </c>
      <c r="BA27" s="464"/>
      <c r="BB27" s="464"/>
      <c r="BC27" s="464"/>
      <c r="BD27" s="465"/>
    </row>
    <row r="28" spans="1:56" ht="18.75" customHeight="1">
      <c r="A28" s="190"/>
      <c r="B28" s="460" t="str">
        <f>Calcu!D27</f>
        <v/>
      </c>
      <c r="C28" s="461"/>
      <c r="D28" s="461"/>
      <c r="E28" s="461"/>
      <c r="F28" s="462"/>
      <c r="G28" s="463" t="str">
        <f>Calcu!F27</f>
        <v/>
      </c>
      <c r="H28" s="464"/>
      <c r="I28" s="464"/>
      <c r="J28" s="464"/>
      <c r="K28" s="465"/>
      <c r="L28" s="463" t="str">
        <f>Calcu!G27</f>
        <v/>
      </c>
      <c r="M28" s="464"/>
      <c r="N28" s="464"/>
      <c r="O28" s="464"/>
      <c r="P28" s="465"/>
      <c r="Q28" s="463" t="str">
        <f>Calcu!H27</f>
        <v/>
      </c>
      <c r="R28" s="464"/>
      <c r="S28" s="464"/>
      <c r="T28" s="464"/>
      <c r="U28" s="465"/>
      <c r="V28" s="463" t="str">
        <f>Calcu!I27</f>
        <v/>
      </c>
      <c r="W28" s="464"/>
      <c r="X28" s="464"/>
      <c r="Y28" s="464"/>
      <c r="Z28" s="465"/>
      <c r="AA28" s="463" t="str">
        <f>Calcu!J27</f>
        <v/>
      </c>
      <c r="AB28" s="464"/>
      <c r="AC28" s="464"/>
      <c r="AD28" s="464"/>
      <c r="AE28" s="465"/>
      <c r="AF28" s="463" t="str">
        <f>Calcu!K27</f>
        <v/>
      </c>
      <c r="AG28" s="464"/>
      <c r="AH28" s="464"/>
      <c r="AI28" s="464"/>
      <c r="AJ28" s="465"/>
      <c r="AK28" s="511" t="str">
        <f>Calcu!O27</f>
        <v/>
      </c>
      <c r="AL28" s="512"/>
      <c r="AM28" s="512"/>
      <c r="AN28" s="512"/>
      <c r="AO28" s="513"/>
      <c r="AP28" s="463" t="str">
        <f>Calcu!P27</f>
        <v/>
      </c>
      <c r="AQ28" s="464"/>
      <c r="AR28" s="464"/>
      <c r="AS28" s="464"/>
      <c r="AT28" s="465"/>
      <c r="AU28" s="463" t="str">
        <f>Calcu!X27</f>
        <v/>
      </c>
      <c r="AV28" s="464"/>
      <c r="AW28" s="464"/>
      <c r="AX28" s="464"/>
      <c r="AY28" s="465"/>
      <c r="AZ28" s="463" t="str">
        <f>Calcu!Y27</f>
        <v/>
      </c>
      <c r="BA28" s="464"/>
      <c r="BB28" s="464"/>
      <c r="BC28" s="464"/>
      <c r="BD28" s="465"/>
    </row>
    <row r="29" spans="1:56" ht="18.75" customHeight="1">
      <c r="A29" s="190"/>
      <c r="B29" s="460" t="str">
        <f>Calcu!D28</f>
        <v/>
      </c>
      <c r="C29" s="461"/>
      <c r="D29" s="461"/>
      <c r="E29" s="461"/>
      <c r="F29" s="462"/>
      <c r="G29" s="463" t="str">
        <f>Calcu!F28</f>
        <v/>
      </c>
      <c r="H29" s="464"/>
      <c r="I29" s="464"/>
      <c r="J29" s="464"/>
      <c r="K29" s="465"/>
      <c r="L29" s="463" t="str">
        <f>Calcu!G28</f>
        <v/>
      </c>
      <c r="M29" s="464"/>
      <c r="N29" s="464"/>
      <c r="O29" s="464"/>
      <c r="P29" s="465"/>
      <c r="Q29" s="463" t="str">
        <f>Calcu!H28</f>
        <v/>
      </c>
      <c r="R29" s="464"/>
      <c r="S29" s="464"/>
      <c r="T29" s="464"/>
      <c r="U29" s="465"/>
      <c r="V29" s="463" t="str">
        <f>Calcu!I28</f>
        <v/>
      </c>
      <c r="W29" s="464"/>
      <c r="X29" s="464"/>
      <c r="Y29" s="464"/>
      <c r="Z29" s="465"/>
      <c r="AA29" s="463" t="str">
        <f>Calcu!J28</f>
        <v/>
      </c>
      <c r="AB29" s="464"/>
      <c r="AC29" s="464"/>
      <c r="AD29" s="464"/>
      <c r="AE29" s="465"/>
      <c r="AF29" s="463" t="str">
        <f>Calcu!K28</f>
        <v/>
      </c>
      <c r="AG29" s="464"/>
      <c r="AH29" s="464"/>
      <c r="AI29" s="464"/>
      <c r="AJ29" s="465"/>
      <c r="AK29" s="511" t="str">
        <f>Calcu!O28</f>
        <v/>
      </c>
      <c r="AL29" s="512"/>
      <c r="AM29" s="512"/>
      <c r="AN29" s="512"/>
      <c r="AO29" s="513"/>
      <c r="AP29" s="463" t="str">
        <f>Calcu!P28</f>
        <v/>
      </c>
      <c r="AQ29" s="464"/>
      <c r="AR29" s="464"/>
      <c r="AS29" s="464"/>
      <c r="AT29" s="465"/>
      <c r="AU29" s="463" t="str">
        <f>Calcu!X28</f>
        <v/>
      </c>
      <c r="AV29" s="464"/>
      <c r="AW29" s="464"/>
      <c r="AX29" s="464"/>
      <c r="AY29" s="465"/>
      <c r="AZ29" s="463" t="str">
        <f>Calcu!Y28</f>
        <v/>
      </c>
      <c r="BA29" s="464"/>
      <c r="BB29" s="464"/>
      <c r="BC29" s="464"/>
      <c r="BD29" s="465"/>
    </row>
    <row r="30" spans="1:56" ht="18.75" customHeight="1">
      <c r="A30" s="190"/>
    </row>
    <row r="31" spans="1:56" ht="18.75" customHeight="1">
      <c r="A31" s="190" t="s">
        <v>513</v>
      </c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</row>
    <row r="32" spans="1:56" ht="18.75" customHeight="1">
      <c r="A32" s="190"/>
      <c r="B32" s="467" t="s">
        <v>514</v>
      </c>
      <c r="C32" s="468"/>
      <c r="D32" s="468"/>
      <c r="E32" s="468"/>
      <c r="F32" s="469"/>
      <c r="G32" s="507" t="s">
        <v>510</v>
      </c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9"/>
      <c r="U32" s="467" t="s">
        <v>438</v>
      </c>
      <c r="V32" s="468"/>
      <c r="W32" s="468"/>
      <c r="X32" s="468"/>
      <c r="Y32" s="468"/>
      <c r="Z32" s="469"/>
    </row>
    <row r="33" spans="1:26" ht="18.75" customHeight="1">
      <c r="A33" s="190"/>
      <c r="B33" s="470"/>
      <c r="C33" s="471"/>
      <c r="D33" s="471"/>
      <c r="E33" s="471"/>
      <c r="F33" s="472"/>
      <c r="G33" s="507" t="s">
        <v>515</v>
      </c>
      <c r="H33" s="508"/>
      <c r="I33" s="508"/>
      <c r="J33" s="508"/>
      <c r="K33" s="508"/>
      <c r="L33" s="508"/>
      <c r="M33" s="509"/>
      <c r="N33" s="540" t="s">
        <v>162</v>
      </c>
      <c r="O33" s="540"/>
      <c r="P33" s="540"/>
      <c r="Q33" s="540"/>
      <c r="R33" s="540"/>
      <c r="S33" s="540"/>
      <c r="T33" s="540"/>
      <c r="U33" s="470"/>
      <c r="V33" s="471"/>
      <c r="W33" s="471"/>
      <c r="X33" s="471"/>
      <c r="Y33" s="471"/>
      <c r="Z33" s="472"/>
    </row>
    <row r="34" spans="1:26" ht="18.75" customHeight="1">
      <c r="A34" s="190"/>
      <c r="B34" s="460" t="str">
        <f>Calcu!D9</f>
        <v/>
      </c>
      <c r="C34" s="461"/>
      <c r="D34" s="461"/>
      <c r="E34" s="461"/>
      <c r="F34" s="462"/>
      <c r="G34" s="463" t="str">
        <f>Calcu!L9</f>
        <v/>
      </c>
      <c r="H34" s="464"/>
      <c r="I34" s="464"/>
      <c r="J34" s="464"/>
      <c r="K34" s="464"/>
      <c r="L34" s="464"/>
      <c r="M34" s="465"/>
      <c r="N34" s="510" t="str">
        <f>Calcu!M9</f>
        <v/>
      </c>
      <c r="O34" s="510"/>
      <c r="P34" s="510"/>
      <c r="Q34" s="510"/>
      <c r="R34" s="510"/>
      <c r="S34" s="510"/>
      <c r="T34" s="510"/>
      <c r="U34" s="463" t="str">
        <f>Calcu!N9</f>
        <v/>
      </c>
      <c r="V34" s="464"/>
      <c r="W34" s="464"/>
      <c r="X34" s="464"/>
      <c r="Y34" s="464"/>
      <c r="Z34" s="465"/>
    </row>
    <row r="35" spans="1:26" ht="18.75" customHeight="1">
      <c r="A35" s="190"/>
      <c r="B35" s="460" t="str">
        <f>Calcu!D10</f>
        <v/>
      </c>
      <c r="C35" s="461"/>
      <c r="D35" s="461"/>
      <c r="E35" s="461"/>
      <c r="F35" s="462"/>
      <c r="G35" s="463" t="str">
        <f>Calcu!L10</f>
        <v/>
      </c>
      <c r="H35" s="464"/>
      <c r="I35" s="464"/>
      <c r="J35" s="464"/>
      <c r="K35" s="464"/>
      <c r="L35" s="464"/>
      <c r="M35" s="465"/>
      <c r="N35" s="510" t="str">
        <f>Calcu!M10</f>
        <v/>
      </c>
      <c r="O35" s="510"/>
      <c r="P35" s="510"/>
      <c r="Q35" s="510"/>
      <c r="R35" s="510"/>
      <c r="S35" s="510"/>
      <c r="T35" s="510"/>
      <c r="U35" s="463" t="str">
        <f>Calcu!N10</f>
        <v/>
      </c>
      <c r="V35" s="464"/>
      <c r="W35" s="464"/>
      <c r="X35" s="464"/>
      <c r="Y35" s="464"/>
      <c r="Z35" s="465"/>
    </row>
    <row r="36" spans="1:26" ht="18.75" customHeight="1">
      <c r="A36" s="190"/>
      <c r="B36" s="460" t="str">
        <f>Calcu!D11</f>
        <v/>
      </c>
      <c r="C36" s="461"/>
      <c r="D36" s="461"/>
      <c r="E36" s="461"/>
      <c r="F36" s="462"/>
      <c r="G36" s="463" t="str">
        <f>Calcu!L11</f>
        <v/>
      </c>
      <c r="H36" s="464"/>
      <c r="I36" s="464"/>
      <c r="J36" s="464"/>
      <c r="K36" s="464"/>
      <c r="L36" s="464"/>
      <c r="M36" s="465"/>
      <c r="N36" s="510" t="str">
        <f>Calcu!M11</f>
        <v/>
      </c>
      <c r="O36" s="510"/>
      <c r="P36" s="510"/>
      <c r="Q36" s="510"/>
      <c r="R36" s="510"/>
      <c r="S36" s="510"/>
      <c r="T36" s="510"/>
      <c r="U36" s="463" t="str">
        <f>Calcu!N11</f>
        <v/>
      </c>
      <c r="V36" s="464"/>
      <c r="W36" s="464"/>
      <c r="X36" s="464"/>
      <c r="Y36" s="464"/>
      <c r="Z36" s="465"/>
    </row>
    <row r="37" spans="1:26" ht="18.75" customHeight="1">
      <c r="A37" s="190"/>
      <c r="B37" s="460" t="str">
        <f>Calcu!D12</f>
        <v/>
      </c>
      <c r="C37" s="461"/>
      <c r="D37" s="461"/>
      <c r="E37" s="461"/>
      <c r="F37" s="462"/>
      <c r="G37" s="463" t="str">
        <f>Calcu!L12</f>
        <v/>
      </c>
      <c r="H37" s="464"/>
      <c r="I37" s="464"/>
      <c r="J37" s="464"/>
      <c r="K37" s="464"/>
      <c r="L37" s="464"/>
      <c r="M37" s="465"/>
      <c r="N37" s="510" t="str">
        <f>Calcu!M12</f>
        <v/>
      </c>
      <c r="O37" s="510"/>
      <c r="P37" s="510"/>
      <c r="Q37" s="510"/>
      <c r="R37" s="510"/>
      <c r="S37" s="510"/>
      <c r="T37" s="510"/>
      <c r="U37" s="463" t="str">
        <f>Calcu!N12</f>
        <v/>
      </c>
      <c r="V37" s="464"/>
      <c r="W37" s="464"/>
      <c r="X37" s="464"/>
      <c r="Y37" s="464"/>
      <c r="Z37" s="465"/>
    </row>
    <row r="38" spans="1:26" ht="18.75" customHeight="1">
      <c r="A38" s="190"/>
      <c r="B38" s="460" t="str">
        <f>Calcu!D13</f>
        <v/>
      </c>
      <c r="C38" s="461"/>
      <c r="D38" s="461"/>
      <c r="E38" s="461"/>
      <c r="F38" s="462"/>
      <c r="G38" s="463" t="str">
        <f>Calcu!L13</f>
        <v/>
      </c>
      <c r="H38" s="464"/>
      <c r="I38" s="464"/>
      <c r="J38" s="464"/>
      <c r="K38" s="464"/>
      <c r="L38" s="464"/>
      <c r="M38" s="465"/>
      <c r="N38" s="510" t="str">
        <f>Calcu!M13</f>
        <v/>
      </c>
      <c r="O38" s="510"/>
      <c r="P38" s="510"/>
      <c r="Q38" s="510"/>
      <c r="R38" s="510"/>
      <c r="S38" s="510"/>
      <c r="T38" s="510"/>
      <c r="U38" s="463" t="str">
        <f>Calcu!N13</f>
        <v/>
      </c>
      <c r="V38" s="464"/>
      <c r="W38" s="464"/>
      <c r="X38" s="464"/>
      <c r="Y38" s="464"/>
      <c r="Z38" s="465"/>
    </row>
    <row r="39" spans="1:26" ht="18.75" customHeight="1">
      <c r="A39" s="190"/>
      <c r="B39" s="460" t="str">
        <f>Calcu!D14</f>
        <v/>
      </c>
      <c r="C39" s="461"/>
      <c r="D39" s="461"/>
      <c r="E39" s="461"/>
      <c r="F39" s="462"/>
      <c r="G39" s="463" t="str">
        <f>Calcu!L14</f>
        <v/>
      </c>
      <c r="H39" s="464"/>
      <c r="I39" s="464"/>
      <c r="J39" s="464"/>
      <c r="K39" s="464"/>
      <c r="L39" s="464"/>
      <c r="M39" s="465"/>
      <c r="N39" s="510" t="str">
        <f>Calcu!M14</f>
        <v/>
      </c>
      <c r="O39" s="510"/>
      <c r="P39" s="510"/>
      <c r="Q39" s="510"/>
      <c r="R39" s="510"/>
      <c r="S39" s="510"/>
      <c r="T39" s="510"/>
      <c r="U39" s="463" t="str">
        <f>Calcu!N14</f>
        <v/>
      </c>
      <c r="V39" s="464"/>
      <c r="W39" s="464"/>
      <c r="X39" s="464"/>
      <c r="Y39" s="464"/>
      <c r="Z39" s="465"/>
    </row>
    <row r="40" spans="1:26" ht="18.75" customHeight="1">
      <c r="A40" s="190"/>
      <c r="B40" s="460" t="str">
        <f>Calcu!D15</f>
        <v/>
      </c>
      <c r="C40" s="461"/>
      <c r="D40" s="461"/>
      <c r="E40" s="461"/>
      <c r="F40" s="462"/>
      <c r="G40" s="463" t="str">
        <f>Calcu!L15</f>
        <v/>
      </c>
      <c r="H40" s="464"/>
      <c r="I40" s="464"/>
      <c r="J40" s="464"/>
      <c r="K40" s="464"/>
      <c r="L40" s="464"/>
      <c r="M40" s="465"/>
      <c r="N40" s="510" t="str">
        <f>Calcu!M15</f>
        <v/>
      </c>
      <c r="O40" s="510"/>
      <c r="P40" s="510"/>
      <c r="Q40" s="510"/>
      <c r="R40" s="510"/>
      <c r="S40" s="510"/>
      <c r="T40" s="510"/>
      <c r="U40" s="463" t="str">
        <f>Calcu!N15</f>
        <v/>
      </c>
      <c r="V40" s="464"/>
      <c r="W40" s="464"/>
      <c r="X40" s="464"/>
      <c r="Y40" s="464"/>
      <c r="Z40" s="465"/>
    </row>
    <row r="41" spans="1:26" ht="18.75" customHeight="1">
      <c r="A41" s="190"/>
      <c r="B41" s="460" t="str">
        <f>Calcu!D16</f>
        <v/>
      </c>
      <c r="C41" s="461"/>
      <c r="D41" s="461"/>
      <c r="E41" s="461"/>
      <c r="F41" s="462"/>
      <c r="G41" s="463" t="str">
        <f>Calcu!L16</f>
        <v/>
      </c>
      <c r="H41" s="464"/>
      <c r="I41" s="464"/>
      <c r="J41" s="464"/>
      <c r="K41" s="464"/>
      <c r="L41" s="464"/>
      <c r="M41" s="465"/>
      <c r="N41" s="510" t="str">
        <f>Calcu!M16</f>
        <v/>
      </c>
      <c r="O41" s="510"/>
      <c r="P41" s="510"/>
      <c r="Q41" s="510"/>
      <c r="R41" s="510"/>
      <c r="S41" s="510"/>
      <c r="T41" s="510"/>
      <c r="U41" s="463" t="str">
        <f>Calcu!N16</f>
        <v/>
      </c>
      <c r="V41" s="464"/>
      <c r="W41" s="464"/>
      <c r="X41" s="464"/>
      <c r="Y41" s="464"/>
      <c r="Z41" s="465"/>
    </row>
    <row r="42" spans="1:26" ht="18.75" customHeight="1">
      <c r="A42" s="190"/>
      <c r="B42" s="460" t="str">
        <f>Calcu!D17</f>
        <v/>
      </c>
      <c r="C42" s="461"/>
      <c r="D42" s="461"/>
      <c r="E42" s="461"/>
      <c r="F42" s="462"/>
      <c r="G42" s="463" t="str">
        <f>Calcu!L17</f>
        <v/>
      </c>
      <c r="H42" s="464"/>
      <c r="I42" s="464"/>
      <c r="J42" s="464"/>
      <c r="K42" s="464"/>
      <c r="L42" s="464"/>
      <c r="M42" s="465"/>
      <c r="N42" s="510" t="str">
        <f>Calcu!M17</f>
        <v/>
      </c>
      <c r="O42" s="510"/>
      <c r="P42" s="510"/>
      <c r="Q42" s="510"/>
      <c r="R42" s="510"/>
      <c r="S42" s="510"/>
      <c r="T42" s="510"/>
      <c r="U42" s="463" t="str">
        <f>Calcu!N17</f>
        <v/>
      </c>
      <c r="V42" s="464"/>
      <c r="W42" s="464"/>
      <c r="X42" s="464"/>
      <c r="Y42" s="464"/>
      <c r="Z42" s="465"/>
    </row>
    <row r="43" spans="1:26" ht="18.75" customHeight="1">
      <c r="A43" s="190"/>
      <c r="B43" s="460" t="str">
        <f>Calcu!D18</f>
        <v/>
      </c>
      <c r="C43" s="461"/>
      <c r="D43" s="461"/>
      <c r="E43" s="461"/>
      <c r="F43" s="462"/>
      <c r="G43" s="463" t="str">
        <f>Calcu!L18</f>
        <v/>
      </c>
      <c r="H43" s="464"/>
      <c r="I43" s="464"/>
      <c r="J43" s="464"/>
      <c r="K43" s="464"/>
      <c r="L43" s="464"/>
      <c r="M43" s="465"/>
      <c r="N43" s="510" t="str">
        <f>Calcu!M18</f>
        <v/>
      </c>
      <c r="O43" s="510"/>
      <c r="P43" s="510"/>
      <c r="Q43" s="510"/>
      <c r="R43" s="510"/>
      <c r="S43" s="510"/>
      <c r="T43" s="510"/>
      <c r="U43" s="463" t="str">
        <f>Calcu!N18</f>
        <v/>
      </c>
      <c r="V43" s="464"/>
      <c r="W43" s="464"/>
      <c r="X43" s="464"/>
      <c r="Y43" s="464"/>
      <c r="Z43" s="465"/>
    </row>
    <row r="44" spans="1:26" ht="18.75" customHeight="1">
      <c r="A44" s="190"/>
      <c r="B44" s="460" t="str">
        <f>Calcu!D19</f>
        <v/>
      </c>
      <c r="C44" s="461"/>
      <c r="D44" s="461"/>
      <c r="E44" s="461"/>
      <c r="F44" s="462"/>
      <c r="G44" s="463" t="str">
        <f>Calcu!L19</f>
        <v/>
      </c>
      <c r="H44" s="464"/>
      <c r="I44" s="464"/>
      <c r="J44" s="464"/>
      <c r="K44" s="464"/>
      <c r="L44" s="464"/>
      <c r="M44" s="465"/>
      <c r="N44" s="510" t="str">
        <f>Calcu!M19</f>
        <v/>
      </c>
      <c r="O44" s="510"/>
      <c r="P44" s="510"/>
      <c r="Q44" s="510"/>
      <c r="R44" s="510"/>
      <c r="S44" s="510"/>
      <c r="T44" s="510"/>
      <c r="U44" s="463" t="str">
        <f>Calcu!N19</f>
        <v/>
      </c>
      <c r="V44" s="464"/>
      <c r="W44" s="464"/>
      <c r="X44" s="464"/>
      <c r="Y44" s="464"/>
      <c r="Z44" s="465"/>
    </row>
    <row r="45" spans="1:26" ht="18.75" customHeight="1">
      <c r="A45" s="190"/>
      <c r="B45" s="460" t="str">
        <f>Calcu!D20</f>
        <v/>
      </c>
      <c r="C45" s="461"/>
      <c r="D45" s="461"/>
      <c r="E45" s="461"/>
      <c r="F45" s="462"/>
      <c r="G45" s="463" t="str">
        <f>Calcu!L20</f>
        <v/>
      </c>
      <c r="H45" s="464"/>
      <c r="I45" s="464"/>
      <c r="J45" s="464"/>
      <c r="K45" s="464"/>
      <c r="L45" s="464"/>
      <c r="M45" s="465"/>
      <c r="N45" s="510" t="str">
        <f>Calcu!M20</f>
        <v/>
      </c>
      <c r="O45" s="510"/>
      <c r="P45" s="510"/>
      <c r="Q45" s="510"/>
      <c r="R45" s="510"/>
      <c r="S45" s="510"/>
      <c r="T45" s="510"/>
      <c r="U45" s="463" t="str">
        <f>Calcu!N20</f>
        <v/>
      </c>
      <c r="V45" s="464"/>
      <c r="W45" s="464"/>
      <c r="X45" s="464"/>
      <c r="Y45" s="464"/>
      <c r="Z45" s="465"/>
    </row>
    <row r="46" spans="1:26" ht="18.75" customHeight="1">
      <c r="A46" s="190"/>
      <c r="B46" s="460" t="str">
        <f>Calcu!D21</f>
        <v/>
      </c>
      <c r="C46" s="461"/>
      <c r="D46" s="461"/>
      <c r="E46" s="461"/>
      <c r="F46" s="462"/>
      <c r="G46" s="463" t="str">
        <f>Calcu!L21</f>
        <v/>
      </c>
      <c r="H46" s="464"/>
      <c r="I46" s="464"/>
      <c r="J46" s="464"/>
      <c r="K46" s="464"/>
      <c r="L46" s="464"/>
      <c r="M46" s="465"/>
      <c r="N46" s="510" t="str">
        <f>Calcu!M21</f>
        <v/>
      </c>
      <c r="O46" s="510"/>
      <c r="P46" s="510"/>
      <c r="Q46" s="510"/>
      <c r="R46" s="510"/>
      <c r="S46" s="510"/>
      <c r="T46" s="510"/>
      <c r="U46" s="463" t="str">
        <f>Calcu!N21</f>
        <v/>
      </c>
      <c r="V46" s="464"/>
      <c r="W46" s="464"/>
      <c r="X46" s="464"/>
      <c r="Y46" s="464"/>
      <c r="Z46" s="465"/>
    </row>
    <row r="47" spans="1:26" ht="18.75" customHeight="1">
      <c r="A47" s="190"/>
      <c r="B47" s="460" t="str">
        <f>Calcu!D22</f>
        <v/>
      </c>
      <c r="C47" s="461"/>
      <c r="D47" s="461"/>
      <c r="E47" s="461"/>
      <c r="F47" s="462"/>
      <c r="G47" s="463" t="str">
        <f>Calcu!L22</f>
        <v/>
      </c>
      <c r="H47" s="464"/>
      <c r="I47" s="464"/>
      <c r="J47" s="464"/>
      <c r="K47" s="464"/>
      <c r="L47" s="464"/>
      <c r="M47" s="465"/>
      <c r="N47" s="510" t="str">
        <f>Calcu!M22</f>
        <v/>
      </c>
      <c r="O47" s="510"/>
      <c r="P47" s="510"/>
      <c r="Q47" s="510"/>
      <c r="R47" s="510"/>
      <c r="S47" s="510"/>
      <c r="T47" s="510"/>
      <c r="U47" s="463" t="str">
        <f>Calcu!N22</f>
        <v/>
      </c>
      <c r="V47" s="464"/>
      <c r="W47" s="464"/>
      <c r="X47" s="464"/>
      <c r="Y47" s="464"/>
      <c r="Z47" s="465"/>
    </row>
    <row r="48" spans="1:26" ht="18.75" customHeight="1">
      <c r="A48" s="190"/>
      <c r="B48" s="460" t="str">
        <f>Calcu!D23</f>
        <v/>
      </c>
      <c r="C48" s="461"/>
      <c r="D48" s="461"/>
      <c r="E48" s="461"/>
      <c r="F48" s="462"/>
      <c r="G48" s="463" t="str">
        <f>Calcu!L23</f>
        <v/>
      </c>
      <c r="H48" s="464"/>
      <c r="I48" s="464"/>
      <c r="J48" s="464"/>
      <c r="K48" s="464"/>
      <c r="L48" s="464"/>
      <c r="M48" s="465"/>
      <c r="N48" s="510" t="str">
        <f>Calcu!M23</f>
        <v/>
      </c>
      <c r="O48" s="510"/>
      <c r="P48" s="510"/>
      <c r="Q48" s="510"/>
      <c r="R48" s="510"/>
      <c r="S48" s="510"/>
      <c r="T48" s="510"/>
      <c r="U48" s="463" t="str">
        <f>Calcu!N23</f>
        <v/>
      </c>
      <c r="V48" s="464"/>
      <c r="W48" s="464"/>
      <c r="X48" s="464"/>
      <c r="Y48" s="464"/>
      <c r="Z48" s="465"/>
    </row>
    <row r="49" spans="1:54" ht="18.75" customHeight="1">
      <c r="A49" s="190"/>
      <c r="B49" s="460" t="str">
        <f>Calcu!D24</f>
        <v/>
      </c>
      <c r="C49" s="461"/>
      <c r="D49" s="461"/>
      <c r="E49" s="461"/>
      <c r="F49" s="462"/>
      <c r="G49" s="463" t="str">
        <f>Calcu!L24</f>
        <v/>
      </c>
      <c r="H49" s="464"/>
      <c r="I49" s="464"/>
      <c r="J49" s="464"/>
      <c r="K49" s="464"/>
      <c r="L49" s="464"/>
      <c r="M49" s="465"/>
      <c r="N49" s="510" t="str">
        <f>Calcu!M24</f>
        <v/>
      </c>
      <c r="O49" s="510"/>
      <c r="P49" s="510"/>
      <c r="Q49" s="510"/>
      <c r="R49" s="510"/>
      <c r="S49" s="510"/>
      <c r="T49" s="510"/>
      <c r="U49" s="463" t="str">
        <f>Calcu!N24</f>
        <v/>
      </c>
      <c r="V49" s="464"/>
      <c r="W49" s="464"/>
      <c r="X49" s="464"/>
      <c r="Y49" s="464"/>
      <c r="Z49" s="465"/>
    </row>
    <row r="50" spans="1:54" ht="18.75" customHeight="1">
      <c r="A50" s="190"/>
      <c r="B50" s="460" t="str">
        <f>Calcu!D25</f>
        <v/>
      </c>
      <c r="C50" s="461"/>
      <c r="D50" s="461"/>
      <c r="E50" s="461"/>
      <c r="F50" s="462"/>
      <c r="G50" s="463" t="str">
        <f>Calcu!L25</f>
        <v/>
      </c>
      <c r="H50" s="464"/>
      <c r="I50" s="464"/>
      <c r="J50" s="464"/>
      <c r="K50" s="464"/>
      <c r="L50" s="464"/>
      <c r="M50" s="465"/>
      <c r="N50" s="510" t="str">
        <f>Calcu!M25</f>
        <v/>
      </c>
      <c r="O50" s="510"/>
      <c r="P50" s="510"/>
      <c r="Q50" s="510"/>
      <c r="R50" s="510"/>
      <c r="S50" s="510"/>
      <c r="T50" s="510"/>
      <c r="U50" s="463" t="str">
        <f>Calcu!N25</f>
        <v/>
      </c>
      <c r="V50" s="464"/>
      <c r="W50" s="464"/>
      <c r="X50" s="464"/>
      <c r="Y50" s="464"/>
      <c r="Z50" s="465"/>
    </row>
    <row r="51" spans="1:54" ht="18.75" customHeight="1">
      <c r="A51" s="190"/>
      <c r="B51" s="460" t="str">
        <f>Calcu!D26</f>
        <v/>
      </c>
      <c r="C51" s="461"/>
      <c r="D51" s="461"/>
      <c r="E51" s="461"/>
      <c r="F51" s="462"/>
      <c r="G51" s="463" t="str">
        <f>Calcu!L26</f>
        <v/>
      </c>
      <c r="H51" s="464"/>
      <c r="I51" s="464"/>
      <c r="J51" s="464"/>
      <c r="K51" s="464"/>
      <c r="L51" s="464"/>
      <c r="M51" s="465"/>
      <c r="N51" s="510" t="str">
        <f>Calcu!M26</f>
        <v/>
      </c>
      <c r="O51" s="510"/>
      <c r="P51" s="510"/>
      <c r="Q51" s="510"/>
      <c r="R51" s="510"/>
      <c r="S51" s="510"/>
      <c r="T51" s="510"/>
      <c r="U51" s="463" t="str">
        <f>Calcu!N26</f>
        <v/>
      </c>
      <c r="V51" s="464"/>
      <c r="W51" s="464"/>
      <c r="X51" s="464"/>
      <c r="Y51" s="464"/>
      <c r="Z51" s="465"/>
    </row>
    <row r="52" spans="1:54" ht="18.75" customHeight="1">
      <c r="A52" s="190"/>
      <c r="B52" s="460" t="str">
        <f>Calcu!D27</f>
        <v/>
      </c>
      <c r="C52" s="461"/>
      <c r="D52" s="461"/>
      <c r="E52" s="461"/>
      <c r="F52" s="462"/>
      <c r="G52" s="463" t="str">
        <f>Calcu!L27</f>
        <v/>
      </c>
      <c r="H52" s="464"/>
      <c r="I52" s="464"/>
      <c r="J52" s="464"/>
      <c r="K52" s="464"/>
      <c r="L52" s="464"/>
      <c r="M52" s="465"/>
      <c r="N52" s="510" t="str">
        <f>Calcu!M27</f>
        <v/>
      </c>
      <c r="O52" s="510"/>
      <c r="P52" s="510"/>
      <c r="Q52" s="510"/>
      <c r="R52" s="510"/>
      <c r="S52" s="510"/>
      <c r="T52" s="510"/>
      <c r="U52" s="463" t="str">
        <f>Calcu!N27</f>
        <v/>
      </c>
      <c r="V52" s="464"/>
      <c r="W52" s="464"/>
      <c r="X52" s="464"/>
      <c r="Y52" s="464"/>
      <c r="Z52" s="465"/>
    </row>
    <row r="53" spans="1:54" ht="18.75" customHeight="1">
      <c r="A53" s="190"/>
      <c r="B53" s="460" t="str">
        <f>Calcu!D28</f>
        <v/>
      </c>
      <c r="C53" s="461"/>
      <c r="D53" s="461"/>
      <c r="E53" s="461"/>
      <c r="F53" s="462"/>
      <c r="G53" s="463" t="str">
        <f>Calcu!L28</f>
        <v/>
      </c>
      <c r="H53" s="464"/>
      <c r="I53" s="464"/>
      <c r="J53" s="464"/>
      <c r="K53" s="464"/>
      <c r="L53" s="464"/>
      <c r="M53" s="465"/>
      <c r="N53" s="510" t="str">
        <f>Calcu!M28</f>
        <v/>
      </c>
      <c r="O53" s="510"/>
      <c r="P53" s="510"/>
      <c r="Q53" s="510"/>
      <c r="R53" s="510"/>
      <c r="S53" s="510"/>
      <c r="T53" s="510"/>
      <c r="U53" s="463" t="str">
        <f>Calcu!N28</f>
        <v/>
      </c>
      <c r="V53" s="464"/>
      <c r="W53" s="464"/>
      <c r="X53" s="464"/>
      <c r="Y53" s="464"/>
      <c r="Z53" s="465"/>
    </row>
    <row r="54" spans="1:54" ht="18.75" customHeight="1">
      <c r="A54" s="190"/>
    </row>
    <row r="55" spans="1:54" ht="18.75" customHeight="1">
      <c r="A55" s="190" t="s">
        <v>516</v>
      </c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</row>
    <row r="56" spans="1:54" ht="18.75" customHeight="1">
      <c r="A56" s="192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</row>
    <row r="57" spans="1:54" ht="18.75" customHeight="1">
      <c r="A57" s="192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</row>
    <row r="58" spans="1:54" ht="18.75" customHeight="1">
      <c r="A58" s="192"/>
      <c r="B58" s="191"/>
      <c r="C58" s="466" t="s">
        <v>439</v>
      </c>
      <c r="D58" s="466"/>
      <c r="E58" s="466"/>
      <c r="F58" s="252" t="s">
        <v>517</v>
      </c>
      <c r="G58" s="191" t="str">
        <f>"표준온도에서 "&amp;B5&amp;"의 교정값"</f>
        <v>표준온도에서 캘리퍼 검사기의 교정값</v>
      </c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W58" s="193"/>
      <c r="X58" s="193"/>
      <c r="Y58" s="193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</row>
    <row r="59" spans="1:54" ht="18.75" customHeight="1">
      <c r="A59" s="192"/>
      <c r="B59" s="191"/>
      <c r="C59" s="466" t="s">
        <v>518</v>
      </c>
      <c r="D59" s="466"/>
      <c r="E59" s="466"/>
      <c r="F59" s="252" t="s">
        <v>517</v>
      </c>
      <c r="G59" s="191" t="str">
        <f>H5&amp;"의 교정값"</f>
        <v>게이지 블록의 교정값</v>
      </c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W59" s="193"/>
      <c r="X59" s="193"/>
      <c r="Y59" s="193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</row>
    <row r="60" spans="1:54" ht="18.75" customHeight="1">
      <c r="A60" s="192"/>
      <c r="B60" s="191"/>
      <c r="C60" s="466" t="s">
        <v>519</v>
      </c>
      <c r="D60" s="466"/>
      <c r="E60" s="466"/>
      <c r="F60" s="252" t="s">
        <v>517</v>
      </c>
      <c r="G60" s="191" t="str">
        <f>N5&amp;"의 지시값"</f>
        <v>전기 마이크로미터의 지시값</v>
      </c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</row>
    <row r="61" spans="1:54" ht="18.75" customHeight="1">
      <c r="A61" s="192"/>
      <c r="B61" s="191"/>
      <c r="C61" s="466" t="s">
        <v>441</v>
      </c>
      <c r="D61" s="466"/>
      <c r="E61" s="466"/>
      <c r="F61" s="252" t="s">
        <v>520</v>
      </c>
      <c r="G61" s="191" t="str">
        <f>H5&amp;"의 명목값"</f>
        <v>게이지 블록의 명목값</v>
      </c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</row>
    <row r="62" spans="1:54" ht="18.75" customHeight="1">
      <c r="A62" s="192"/>
      <c r="B62" s="191"/>
      <c r="C62" s="466"/>
      <c r="D62" s="466"/>
      <c r="E62" s="466"/>
      <c r="F62" s="252" t="s">
        <v>521</v>
      </c>
      <c r="G62" s="191" t="str">
        <f>B5&amp;"와 "&amp;H5&amp;"의 평균열팽창계수"</f>
        <v>캘리퍼 검사기와 게이지 블록의 평균열팽창계수</v>
      </c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</row>
    <row r="63" spans="1:54" ht="18.75" customHeight="1">
      <c r="A63" s="192"/>
      <c r="B63" s="191"/>
      <c r="C63" s="466" t="s">
        <v>522</v>
      </c>
      <c r="D63" s="466"/>
      <c r="E63" s="466"/>
      <c r="F63" s="252" t="s">
        <v>520</v>
      </c>
      <c r="G63" s="191" t="str">
        <f>B5&amp;"와 "&amp;H5&amp;"의 온도차이"</f>
        <v>캘리퍼 검사기와 게이지 블록의 온도차이</v>
      </c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</row>
    <row r="64" spans="1:54" ht="18.75" customHeight="1">
      <c r="A64" s="192"/>
      <c r="B64" s="191"/>
      <c r="C64" s="466" t="s">
        <v>523</v>
      </c>
      <c r="D64" s="466"/>
      <c r="E64" s="466"/>
      <c r="F64" s="252" t="s">
        <v>520</v>
      </c>
      <c r="G64" s="191" t="str">
        <f>B5&amp;"와 "&amp;H5&amp;"의 열팽창계수 차이"</f>
        <v>캘리퍼 검사기와 게이지 블록의 열팽창계수 차이</v>
      </c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</row>
    <row r="65" spans="1:69" ht="18.75" customHeight="1">
      <c r="A65" s="192"/>
      <c r="B65" s="191"/>
      <c r="C65" s="466" t="s">
        <v>524</v>
      </c>
      <c r="D65" s="466"/>
      <c r="E65" s="466"/>
      <c r="F65" s="252" t="s">
        <v>517</v>
      </c>
      <c r="G65" s="191" t="str">
        <f>B5&amp;"와 "&amp;H5&amp;"의 평균 온도값과 기준온도와의 차"</f>
        <v>캘리퍼 검사기와 게이지 블록의 평균 온도값과 기준온도와의 차</v>
      </c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</row>
    <row r="66" spans="1:69" ht="18.75" customHeight="1">
      <c r="A66" s="192"/>
      <c r="B66" s="191"/>
      <c r="C66" s="466" t="s">
        <v>525</v>
      </c>
      <c r="D66" s="466"/>
      <c r="E66" s="466"/>
      <c r="F66" s="252" t="s">
        <v>521</v>
      </c>
      <c r="G66" s="191" t="str">
        <f>N5&amp;"의 분해능 한계 등에 의한 보정값"</f>
        <v>전기 마이크로미터의 분해능 한계 등에 의한 보정값</v>
      </c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</row>
    <row r="67" spans="1:69" ht="18.75" customHeight="1">
      <c r="A67" s="192"/>
      <c r="B67" s="191"/>
      <c r="C67" s="466" t="s">
        <v>526</v>
      </c>
      <c r="D67" s="466"/>
      <c r="E67" s="466"/>
      <c r="F67" s="252" t="s">
        <v>517</v>
      </c>
      <c r="G67" s="191" t="s">
        <v>442</v>
      </c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</row>
    <row r="68" spans="1:69" ht="18.75" customHeight="1">
      <c r="A68" s="192"/>
      <c r="B68" s="191"/>
      <c r="C68" s="466" t="s">
        <v>527</v>
      </c>
      <c r="D68" s="466"/>
      <c r="E68" s="466"/>
      <c r="F68" s="252" t="s">
        <v>521</v>
      </c>
      <c r="G68" s="191" t="s">
        <v>528</v>
      </c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</row>
    <row r="69" spans="1:69" ht="18.75" customHeight="1">
      <c r="A69" s="192"/>
      <c r="B69" s="191"/>
      <c r="C69" s="466" t="s">
        <v>529</v>
      </c>
      <c r="D69" s="466"/>
      <c r="E69" s="466"/>
      <c r="F69" s="252" t="s">
        <v>517</v>
      </c>
      <c r="G69" s="191" t="s">
        <v>530</v>
      </c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</row>
    <row r="70" spans="1:69" ht="18.75" customHeight="1">
      <c r="A70" s="192"/>
      <c r="B70" s="191"/>
      <c r="C70" s="466"/>
      <c r="D70" s="466"/>
      <c r="E70" s="466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D70" s="267"/>
      <c r="BE70" s="267"/>
      <c r="BF70" s="267"/>
      <c r="BG70" s="267"/>
      <c r="BH70" s="267"/>
      <c r="BI70" s="267"/>
      <c r="BJ70" s="267"/>
      <c r="BK70" s="267"/>
      <c r="BL70" s="267"/>
      <c r="BM70" s="267"/>
      <c r="BN70" s="267"/>
      <c r="BO70" s="267"/>
      <c r="BP70" s="267"/>
      <c r="BQ70" s="267"/>
    </row>
    <row r="71" spans="1:69" ht="18.75" customHeight="1">
      <c r="A71" s="190" t="s">
        <v>531</v>
      </c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</row>
    <row r="72" spans="1:69" ht="18.75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</row>
    <row r="73" spans="1:69" ht="18.75" customHeight="1">
      <c r="A73" s="191"/>
      <c r="B73" s="191"/>
      <c r="C73" s="191" t="s">
        <v>532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</row>
    <row r="74" spans="1:69" ht="18.75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</row>
    <row r="75" spans="1:69" ht="18.75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</row>
    <row r="76" spans="1:69" ht="18.75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</row>
    <row r="77" spans="1:69" ht="18.75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</row>
    <row r="79" spans="1:69" ht="18.75" customHeight="1">
      <c r="A79" s="194" t="s">
        <v>533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</row>
    <row r="80" spans="1:69" ht="18.75" customHeight="1">
      <c r="A80" s="191"/>
      <c r="B80" s="445"/>
      <c r="C80" s="446"/>
      <c r="D80" s="437"/>
      <c r="E80" s="438"/>
      <c r="F80" s="438"/>
      <c r="G80" s="439"/>
      <c r="H80" s="429">
        <v>1</v>
      </c>
      <c r="I80" s="429"/>
      <c r="J80" s="429"/>
      <c r="K80" s="429"/>
      <c r="L80" s="429"/>
      <c r="M80" s="429"/>
      <c r="N80" s="429"/>
      <c r="O80" s="437">
        <v>2</v>
      </c>
      <c r="P80" s="438"/>
      <c r="Q80" s="438"/>
      <c r="R80" s="438"/>
      <c r="S80" s="438"/>
      <c r="T80" s="438"/>
      <c r="U80" s="438"/>
      <c r="V80" s="438"/>
      <c r="W80" s="438"/>
      <c r="X80" s="438"/>
      <c r="Y80" s="438"/>
      <c r="Z80" s="438"/>
      <c r="AA80" s="439"/>
      <c r="AB80" s="429">
        <v>3</v>
      </c>
      <c r="AC80" s="429"/>
      <c r="AD80" s="429"/>
      <c r="AE80" s="429"/>
      <c r="AF80" s="429"/>
      <c r="AG80" s="437">
        <v>4</v>
      </c>
      <c r="AH80" s="438"/>
      <c r="AI80" s="438"/>
      <c r="AJ80" s="438"/>
      <c r="AK80" s="438"/>
      <c r="AL80" s="438"/>
      <c r="AM80" s="438"/>
      <c r="AN80" s="438"/>
      <c r="AO80" s="439"/>
      <c r="AP80" s="437">
        <v>5</v>
      </c>
      <c r="AQ80" s="438"/>
      <c r="AR80" s="438"/>
      <c r="AS80" s="438"/>
      <c r="AT80" s="438"/>
      <c r="AU80" s="438"/>
      <c r="AV80" s="438"/>
      <c r="AW80" s="438"/>
      <c r="AX80" s="438"/>
      <c r="AY80" s="438"/>
      <c r="AZ80" s="438"/>
      <c r="BA80" s="438"/>
      <c r="BB80" s="439"/>
      <c r="BC80" s="429">
        <v>6</v>
      </c>
      <c r="BD80" s="429"/>
      <c r="BE80" s="429"/>
      <c r="BF80" s="429"/>
    </row>
    <row r="81" spans="1:58" ht="18.75" customHeight="1">
      <c r="A81" s="191"/>
      <c r="B81" s="447"/>
      <c r="C81" s="448"/>
      <c r="D81" s="445" t="s">
        <v>534</v>
      </c>
      <c r="E81" s="451"/>
      <c r="F81" s="451"/>
      <c r="G81" s="446"/>
      <c r="H81" s="452" t="s">
        <v>535</v>
      </c>
      <c r="I81" s="452"/>
      <c r="J81" s="452"/>
      <c r="K81" s="452"/>
      <c r="L81" s="452"/>
      <c r="M81" s="452"/>
      <c r="N81" s="452"/>
      <c r="O81" s="445" t="s">
        <v>536</v>
      </c>
      <c r="P81" s="451"/>
      <c r="Q81" s="451"/>
      <c r="R81" s="451"/>
      <c r="S81" s="451"/>
      <c r="T81" s="451"/>
      <c r="U81" s="451"/>
      <c r="V81" s="451"/>
      <c r="W81" s="451"/>
      <c r="X81" s="451"/>
      <c r="Y81" s="451"/>
      <c r="Z81" s="451"/>
      <c r="AA81" s="446"/>
      <c r="AB81" s="452" t="s">
        <v>537</v>
      </c>
      <c r="AC81" s="452"/>
      <c r="AD81" s="452"/>
      <c r="AE81" s="452"/>
      <c r="AF81" s="452"/>
      <c r="AG81" s="445" t="s">
        <v>538</v>
      </c>
      <c r="AH81" s="451"/>
      <c r="AI81" s="451"/>
      <c r="AJ81" s="451"/>
      <c r="AK81" s="451"/>
      <c r="AL81" s="451"/>
      <c r="AM81" s="451"/>
      <c r="AN81" s="451"/>
      <c r="AO81" s="446"/>
      <c r="AP81" s="445" t="s">
        <v>539</v>
      </c>
      <c r="AQ81" s="451"/>
      <c r="AR81" s="451"/>
      <c r="AS81" s="451"/>
      <c r="AT81" s="451"/>
      <c r="AU81" s="451"/>
      <c r="AV81" s="451"/>
      <c r="AW81" s="451"/>
      <c r="AX81" s="451"/>
      <c r="AY81" s="451"/>
      <c r="AZ81" s="451"/>
      <c r="BA81" s="451"/>
      <c r="BB81" s="446"/>
      <c r="BC81" s="452" t="s">
        <v>540</v>
      </c>
      <c r="BD81" s="452"/>
      <c r="BE81" s="452"/>
      <c r="BF81" s="452"/>
    </row>
    <row r="82" spans="1:58" ht="18.75" customHeight="1">
      <c r="A82" s="191"/>
      <c r="B82" s="449"/>
      <c r="C82" s="450"/>
      <c r="D82" s="453" t="s">
        <v>541</v>
      </c>
      <c r="E82" s="454"/>
      <c r="F82" s="454"/>
      <c r="G82" s="455"/>
      <c r="H82" s="456" t="s">
        <v>542</v>
      </c>
      <c r="I82" s="456"/>
      <c r="J82" s="456"/>
      <c r="K82" s="456"/>
      <c r="L82" s="456"/>
      <c r="M82" s="456"/>
      <c r="N82" s="456"/>
      <c r="O82" s="457" t="s">
        <v>543</v>
      </c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  <c r="AA82" s="459"/>
      <c r="AB82" s="456"/>
      <c r="AC82" s="456"/>
      <c r="AD82" s="456"/>
      <c r="AE82" s="456"/>
      <c r="AF82" s="456"/>
      <c r="AG82" s="457" t="s">
        <v>544</v>
      </c>
      <c r="AH82" s="458"/>
      <c r="AI82" s="458"/>
      <c r="AJ82" s="458"/>
      <c r="AK82" s="458"/>
      <c r="AL82" s="458"/>
      <c r="AM82" s="458"/>
      <c r="AN82" s="458"/>
      <c r="AO82" s="459"/>
      <c r="AP82" s="457" t="s">
        <v>545</v>
      </c>
      <c r="AQ82" s="458"/>
      <c r="AR82" s="458"/>
      <c r="AS82" s="458"/>
      <c r="AT82" s="458"/>
      <c r="AU82" s="458"/>
      <c r="AV82" s="458"/>
      <c r="AW82" s="458"/>
      <c r="AX82" s="458"/>
      <c r="AY82" s="458"/>
      <c r="AZ82" s="458"/>
      <c r="BA82" s="458"/>
      <c r="BB82" s="459"/>
      <c r="BC82" s="456"/>
      <c r="BD82" s="456"/>
      <c r="BE82" s="456"/>
      <c r="BF82" s="456"/>
    </row>
    <row r="83" spans="1:58" ht="18.75" customHeight="1">
      <c r="A83" s="191"/>
      <c r="B83" s="429" t="s">
        <v>546</v>
      </c>
      <c r="C83" s="429"/>
      <c r="D83" s="430" t="s">
        <v>547</v>
      </c>
      <c r="E83" s="431"/>
      <c r="F83" s="431"/>
      <c r="G83" s="432"/>
      <c r="H83" s="433" t="e">
        <f ca="1">Calcu!E34</f>
        <v>#N/A</v>
      </c>
      <c r="I83" s="434"/>
      <c r="J83" s="434"/>
      <c r="K83" s="434"/>
      <c r="L83" s="434"/>
      <c r="M83" s="435" t="str">
        <f>Calcu!F34</f>
        <v>mm</v>
      </c>
      <c r="N83" s="436"/>
      <c r="O83" s="502" t="e">
        <f ca="1">Calcu!J34</f>
        <v>#N/A</v>
      </c>
      <c r="P83" s="442"/>
      <c r="Q83" s="442"/>
      <c r="R83" s="274"/>
      <c r="S83" s="503" t="e">
        <f ca="1">Calcu!K34</f>
        <v>#N/A</v>
      </c>
      <c r="T83" s="503"/>
      <c r="U83" s="503"/>
      <c r="V83" s="503"/>
      <c r="W83" s="275"/>
      <c r="X83" s="275"/>
      <c r="Y83" s="275"/>
      <c r="Z83" s="427" t="str">
        <f>Calcu!L34</f>
        <v>μm</v>
      </c>
      <c r="AA83" s="428"/>
      <c r="AB83" s="429" t="str">
        <f>Calcu!M34</f>
        <v>정규</v>
      </c>
      <c r="AC83" s="429"/>
      <c r="AD83" s="429"/>
      <c r="AE83" s="429"/>
      <c r="AF83" s="429"/>
      <c r="AG83" s="437">
        <f>Calcu!P34</f>
        <v>1</v>
      </c>
      <c r="AH83" s="438"/>
      <c r="AI83" s="438"/>
      <c r="AJ83" s="438"/>
      <c r="AK83" s="438"/>
      <c r="AL83" s="438"/>
      <c r="AM83" s="438"/>
      <c r="AN83" s="438"/>
      <c r="AO83" s="439"/>
      <c r="AP83" s="502" t="e">
        <f ca="1">Calcu!R34</f>
        <v>#N/A</v>
      </c>
      <c r="AQ83" s="442"/>
      <c r="AR83" s="442"/>
      <c r="AS83" s="274"/>
      <c r="AT83" s="434" t="e">
        <f ca="1">Calcu!S34</f>
        <v>#N/A</v>
      </c>
      <c r="AU83" s="434"/>
      <c r="AV83" s="434"/>
      <c r="AW83" s="434"/>
      <c r="AX83" s="275"/>
      <c r="AY83" s="275"/>
      <c r="AZ83" s="275"/>
      <c r="BA83" s="427" t="str">
        <f>Calcu!T34</f>
        <v>μm</v>
      </c>
      <c r="BB83" s="428"/>
      <c r="BC83" s="429" t="str">
        <f>Calcu!U34</f>
        <v>∞</v>
      </c>
      <c r="BD83" s="429"/>
      <c r="BE83" s="429"/>
      <c r="BF83" s="429"/>
    </row>
    <row r="84" spans="1:58" ht="18.75" customHeight="1">
      <c r="A84" s="191"/>
      <c r="B84" s="429" t="s">
        <v>548</v>
      </c>
      <c r="C84" s="429"/>
      <c r="D84" s="430" t="s">
        <v>549</v>
      </c>
      <c r="E84" s="431"/>
      <c r="F84" s="431"/>
      <c r="G84" s="432"/>
      <c r="H84" s="433" t="e">
        <f ca="1">Calcu!E35</f>
        <v>#N/A</v>
      </c>
      <c r="I84" s="434"/>
      <c r="J84" s="434"/>
      <c r="K84" s="434"/>
      <c r="L84" s="434"/>
      <c r="M84" s="435" t="str">
        <f>Calcu!F35</f>
        <v>mm</v>
      </c>
      <c r="N84" s="436"/>
      <c r="O84" s="443">
        <f>Calcu!J35</f>
        <v>0</v>
      </c>
      <c r="P84" s="444"/>
      <c r="Q84" s="444"/>
      <c r="R84" s="444"/>
      <c r="S84" s="444"/>
      <c r="T84" s="444"/>
      <c r="U84" s="444"/>
      <c r="V84" s="497" t="str">
        <f>Calcu!L35</f>
        <v>μm</v>
      </c>
      <c r="W84" s="497"/>
      <c r="X84" s="497"/>
      <c r="Y84" s="497"/>
      <c r="Z84" s="497"/>
      <c r="AA84" s="498"/>
      <c r="AB84" s="429" t="str">
        <f>Calcu!M35</f>
        <v>직사각형</v>
      </c>
      <c r="AC84" s="429"/>
      <c r="AD84" s="429"/>
      <c r="AE84" s="429"/>
      <c r="AF84" s="429"/>
      <c r="AG84" s="437">
        <f>Calcu!P35</f>
        <v>1</v>
      </c>
      <c r="AH84" s="438"/>
      <c r="AI84" s="438"/>
      <c r="AJ84" s="438"/>
      <c r="AK84" s="438"/>
      <c r="AL84" s="438"/>
      <c r="AM84" s="438"/>
      <c r="AN84" s="438"/>
      <c r="AO84" s="439"/>
      <c r="AP84" s="443">
        <f>Calcu!R35</f>
        <v>0</v>
      </c>
      <c r="AQ84" s="444"/>
      <c r="AR84" s="444"/>
      <c r="AS84" s="444"/>
      <c r="AT84" s="444"/>
      <c r="AU84" s="444">
        <v>0</v>
      </c>
      <c r="AV84" s="444"/>
      <c r="AW84" s="497" t="str">
        <f>Calcu!T35</f>
        <v>μm</v>
      </c>
      <c r="AX84" s="497"/>
      <c r="AY84" s="497"/>
      <c r="AZ84" s="497"/>
      <c r="BA84" s="497"/>
      <c r="BB84" s="498"/>
      <c r="BC84" s="429" t="str">
        <f>Calcu!U35</f>
        <v>∞</v>
      </c>
      <c r="BD84" s="429"/>
      <c r="BE84" s="429"/>
      <c r="BF84" s="429"/>
    </row>
    <row r="85" spans="1:58" ht="18.75" customHeight="1">
      <c r="A85" s="191"/>
      <c r="B85" s="429" t="s">
        <v>550</v>
      </c>
      <c r="C85" s="429"/>
      <c r="D85" s="430"/>
      <c r="E85" s="431"/>
      <c r="F85" s="431"/>
      <c r="G85" s="432"/>
      <c r="H85" s="433" t="e">
        <f ca="1">Calcu!E36</f>
        <v>#N/A</v>
      </c>
      <c r="I85" s="434"/>
      <c r="J85" s="434"/>
      <c r="K85" s="434"/>
      <c r="L85" s="434"/>
      <c r="M85" s="435" t="str">
        <f>Calcu!F36</f>
        <v>/℃</v>
      </c>
      <c r="N85" s="436"/>
      <c r="O85" s="524">
        <f>Calcu!K36</f>
        <v>4.0824829046386305E-7</v>
      </c>
      <c r="P85" s="525"/>
      <c r="Q85" s="525"/>
      <c r="R85" s="525"/>
      <c r="S85" s="525"/>
      <c r="T85" s="525"/>
      <c r="U85" s="525"/>
      <c r="V85" s="497" t="str">
        <f>Calcu!L36</f>
        <v>/℃</v>
      </c>
      <c r="W85" s="497"/>
      <c r="X85" s="497"/>
      <c r="Y85" s="497"/>
      <c r="Z85" s="497"/>
      <c r="AA85" s="498"/>
      <c r="AB85" s="429" t="str">
        <f>Calcu!M36</f>
        <v>삼각형</v>
      </c>
      <c r="AC85" s="429"/>
      <c r="AD85" s="429"/>
      <c r="AE85" s="429"/>
      <c r="AF85" s="429"/>
      <c r="AG85" s="504" t="e">
        <f>Calcu!P36</f>
        <v>#VALUE!</v>
      </c>
      <c r="AH85" s="427"/>
      <c r="AI85" s="427"/>
      <c r="AJ85" s="427"/>
      <c r="AK85" s="427" t="s">
        <v>445</v>
      </c>
      <c r="AL85" s="427"/>
      <c r="AM85" s="427"/>
      <c r="AN85" s="427"/>
      <c r="AO85" s="428"/>
      <c r="AP85" s="505" t="e">
        <f>Calcu!S36</f>
        <v>#VALUE!</v>
      </c>
      <c r="AQ85" s="506"/>
      <c r="AR85" s="506"/>
      <c r="AS85" s="506"/>
      <c r="AT85" s="506"/>
      <c r="AU85" s="506">
        <v>0</v>
      </c>
      <c r="AV85" s="506"/>
      <c r="AW85" s="427" t="s">
        <v>551</v>
      </c>
      <c r="AX85" s="427"/>
      <c r="AY85" s="427"/>
      <c r="AZ85" s="427"/>
      <c r="BA85" s="427"/>
      <c r="BB85" s="428"/>
      <c r="BC85" s="429">
        <f>Calcu!U36</f>
        <v>100</v>
      </c>
      <c r="BD85" s="429"/>
      <c r="BE85" s="429"/>
      <c r="BF85" s="429"/>
    </row>
    <row r="86" spans="1:58" ht="18.75" customHeight="1">
      <c r="A86" s="191"/>
      <c r="B86" s="429" t="s">
        <v>552</v>
      </c>
      <c r="C86" s="429"/>
      <c r="D86" s="430" t="s">
        <v>553</v>
      </c>
      <c r="E86" s="431"/>
      <c r="F86" s="431"/>
      <c r="G86" s="432"/>
      <c r="H86" s="433" t="str">
        <f>Calcu!E37</f>
        <v/>
      </c>
      <c r="I86" s="434"/>
      <c r="J86" s="434"/>
      <c r="K86" s="434"/>
      <c r="L86" s="434"/>
      <c r="M86" s="435" t="str">
        <f>Calcu!F37</f>
        <v>℃</v>
      </c>
      <c r="N86" s="436"/>
      <c r="O86" s="443" t="e">
        <f>Calcu!K37</f>
        <v>#VALUE!</v>
      </c>
      <c r="P86" s="444"/>
      <c r="Q86" s="444"/>
      <c r="R86" s="444"/>
      <c r="S86" s="444"/>
      <c r="T86" s="444"/>
      <c r="U86" s="444"/>
      <c r="V86" s="497" t="str">
        <f>Calcu!L37</f>
        <v>℃</v>
      </c>
      <c r="W86" s="497"/>
      <c r="X86" s="497"/>
      <c r="Y86" s="497"/>
      <c r="Z86" s="497"/>
      <c r="AA86" s="498"/>
      <c r="AB86" s="429" t="str">
        <f>Calcu!M37</f>
        <v>직사각형</v>
      </c>
      <c r="AC86" s="429"/>
      <c r="AD86" s="429"/>
      <c r="AE86" s="429"/>
      <c r="AF86" s="429"/>
      <c r="AG86" s="504" t="e">
        <f ca="1">Calcu!P37</f>
        <v>#N/A</v>
      </c>
      <c r="AH86" s="427"/>
      <c r="AI86" s="427"/>
      <c r="AJ86" s="427"/>
      <c r="AK86" s="427" t="s">
        <v>446</v>
      </c>
      <c r="AL86" s="427"/>
      <c r="AM86" s="427"/>
      <c r="AN86" s="427"/>
      <c r="AO86" s="428"/>
      <c r="AP86" s="505" t="e">
        <f ca="1">Calcu!S37</f>
        <v>#VALUE!</v>
      </c>
      <c r="AQ86" s="506"/>
      <c r="AR86" s="506"/>
      <c r="AS86" s="506"/>
      <c r="AT86" s="506"/>
      <c r="AU86" s="506">
        <v>0</v>
      </c>
      <c r="AV86" s="506"/>
      <c r="AW86" s="427" t="s">
        <v>551</v>
      </c>
      <c r="AX86" s="427"/>
      <c r="AY86" s="427"/>
      <c r="AZ86" s="427"/>
      <c r="BA86" s="427"/>
      <c r="BB86" s="428"/>
      <c r="BC86" s="429">
        <f>Calcu!U37</f>
        <v>12</v>
      </c>
      <c r="BD86" s="429"/>
      <c r="BE86" s="429"/>
      <c r="BF86" s="429"/>
    </row>
    <row r="87" spans="1:58" ht="18.75" customHeight="1">
      <c r="A87" s="191"/>
      <c r="B87" s="429" t="s">
        <v>298</v>
      </c>
      <c r="C87" s="429"/>
      <c r="D87" s="430" t="s">
        <v>523</v>
      </c>
      <c r="E87" s="431"/>
      <c r="F87" s="431"/>
      <c r="G87" s="432"/>
      <c r="H87" s="433" t="e">
        <f ca="1">Calcu!E38</f>
        <v>#N/A</v>
      </c>
      <c r="I87" s="434"/>
      <c r="J87" s="434"/>
      <c r="K87" s="434"/>
      <c r="L87" s="434"/>
      <c r="M87" s="435" t="str">
        <f>Calcu!F38</f>
        <v>/℃</v>
      </c>
      <c r="N87" s="436"/>
      <c r="O87" s="524">
        <f>Calcu!K38</f>
        <v>8.1649658092772609E-7</v>
      </c>
      <c r="P87" s="525"/>
      <c r="Q87" s="525"/>
      <c r="R87" s="525"/>
      <c r="S87" s="525"/>
      <c r="T87" s="525"/>
      <c r="U87" s="525"/>
      <c r="V87" s="497" t="str">
        <f>Calcu!L38</f>
        <v>/℃</v>
      </c>
      <c r="W87" s="497"/>
      <c r="X87" s="497"/>
      <c r="Y87" s="497"/>
      <c r="Z87" s="497"/>
      <c r="AA87" s="498"/>
      <c r="AB87" s="429" t="str">
        <f>Calcu!M38</f>
        <v>삼각형</v>
      </c>
      <c r="AC87" s="429"/>
      <c r="AD87" s="429"/>
      <c r="AE87" s="429"/>
      <c r="AF87" s="429"/>
      <c r="AG87" s="504" t="e">
        <f>Calcu!P38</f>
        <v>#VALUE!</v>
      </c>
      <c r="AH87" s="427"/>
      <c r="AI87" s="427"/>
      <c r="AJ87" s="427"/>
      <c r="AK87" s="427" t="s">
        <v>445</v>
      </c>
      <c r="AL87" s="427"/>
      <c r="AM87" s="427"/>
      <c r="AN87" s="427"/>
      <c r="AO87" s="428"/>
      <c r="AP87" s="505" t="e">
        <f>Calcu!S38</f>
        <v>#VALUE!</v>
      </c>
      <c r="AQ87" s="506"/>
      <c r="AR87" s="506"/>
      <c r="AS87" s="506"/>
      <c r="AT87" s="506"/>
      <c r="AU87" s="506">
        <v>0</v>
      </c>
      <c r="AV87" s="506"/>
      <c r="AW87" s="427" t="s">
        <v>554</v>
      </c>
      <c r="AX87" s="427"/>
      <c r="AY87" s="427"/>
      <c r="AZ87" s="427"/>
      <c r="BA87" s="427"/>
      <c r="BB87" s="428"/>
      <c r="BC87" s="429">
        <f>Calcu!U38</f>
        <v>100</v>
      </c>
      <c r="BD87" s="429"/>
      <c r="BE87" s="429"/>
      <c r="BF87" s="429"/>
    </row>
    <row r="88" spans="1:58" ht="18.75" customHeight="1">
      <c r="A88" s="191"/>
      <c r="B88" s="429" t="s">
        <v>555</v>
      </c>
      <c r="C88" s="429"/>
      <c r="D88" s="430" t="s">
        <v>556</v>
      </c>
      <c r="E88" s="431"/>
      <c r="F88" s="431"/>
      <c r="G88" s="432"/>
      <c r="H88" s="433" t="str">
        <f>Calcu!E39</f>
        <v/>
      </c>
      <c r="I88" s="434"/>
      <c r="J88" s="434"/>
      <c r="K88" s="434"/>
      <c r="L88" s="434"/>
      <c r="M88" s="435" t="str">
        <f>Calcu!F39</f>
        <v>℃</v>
      </c>
      <c r="N88" s="436"/>
      <c r="O88" s="443">
        <f>Calcu!K39</f>
        <v>0.66833125519211412</v>
      </c>
      <c r="P88" s="444"/>
      <c r="Q88" s="444"/>
      <c r="R88" s="444"/>
      <c r="S88" s="444"/>
      <c r="T88" s="444"/>
      <c r="U88" s="444"/>
      <c r="V88" s="497" t="str">
        <f>Calcu!L39</f>
        <v>℃</v>
      </c>
      <c r="W88" s="497"/>
      <c r="X88" s="497"/>
      <c r="Y88" s="497"/>
      <c r="Z88" s="497"/>
      <c r="AA88" s="498"/>
      <c r="AB88" s="429" t="str">
        <f>Calcu!M39</f>
        <v>사다리꼴</v>
      </c>
      <c r="AC88" s="429"/>
      <c r="AD88" s="429"/>
      <c r="AE88" s="429"/>
      <c r="AF88" s="429"/>
      <c r="AG88" s="504" t="e">
        <f ca="1">Calcu!P39</f>
        <v>#N/A</v>
      </c>
      <c r="AH88" s="427"/>
      <c r="AI88" s="427"/>
      <c r="AJ88" s="427"/>
      <c r="AK88" s="427" t="s">
        <v>557</v>
      </c>
      <c r="AL88" s="427"/>
      <c r="AM88" s="427"/>
      <c r="AN88" s="427"/>
      <c r="AO88" s="428"/>
      <c r="AP88" s="505" t="e">
        <f ca="1">Calcu!S39</f>
        <v>#N/A</v>
      </c>
      <c r="AQ88" s="506"/>
      <c r="AR88" s="506"/>
      <c r="AS88" s="506"/>
      <c r="AT88" s="506"/>
      <c r="AU88" s="506">
        <v>0</v>
      </c>
      <c r="AV88" s="506"/>
      <c r="AW88" s="427" t="s">
        <v>554</v>
      </c>
      <c r="AX88" s="427"/>
      <c r="AY88" s="427"/>
      <c r="AZ88" s="427"/>
      <c r="BA88" s="427"/>
      <c r="BB88" s="428"/>
      <c r="BC88" s="429">
        <f>Calcu!U39</f>
        <v>305</v>
      </c>
      <c r="BD88" s="429"/>
      <c r="BE88" s="429"/>
      <c r="BF88" s="429"/>
    </row>
    <row r="89" spans="1:58" ht="18.75" customHeight="1">
      <c r="A89" s="191"/>
      <c r="B89" s="429" t="s">
        <v>558</v>
      </c>
      <c r="C89" s="429"/>
      <c r="D89" s="534" t="s">
        <v>559</v>
      </c>
      <c r="E89" s="535"/>
      <c r="F89" s="535"/>
      <c r="G89" s="536"/>
      <c r="H89" s="463" t="s">
        <v>560</v>
      </c>
      <c r="I89" s="464"/>
      <c r="J89" s="464"/>
      <c r="K89" s="464"/>
      <c r="L89" s="464"/>
      <c r="M89" s="464"/>
      <c r="N89" s="465"/>
      <c r="O89" s="443">
        <f>Calcu!J40</f>
        <v>0.57735026918962584</v>
      </c>
      <c r="P89" s="444"/>
      <c r="Q89" s="444"/>
      <c r="R89" s="444"/>
      <c r="S89" s="444"/>
      <c r="T89" s="444"/>
      <c r="U89" s="444"/>
      <c r="V89" s="444"/>
      <c r="W89" s="444"/>
      <c r="X89" s="444"/>
      <c r="Y89" s="427" t="str">
        <f>Calcu!L40</f>
        <v>℃</v>
      </c>
      <c r="Z89" s="427"/>
      <c r="AA89" s="428"/>
      <c r="AB89" s="429" t="str">
        <f>Calcu!M40</f>
        <v>직사각형</v>
      </c>
      <c r="AC89" s="429"/>
      <c r="AD89" s="429"/>
      <c r="AE89" s="429"/>
      <c r="AF89" s="429"/>
      <c r="AG89" s="537">
        <f>Calcu!P40</f>
        <v>1</v>
      </c>
      <c r="AH89" s="538"/>
      <c r="AI89" s="538"/>
      <c r="AJ89" s="538"/>
      <c r="AK89" s="538"/>
      <c r="AL89" s="538"/>
      <c r="AM89" s="538"/>
      <c r="AN89" s="538"/>
      <c r="AO89" s="539"/>
      <c r="AP89" s="443">
        <f>O89*AG89</f>
        <v>0.57735026918962584</v>
      </c>
      <c r="AQ89" s="444"/>
      <c r="AR89" s="444"/>
      <c r="AS89" s="444"/>
      <c r="AT89" s="444"/>
      <c r="AU89" s="444"/>
      <c r="AV89" s="444"/>
      <c r="AW89" s="444"/>
      <c r="AX89" s="444"/>
      <c r="AY89" s="444"/>
      <c r="AZ89" s="427" t="str">
        <f>Y89</f>
        <v>℃</v>
      </c>
      <c r="BA89" s="427"/>
      <c r="BB89" s="428"/>
      <c r="BC89" s="533" t="str">
        <f>Calcu!U40</f>
        <v>∞</v>
      </c>
      <c r="BD89" s="533"/>
      <c r="BE89" s="533"/>
      <c r="BF89" s="533"/>
    </row>
    <row r="90" spans="1:58" ht="18.75" customHeight="1">
      <c r="A90" s="191"/>
      <c r="B90" s="429" t="s">
        <v>561</v>
      </c>
      <c r="C90" s="429"/>
      <c r="D90" s="534" t="s">
        <v>562</v>
      </c>
      <c r="E90" s="535"/>
      <c r="F90" s="535"/>
      <c r="G90" s="536"/>
      <c r="H90" s="463" t="s">
        <v>563</v>
      </c>
      <c r="I90" s="464"/>
      <c r="J90" s="464"/>
      <c r="K90" s="464"/>
      <c r="L90" s="464"/>
      <c r="M90" s="464"/>
      <c r="N90" s="465"/>
      <c r="O90" s="443">
        <f>Calcu!J41</f>
        <v>0.28867513459481292</v>
      </c>
      <c r="P90" s="444"/>
      <c r="Q90" s="444"/>
      <c r="R90" s="444"/>
      <c r="S90" s="444"/>
      <c r="T90" s="444"/>
      <c r="U90" s="444"/>
      <c r="V90" s="444"/>
      <c r="W90" s="444"/>
      <c r="X90" s="444"/>
      <c r="Y90" s="427" t="str">
        <f>Calcu!L41</f>
        <v>℃</v>
      </c>
      <c r="Z90" s="427"/>
      <c r="AA90" s="428"/>
      <c r="AB90" s="429" t="str">
        <f>Calcu!M41</f>
        <v>직사각형</v>
      </c>
      <c r="AC90" s="429"/>
      <c r="AD90" s="429"/>
      <c r="AE90" s="429"/>
      <c r="AF90" s="429"/>
      <c r="AG90" s="537">
        <f>Calcu!P41</f>
        <v>1</v>
      </c>
      <c r="AH90" s="538"/>
      <c r="AI90" s="538"/>
      <c r="AJ90" s="538"/>
      <c r="AK90" s="538"/>
      <c r="AL90" s="538"/>
      <c r="AM90" s="538"/>
      <c r="AN90" s="538"/>
      <c r="AO90" s="539"/>
      <c r="AP90" s="443">
        <f>O90*AG90</f>
        <v>0.28867513459481292</v>
      </c>
      <c r="AQ90" s="444"/>
      <c r="AR90" s="444"/>
      <c r="AS90" s="444"/>
      <c r="AT90" s="444"/>
      <c r="AU90" s="444"/>
      <c r="AV90" s="444"/>
      <c r="AW90" s="444"/>
      <c r="AX90" s="444"/>
      <c r="AY90" s="444"/>
      <c r="AZ90" s="427" t="str">
        <f>Y90</f>
        <v>℃</v>
      </c>
      <c r="BA90" s="427"/>
      <c r="BB90" s="428"/>
      <c r="BC90" s="533">
        <f>Calcu!U41</f>
        <v>12</v>
      </c>
      <c r="BD90" s="533"/>
      <c r="BE90" s="533"/>
      <c r="BF90" s="533"/>
    </row>
    <row r="91" spans="1:58" ht="18.75" customHeight="1">
      <c r="A91" s="191"/>
      <c r="B91" s="429" t="s">
        <v>564</v>
      </c>
      <c r="C91" s="429"/>
      <c r="D91" s="534" t="s">
        <v>565</v>
      </c>
      <c r="E91" s="535"/>
      <c r="F91" s="535"/>
      <c r="G91" s="536"/>
      <c r="H91" s="463" t="s">
        <v>560</v>
      </c>
      <c r="I91" s="464"/>
      <c r="J91" s="464"/>
      <c r="K91" s="464"/>
      <c r="L91" s="464"/>
      <c r="M91" s="464"/>
      <c r="N91" s="465"/>
      <c r="O91" s="443">
        <f>Calcu!J42</f>
        <v>0.17320508075688773</v>
      </c>
      <c r="P91" s="444"/>
      <c r="Q91" s="444"/>
      <c r="R91" s="444"/>
      <c r="S91" s="444"/>
      <c r="T91" s="444"/>
      <c r="U91" s="444"/>
      <c r="V91" s="444"/>
      <c r="W91" s="444"/>
      <c r="X91" s="444"/>
      <c r="Y91" s="427" t="str">
        <f>Calcu!L42</f>
        <v>℃</v>
      </c>
      <c r="Z91" s="427"/>
      <c r="AA91" s="428"/>
      <c r="AB91" s="429" t="str">
        <f>Calcu!M42</f>
        <v>직사각형</v>
      </c>
      <c r="AC91" s="429"/>
      <c r="AD91" s="429"/>
      <c r="AE91" s="429"/>
      <c r="AF91" s="429"/>
      <c r="AG91" s="537">
        <f>Calcu!P42</f>
        <v>1</v>
      </c>
      <c r="AH91" s="538"/>
      <c r="AI91" s="538"/>
      <c r="AJ91" s="538"/>
      <c r="AK91" s="538"/>
      <c r="AL91" s="538"/>
      <c r="AM91" s="538"/>
      <c r="AN91" s="538"/>
      <c r="AO91" s="539"/>
      <c r="AP91" s="443">
        <f>O91*AG91</f>
        <v>0.17320508075688773</v>
      </c>
      <c r="AQ91" s="444"/>
      <c r="AR91" s="444"/>
      <c r="AS91" s="444"/>
      <c r="AT91" s="444"/>
      <c r="AU91" s="444"/>
      <c r="AV91" s="444"/>
      <c r="AW91" s="444"/>
      <c r="AX91" s="444"/>
      <c r="AY91" s="444"/>
      <c r="AZ91" s="427" t="str">
        <f>Y91</f>
        <v>℃</v>
      </c>
      <c r="BA91" s="427"/>
      <c r="BB91" s="428"/>
      <c r="BC91" s="533">
        <f>Calcu!U42</f>
        <v>12</v>
      </c>
      <c r="BD91" s="533"/>
      <c r="BE91" s="533"/>
      <c r="BF91" s="533"/>
    </row>
    <row r="92" spans="1:58" ht="18.75" customHeight="1">
      <c r="A92" s="191"/>
      <c r="B92" s="429" t="s">
        <v>566</v>
      </c>
      <c r="C92" s="429"/>
      <c r="D92" s="430" t="s">
        <v>567</v>
      </c>
      <c r="E92" s="431"/>
      <c r="F92" s="431"/>
      <c r="G92" s="432"/>
      <c r="H92" s="463" t="s">
        <v>563</v>
      </c>
      <c r="I92" s="464"/>
      <c r="J92" s="464"/>
      <c r="K92" s="464"/>
      <c r="L92" s="464"/>
      <c r="M92" s="464"/>
      <c r="N92" s="465"/>
      <c r="O92" s="443">
        <f>Calcu!J43</f>
        <v>0</v>
      </c>
      <c r="P92" s="444"/>
      <c r="Q92" s="444"/>
      <c r="R92" s="444"/>
      <c r="S92" s="444"/>
      <c r="T92" s="444"/>
      <c r="U92" s="444"/>
      <c r="V92" s="497" t="str">
        <f>Calcu!L43</f>
        <v>μm</v>
      </c>
      <c r="W92" s="497"/>
      <c r="X92" s="497"/>
      <c r="Y92" s="497"/>
      <c r="Z92" s="497"/>
      <c r="AA92" s="498"/>
      <c r="AB92" s="429" t="str">
        <f>Calcu!M43</f>
        <v>직사각형</v>
      </c>
      <c r="AC92" s="429"/>
      <c r="AD92" s="429"/>
      <c r="AE92" s="429"/>
      <c r="AF92" s="429"/>
      <c r="AG92" s="437">
        <f>Calcu!P43</f>
        <v>1</v>
      </c>
      <c r="AH92" s="438"/>
      <c r="AI92" s="438"/>
      <c r="AJ92" s="438"/>
      <c r="AK92" s="438"/>
      <c r="AL92" s="438"/>
      <c r="AM92" s="438"/>
      <c r="AN92" s="438"/>
      <c r="AO92" s="439"/>
      <c r="AP92" s="443">
        <f>Calcu!R43</f>
        <v>0</v>
      </c>
      <c r="AQ92" s="444"/>
      <c r="AR92" s="444"/>
      <c r="AS92" s="444"/>
      <c r="AT92" s="444"/>
      <c r="AU92" s="444">
        <v>0</v>
      </c>
      <c r="AV92" s="444"/>
      <c r="AW92" s="497" t="str">
        <f>Calcu!T43</f>
        <v>μm</v>
      </c>
      <c r="AX92" s="497"/>
      <c r="AY92" s="497"/>
      <c r="AZ92" s="497"/>
      <c r="BA92" s="497"/>
      <c r="BB92" s="498"/>
      <c r="BC92" s="429" t="str">
        <f>Calcu!U43</f>
        <v>∞</v>
      </c>
      <c r="BD92" s="429"/>
      <c r="BE92" s="429"/>
      <c r="BF92" s="429"/>
    </row>
    <row r="93" spans="1:58" ht="18.75" customHeight="1">
      <c r="A93" s="191"/>
      <c r="B93" s="429" t="s">
        <v>568</v>
      </c>
      <c r="C93" s="429"/>
      <c r="D93" s="430" t="s">
        <v>569</v>
      </c>
      <c r="E93" s="431"/>
      <c r="F93" s="431"/>
      <c r="G93" s="432"/>
      <c r="H93" s="463" t="s">
        <v>563</v>
      </c>
      <c r="I93" s="464"/>
      <c r="J93" s="464"/>
      <c r="K93" s="464"/>
      <c r="L93" s="464"/>
      <c r="M93" s="464"/>
      <c r="N93" s="465"/>
      <c r="O93" s="443" t="e">
        <f>Calcu!J44</f>
        <v>#DIV/0!</v>
      </c>
      <c r="P93" s="444"/>
      <c r="Q93" s="444"/>
      <c r="R93" s="444"/>
      <c r="S93" s="444"/>
      <c r="T93" s="444"/>
      <c r="U93" s="444"/>
      <c r="V93" s="497" t="str">
        <f>Calcu!L44</f>
        <v>μm</v>
      </c>
      <c r="W93" s="497"/>
      <c r="X93" s="497"/>
      <c r="Y93" s="497"/>
      <c r="Z93" s="497"/>
      <c r="AA93" s="498"/>
      <c r="AB93" s="429" t="str">
        <f>Calcu!M44</f>
        <v>정규</v>
      </c>
      <c r="AC93" s="429"/>
      <c r="AD93" s="429"/>
      <c r="AE93" s="429"/>
      <c r="AF93" s="429"/>
      <c r="AG93" s="437">
        <f>Calcu!P44</f>
        <v>1</v>
      </c>
      <c r="AH93" s="438"/>
      <c r="AI93" s="438"/>
      <c r="AJ93" s="438"/>
      <c r="AK93" s="438"/>
      <c r="AL93" s="438"/>
      <c r="AM93" s="438"/>
      <c r="AN93" s="438"/>
      <c r="AO93" s="439"/>
      <c r="AP93" s="443" t="e">
        <f>Calcu!R44</f>
        <v>#DIV/0!</v>
      </c>
      <c r="AQ93" s="444"/>
      <c r="AR93" s="444"/>
      <c r="AS93" s="444"/>
      <c r="AT93" s="444"/>
      <c r="AU93" s="444">
        <v>0</v>
      </c>
      <c r="AV93" s="444"/>
      <c r="AW93" s="497" t="str">
        <f>Calcu!T44</f>
        <v>μm</v>
      </c>
      <c r="AX93" s="497"/>
      <c r="AY93" s="497"/>
      <c r="AZ93" s="497"/>
      <c r="BA93" s="497"/>
      <c r="BB93" s="498"/>
      <c r="BC93" s="429" t="str">
        <f>Calcu!U44</f>
        <v>∞</v>
      </c>
      <c r="BD93" s="429"/>
      <c r="BE93" s="429"/>
      <c r="BF93" s="429"/>
    </row>
    <row r="94" spans="1:58" ht="18.75" customHeight="1">
      <c r="A94" s="191"/>
      <c r="B94" s="429" t="s">
        <v>570</v>
      </c>
      <c r="C94" s="429"/>
      <c r="D94" s="430" t="s">
        <v>571</v>
      </c>
      <c r="E94" s="431"/>
      <c r="F94" s="431"/>
      <c r="G94" s="432"/>
      <c r="H94" s="463" t="s">
        <v>146</v>
      </c>
      <c r="I94" s="464"/>
      <c r="J94" s="464"/>
      <c r="K94" s="464"/>
      <c r="L94" s="464"/>
      <c r="M94" s="464"/>
      <c r="N94" s="465"/>
      <c r="O94" s="443">
        <f>Calcu!J45</f>
        <v>0</v>
      </c>
      <c r="P94" s="444"/>
      <c r="Q94" s="444"/>
      <c r="R94" s="444"/>
      <c r="S94" s="444"/>
      <c r="T94" s="444"/>
      <c r="U94" s="444"/>
      <c r="V94" s="497" t="str">
        <f>Calcu!L45</f>
        <v>μm</v>
      </c>
      <c r="W94" s="497"/>
      <c r="X94" s="497"/>
      <c r="Y94" s="497"/>
      <c r="Z94" s="497"/>
      <c r="AA94" s="498"/>
      <c r="AB94" s="429" t="str">
        <f>Calcu!M45</f>
        <v>직사각형</v>
      </c>
      <c r="AC94" s="429"/>
      <c r="AD94" s="429"/>
      <c r="AE94" s="429"/>
      <c r="AF94" s="429"/>
      <c r="AG94" s="437">
        <f>Calcu!P45</f>
        <v>1</v>
      </c>
      <c r="AH94" s="438"/>
      <c r="AI94" s="438"/>
      <c r="AJ94" s="438"/>
      <c r="AK94" s="438"/>
      <c r="AL94" s="438"/>
      <c r="AM94" s="438"/>
      <c r="AN94" s="438"/>
      <c r="AO94" s="439"/>
      <c r="AP94" s="443">
        <f>Calcu!R45</f>
        <v>0</v>
      </c>
      <c r="AQ94" s="444"/>
      <c r="AR94" s="444"/>
      <c r="AS94" s="444"/>
      <c r="AT94" s="444"/>
      <c r="AU94" s="444">
        <v>0</v>
      </c>
      <c r="AV94" s="444"/>
      <c r="AW94" s="497" t="str">
        <f>Calcu!T45</f>
        <v>μm</v>
      </c>
      <c r="AX94" s="497"/>
      <c r="AY94" s="497"/>
      <c r="AZ94" s="497"/>
      <c r="BA94" s="497"/>
      <c r="BB94" s="498"/>
      <c r="BC94" s="429">
        <f>Calcu!U45</f>
        <v>50</v>
      </c>
      <c r="BD94" s="429"/>
      <c r="BE94" s="429"/>
      <c r="BF94" s="429"/>
    </row>
    <row r="95" spans="1:58" ht="18.75" customHeight="1">
      <c r="A95" s="191"/>
      <c r="B95" s="429" t="s">
        <v>332</v>
      </c>
      <c r="C95" s="429"/>
      <c r="D95" s="430" t="s">
        <v>448</v>
      </c>
      <c r="E95" s="431"/>
      <c r="F95" s="431"/>
      <c r="G95" s="432"/>
      <c r="H95" s="463" t="s">
        <v>560</v>
      </c>
      <c r="I95" s="464"/>
      <c r="J95" s="464"/>
      <c r="K95" s="464"/>
      <c r="L95" s="464"/>
      <c r="M95" s="464"/>
      <c r="N95" s="465"/>
      <c r="O95" s="443">
        <f>Calcu!J46</f>
        <v>0</v>
      </c>
      <c r="P95" s="444"/>
      <c r="Q95" s="444"/>
      <c r="R95" s="444"/>
      <c r="S95" s="444"/>
      <c r="T95" s="444"/>
      <c r="U95" s="444"/>
      <c r="V95" s="497" t="str">
        <f>Calcu!L46</f>
        <v>μm</v>
      </c>
      <c r="W95" s="497"/>
      <c r="X95" s="497"/>
      <c r="Y95" s="497"/>
      <c r="Z95" s="497"/>
      <c r="AA95" s="498"/>
      <c r="AB95" s="429" t="str">
        <f>Calcu!M46</f>
        <v>직사각형</v>
      </c>
      <c r="AC95" s="429"/>
      <c r="AD95" s="429"/>
      <c r="AE95" s="429"/>
      <c r="AF95" s="429"/>
      <c r="AG95" s="437">
        <f>Calcu!P46</f>
        <v>1</v>
      </c>
      <c r="AH95" s="438"/>
      <c r="AI95" s="438"/>
      <c r="AJ95" s="438"/>
      <c r="AK95" s="438"/>
      <c r="AL95" s="438"/>
      <c r="AM95" s="438"/>
      <c r="AN95" s="438"/>
      <c r="AO95" s="439"/>
      <c r="AP95" s="443">
        <f>Calcu!R46</f>
        <v>0</v>
      </c>
      <c r="AQ95" s="444"/>
      <c r="AR95" s="444"/>
      <c r="AS95" s="444"/>
      <c r="AT95" s="444"/>
      <c r="AU95" s="444">
        <v>0</v>
      </c>
      <c r="AV95" s="444"/>
      <c r="AW95" s="497" t="str">
        <f>Calcu!T46</f>
        <v>μm</v>
      </c>
      <c r="AX95" s="497"/>
      <c r="AY95" s="497"/>
      <c r="AZ95" s="497"/>
      <c r="BA95" s="497"/>
      <c r="BB95" s="498"/>
      <c r="BC95" s="429">
        <f>Calcu!U46</f>
        <v>50</v>
      </c>
      <c r="BD95" s="429"/>
      <c r="BE95" s="429"/>
      <c r="BF95" s="429"/>
    </row>
    <row r="96" spans="1:58" ht="18.75" customHeight="1">
      <c r="A96" s="191"/>
      <c r="B96" s="429" t="s">
        <v>572</v>
      </c>
      <c r="C96" s="429"/>
      <c r="D96" s="521" t="s">
        <v>573</v>
      </c>
      <c r="E96" s="522"/>
      <c r="F96" s="522"/>
      <c r="G96" s="523"/>
      <c r="H96" s="463" t="s">
        <v>563</v>
      </c>
      <c r="I96" s="464"/>
      <c r="J96" s="464"/>
      <c r="K96" s="464"/>
      <c r="L96" s="464"/>
      <c r="M96" s="464"/>
      <c r="N96" s="465"/>
      <c r="O96" s="524" t="e">
        <f>Calcu!K47</f>
        <v>#VALUE!</v>
      </c>
      <c r="P96" s="525"/>
      <c r="Q96" s="525"/>
      <c r="R96" s="525"/>
      <c r="S96" s="525"/>
      <c r="T96" s="525"/>
      <c r="U96" s="525"/>
      <c r="V96" s="497"/>
      <c r="W96" s="497"/>
      <c r="X96" s="497"/>
      <c r="Y96" s="497"/>
      <c r="Z96" s="497"/>
      <c r="AA96" s="498"/>
      <c r="AB96" s="429" t="str">
        <f>Calcu!M47</f>
        <v>정규</v>
      </c>
      <c r="AC96" s="429"/>
      <c r="AD96" s="429"/>
      <c r="AE96" s="429"/>
      <c r="AF96" s="429"/>
      <c r="AG96" s="504">
        <f>Calcu!P47</f>
        <v>1000</v>
      </c>
      <c r="AH96" s="427"/>
      <c r="AI96" s="427"/>
      <c r="AJ96" s="427"/>
      <c r="AK96" s="427" t="s">
        <v>574</v>
      </c>
      <c r="AL96" s="427"/>
      <c r="AM96" s="427"/>
      <c r="AN96" s="427"/>
      <c r="AO96" s="428"/>
      <c r="AP96" s="505" t="e">
        <f>Calcu!S47</f>
        <v>#VALUE!</v>
      </c>
      <c r="AQ96" s="506"/>
      <c r="AR96" s="506"/>
      <c r="AS96" s="506"/>
      <c r="AT96" s="506"/>
      <c r="AU96" s="506">
        <v>0</v>
      </c>
      <c r="AV96" s="506"/>
      <c r="AW96" s="427" t="s">
        <v>554</v>
      </c>
      <c r="AX96" s="427"/>
      <c r="AY96" s="427"/>
      <c r="AZ96" s="427"/>
      <c r="BA96" s="427"/>
      <c r="BB96" s="428"/>
      <c r="BC96" s="429" t="str">
        <f>Calcu!U47</f>
        <v>∞</v>
      </c>
      <c r="BD96" s="429"/>
      <c r="BE96" s="429"/>
      <c r="BF96" s="429"/>
    </row>
    <row r="97" spans="1:60" ht="18.75" customHeight="1">
      <c r="A97" s="191"/>
      <c r="B97" s="429" t="s">
        <v>575</v>
      </c>
      <c r="C97" s="429"/>
      <c r="D97" s="521" t="s">
        <v>576</v>
      </c>
      <c r="E97" s="522"/>
      <c r="F97" s="522"/>
      <c r="G97" s="523"/>
      <c r="H97" s="463" t="s">
        <v>563</v>
      </c>
      <c r="I97" s="464"/>
      <c r="J97" s="464"/>
      <c r="K97" s="464"/>
      <c r="L97" s="464"/>
      <c r="M97" s="464"/>
      <c r="N97" s="465"/>
      <c r="O97" s="524" t="e">
        <f ca="1">Calcu!K48</f>
        <v>#N/A</v>
      </c>
      <c r="P97" s="525"/>
      <c r="Q97" s="525"/>
      <c r="R97" s="525"/>
      <c r="S97" s="525"/>
      <c r="T97" s="525"/>
      <c r="U97" s="525"/>
      <c r="V97" s="497"/>
      <c r="W97" s="497"/>
      <c r="X97" s="497"/>
      <c r="Y97" s="497"/>
      <c r="Z97" s="497"/>
      <c r="AA97" s="498"/>
      <c r="AB97" s="429" t="str">
        <f>Calcu!M48</f>
        <v>정규</v>
      </c>
      <c r="AC97" s="429"/>
      <c r="AD97" s="429"/>
      <c r="AE97" s="429"/>
      <c r="AF97" s="429"/>
      <c r="AG97" s="504">
        <f>Calcu!P48</f>
        <v>1000</v>
      </c>
      <c r="AH97" s="427"/>
      <c r="AI97" s="427"/>
      <c r="AJ97" s="427"/>
      <c r="AK97" s="427" t="s">
        <v>574</v>
      </c>
      <c r="AL97" s="427"/>
      <c r="AM97" s="427"/>
      <c r="AN97" s="427"/>
      <c r="AO97" s="428"/>
      <c r="AP97" s="505" t="e">
        <f ca="1">Calcu!S48</f>
        <v>#N/A</v>
      </c>
      <c r="AQ97" s="506"/>
      <c r="AR97" s="506"/>
      <c r="AS97" s="506"/>
      <c r="AT97" s="506"/>
      <c r="AU97" s="506">
        <v>0</v>
      </c>
      <c r="AV97" s="506"/>
      <c r="AW97" s="427" t="s">
        <v>447</v>
      </c>
      <c r="AX97" s="427"/>
      <c r="AY97" s="427"/>
      <c r="AZ97" s="427"/>
      <c r="BA97" s="427"/>
      <c r="BB97" s="428"/>
      <c r="BC97" s="429" t="str">
        <f>Calcu!U48</f>
        <v>∞</v>
      </c>
      <c r="BD97" s="429"/>
      <c r="BE97" s="429"/>
      <c r="BF97" s="429"/>
    </row>
    <row r="98" spans="1:60" ht="18.75" customHeight="1">
      <c r="A98" s="191"/>
      <c r="B98" s="429" t="s">
        <v>577</v>
      </c>
      <c r="C98" s="429"/>
      <c r="D98" s="430" t="s">
        <v>578</v>
      </c>
      <c r="E98" s="431"/>
      <c r="F98" s="431"/>
      <c r="G98" s="432"/>
      <c r="H98" s="433" t="e">
        <f ca="1">Calcu!E49</f>
        <v>#N/A</v>
      </c>
      <c r="I98" s="434"/>
      <c r="J98" s="434"/>
      <c r="K98" s="434"/>
      <c r="L98" s="434"/>
      <c r="M98" s="435" t="str">
        <f>Calcu!F49</f>
        <v>mm</v>
      </c>
      <c r="N98" s="436"/>
      <c r="O98" s="437"/>
      <c r="P98" s="438"/>
      <c r="Q98" s="438"/>
      <c r="R98" s="438"/>
      <c r="S98" s="438"/>
      <c r="T98" s="438"/>
      <c r="U98" s="438"/>
      <c r="V98" s="438"/>
      <c r="W98" s="438"/>
      <c r="X98" s="438"/>
      <c r="Y98" s="438"/>
      <c r="Z98" s="438"/>
      <c r="AA98" s="439"/>
      <c r="AB98" s="429"/>
      <c r="AC98" s="429"/>
      <c r="AD98" s="429"/>
      <c r="AE98" s="429"/>
      <c r="AF98" s="429"/>
      <c r="AG98" s="437"/>
      <c r="AH98" s="438"/>
      <c r="AI98" s="438"/>
      <c r="AJ98" s="438"/>
      <c r="AK98" s="438"/>
      <c r="AL98" s="438"/>
      <c r="AM98" s="438"/>
      <c r="AN98" s="438"/>
      <c r="AO98" s="439"/>
      <c r="AP98" s="440" t="e">
        <f ca="1">Calcu!R49</f>
        <v>#N/A</v>
      </c>
      <c r="AQ98" s="441"/>
      <c r="AR98" s="441"/>
      <c r="AS98" s="274"/>
      <c r="AT98" s="276"/>
      <c r="AU98" s="464" t="e">
        <f ca="1">Calcu!S49</f>
        <v>#N/A</v>
      </c>
      <c r="AV98" s="464"/>
      <c r="AW98" s="464"/>
      <c r="AX98" s="275"/>
      <c r="AY98" s="275"/>
      <c r="AZ98" s="275"/>
      <c r="BA98" s="427" t="str">
        <f>Calcu!T49</f>
        <v>μm</v>
      </c>
      <c r="BB98" s="428"/>
      <c r="BC98" s="429" t="e">
        <f ca="1">Calcu!U49</f>
        <v>#VALUE!</v>
      </c>
      <c r="BD98" s="429"/>
      <c r="BE98" s="429"/>
      <c r="BF98" s="429"/>
    </row>
    <row r="99" spans="1:60" ht="18.75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5" t="s">
        <v>579</v>
      </c>
      <c r="AH99" s="191"/>
      <c r="AI99" s="191"/>
      <c r="AJ99" s="195" t="str">
        <f>$B$5&amp;"의 명목값이며, 단위는 mm 이다."</f>
        <v>캘리퍼 검사기의 명목값이며, 단위는 mm 이다.</v>
      </c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</row>
    <row r="100" spans="1:60" ht="18.75" customHeight="1">
      <c r="A100" s="190" t="s">
        <v>580</v>
      </c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</row>
    <row r="101" spans="1:60" ht="18.75" customHeight="1">
      <c r="A101" s="191"/>
      <c r="B101" s="196" t="s">
        <v>581</v>
      </c>
      <c r="C101" s="197" t="str">
        <f>$H$5&amp;"의 표준불확도,"</f>
        <v>게이지 블록의 표준불확도,</v>
      </c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O101" s="198" t="s">
        <v>582</v>
      </c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</row>
    <row r="102" spans="1:60" ht="18.75" customHeight="1">
      <c r="A102" s="191"/>
      <c r="B102" s="191"/>
      <c r="C102" s="191" t="s">
        <v>583</v>
      </c>
      <c r="D102" s="191"/>
      <c r="E102" s="191"/>
      <c r="F102" s="191"/>
      <c r="G102" s="191"/>
      <c r="H102" s="191"/>
      <c r="I102" s="425" t="e">
        <f ca="1">H83</f>
        <v>#N/A</v>
      </c>
      <c r="J102" s="425"/>
      <c r="K102" s="425"/>
      <c r="L102" s="425"/>
      <c r="M102" s="425"/>
      <c r="N102" s="426" t="str">
        <f>M83</f>
        <v>mm</v>
      </c>
      <c r="O102" s="426"/>
      <c r="P102" s="260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</row>
    <row r="103" spans="1:60" s="188" customFormat="1" ht="18.75" customHeight="1">
      <c r="B103" s="190"/>
      <c r="C103" s="271" t="s">
        <v>584</v>
      </c>
      <c r="D103" s="271"/>
      <c r="E103" s="271"/>
      <c r="F103" s="271"/>
      <c r="G103" s="271"/>
      <c r="H103" s="271"/>
      <c r="I103" s="271"/>
      <c r="J103" s="271" t="str">
        <f>"※ "&amp;$H$5&amp;"의 측정불확도가 "</f>
        <v xml:space="preserve">※ 게이지 블록의 측정불확도가 </v>
      </c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499" t="e">
        <f ca="1">Calcu!G34</f>
        <v>#N/A</v>
      </c>
      <c r="Z103" s="499"/>
      <c r="AB103" s="526" t="e">
        <f ca="1">Calcu!H34</f>
        <v>#N/A</v>
      </c>
      <c r="AC103" s="526"/>
      <c r="AD103" s="526"/>
      <c r="AE103" s="271"/>
      <c r="AF103" s="271"/>
      <c r="AH103" s="271" t="s">
        <v>585</v>
      </c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BB103" s="271"/>
      <c r="BC103" s="271"/>
      <c r="BD103" s="271"/>
      <c r="BE103" s="271"/>
      <c r="BF103" s="271"/>
      <c r="BG103" s="271"/>
    </row>
    <row r="104" spans="1:60" s="188" customFormat="1" ht="18.75" customHeight="1">
      <c r="B104" s="190"/>
      <c r="D104" s="271"/>
      <c r="E104" s="271"/>
      <c r="F104" s="271"/>
      <c r="G104" s="271"/>
      <c r="H104" s="271"/>
      <c r="I104" s="271"/>
      <c r="J104" s="271"/>
      <c r="K104" s="271" t="s">
        <v>452</v>
      </c>
      <c r="L104" s="191"/>
      <c r="M104" s="191"/>
      <c r="N104" s="271" t="str">
        <f>$B$5&amp;"의 명목값이며, 단위는 mm 이다.)"</f>
        <v>캘리퍼 검사기의 명목값이며, 단위는 mm 이다.)</v>
      </c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  <c r="BC104" s="271"/>
      <c r="BD104" s="271"/>
      <c r="BE104" s="271"/>
      <c r="BF104" s="271"/>
      <c r="BG104" s="271"/>
    </row>
    <row r="105" spans="1:60" s="188" customFormat="1" ht="18.75" customHeight="1">
      <c r="B105" s="190"/>
      <c r="C105" s="271"/>
      <c r="D105" s="271"/>
      <c r="E105" s="271"/>
      <c r="F105" s="271"/>
      <c r="G105" s="271"/>
      <c r="H105" s="271"/>
      <c r="I105" s="271"/>
      <c r="J105" s="271"/>
      <c r="K105" s="423" t="s">
        <v>586</v>
      </c>
      <c r="L105" s="423"/>
      <c r="M105" s="423"/>
      <c r="N105" s="499" t="s">
        <v>587</v>
      </c>
      <c r="O105" s="199"/>
      <c r="P105" s="527" t="e">
        <f ca="1">Y103</f>
        <v>#N/A</v>
      </c>
      <c r="Q105" s="527"/>
      <c r="R105" s="199"/>
      <c r="S105" s="527" t="e">
        <f ca="1">AB103</f>
        <v>#N/A</v>
      </c>
      <c r="T105" s="527"/>
      <c r="U105" s="527"/>
      <c r="V105" s="200"/>
      <c r="W105" s="200"/>
      <c r="X105" s="200"/>
      <c r="Y105" s="528" t="s">
        <v>588</v>
      </c>
      <c r="Z105" s="528"/>
      <c r="AA105" s="529" t="s">
        <v>589</v>
      </c>
      <c r="AB105" s="201"/>
      <c r="AC105" s="526" t="e">
        <f ca="1">P105/P106/1000</f>
        <v>#N/A</v>
      </c>
      <c r="AD105" s="526"/>
      <c r="AE105" s="526"/>
      <c r="AG105" s="499" t="e">
        <f ca="1">S105/P106/1000</f>
        <v>#N/A</v>
      </c>
      <c r="AH105" s="499"/>
      <c r="AI105" s="499"/>
      <c r="AJ105" s="499"/>
      <c r="AK105" s="271"/>
      <c r="AN105" s="421" t="s">
        <v>590</v>
      </c>
      <c r="AO105" s="421"/>
      <c r="AP105" s="271"/>
      <c r="AQ105" s="271"/>
      <c r="AR105" s="202"/>
      <c r="AS105" s="203"/>
      <c r="AT105" s="203"/>
      <c r="AU105" s="203"/>
      <c r="AV105" s="203"/>
      <c r="AY105" s="271"/>
      <c r="AZ105" s="271"/>
      <c r="BC105" s="271"/>
      <c r="BD105" s="271"/>
      <c r="BE105" s="271"/>
      <c r="BF105" s="271"/>
      <c r="BG105" s="271"/>
      <c r="BH105" s="271"/>
    </row>
    <row r="106" spans="1:60" s="188" customFormat="1" ht="18.75" customHeight="1">
      <c r="B106" s="190"/>
      <c r="C106" s="271"/>
      <c r="D106" s="271"/>
      <c r="E106" s="271"/>
      <c r="F106" s="271"/>
      <c r="G106" s="271"/>
      <c r="H106" s="271"/>
      <c r="I106" s="271"/>
      <c r="J106" s="271"/>
      <c r="K106" s="423"/>
      <c r="L106" s="423"/>
      <c r="M106" s="423"/>
      <c r="N106" s="499"/>
      <c r="O106" s="271"/>
      <c r="P106" s="500" t="e">
        <f ca="1">Calcu!I34</f>
        <v>#N/A</v>
      </c>
      <c r="Q106" s="500"/>
      <c r="R106" s="500"/>
      <c r="S106" s="500"/>
      <c r="T106" s="500"/>
      <c r="U106" s="500"/>
      <c r="V106" s="500"/>
      <c r="W106" s="500"/>
      <c r="X106" s="500"/>
      <c r="Y106" s="500"/>
      <c r="Z106" s="500"/>
      <c r="AA106" s="529"/>
      <c r="AB106" s="201"/>
      <c r="AC106" s="526"/>
      <c r="AD106" s="526"/>
      <c r="AE106" s="526"/>
      <c r="AF106" s="271"/>
      <c r="AG106" s="499"/>
      <c r="AH106" s="499"/>
      <c r="AI106" s="499"/>
      <c r="AJ106" s="499"/>
      <c r="AK106" s="271"/>
      <c r="AN106" s="421"/>
      <c r="AO106" s="421"/>
      <c r="AP106" s="271"/>
      <c r="AQ106" s="271"/>
      <c r="AR106" s="202"/>
      <c r="AS106" s="203"/>
      <c r="AT106" s="203"/>
      <c r="AU106" s="203"/>
      <c r="AV106" s="203"/>
      <c r="AY106" s="271"/>
      <c r="AZ106" s="271"/>
      <c r="BC106" s="271"/>
      <c r="BD106" s="271"/>
      <c r="BE106" s="271"/>
      <c r="BF106" s="271"/>
      <c r="BG106" s="271"/>
      <c r="BH106" s="271"/>
    </row>
    <row r="107" spans="1:60" s="188" customFormat="1" ht="18.75" customHeight="1">
      <c r="B107" s="190"/>
      <c r="C107" s="271" t="s">
        <v>591</v>
      </c>
      <c r="D107" s="271"/>
      <c r="E107" s="271"/>
      <c r="F107" s="271"/>
      <c r="G107" s="271"/>
      <c r="H107" s="271"/>
      <c r="I107" s="421" t="str">
        <f>AB83</f>
        <v>정규</v>
      </c>
      <c r="J107" s="421"/>
      <c r="K107" s="421"/>
      <c r="L107" s="421"/>
      <c r="M107" s="42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  <c r="BC107" s="271"/>
      <c r="BD107" s="271"/>
      <c r="BE107" s="271"/>
      <c r="BF107" s="271"/>
      <c r="BG107" s="271"/>
    </row>
    <row r="108" spans="1:60" s="188" customFormat="1" ht="18.75" customHeight="1">
      <c r="B108" s="190"/>
      <c r="C108" s="421" t="s">
        <v>592</v>
      </c>
      <c r="D108" s="421"/>
      <c r="E108" s="421"/>
      <c r="F108" s="421"/>
      <c r="G108" s="421"/>
      <c r="H108" s="421"/>
      <c r="I108" s="250"/>
      <c r="J108" s="250"/>
      <c r="K108" s="191"/>
      <c r="L108" s="191"/>
      <c r="M108" s="55"/>
      <c r="N108" s="476">
        <f>AG83</f>
        <v>1</v>
      </c>
      <c r="O108" s="476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  <c r="BC108" s="271"/>
      <c r="BD108" s="271"/>
      <c r="BE108" s="271"/>
      <c r="BF108" s="271"/>
      <c r="BG108" s="271"/>
    </row>
    <row r="109" spans="1:60" s="188" customFormat="1" ht="18.75" customHeight="1">
      <c r="B109" s="190"/>
      <c r="C109" s="421"/>
      <c r="D109" s="421"/>
      <c r="E109" s="421"/>
      <c r="F109" s="421"/>
      <c r="G109" s="421"/>
      <c r="H109" s="421"/>
      <c r="I109" s="257"/>
      <c r="J109" s="257"/>
      <c r="K109" s="191"/>
      <c r="L109" s="191"/>
      <c r="M109" s="55"/>
      <c r="N109" s="476"/>
      <c r="O109" s="476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  <c r="BC109" s="271"/>
      <c r="BD109" s="271"/>
      <c r="BE109" s="271"/>
      <c r="BF109" s="271"/>
      <c r="BG109" s="271"/>
    </row>
    <row r="110" spans="1:60" s="191" customFormat="1" ht="18.75" customHeight="1">
      <c r="C110" s="191" t="s">
        <v>454</v>
      </c>
      <c r="K110" s="253" t="s">
        <v>455</v>
      </c>
      <c r="L110" s="412">
        <f>N108</f>
        <v>1</v>
      </c>
      <c r="M110" s="412"/>
      <c r="N110" s="250" t="s">
        <v>593</v>
      </c>
      <c r="O110" s="410" t="e">
        <f ca="1">AP83</f>
        <v>#N/A</v>
      </c>
      <c r="P110" s="410"/>
      <c r="Q110" s="410"/>
      <c r="R110" s="204"/>
      <c r="S110" s="501" t="e">
        <f ca="1">AT83</f>
        <v>#N/A</v>
      </c>
      <c r="T110" s="501"/>
      <c r="U110" s="501"/>
      <c r="V110" s="501"/>
      <c r="W110" s="501"/>
      <c r="Z110" s="409" t="str">
        <f>BA83</f>
        <v>μm</v>
      </c>
      <c r="AA110" s="409"/>
      <c r="AB110" s="252" t="s">
        <v>594</v>
      </c>
      <c r="AC110" s="252" t="s">
        <v>595</v>
      </c>
      <c r="AD110" s="410" t="e">
        <f ca="1">O110</f>
        <v>#N/A</v>
      </c>
      <c r="AE110" s="410"/>
      <c r="AF110" s="410"/>
      <c r="AG110" s="204"/>
      <c r="AH110" s="501" t="e">
        <f ca="1">S110</f>
        <v>#N/A</v>
      </c>
      <c r="AI110" s="501"/>
      <c r="AJ110" s="501"/>
      <c r="AK110" s="501"/>
      <c r="AL110" s="501"/>
      <c r="AO110" s="409" t="str">
        <f>Z110</f>
        <v>μm</v>
      </c>
      <c r="AP110" s="409"/>
    </row>
    <row r="111" spans="1:60" ht="18.75" customHeight="1">
      <c r="A111" s="191"/>
      <c r="B111" s="191"/>
      <c r="C111" s="250" t="s">
        <v>457</v>
      </c>
      <c r="D111" s="250"/>
      <c r="E111" s="250"/>
      <c r="F111" s="250"/>
      <c r="G111" s="250"/>
      <c r="I111" s="205" t="s">
        <v>596</v>
      </c>
      <c r="J111" s="191"/>
      <c r="K111" s="191"/>
      <c r="L111" s="191"/>
      <c r="M111" s="191"/>
      <c r="N111" s="191"/>
      <c r="O111" s="191"/>
      <c r="P111" s="191"/>
      <c r="Q111" s="191"/>
      <c r="R111" s="191"/>
      <c r="S111" s="206"/>
      <c r="T111" s="206"/>
      <c r="U111" s="191"/>
      <c r="V111" s="191"/>
      <c r="W111" s="191"/>
      <c r="X111" s="191"/>
      <c r="Y111" s="191"/>
      <c r="Z111" s="191"/>
      <c r="AA111" s="191"/>
      <c r="AB111" s="191"/>
      <c r="AC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</row>
    <row r="112" spans="1:60" s="191" customFormat="1" ht="18.75" customHeight="1"/>
    <row r="113" spans="1:49" ht="18.75" customHeight="1">
      <c r="A113" s="191"/>
      <c r="B113" s="207" t="s">
        <v>597</v>
      </c>
      <c r="C113" s="194" t="str">
        <f>$B$5&amp;" 지시값의 표준불확도,"</f>
        <v>캘리퍼 검사기 지시값의 표준불확도,</v>
      </c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S113" s="198" t="s">
        <v>598</v>
      </c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</row>
    <row r="114" spans="1:49" ht="18.75" customHeight="1">
      <c r="A114" s="191"/>
      <c r="C114" s="191" t="s">
        <v>458</v>
      </c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</row>
    <row r="115" spans="1:49" ht="18.75" customHeight="1">
      <c r="A115" s="191"/>
      <c r="C115" s="194"/>
      <c r="D115" s="191" t="s">
        <v>599</v>
      </c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</row>
    <row r="116" spans="1:49" ht="18.75" customHeight="1">
      <c r="B116" s="191"/>
      <c r="C116" s="191" t="s">
        <v>600</v>
      </c>
      <c r="D116" s="191"/>
      <c r="E116" s="191"/>
      <c r="F116" s="191"/>
      <c r="G116" s="191"/>
      <c r="H116" s="191"/>
      <c r="I116" s="426" t="e">
        <f ca="1">H84</f>
        <v>#N/A</v>
      </c>
      <c r="J116" s="426"/>
      <c r="K116" s="426"/>
      <c r="L116" s="426"/>
      <c r="M116" s="426"/>
      <c r="N116" s="426" t="str">
        <f>M84</f>
        <v>mm</v>
      </c>
      <c r="O116" s="426"/>
      <c r="P116" s="260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</row>
    <row r="117" spans="1:49" ht="18.75" customHeight="1">
      <c r="B117" s="191"/>
      <c r="C117" s="191" t="s">
        <v>601</v>
      </c>
      <c r="D117" s="191"/>
      <c r="E117" s="191"/>
      <c r="F117" s="191"/>
      <c r="G117" s="191"/>
      <c r="H117" s="191"/>
      <c r="I117" s="191"/>
      <c r="J117" s="208" t="s">
        <v>459</v>
      </c>
      <c r="K117" s="191"/>
      <c r="L117" s="191"/>
      <c r="M117" s="191"/>
      <c r="N117" s="191"/>
      <c r="O117" s="191"/>
      <c r="P117" s="191"/>
      <c r="Q117" s="478">
        <f>Calcu!G35</f>
        <v>0</v>
      </c>
      <c r="R117" s="478"/>
      <c r="S117" s="478"/>
      <c r="T117" s="532" t="s">
        <v>590</v>
      </c>
      <c r="U117" s="532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</row>
    <row r="118" spans="1:49" ht="18.75" customHeight="1">
      <c r="B118" s="191"/>
      <c r="C118" s="191"/>
      <c r="D118" s="191"/>
      <c r="E118" s="191"/>
      <c r="F118" s="191"/>
      <c r="G118" s="191"/>
      <c r="H118" s="191"/>
      <c r="I118" s="191"/>
      <c r="J118" s="191"/>
      <c r="K118" s="466" t="s">
        <v>602</v>
      </c>
      <c r="L118" s="466"/>
      <c r="M118" s="466"/>
      <c r="N118" s="466" t="s">
        <v>453</v>
      </c>
      <c r="O118" s="454" t="s">
        <v>603</v>
      </c>
      <c r="P118" s="454"/>
      <c r="Q118" s="466" t="s">
        <v>595</v>
      </c>
      <c r="R118" s="530">
        <f>Q117</f>
        <v>0</v>
      </c>
      <c r="S118" s="530"/>
      <c r="T118" s="530"/>
      <c r="U118" s="531" t="str">
        <f>T117</f>
        <v>μm</v>
      </c>
      <c r="V118" s="531"/>
      <c r="W118" s="466" t="s">
        <v>589</v>
      </c>
      <c r="X118" s="478">
        <f>R118/SQRT(5)</f>
        <v>0</v>
      </c>
      <c r="Y118" s="478"/>
      <c r="Z118" s="478"/>
      <c r="AA118" s="479" t="str">
        <f>T117</f>
        <v>μm</v>
      </c>
      <c r="AB118" s="479"/>
      <c r="AC118" s="261"/>
      <c r="AD118" s="261"/>
      <c r="AE118" s="26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</row>
    <row r="119" spans="1:49" ht="18.75" customHeight="1">
      <c r="B119" s="191"/>
      <c r="C119" s="191"/>
      <c r="D119" s="191"/>
      <c r="E119" s="191"/>
      <c r="F119" s="191"/>
      <c r="G119" s="191"/>
      <c r="H119" s="191"/>
      <c r="I119" s="191"/>
      <c r="J119" s="191"/>
      <c r="K119" s="466"/>
      <c r="L119" s="466"/>
      <c r="M119" s="466"/>
      <c r="N119" s="466"/>
      <c r="O119" s="488"/>
      <c r="P119" s="488"/>
      <c r="Q119" s="466"/>
      <c r="R119" s="451"/>
      <c r="S119" s="451"/>
      <c r="T119" s="451"/>
      <c r="U119" s="451"/>
      <c r="V119" s="451"/>
      <c r="W119" s="466"/>
      <c r="X119" s="478"/>
      <c r="Y119" s="478"/>
      <c r="Z119" s="478"/>
      <c r="AA119" s="479"/>
      <c r="AB119" s="479"/>
      <c r="AC119" s="261"/>
      <c r="AD119" s="261"/>
      <c r="AE119" s="26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</row>
    <row r="120" spans="1:49" ht="18.75" customHeight="1">
      <c r="B120" s="191"/>
      <c r="C120" s="209" t="s">
        <v>604</v>
      </c>
      <c r="D120" s="191"/>
      <c r="F120" s="191"/>
      <c r="G120" s="191"/>
      <c r="H120" s="191"/>
      <c r="I120" s="191"/>
      <c r="J120" s="191"/>
      <c r="K120" s="210"/>
      <c r="L120" s="210"/>
      <c r="M120" s="210"/>
      <c r="N120" s="210"/>
      <c r="O120" s="264"/>
      <c r="P120" s="264"/>
      <c r="Q120" s="264"/>
      <c r="R120" s="252"/>
      <c r="S120" s="252"/>
      <c r="T120" s="252"/>
      <c r="U120" s="252"/>
      <c r="V120" s="252"/>
      <c r="W120" s="264"/>
      <c r="X120" s="204"/>
      <c r="Y120" s="204"/>
      <c r="Z120" s="204"/>
      <c r="AA120" s="261"/>
      <c r="AB120" s="261"/>
      <c r="AC120" s="261"/>
      <c r="AD120" s="261"/>
      <c r="AE120" s="26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</row>
    <row r="121" spans="1:49" ht="18.75" customHeight="1">
      <c r="B121" s="191"/>
      <c r="C121" s="191"/>
      <c r="D121" s="191"/>
      <c r="E121" s="209"/>
      <c r="F121" s="191"/>
      <c r="G121" s="191"/>
      <c r="H121" s="191"/>
      <c r="I121" s="191"/>
      <c r="J121" s="191"/>
      <c r="K121" s="466" t="s">
        <v>602</v>
      </c>
      <c r="L121" s="466"/>
      <c r="M121" s="466"/>
      <c r="N121" s="466" t="s">
        <v>595</v>
      </c>
      <c r="O121" s="454" t="s">
        <v>460</v>
      </c>
      <c r="P121" s="454"/>
      <c r="Q121" s="466" t="s">
        <v>453</v>
      </c>
      <c r="R121" s="530">
        <f>Calcu!G35</f>
        <v>0</v>
      </c>
      <c r="S121" s="530"/>
      <c r="T121" s="530"/>
      <c r="U121" s="531" t="str">
        <f>T117</f>
        <v>μm</v>
      </c>
      <c r="V121" s="531"/>
      <c r="W121" s="466" t="s">
        <v>589</v>
      </c>
      <c r="X121" s="478">
        <f>R121/(2*SQRT(3))</f>
        <v>0</v>
      </c>
      <c r="Y121" s="478"/>
      <c r="Z121" s="478"/>
      <c r="AA121" s="479" t="str">
        <f>T117</f>
        <v>μm</v>
      </c>
      <c r="AB121" s="479"/>
      <c r="AC121" s="261"/>
      <c r="AD121" s="261"/>
      <c r="AE121" s="26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</row>
    <row r="122" spans="1:49" ht="18.75" customHeight="1">
      <c r="B122" s="191"/>
      <c r="C122" s="191"/>
      <c r="D122" s="191"/>
      <c r="E122" s="209"/>
      <c r="F122" s="191"/>
      <c r="G122" s="191"/>
      <c r="H122" s="191"/>
      <c r="I122" s="191"/>
      <c r="J122" s="191"/>
      <c r="K122" s="466"/>
      <c r="L122" s="466"/>
      <c r="M122" s="466"/>
      <c r="N122" s="466"/>
      <c r="O122" s="488"/>
      <c r="P122" s="488"/>
      <c r="Q122" s="466"/>
      <c r="R122" s="451"/>
      <c r="S122" s="451"/>
      <c r="T122" s="451"/>
      <c r="U122" s="451"/>
      <c r="V122" s="451"/>
      <c r="W122" s="466"/>
      <c r="X122" s="478"/>
      <c r="Y122" s="478"/>
      <c r="Z122" s="478"/>
      <c r="AA122" s="479"/>
      <c r="AB122" s="479"/>
      <c r="AC122" s="261"/>
      <c r="AD122" s="261"/>
      <c r="AE122" s="26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</row>
    <row r="123" spans="1:49" ht="18.75" customHeight="1">
      <c r="B123" s="191"/>
      <c r="C123" s="191" t="s">
        <v>461</v>
      </c>
      <c r="D123" s="191"/>
      <c r="E123" s="191"/>
      <c r="F123" s="191"/>
      <c r="G123" s="191"/>
      <c r="H123" s="191"/>
      <c r="I123" s="476" t="str">
        <f>AB84</f>
        <v>직사각형</v>
      </c>
      <c r="J123" s="476"/>
      <c r="K123" s="476"/>
      <c r="L123" s="476"/>
      <c r="M123" s="476"/>
      <c r="N123" s="476"/>
      <c r="O123" s="476"/>
      <c r="P123" s="476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</row>
    <row r="124" spans="1:49" ht="18.75" customHeight="1">
      <c r="B124" s="191"/>
      <c r="C124" s="408" t="s">
        <v>462</v>
      </c>
      <c r="D124" s="408"/>
      <c r="E124" s="408"/>
      <c r="F124" s="408"/>
      <c r="G124" s="408"/>
      <c r="H124" s="408"/>
      <c r="I124" s="250"/>
      <c r="J124" s="250"/>
      <c r="K124" s="191"/>
      <c r="L124" s="191"/>
      <c r="N124" s="476">
        <f>AG84</f>
        <v>1</v>
      </c>
      <c r="O124" s="476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</row>
    <row r="125" spans="1:49" ht="18.75" customHeight="1">
      <c r="B125" s="191"/>
      <c r="C125" s="408"/>
      <c r="D125" s="408"/>
      <c r="E125" s="408"/>
      <c r="F125" s="408"/>
      <c r="G125" s="408"/>
      <c r="H125" s="408"/>
      <c r="I125" s="257"/>
      <c r="J125" s="257"/>
      <c r="K125" s="191"/>
      <c r="L125" s="191"/>
      <c r="N125" s="476"/>
      <c r="O125" s="476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</row>
    <row r="126" spans="1:49" ht="18.75" customHeight="1">
      <c r="B126" s="191"/>
      <c r="C126" s="191" t="s">
        <v>605</v>
      </c>
      <c r="D126" s="191"/>
      <c r="E126" s="191"/>
      <c r="F126" s="191"/>
      <c r="G126" s="191"/>
      <c r="H126" s="191"/>
      <c r="I126" s="191"/>
      <c r="J126" s="191"/>
      <c r="K126" s="253" t="s">
        <v>455</v>
      </c>
      <c r="L126" s="412">
        <f>N124</f>
        <v>1</v>
      </c>
      <c r="M126" s="412"/>
      <c r="N126" s="250" t="s">
        <v>606</v>
      </c>
      <c r="O126" s="478">
        <f>AP84</f>
        <v>0</v>
      </c>
      <c r="P126" s="478"/>
      <c r="Q126" s="478"/>
      <c r="R126" s="479" t="str">
        <f>AA118</f>
        <v>μm</v>
      </c>
      <c r="S126" s="426"/>
      <c r="T126" s="253" t="s">
        <v>607</v>
      </c>
      <c r="U126" s="211" t="s">
        <v>589</v>
      </c>
      <c r="V126" s="478">
        <f>O126</f>
        <v>0</v>
      </c>
      <c r="W126" s="478"/>
      <c r="X126" s="478"/>
      <c r="Y126" s="479" t="str">
        <f>R126</f>
        <v>μm</v>
      </c>
      <c r="Z126" s="426"/>
      <c r="AA126" s="260"/>
      <c r="AB126" s="191"/>
      <c r="AC126" s="191"/>
      <c r="AD126" s="191"/>
      <c r="AE126" s="191"/>
      <c r="AF126" s="191"/>
      <c r="AP126" s="191"/>
      <c r="AQ126" s="191"/>
      <c r="AR126" s="191"/>
      <c r="AS126" s="191"/>
      <c r="AT126" s="191"/>
      <c r="AU126" s="191"/>
      <c r="AV126" s="191"/>
    </row>
    <row r="127" spans="1:49" ht="18.75" customHeight="1">
      <c r="B127" s="191"/>
      <c r="C127" s="191" t="s">
        <v>608</v>
      </c>
      <c r="D127" s="191"/>
      <c r="E127" s="191"/>
      <c r="F127" s="191"/>
      <c r="G127" s="191"/>
      <c r="H127" s="191"/>
      <c r="I127" s="205" t="s">
        <v>609</v>
      </c>
      <c r="J127" s="205"/>
      <c r="K127" s="205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191"/>
      <c r="AB127" s="191"/>
      <c r="AC127" s="191"/>
      <c r="AD127" s="191"/>
      <c r="AE127" s="191"/>
      <c r="AF127" s="191"/>
    </row>
    <row r="128" spans="1:49" ht="18.75" customHeight="1">
      <c r="B128" s="191"/>
      <c r="C128" s="191"/>
      <c r="D128" s="191"/>
      <c r="E128" s="191"/>
      <c r="F128" s="191"/>
      <c r="G128" s="191"/>
      <c r="H128" s="191"/>
      <c r="I128" s="205"/>
      <c r="J128" s="213"/>
      <c r="K128" s="205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191"/>
      <c r="AB128" s="191"/>
      <c r="AC128" s="191"/>
      <c r="AD128" s="191"/>
      <c r="AE128" s="191"/>
      <c r="AF128" s="191"/>
    </row>
    <row r="129" spans="1:83" s="214" customFormat="1" ht="18.75" customHeight="1">
      <c r="A129" s="252"/>
      <c r="B129" s="207" t="s">
        <v>610</v>
      </c>
      <c r="C129" s="190" t="str">
        <f>$B$5&amp;"와 "&amp;$H$5&amp;"의 평균 열팽창계수에 의한 표준불확도,"</f>
        <v>캘리퍼 검사기와 게이지 블록의 평균 열팽창계수에 의한 표준불확도,</v>
      </c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  <c r="AI129" s="250"/>
      <c r="AJ129" s="250"/>
      <c r="AK129" s="250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2"/>
      <c r="AX129" s="252"/>
      <c r="AY129" s="250"/>
      <c r="AZ129" s="250"/>
      <c r="BA129" s="250"/>
      <c r="BB129" s="250"/>
      <c r="BC129" s="250"/>
      <c r="BD129" s="250"/>
      <c r="BE129" s="250"/>
      <c r="BF129" s="250"/>
      <c r="BG129" s="267"/>
      <c r="BH129" s="267"/>
      <c r="BI129" s="267"/>
      <c r="BJ129" s="267"/>
      <c r="BK129" s="267"/>
      <c r="BL129" s="267"/>
      <c r="BM129" s="267"/>
    </row>
    <row r="130" spans="1:83" s="214" customFormat="1" ht="18.75" customHeight="1">
      <c r="A130" s="252"/>
      <c r="B130" s="190"/>
      <c r="C130" s="250" t="str">
        <f>"※ "&amp;$B$5&amp;"와 "&amp;$H$5&amp;"의 평균 열팽창계수 :"</f>
        <v>※ 캘리퍼 검사기와 게이지 블록의 평균 열팽창계수 :</v>
      </c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15"/>
      <c r="W130" s="193"/>
      <c r="X130" s="250"/>
      <c r="Y130" s="193"/>
      <c r="Z130" s="252"/>
      <c r="AA130" s="250"/>
      <c r="AB130" s="252"/>
      <c r="AC130" s="252"/>
      <c r="AD130" s="256"/>
      <c r="AE130" s="252"/>
      <c r="AF130" s="252"/>
      <c r="AG130" s="250"/>
      <c r="AH130" s="250"/>
      <c r="AI130" s="250"/>
      <c r="AJ130" s="250"/>
      <c r="AK130" s="250"/>
      <c r="AL130" s="250"/>
      <c r="AM130" s="250"/>
      <c r="AN130" s="250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0"/>
      <c r="AZ130" s="250"/>
      <c r="BA130" s="250"/>
      <c r="BB130" s="250"/>
      <c r="BC130" s="250"/>
      <c r="BD130" s="250"/>
      <c r="BE130" s="250"/>
      <c r="BF130" s="250"/>
      <c r="BG130" s="267"/>
      <c r="BH130" s="267"/>
      <c r="BI130" s="267"/>
      <c r="BJ130" s="267"/>
      <c r="BK130" s="267"/>
      <c r="BL130" s="267"/>
      <c r="BM130" s="267"/>
    </row>
    <row r="131" spans="1:83" s="214" customFormat="1" ht="18.75" customHeight="1">
      <c r="B131" s="252"/>
      <c r="C131" s="257" t="s">
        <v>611</v>
      </c>
      <c r="D131" s="252"/>
      <c r="E131" s="252"/>
      <c r="F131" s="252"/>
      <c r="G131" s="252"/>
      <c r="H131" s="496" t="e">
        <f ca="1">H85*10^6</f>
        <v>#N/A</v>
      </c>
      <c r="I131" s="496"/>
      <c r="J131" s="496"/>
      <c r="K131" s="260" t="s">
        <v>612</v>
      </c>
      <c r="L131" s="252"/>
      <c r="M131" s="252"/>
      <c r="N131" s="260"/>
      <c r="O131" s="260"/>
      <c r="P131" s="26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193"/>
      <c r="AG131" s="250"/>
      <c r="AH131" s="250"/>
      <c r="AI131" s="250"/>
      <c r="AJ131" s="250"/>
      <c r="AK131" s="250"/>
      <c r="AL131" s="250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2"/>
      <c r="AX131" s="252"/>
      <c r="AY131" s="252"/>
      <c r="AZ131" s="250"/>
      <c r="BA131" s="250"/>
      <c r="BB131" s="250"/>
      <c r="BC131" s="250"/>
      <c r="BD131" s="250"/>
      <c r="BE131" s="250"/>
      <c r="BF131" s="250"/>
      <c r="BG131" s="250"/>
      <c r="BH131" s="267"/>
      <c r="BI131" s="267"/>
      <c r="BJ131" s="267"/>
      <c r="BK131" s="267"/>
      <c r="BL131" s="267"/>
      <c r="BM131" s="267"/>
    </row>
    <row r="132" spans="1:83" s="214" customFormat="1" ht="18.75" customHeight="1">
      <c r="B132" s="252"/>
      <c r="C132" s="408" t="s">
        <v>613</v>
      </c>
      <c r="D132" s="408"/>
      <c r="E132" s="408"/>
      <c r="F132" s="408"/>
      <c r="G132" s="408"/>
      <c r="H132" s="408"/>
      <c r="I132" s="408"/>
      <c r="J132" s="476" t="s">
        <v>614</v>
      </c>
      <c r="K132" s="476"/>
      <c r="L132" s="476"/>
      <c r="M132" s="476"/>
      <c r="N132" s="476"/>
      <c r="O132" s="476"/>
      <c r="P132" s="476"/>
      <c r="Q132" s="476"/>
      <c r="R132" s="476"/>
      <c r="S132" s="476"/>
      <c r="T132" s="476"/>
      <c r="U132" s="476"/>
      <c r="V132" s="476"/>
      <c r="W132" s="476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  <c r="AI132" s="250"/>
      <c r="AJ132" s="250"/>
      <c r="AK132" s="252"/>
      <c r="AL132" s="252"/>
      <c r="AM132" s="252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0"/>
      <c r="AX132" s="250"/>
      <c r="AY132" s="250"/>
      <c r="AZ132" s="250"/>
      <c r="BA132" s="250"/>
      <c r="BB132" s="250"/>
      <c r="BC132" s="250"/>
      <c r="BD132" s="250"/>
      <c r="BE132" s="250"/>
      <c r="BF132" s="250"/>
      <c r="BG132" s="250"/>
      <c r="BH132" s="267"/>
      <c r="BI132" s="267"/>
      <c r="BJ132" s="267"/>
      <c r="BK132" s="267"/>
      <c r="BL132" s="267"/>
      <c r="BM132" s="267"/>
      <c r="BN132" s="267"/>
    </row>
    <row r="133" spans="1:83" s="214" customFormat="1" ht="18.75" customHeight="1">
      <c r="B133" s="252"/>
      <c r="C133" s="408"/>
      <c r="D133" s="408"/>
      <c r="E133" s="408"/>
      <c r="F133" s="408"/>
      <c r="G133" s="408"/>
      <c r="H133" s="408"/>
      <c r="I133" s="408"/>
      <c r="J133" s="476"/>
      <c r="K133" s="476"/>
      <c r="L133" s="476"/>
      <c r="M133" s="476"/>
      <c r="N133" s="476"/>
      <c r="O133" s="476"/>
      <c r="P133" s="476"/>
      <c r="Q133" s="476"/>
      <c r="R133" s="476"/>
      <c r="S133" s="476"/>
      <c r="T133" s="476"/>
      <c r="U133" s="476"/>
      <c r="V133" s="476"/>
      <c r="W133" s="476"/>
      <c r="X133" s="250"/>
      <c r="Y133" s="250"/>
      <c r="Z133" s="250"/>
      <c r="AA133" s="250"/>
      <c r="AB133" s="250"/>
      <c r="AC133" s="250"/>
      <c r="AD133" s="250"/>
      <c r="AE133" s="250"/>
      <c r="AF133" s="252"/>
      <c r="AG133" s="250"/>
      <c r="AH133" s="250"/>
      <c r="AI133" s="250"/>
      <c r="AJ133" s="250"/>
      <c r="AK133" s="252"/>
      <c r="AL133" s="252"/>
      <c r="AM133" s="252"/>
      <c r="AN133" s="250"/>
      <c r="AO133" s="250"/>
      <c r="AP133" s="250"/>
      <c r="AQ133" s="250"/>
      <c r="AR133" s="250"/>
      <c r="AS133" s="252"/>
      <c r="AT133" s="250"/>
      <c r="AU133" s="250"/>
      <c r="AV133" s="250"/>
      <c r="AW133" s="250"/>
      <c r="AX133" s="250"/>
      <c r="AY133" s="250"/>
      <c r="AZ133" s="250"/>
      <c r="BA133" s="250"/>
      <c r="BB133" s="250"/>
      <c r="BC133" s="250"/>
      <c r="BD133" s="250"/>
      <c r="BE133" s="250"/>
      <c r="BF133" s="250"/>
      <c r="BG133" s="250"/>
      <c r="BH133" s="267"/>
      <c r="BI133" s="267"/>
      <c r="BJ133" s="267"/>
      <c r="BK133" s="267"/>
      <c r="BL133" s="267"/>
      <c r="BM133" s="267"/>
      <c r="BN133" s="267"/>
    </row>
    <row r="134" spans="1:83" s="214" customFormat="1" ht="18.75" customHeight="1">
      <c r="B134" s="252"/>
      <c r="C134" s="250"/>
      <c r="D134" s="250"/>
      <c r="E134" s="250"/>
      <c r="F134" s="250"/>
      <c r="G134" s="250"/>
      <c r="H134" s="250"/>
      <c r="I134" s="252"/>
      <c r="J134" s="476" t="s">
        <v>615</v>
      </c>
      <c r="K134" s="476"/>
      <c r="L134" s="476"/>
      <c r="M134" s="476"/>
      <c r="N134" s="476"/>
      <c r="O134" s="476"/>
      <c r="P134" s="476"/>
      <c r="Q134" s="476"/>
      <c r="R134" s="476"/>
      <c r="S134" s="476"/>
      <c r="T134" s="476"/>
      <c r="U134" s="476"/>
      <c r="V134" s="476"/>
      <c r="W134" s="476"/>
      <c r="X134" s="476"/>
      <c r="Y134" s="476"/>
      <c r="Z134" s="476"/>
      <c r="AA134" s="493" t="s">
        <v>616</v>
      </c>
      <c r="AB134" s="493"/>
      <c r="AC134" s="493"/>
      <c r="AD134" s="493"/>
      <c r="AE134" s="493"/>
      <c r="AF134" s="409" t="s">
        <v>589</v>
      </c>
      <c r="AG134" s="476" t="s">
        <v>617</v>
      </c>
      <c r="AH134" s="476"/>
      <c r="AI134" s="476"/>
      <c r="AJ134" s="476"/>
      <c r="AK134" s="476"/>
      <c r="AL134" s="476"/>
      <c r="AM134" s="252"/>
      <c r="AN134" s="250"/>
      <c r="AO134" s="250"/>
      <c r="AP134" s="250"/>
      <c r="AQ134" s="250"/>
      <c r="AR134" s="250"/>
      <c r="AS134" s="252"/>
      <c r="AT134" s="250"/>
      <c r="AU134" s="250"/>
      <c r="AV134" s="250"/>
      <c r="AW134" s="250"/>
      <c r="AX134" s="250"/>
      <c r="AY134" s="250"/>
      <c r="AZ134" s="250"/>
      <c r="BA134" s="250"/>
      <c r="BB134" s="250"/>
      <c r="BC134" s="250"/>
      <c r="BD134" s="250"/>
      <c r="BE134" s="250"/>
      <c r="BF134" s="250"/>
      <c r="BG134" s="250"/>
      <c r="BH134" s="267"/>
      <c r="BI134" s="267"/>
      <c r="BJ134" s="267"/>
      <c r="BK134" s="267"/>
      <c r="BL134" s="267"/>
      <c r="BM134" s="267"/>
      <c r="BN134" s="267"/>
    </row>
    <row r="135" spans="1:83" s="214" customFormat="1" ht="18.75" customHeight="1">
      <c r="B135" s="252"/>
      <c r="C135" s="250"/>
      <c r="D135" s="250"/>
      <c r="E135" s="250"/>
      <c r="F135" s="250"/>
      <c r="G135" s="250"/>
      <c r="H135" s="250"/>
      <c r="I135" s="252"/>
      <c r="J135" s="476"/>
      <c r="K135" s="476"/>
      <c r="L135" s="476"/>
      <c r="M135" s="476"/>
      <c r="N135" s="476"/>
      <c r="O135" s="476"/>
      <c r="P135" s="476"/>
      <c r="Q135" s="476"/>
      <c r="R135" s="476"/>
      <c r="S135" s="476"/>
      <c r="T135" s="476"/>
      <c r="U135" s="476"/>
      <c r="V135" s="476"/>
      <c r="W135" s="476"/>
      <c r="X135" s="476"/>
      <c r="Y135" s="476"/>
      <c r="Z135" s="476"/>
      <c r="AA135" s="250"/>
      <c r="AB135" s="252"/>
      <c r="AC135" s="252"/>
      <c r="AD135" s="252"/>
      <c r="AE135" s="252"/>
      <c r="AF135" s="409"/>
      <c r="AG135" s="476"/>
      <c r="AH135" s="476"/>
      <c r="AI135" s="476"/>
      <c r="AJ135" s="476"/>
      <c r="AK135" s="476"/>
      <c r="AL135" s="476"/>
      <c r="AM135" s="252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0"/>
      <c r="AX135" s="250"/>
      <c r="AY135" s="250"/>
      <c r="AZ135" s="250"/>
      <c r="BA135" s="250"/>
      <c r="BB135" s="250"/>
      <c r="BC135" s="250"/>
      <c r="BD135" s="250"/>
      <c r="BE135" s="250"/>
      <c r="BF135" s="250"/>
      <c r="BG135" s="250"/>
      <c r="BH135" s="267"/>
      <c r="BI135" s="267"/>
      <c r="BJ135" s="267"/>
      <c r="BK135" s="267"/>
      <c r="BL135" s="267"/>
      <c r="BM135" s="267"/>
      <c r="BN135" s="267"/>
    </row>
    <row r="136" spans="1:83" s="214" customFormat="1" ht="18.75" customHeight="1">
      <c r="B136" s="252"/>
      <c r="C136" s="250"/>
      <c r="D136" s="250"/>
      <c r="E136" s="250"/>
      <c r="F136" s="250"/>
      <c r="G136" s="250"/>
      <c r="H136" s="250"/>
      <c r="I136" s="250"/>
      <c r="J136" s="252"/>
      <c r="K136" s="257" t="s">
        <v>618</v>
      </c>
      <c r="L136" s="257"/>
      <c r="M136" s="257"/>
      <c r="N136" s="257"/>
      <c r="O136" s="257"/>
      <c r="P136" s="257"/>
      <c r="Q136" s="257"/>
      <c r="R136" s="257"/>
      <c r="S136" s="250"/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2"/>
      <c r="AH136" s="250"/>
      <c r="AI136" s="250"/>
      <c r="AJ136" s="250"/>
      <c r="AK136" s="252"/>
      <c r="AL136" s="252"/>
      <c r="AM136" s="252"/>
      <c r="AN136" s="252"/>
      <c r="AO136" s="250"/>
      <c r="AP136" s="250"/>
      <c r="AQ136" s="250"/>
      <c r="AR136" s="250"/>
      <c r="AS136" s="250"/>
      <c r="AT136" s="250"/>
      <c r="AU136" s="250"/>
      <c r="AV136" s="250"/>
      <c r="AW136" s="250"/>
      <c r="AX136" s="250"/>
      <c r="AY136" s="250"/>
      <c r="AZ136" s="250"/>
      <c r="BA136" s="250"/>
      <c r="BB136" s="250"/>
      <c r="BC136" s="250"/>
      <c r="BD136" s="250"/>
      <c r="BE136" s="250"/>
      <c r="BF136" s="250"/>
      <c r="BG136" s="250"/>
      <c r="BH136" s="252"/>
      <c r="BN136" s="267"/>
      <c r="BO136" s="267"/>
      <c r="BP136" s="267"/>
      <c r="BQ136" s="267"/>
      <c r="BR136" s="267"/>
      <c r="BS136" s="267"/>
      <c r="BX136" s="267"/>
      <c r="CE136" s="267"/>
    </row>
    <row r="137" spans="1:83" s="214" customFormat="1" ht="18.75" customHeight="1">
      <c r="B137" s="252"/>
      <c r="C137" s="250"/>
      <c r="D137" s="250"/>
      <c r="E137" s="250"/>
      <c r="F137" s="250"/>
      <c r="G137" s="250"/>
      <c r="H137" s="250"/>
      <c r="I137" s="250"/>
      <c r="J137" s="205"/>
      <c r="K137" s="205"/>
      <c r="L137" s="205"/>
      <c r="M137" s="252"/>
      <c r="N137" s="205"/>
      <c r="O137" s="205"/>
      <c r="P137" s="205"/>
      <c r="Q137" s="205"/>
      <c r="R137" s="205"/>
      <c r="S137" s="205"/>
      <c r="T137" s="205"/>
      <c r="U137" s="205"/>
      <c r="V137" s="252"/>
      <c r="W137" s="216"/>
      <c r="X137" s="216"/>
      <c r="Y137" s="216"/>
      <c r="Z137" s="252"/>
      <c r="AF137" s="252"/>
      <c r="AG137" s="476" t="s">
        <v>619</v>
      </c>
      <c r="AH137" s="476"/>
      <c r="AI137" s="476"/>
      <c r="AJ137" s="476"/>
      <c r="AK137" s="476"/>
      <c r="AL137" s="217"/>
      <c r="AM137" s="217"/>
      <c r="AN137" s="252"/>
      <c r="AO137" s="252"/>
      <c r="AP137" s="252"/>
      <c r="AQ137" s="252"/>
      <c r="AR137" s="252"/>
      <c r="AS137" s="250"/>
      <c r="AT137" s="250"/>
      <c r="AU137" s="252"/>
      <c r="AV137" s="252"/>
      <c r="AW137" s="252"/>
      <c r="AX137" s="252"/>
      <c r="AY137" s="252"/>
      <c r="AZ137" s="250"/>
      <c r="BA137" s="250"/>
      <c r="BB137" s="250"/>
      <c r="BC137" s="250"/>
      <c r="BD137" s="250"/>
      <c r="BE137" s="250"/>
      <c r="BF137" s="250"/>
      <c r="BG137" s="250"/>
      <c r="BH137" s="252"/>
      <c r="BN137" s="267"/>
      <c r="BO137" s="267"/>
      <c r="BP137" s="267"/>
      <c r="BQ137" s="267"/>
      <c r="BR137" s="267"/>
      <c r="BS137" s="267"/>
      <c r="BT137" s="267"/>
      <c r="BU137" s="267"/>
      <c r="BV137" s="267"/>
      <c r="BW137" s="267"/>
      <c r="BX137" s="267"/>
      <c r="CE137" s="267"/>
    </row>
    <row r="138" spans="1:83" s="214" customFormat="1" ht="18.75" customHeight="1">
      <c r="B138" s="252"/>
      <c r="C138" s="250"/>
      <c r="D138" s="250"/>
      <c r="E138" s="250"/>
      <c r="F138" s="250"/>
      <c r="G138" s="250"/>
      <c r="H138" s="250"/>
      <c r="I138" s="250"/>
      <c r="J138" s="205"/>
      <c r="K138" s="205"/>
      <c r="L138" s="205"/>
      <c r="M138" s="252"/>
      <c r="N138" s="205"/>
      <c r="O138" s="205"/>
      <c r="P138" s="205"/>
      <c r="Q138" s="205"/>
      <c r="R138" s="205"/>
      <c r="S138" s="205"/>
      <c r="T138" s="205"/>
      <c r="U138" s="205"/>
      <c r="V138" s="252"/>
      <c r="W138" s="216"/>
      <c r="X138" s="216"/>
      <c r="Y138" s="216"/>
      <c r="Z138" s="252"/>
      <c r="AF138" s="252"/>
      <c r="AG138" s="476"/>
      <c r="AH138" s="476"/>
      <c r="AI138" s="476"/>
      <c r="AJ138" s="476"/>
      <c r="AK138" s="476"/>
      <c r="AL138" s="217"/>
      <c r="AM138" s="217"/>
      <c r="AN138" s="252"/>
      <c r="AO138" s="252"/>
      <c r="AP138" s="252"/>
      <c r="AQ138" s="252"/>
      <c r="AR138" s="252"/>
      <c r="AS138" s="250"/>
      <c r="AT138" s="250"/>
      <c r="AU138" s="252"/>
      <c r="AV138" s="252"/>
      <c r="AW138" s="252"/>
      <c r="AX138" s="252"/>
      <c r="AY138" s="252"/>
      <c r="AZ138" s="250"/>
      <c r="BA138" s="250"/>
      <c r="BB138" s="250"/>
      <c r="BC138" s="250"/>
      <c r="BD138" s="250"/>
      <c r="BE138" s="250"/>
      <c r="BF138" s="250"/>
      <c r="BG138" s="250"/>
      <c r="BH138" s="250"/>
      <c r="BI138" s="267"/>
      <c r="BJ138" s="267"/>
      <c r="BK138" s="267"/>
      <c r="BL138" s="267"/>
      <c r="BM138" s="267"/>
    </row>
    <row r="139" spans="1:83" s="214" customFormat="1" ht="18.75" customHeight="1">
      <c r="B139" s="252"/>
      <c r="C139" s="250" t="s">
        <v>620</v>
      </c>
      <c r="D139" s="250"/>
      <c r="E139" s="250"/>
      <c r="F139" s="250"/>
      <c r="G139" s="250"/>
      <c r="H139" s="250"/>
      <c r="I139" s="476" t="str">
        <f>AB85</f>
        <v>삼각형</v>
      </c>
      <c r="J139" s="476"/>
      <c r="K139" s="476"/>
      <c r="L139" s="476"/>
      <c r="M139" s="476"/>
      <c r="N139" s="476"/>
      <c r="O139" s="476"/>
      <c r="P139" s="476"/>
      <c r="Q139" s="250"/>
      <c r="R139" s="250"/>
      <c r="S139" s="250"/>
      <c r="T139" s="250"/>
      <c r="U139" s="250"/>
      <c r="V139" s="250"/>
      <c r="W139" s="250"/>
      <c r="X139" s="250"/>
      <c r="Y139" s="250"/>
      <c r="Z139" s="252"/>
      <c r="AA139" s="252"/>
      <c r="AB139" s="252"/>
      <c r="AC139" s="252"/>
      <c r="AD139" s="252"/>
      <c r="AE139" s="252"/>
      <c r="AF139" s="252"/>
      <c r="AG139" s="252"/>
      <c r="AH139" s="250"/>
      <c r="AI139" s="250"/>
      <c r="AJ139" s="250"/>
      <c r="AK139" s="250"/>
      <c r="AL139" s="250"/>
      <c r="AM139" s="250"/>
      <c r="AN139" s="250"/>
      <c r="AO139" s="250"/>
      <c r="AP139" s="250"/>
      <c r="AQ139" s="250"/>
      <c r="AR139" s="250"/>
      <c r="AS139" s="250"/>
      <c r="AT139" s="250"/>
      <c r="AU139" s="250"/>
      <c r="AV139" s="250"/>
      <c r="AW139" s="250"/>
      <c r="AX139" s="250"/>
      <c r="AY139" s="250"/>
      <c r="AZ139" s="250"/>
      <c r="BA139" s="250"/>
      <c r="BB139" s="250"/>
      <c r="BC139" s="250"/>
      <c r="BD139" s="250"/>
      <c r="BE139" s="250"/>
      <c r="BF139" s="250"/>
      <c r="BG139" s="250"/>
      <c r="BH139" s="267"/>
      <c r="BI139" s="267"/>
      <c r="BJ139" s="267"/>
      <c r="BK139" s="267"/>
      <c r="BL139" s="267"/>
      <c r="BM139" s="267"/>
      <c r="BN139" s="267"/>
    </row>
    <row r="140" spans="1:83" s="214" customFormat="1" ht="18.75" customHeight="1">
      <c r="B140" s="252"/>
      <c r="C140" s="408" t="s">
        <v>621</v>
      </c>
      <c r="D140" s="408"/>
      <c r="E140" s="408"/>
      <c r="F140" s="408"/>
      <c r="G140" s="408"/>
      <c r="H140" s="408"/>
      <c r="I140" s="250"/>
      <c r="J140" s="250"/>
      <c r="K140" s="250"/>
      <c r="L140" s="250"/>
      <c r="M140" s="250"/>
      <c r="N140" s="250"/>
      <c r="O140" s="250"/>
      <c r="R140" s="489" t="e">
        <f>-H86</f>
        <v>#VALUE!</v>
      </c>
      <c r="S140" s="489"/>
      <c r="T140" s="408" t="s">
        <v>622</v>
      </c>
      <c r="U140" s="408"/>
      <c r="V140" s="408"/>
      <c r="W140" s="408"/>
      <c r="X140" s="408"/>
      <c r="Y140" s="408"/>
      <c r="Z140" s="409" t="s">
        <v>595</v>
      </c>
      <c r="AA140" s="426" t="e">
        <f>R140*1000</f>
        <v>#VALUE!</v>
      </c>
      <c r="AB140" s="426"/>
      <c r="AC140" s="408" t="s">
        <v>623</v>
      </c>
      <c r="AD140" s="408"/>
      <c r="AE140" s="408"/>
      <c r="AF140" s="408"/>
      <c r="AG140" s="408"/>
      <c r="AH140" s="250"/>
      <c r="AI140" s="250"/>
      <c r="AJ140" s="250"/>
      <c r="AK140" s="250"/>
      <c r="AL140" s="250"/>
      <c r="AM140" s="250"/>
      <c r="AN140" s="250"/>
      <c r="AO140" s="250"/>
      <c r="AP140" s="250"/>
      <c r="AQ140" s="252"/>
      <c r="AR140" s="252"/>
      <c r="AS140" s="252"/>
      <c r="AT140" s="252"/>
      <c r="AU140" s="252"/>
      <c r="AV140" s="252"/>
      <c r="AW140" s="252"/>
      <c r="AX140" s="252"/>
      <c r="AY140" s="252"/>
      <c r="AZ140" s="252"/>
    </row>
    <row r="141" spans="1:83" s="214" customFormat="1" ht="18.75" customHeight="1">
      <c r="B141" s="252"/>
      <c r="C141" s="408"/>
      <c r="D141" s="408"/>
      <c r="E141" s="408"/>
      <c r="F141" s="408"/>
      <c r="G141" s="408"/>
      <c r="H141" s="408"/>
      <c r="I141" s="250"/>
      <c r="J141" s="250"/>
      <c r="K141" s="250"/>
      <c r="L141" s="250"/>
      <c r="M141" s="250"/>
      <c r="N141" s="250"/>
      <c r="O141" s="250"/>
      <c r="R141" s="489"/>
      <c r="S141" s="489"/>
      <c r="T141" s="408"/>
      <c r="U141" s="408"/>
      <c r="V141" s="408"/>
      <c r="W141" s="408"/>
      <c r="X141" s="408"/>
      <c r="Y141" s="408"/>
      <c r="Z141" s="409"/>
      <c r="AA141" s="426"/>
      <c r="AB141" s="426"/>
      <c r="AC141" s="408"/>
      <c r="AD141" s="408"/>
      <c r="AE141" s="408"/>
      <c r="AF141" s="408"/>
      <c r="AG141" s="408"/>
      <c r="AH141" s="250"/>
      <c r="AI141" s="250"/>
      <c r="AJ141" s="250"/>
      <c r="AK141" s="250"/>
      <c r="AL141" s="250"/>
      <c r="AM141" s="250"/>
      <c r="AN141" s="250"/>
      <c r="AO141" s="250"/>
      <c r="AP141" s="250"/>
      <c r="AQ141" s="252"/>
      <c r="AR141" s="252"/>
      <c r="AS141" s="252"/>
      <c r="AT141" s="252"/>
      <c r="AU141" s="252"/>
      <c r="AV141" s="252"/>
      <c r="AW141" s="252"/>
      <c r="AX141" s="252"/>
      <c r="AY141" s="252"/>
      <c r="AZ141" s="252"/>
    </row>
    <row r="142" spans="1:83" s="214" customFormat="1" ht="18.75" customHeight="1">
      <c r="B142" s="252"/>
      <c r="C142" s="250" t="s">
        <v>624</v>
      </c>
      <c r="D142" s="250"/>
      <c r="E142" s="250"/>
      <c r="F142" s="250"/>
      <c r="G142" s="250"/>
      <c r="H142" s="250"/>
      <c r="I142" s="250"/>
      <c r="J142" s="252"/>
      <c r="K142" s="191" t="s">
        <v>464</v>
      </c>
      <c r="L142" s="489" t="e">
        <f>AA140</f>
        <v>#VALUE!</v>
      </c>
      <c r="M142" s="489"/>
      <c r="N142" s="217" t="s">
        <v>625</v>
      </c>
      <c r="O142" s="268"/>
      <c r="Q142" s="252"/>
      <c r="R142" s="252"/>
      <c r="S142" s="252"/>
      <c r="T142" s="252"/>
      <c r="U142" s="252"/>
      <c r="V142" s="252"/>
      <c r="W142" s="252"/>
      <c r="X142" s="252"/>
      <c r="Y142" s="252" t="s">
        <v>594</v>
      </c>
      <c r="Z142" s="252" t="s">
        <v>587</v>
      </c>
      <c r="AA142" s="491" t="e">
        <f>ABS(L142*O85)</f>
        <v>#VALUE!</v>
      </c>
      <c r="AB142" s="491"/>
      <c r="AC142" s="491"/>
      <c r="AD142" s="491"/>
      <c r="AE142" s="250" t="s">
        <v>626</v>
      </c>
      <c r="AF142" s="252"/>
      <c r="AG142" s="252"/>
      <c r="AH142" s="252"/>
      <c r="AJ142" s="268"/>
      <c r="AK142" s="268"/>
      <c r="AL142" s="250"/>
      <c r="AM142" s="250"/>
      <c r="AN142" s="250"/>
      <c r="AO142" s="250"/>
      <c r="AP142" s="252"/>
      <c r="AQ142" s="252"/>
      <c r="AR142" s="252"/>
      <c r="BA142" s="252"/>
      <c r="BB142" s="252"/>
      <c r="BC142" s="252"/>
      <c r="BD142" s="252"/>
      <c r="BE142" s="252"/>
      <c r="BF142" s="252"/>
      <c r="BG142" s="252"/>
      <c r="BH142" s="267"/>
      <c r="BI142" s="267"/>
      <c r="BP142" s="257"/>
      <c r="BQ142" s="218"/>
    </row>
    <row r="143" spans="1:83" s="214" customFormat="1" ht="18.75" customHeight="1">
      <c r="B143" s="252"/>
      <c r="C143" s="408" t="s">
        <v>627</v>
      </c>
      <c r="D143" s="408"/>
      <c r="E143" s="408"/>
      <c r="F143" s="408"/>
      <c r="G143" s="408"/>
      <c r="H143" s="250"/>
      <c r="J143" s="250"/>
      <c r="K143" s="250"/>
      <c r="L143" s="250"/>
      <c r="M143" s="250"/>
      <c r="N143" s="250"/>
      <c r="O143" s="250"/>
      <c r="P143" s="250"/>
      <c r="Q143" s="250"/>
      <c r="R143" s="217"/>
      <c r="S143" s="250"/>
      <c r="T143" s="250"/>
      <c r="U143" s="250"/>
      <c r="W143" s="250"/>
      <c r="X143" s="250"/>
      <c r="Y143" s="250"/>
      <c r="Z143" s="250"/>
      <c r="AA143" s="191" t="s">
        <v>628</v>
      </c>
      <c r="AB143" s="250"/>
      <c r="AC143" s="250"/>
      <c r="AD143" s="250"/>
      <c r="AE143" s="252"/>
      <c r="AF143" s="252"/>
      <c r="AH143" s="252"/>
      <c r="AI143" s="252"/>
      <c r="AJ143" s="252"/>
      <c r="AK143" s="252"/>
      <c r="AL143" s="191"/>
      <c r="AM143" s="252"/>
      <c r="AN143" s="258"/>
      <c r="AO143" s="258"/>
      <c r="AP143" s="258"/>
      <c r="AQ143" s="257"/>
      <c r="AR143" s="257"/>
      <c r="AS143" s="252"/>
      <c r="AT143" s="252"/>
      <c r="AU143" s="252"/>
      <c r="AV143" s="252"/>
      <c r="AW143" s="252"/>
      <c r="AX143" s="252"/>
      <c r="AY143" s="252"/>
      <c r="AZ143" s="252"/>
      <c r="BA143" s="252"/>
      <c r="BB143" s="252"/>
      <c r="BC143" s="252"/>
      <c r="BD143" s="252"/>
      <c r="BE143" s="252"/>
      <c r="BF143" s="252"/>
      <c r="BG143" s="252"/>
      <c r="BH143" s="267"/>
      <c r="BI143" s="267"/>
      <c r="BJ143" s="267"/>
      <c r="BK143" s="267"/>
      <c r="BL143" s="267"/>
    </row>
    <row r="144" spans="1:83" s="214" customFormat="1" ht="18.75" customHeight="1">
      <c r="B144" s="252"/>
      <c r="C144" s="408"/>
      <c r="D144" s="408"/>
      <c r="E144" s="408"/>
      <c r="F144" s="408"/>
      <c r="G144" s="408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17"/>
      <c r="S144" s="250"/>
      <c r="T144" s="250"/>
      <c r="U144" s="250"/>
      <c r="V144" s="250"/>
      <c r="W144" s="250"/>
      <c r="X144" s="250"/>
      <c r="Y144" s="250"/>
      <c r="Z144" s="250"/>
      <c r="AA144" s="250"/>
      <c r="AB144" s="250"/>
      <c r="AC144" s="250"/>
      <c r="AD144" s="250"/>
      <c r="AE144" s="252"/>
      <c r="AF144" s="252"/>
      <c r="AG144" s="252"/>
      <c r="AH144" s="252"/>
      <c r="AI144" s="252"/>
      <c r="AJ144" s="252"/>
      <c r="AK144" s="252"/>
      <c r="AL144" s="252"/>
      <c r="AM144" s="252"/>
      <c r="AN144" s="252"/>
      <c r="AO144" s="252"/>
      <c r="AP144" s="252"/>
      <c r="AQ144" s="252"/>
      <c r="AR144" s="252"/>
      <c r="AS144" s="252"/>
      <c r="AT144" s="252"/>
      <c r="AU144" s="252"/>
      <c r="AV144" s="252"/>
      <c r="AW144" s="252"/>
      <c r="AX144" s="252"/>
      <c r="AY144" s="252"/>
      <c r="AZ144" s="252"/>
      <c r="BA144" s="252"/>
      <c r="BB144" s="252"/>
      <c r="BC144" s="252"/>
      <c r="BD144" s="252"/>
      <c r="BE144" s="252"/>
      <c r="BF144" s="252"/>
      <c r="BG144" s="252"/>
      <c r="BH144" s="267"/>
      <c r="BI144" s="267"/>
      <c r="BJ144" s="267"/>
      <c r="BK144" s="267"/>
      <c r="BL144" s="267"/>
    </row>
    <row r="145" spans="2:68" s="214" customFormat="1" ht="18.75" customHeight="1">
      <c r="B145" s="252"/>
      <c r="C145" s="250"/>
      <c r="D145" s="250"/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17"/>
      <c r="S145" s="250"/>
      <c r="T145" s="250"/>
      <c r="U145" s="250"/>
      <c r="V145" s="250"/>
      <c r="W145" s="250"/>
      <c r="X145" s="250"/>
      <c r="Y145" s="250"/>
      <c r="Z145" s="250"/>
      <c r="AA145" s="250"/>
      <c r="AB145" s="476">
        <v>100</v>
      </c>
      <c r="AC145" s="476"/>
      <c r="AD145" s="250"/>
      <c r="AE145" s="252"/>
      <c r="AF145" s="252"/>
      <c r="AG145" s="252"/>
      <c r="AH145" s="252"/>
      <c r="AI145" s="252"/>
      <c r="AJ145" s="252"/>
      <c r="AK145" s="252"/>
      <c r="AL145" s="252"/>
      <c r="AM145" s="252"/>
      <c r="AN145" s="252"/>
      <c r="AO145" s="252"/>
      <c r="AP145" s="252"/>
      <c r="AQ145" s="252"/>
      <c r="AR145" s="252"/>
      <c r="AS145" s="252"/>
      <c r="AT145" s="252"/>
      <c r="AU145" s="252"/>
      <c r="AV145" s="252"/>
      <c r="AW145" s="252"/>
      <c r="AX145" s="252"/>
      <c r="AY145" s="252"/>
      <c r="AZ145" s="252"/>
      <c r="BA145" s="252"/>
      <c r="BB145" s="252"/>
      <c r="BC145" s="252"/>
      <c r="BD145" s="252"/>
      <c r="BE145" s="252"/>
      <c r="BF145" s="252"/>
      <c r="BG145" s="252"/>
      <c r="BH145" s="267"/>
      <c r="BI145" s="267"/>
      <c r="BJ145" s="267"/>
      <c r="BK145" s="267"/>
      <c r="BL145" s="267"/>
    </row>
    <row r="146" spans="2:68" s="214" customFormat="1" ht="18.75" customHeight="1">
      <c r="B146" s="252"/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17"/>
      <c r="S146" s="250"/>
      <c r="T146" s="250"/>
      <c r="U146" s="250"/>
      <c r="V146" s="250"/>
      <c r="W146" s="250"/>
      <c r="X146" s="250"/>
      <c r="Y146" s="250"/>
      <c r="Z146" s="250"/>
      <c r="AA146" s="250"/>
      <c r="AB146" s="476"/>
      <c r="AC146" s="476"/>
      <c r="AD146" s="250"/>
      <c r="AE146" s="252"/>
      <c r="AF146" s="252"/>
      <c r="AG146" s="252"/>
      <c r="AH146" s="252"/>
      <c r="AI146" s="252"/>
      <c r="AJ146" s="252"/>
      <c r="AK146" s="252"/>
      <c r="AL146" s="252"/>
      <c r="AM146" s="25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  <c r="AX146" s="252"/>
      <c r="AY146" s="252"/>
      <c r="AZ146" s="252"/>
      <c r="BA146" s="252"/>
      <c r="BB146" s="252"/>
      <c r="BC146" s="252"/>
      <c r="BD146" s="252"/>
      <c r="BE146" s="252"/>
      <c r="BF146" s="252"/>
      <c r="BG146" s="252"/>
      <c r="BH146" s="267"/>
      <c r="BI146" s="267"/>
      <c r="BJ146" s="267"/>
      <c r="BK146" s="267"/>
      <c r="BL146" s="267"/>
    </row>
    <row r="147" spans="2:68" s="214" customFormat="1" ht="18.75" customHeight="1">
      <c r="B147" s="252"/>
      <c r="C147" s="250"/>
      <c r="D147" s="250"/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17"/>
      <c r="S147" s="250"/>
      <c r="T147" s="250"/>
      <c r="U147" s="250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2"/>
      <c r="AF147" s="252"/>
      <c r="AG147" s="252"/>
      <c r="AH147" s="252"/>
      <c r="AI147" s="252"/>
      <c r="AJ147" s="252"/>
      <c r="AK147" s="252"/>
      <c r="AL147" s="252"/>
      <c r="AM147" s="25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  <c r="AX147" s="252"/>
      <c r="AY147" s="252"/>
      <c r="AZ147" s="252"/>
      <c r="BA147" s="252"/>
      <c r="BB147" s="252"/>
      <c r="BC147" s="252"/>
      <c r="BD147" s="252"/>
      <c r="BE147" s="252"/>
      <c r="BF147" s="252"/>
      <c r="BG147" s="252"/>
      <c r="BH147" s="267"/>
      <c r="BI147" s="267"/>
      <c r="BJ147" s="267"/>
      <c r="BK147" s="267"/>
      <c r="BL147" s="267"/>
    </row>
    <row r="148" spans="2:68" s="214" customFormat="1" ht="18.75" customHeight="1">
      <c r="B148" s="252"/>
      <c r="C148" s="250"/>
      <c r="D148" s="250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17"/>
      <c r="S148" s="250"/>
      <c r="T148" s="250"/>
      <c r="U148" s="250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2"/>
      <c r="AF148" s="252"/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  <c r="AX148" s="252"/>
      <c r="AY148" s="252"/>
      <c r="AZ148" s="252"/>
      <c r="BA148" s="252"/>
      <c r="BB148" s="252"/>
      <c r="BC148" s="252"/>
      <c r="BD148" s="252"/>
      <c r="BE148" s="252"/>
      <c r="BF148" s="252"/>
      <c r="BG148" s="252"/>
      <c r="BH148" s="250"/>
      <c r="BI148" s="250"/>
      <c r="BJ148" s="250"/>
      <c r="BK148" s="250"/>
    </row>
    <row r="149" spans="2:68" s="214" customFormat="1" ht="18.75" customHeight="1">
      <c r="B149" s="207" t="s">
        <v>465</v>
      </c>
      <c r="C149" s="190" t="str">
        <f>$B$5&amp;"와 "&amp;$H$5&amp;"의 온도 차에 의한 표준불확도,"</f>
        <v>캘리퍼 검사기와 게이지 블록의 온도 차에 의한 표준불확도,</v>
      </c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AA149" s="190" t="s">
        <v>466</v>
      </c>
      <c r="AC149" s="250"/>
      <c r="AD149" s="250"/>
      <c r="AE149" s="250"/>
      <c r="AF149" s="250"/>
      <c r="AG149" s="250"/>
      <c r="AH149" s="252"/>
      <c r="AI149" s="252"/>
      <c r="AJ149" s="252"/>
      <c r="AK149" s="252"/>
      <c r="AL149" s="252"/>
      <c r="AM149" s="252"/>
      <c r="AN149" s="252"/>
      <c r="AO149" s="250"/>
      <c r="AP149" s="250"/>
      <c r="AQ149" s="250"/>
      <c r="AR149" s="250"/>
      <c r="AS149" s="250"/>
      <c r="AT149" s="250"/>
      <c r="AU149" s="250"/>
      <c r="AV149" s="250"/>
      <c r="AW149" s="250"/>
      <c r="AX149" s="250"/>
      <c r="AY149" s="250"/>
      <c r="AZ149" s="250"/>
      <c r="BA149" s="250"/>
      <c r="BB149" s="250"/>
      <c r="BC149" s="250"/>
      <c r="BD149" s="250"/>
      <c r="BE149" s="250"/>
      <c r="BF149" s="250"/>
      <c r="BG149" s="250"/>
      <c r="BH149" s="267"/>
      <c r="BI149" s="267"/>
      <c r="BJ149" s="267"/>
      <c r="BK149" s="267"/>
      <c r="BL149" s="267"/>
      <c r="BM149" s="267"/>
      <c r="BN149" s="267"/>
    </row>
    <row r="150" spans="2:68" s="214" customFormat="1" ht="18.75" customHeight="1">
      <c r="B150" s="190"/>
      <c r="C150" s="250" t="e">
        <f>"※ 열평형 상태에서 "&amp;$B$5&amp;"와 "&amp;$H$5&amp;"의 온도차가 ±"&amp;N153&amp;" ℃ 이내에서"</f>
        <v>#VALUE!</v>
      </c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250"/>
      <c r="AB150" s="250"/>
      <c r="AC150" s="250"/>
      <c r="AD150" s="250"/>
      <c r="AE150" s="250"/>
      <c r="AF150" s="250"/>
      <c r="AG150" s="250"/>
      <c r="AH150" s="250"/>
      <c r="AI150" s="250"/>
      <c r="AJ150" s="250"/>
      <c r="AK150" s="250"/>
      <c r="AL150" s="250"/>
      <c r="AM150" s="252"/>
      <c r="AN150" s="252"/>
      <c r="AO150" s="250"/>
      <c r="AP150" s="250"/>
      <c r="AQ150" s="250"/>
      <c r="AR150" s="250"/>
      <c r="AS150" s="250"/>
      <c r="AT150" s="250"/>
      <c r="AU150" s="250"/>
      <c r="AV150" s="250"/>
      <c r="AW150" s="250"/>
      <c r="AX150" s="250"/>
      <c r="AY150" s="250"/>
      <c r="AZ150" s="250"/>
      <c r="BA150" s="250"/>
      <c r="BB150" s="250"/>
      <c r="BC150" s="250"/>
      <c r="BD150" s="250"/>
      <c r="BE150" s="250"/>
      <c r="BF150" s="250"/>
      <c r="BG150" s="250"/>
      <c r="BH150" s="267"/>
      <c r="BI150" s="267"/>
      <c r="BJ150" s="267"/>
      <c r="BK150" s="267"/>
      <c r="BL150" s="267"/>
      <c r="BM150" s="267"/>
      <c r="BN150" s="267"/>
    </row>
    <row r="151" spans="2:68" s="214" customFormat="1" ht="18.75" customHeight="1">
      <c r="B151" s="190"/>
      <c r="C151" s="250"/>
      <c r="D151" s="250" t="s">
        <v>629</v>
      </c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250"/>
      <c r="T151" s="250"/>
      <c r="U151" s="250"/>
      <c r="V151" s="250"/>
      <c r="W151" s="250"/>
      <c r="X151" s="250"/>
      <c r="Y151" s="250"/>
      <c r="Z151" s="250"/>
      <c r="AA151" s="250"/>
      <c r="AB151" s="250"/>
      <c r="AC151" s="250"/>
      <c r="AD151" s="250"/>
      <c r="AE151" s="250"/>
      <c r="AF151" s="250"/>
      <c r="AG151" s="250"/>
      <c r="AH151" s="250"/>
      <c r="AI151" s="250"/>
      <c r="AJ151" s="250"/>
      <c r="AK151" s="250"/>
      <c r="AL151" s="250"/>
      <c r="AM151" s="252"/>
      <c r="AN151" s="252"/>
      <c r="AO151" s="250"/>
      <c r="AP151" s="250"/>
      <c r="AQ151" s="250"/>
      <c r="AR151" s="250"/>
      <c r="AS151" s="250"/>
      <c r="AT151" s="250"/>
      <c r="AU151" s="250"/>
      <c r="AV151" s="250"/>
      <c r="AW151" s="250"/>
      <c r="AX151" s="250"/>
      <c r="AY151" s="250"/>
      <c r="AZ151" s="250"/>
      <c r="BA151" s="250"/>
      <c r="BB151" s="250"/>
      <c r="BC151" s="250"/>
      <c r="BD151" s="250"/>
      <c r="BE151" s="250"/>
      <c r="BF151" s="250"/>
      <c r="BG151" s="250"/>
      <c r="BH151" s="267"/>
      <c r="BI151" s="267"/>
      <c r="BJ151" s="267"/>
      <c r="BK151" s="267"/>
      <c r="BL151" s="267"/>
      <c r="BM151" s="267"/>
      <c r="BN151" s="267"/>
    </row>
    <row r="152" spans="2:68" s="214" customFormat="1" ht="18.75" customHeight="1">
      <c r="B152" s="252"/>
      <c r="C152" s="257" t="s">
        <v>467</v>
      </c>
      <c r="D152" s="252"/>
      <c r="E152" s="252"/>
      <c r="F152" s="252"/>
      <c r="G152" s="252"/>
      <c r="H152" s="519" t="str">
        <f>H86</f>
        <v/>
      </c>
      <c r="I152" s="519"/>
      <c r="J152" s="519"/>
      <c r="K152" s="519"/>
      <c r="L152" s="519"/>
      <c r="M152" s="519"/>
      <c r="N152" s="519"/>
      <c r="O152" s="519"/>
      <c r="P152" s="260"/>
      <c r="Q152" s="250"/>
      <c r="R152" s="250"/>
      <c r="S152" s="250"/>
      <c r="T152" s="250"/>
      <c r="U152" s="250"/>
      <c r="V152" s="250"/>
      <c r="W152" s="252"/>
      <c r="X152" s="252"/>
      <c r="Y152" s="252"/>
      <c r="Z152" s="250"/>
      <c r="AA152" s="250"/>
      <c r="AB152" s="250"/>
      <c r="AC152" s="250"/>
      <c r="AD152" s="250"/>
      <c r="AE152" s="250"/>
      <c r="AF152" s="250"/>
      <c r="AG152" s="250"/>
      <c r="AH152" s="252"/>
      <c r="AI152" s="252"/>
      <c r="AJ152" s="252"/>
      <c r="AK152" s="252"/>
      <c r="AL152" s="252"/>
      <c r="AM152" s="252"/>
      <c r="AN152" s="252"/>
      <c r="AO152" s="250"/>
      <c r="AP152" s="250"/>
      <c r="AQ152" s="250"/>
      <c r="AR152" s="250"/>
      <c r="AS152" s="250"/>
      <c r="AT152" s="250"/>
      <c r="AU152" s="250"/>
      <c r="AV152" s="250"/>
      <c r="AW152" s="250"/>
      <c r="AX152" s="250"/>
      <c r="AY152" s="250"/>
      <c r="AZ152" s="250"/>
      <c r="BA152" s="250"/>
      <c r="BB152" s="250"/>
      <c r="BC152" s="250"/>
      <c r="BD152" s="250"/>
      <c r="BE152" s="250"/>
      <c r="BF152" s="250"/>
      <c r="BG152" s="250"/>
      <c r="BH152" s="267"/>
      <c r="BI152" s="267"/>
      <c r="BJ152" s="267"/>
      <c r="BK152" s="267"/>
      <c r="BL152" s="267"/>
      <c r="BM152" s="267"/>
    </row>
    <row r="153" spans="2:68" s="214" customFormat="1" ht="18.75" customHeight="1">
      <c r="B153" s="252"/>
      <c r="C153" s="408" t="s">
        <v>630</v>
      </c>
      <c r="D153" s="408"/>
      <c r="E153" s="408"/>
      <c r="F153" s="408"/>
      <c r="G153" s="408"/>
      <c r="H153" s="408"/>
      <c r="I153" s="408"/>
      <c r="J153" s="423" t="s">
        <v>631</v>
      </c>
      <c r="K153" s="423"/>
      <c r="L153" s="423"/>
      <c r="M153" s="409" t="s">
        <v>587</v>
      </c>
      <c r="N153" s="485" t="e">
        <f>Calcu!G37</f>
        <v>#VALUE!</v>
      </c>
      <c r="O153" s="485"/>
      <c r="P153" s="266" t="s">
        <v>245</v>
      </c>
      <c r="Q153" s="263"/>
      <c r="R153" s="409" t="s">
        <v>589</v>
      </c>
      <c r="S153" s="478" t="e">
        <f>N153/SQRT(3)</f>
        <v>#VALUE!</v>
      </c>
      <c r="T153" s="478"/>
      <c r="U153" s="478"/>
      <c r="V153" s="426" t="str">
        <f>P153</f>
        <v>℃</v>
      </c>
      <c r="W153" s="426"/>
      <c r="X153" s="260"/>
      <c r="Y153" s="250"/>
      <c r="AX153" s="250"/>
      <c r="AY153" s="250"/>
      <c r="AZ153" s="250"/>
      <c r="BA153" s="250"/>
      <c r="BB153" s="250"/>
      <c r="BC153" s="250"/>
      <c r="BD153" s="250"/>
      <c r="BE153" s="250"/>
      <c r="BF153" s="250"/>
      <c r="BG153" s="250"/>
      <c r="BH153" s="250"/>
      <c r="BI153" s="250"/>
      <c r="BJ153" s="267"/>
      <c r="BK153" s="267"/>
      <c r="BL153" s="267"/>
      <c r="BM153" s="267"/>
      <c r="BN153" s="267"/>
      <c r="BO153" s="267"/>
      <c r="BP153" s="267"/>
    </row>
    <row r="154" spans="2:68" s="214" customFormat="1" ht="18.75" customHeight="1">
      <c r="B154" s="252"/>
      <c r="C154" s="408"/>
      <c r="D154" s="408"/>
      <c r="E154" s="408"/>
      <c r="F154" s="408"/>
      <c r="G154" s="408"/>
      <c r="H154" s="408"/>
      <c r="I154" s="408"/>
      <c r="J154" s="423"/>
      <c r="K154" s="423"/>
      <c r="L154" s="423"/>
      <c r="M154" s="409"/>
      <c r="N154" s="252"/>
      <c r="O154" s="252"/>
      <c r="P154" s="252"/>
      <c r="Q154" s="252"/>
      <c r="R154" s="409"/>
      <c r="S154" s="478"/>
      <c r="T154" s="478"/>
      <c r="U154" s="478"/>
      <c r="V154" s="426"/>
      <c r="W154" s="426"/>
      <c r="X154" s="260"/>
      <c r="Y154" s="250"/>
      <c r="AX154" s="250"/>
      <c r="AY154" s="250"/>
      <c r="AZ154" s="250"/>
      <c r="BA154" s="250"/>
      <c r="BB154" s="250"/>
      <c r="BC154" s="250"/>
      <c r="BD154" s="250"/>
      <c r="BE154" s="250"/>
      <c r="BF154" s="250"/>
      <c r="BG154" s="250"/>
      <c r="BH154" s="250"/>
      <c r="BI154" s="250"/>
      <c r="BJ154" s="267"/>
      <c r="BK154" s="267"/>
      <c r="BL154" s="267"/>
      <c r="BM154" s="267"/>
      <c r="BN154" s="267"/>
      <c r="BO154" s="267"/>
      <c r="BP154" s="267"/>
    </row>
    <row r="155" spans="2:68" s="214" customFormat="1" ht="18.75" customHeight="1">
      <c r="B155" s="252"/>
      <c r="C155" s="250" t="s">
        <v>632</v>
      </c>
      <c r="D155" s="250"/>
      <c r="E155" s="250"/>
      <c r="F155" s="250"/>
      <c r="G155" s="250"/>
      <c r="H155" s="250"/>
      <c r="I155" s="476" t="str">
        <f>AB86</f>
        <v>직사각형</v>
      </c>
      <c r="J155" s="476"/>
      <c r="K155" s="476"/>
      <c r="L155" s="476"/>
      <c r="M155" s="476"/>
      <c r="N155" s="476"/>
      <c r="O155" s="476"/>
      <c r="P155" s="476"/>
      <c r="Q155" s="250"/>
      <c r="R155" s="250"/>
      <c r="S155" s="250"/>
      <c r="T155" s="250"/>
      <c r="U155" s="250"/>
      <c r="V155" s="250"/>
      <c r="W155" s="250"/>
      <c r="X155" s="250"/>
      <c r="Y155" s="250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  <c r="AN155" s="252"/>
      <c r="AO155" s="252"/>
      <c r="AP155" s="250"/>
      <c r="AQ155" s="250"/>
      <c r="AR155" s="250"/>
      <c r="AS155" s="250"/>
      <c r="AT155" s="250"/>
      <c r="AU155" s="250"/>
      <c r="AV155" s="250"/>
      <c r="AW155" s="250"/>
      <c r="AX155" s="250"/>
      <c r="AY155" s="250"/>
      <c r="AZ155" s="250"/>
      <c r="BA155" s="250"/>
      <c r="BB155" s="250"/>
      <c r="BC155" s="250"/>
      <c r="BD155" s="250"/>
      <c r="BE155" s="250"/>
      <c r="BF155" s="250"/>
      <c r="BG155" s="250"/>
      <c r="BH155" s="267"/>
      <c r="BI155" s="267"/>
      <c r="BJ155" s="267"/>
      <c r="BK155" s="267"/>
      <c r="BL155" s="267"/>
    </row>
    <row r="156" spans="2:68" s="214" customFormat="1" ht="18.75" customHeight="1">
      <c r="B156" s="252"/>
      <c r="C156" s="408" t="s">
        <v>633</v>
      </c>
      <c r="D156" s="408"/>
      <c r="E156" s="408"/>
      <c r="F156" s="408"/>
      <c r="G156" s="408"/>
      <c r="H156" s="408"/>
      <c r="I156" s="250"/>
      <c r="J156" s="250"/>
      <c r="K156" s="250"/>
      <c r="L156" s="250"/>
      <c r="M156" s="250"/>
      <c r="N156" s="250"/>
      <c r="O156" s="252"/>
      <c r="R156" s="408" t="e">
        <f ca="1">-H85*10^6</f>
        <v>#N/A</v>
      </c>
      <c r="S156" s="408"/>
      <c r="T156" s="408"/>
      <c r="U156" s="408" t="s">
        <v>634</v>
      </c>
      <c r="V156" s="408"/>
      <c r="W156" s="408"/>
      <c r="X156" s="408"/>
      <c r="Y156" s="408"/>
      <c r="Z156" s="408"/>
      <c r="AA156" s="408"/>
      <c r="AB156" s="408"/>
      <c r="AC156" s="409" t="s">
        <v>595</v>
      </c>
      <c r="AD156" s="489" t="e">
        <f ca="1">R156*10^-6*1000</f>
        <v>#N/A</v>
      </c>
      <c r="AE156" s="489"/>
      <c r="AF156" s="489"/>
      <c r="AG156" s="489"/>
      <c r="AH156" s="408" t="s">
        <v>635</v>
      </c>
      <c r="AI156" s="408"/>
      <c r="AJ156" s="408"/>
      <c r="AK156" s="408"/>
      <c r="AL156" s="408"/>
      <c r="AM156" s="408"/>
      <c r="AN156" s="408"/>
      <c r="AO156" s="250"/>
      <c r="AP156" s="250"/>
      <c r="AQ156" s="250"/>
      <c r="AR156" s="250"/>
      <c r="AS156" s="250"/>
      <c r="AT156" s="250"/>
      <c r="AU156" s="250"/>
      <c r="AV156" s="250"/>
      <c r="AW156" s="250"/>
      <c r="AX156" s="250"/>
      <c r="AY156" s="250"/>
      <c r="AZ156" s="250"/>
      <c r="BA156" s="250"/>
      <c r="BB156" s="252"/>
      <c r="BC156" s="252"/>
      <c r="BD156" s="252"/>
      <c r="BE156" s="252"/>
      <c r="BF156" s="252"/>
      <c r="BG156" s="252"/>
    </row>
    <row r="157" spans="2:68" s="214" customFormat="1" ht="18.75" customHeight="1">
      <c r="B157" s="252"/>
      <c r="C157" s="408"/>
      <c r="D157" s="408"/>
      <c r="E157" s="408"/>
      <c r="F157" s="408"/>
      <c r="G157" s="408"/>
      <c r="H157" s="408"/>
      <c r="I157" s="250"/>
      <c r="J157" s="250"/>
      <c r="K157" s="250"/>
      <c r="L157" s="250"/>
      <c r="M157" s="250"/>
      <c r="N157" s="250"/>
      <c r="O157" s="252"/>
      <c r="R157" s="408"/>
      <c r="S157" s="408"/>
      <c r="T157" s="408"/>
      <c r="U157" s="408"/>
      <c r="V157" s="408"/>
      <c r="W157" s="408"/>
      <c r="X157" s="408"/>
      <c r="Y157" s="408"/>
      <c r="Z157" s="408"/>
      <c r="AA157" s="408"/>
      <c r="AB157" s="408"/>
      <c r="AC157" s="409"/>
      <c r="AD157" s="489"/>
      <c r="AE157" s="489"/>
      <c r="AF157" s="489"/>
      <c r="AG157" s="489"/>
      <c r="AH157" s="408"/>
      <c r="AI157" s="408"/>
      <c r="AJ157" s="408"/>
      <c r="AK157" s="408"/>
      <c r="AL157" s="408"/>
      <c r="AM157" s="408"/>
      <c r="AN157" s="408"/>
      <c r="AO157" s="250"/>
      <c r="AP157" s="250"/>
      <c r="AQ157" s="250"/>
      <c r="AR157" s="250"/>
      <c r="AS157" s="250"/>
      <c r="AT157" s="250"/>
      <c r="AU157" s="250"/>
      <c r="AV157" s="250"/>
      <c r="AW157" s="250"/>
      <c r="AX157" s="250"/>
      <c r="AY157" s="250"/>
      <c r="AZ157" s="250"/>
      <c r="BA157" s="250"/>
      <c r="BB157" s="252"/>
      <c r="BC157" s="252"/>
      <c r="BD157" s="252"/>
      <c r="BE157" s="252"/>
      <c r="BF157" s="252"/>
      <c r="BG157" s="252"/>
    </row>
    <row r="158" spans="2:68" s="214" customFormat="1" ht="18.75" customHeight="1">
      <c r="B158" s="252"/>
      <c r="C158" s="250" t="s">
        <v>636</v>
      </c>
      <c r="D158" s="250"/>
      <c r="E158" s="250"/>
      <c r="F158" s="250"/>
      <c r="G158" s="250"/>
      <c r="H158" s="250"/>
      <c r="I158" s="250"/>
      <c r="J158" s="252"/>
      <c r="K158" s="191" t="s">
        <v>637</v>
      </c>
      <c r="L158" s="489" t="e">
        <f ca="1">AD156</f>
        <v>#N/A</v>
      </c>
      <c r="M158" s="489"/>
      <c r="N158" s="489"/>
      <c r="O158" s="489"/>
      <c r="P158" s="408" t="s">
        <v>468</v>
      </c>
      <c r="Q158" s="408"/>
      <c r="R158" s="408"/>
      <c r="S158" s="408"/>
      <c r="T158" s="408"/>
      <c r="U158" s="490" t="e">
        <f>S153</f>
        <v>#VALUE!</v>
      </c>
      <c r="V158" s="490"/>
      <c r="W158" s="490"/>
      <c r="X158" s="490"/>
      <c r="Y158" s="252" t="s">
        <v>594</v>
      </c>
      <c r="Z158" s="252" t="s">
        <v>595</v>
      </c>
      <c r="AA158" s="491" t="e">
        <f ca="1">ABS(L158*U158)</f>
        <v>#N/A</v>
      </c>
      <c r="AB158" s="491"/>
      <c r="AC158" s="491"/>
      <c r="AD158" s="492"/>
      <c r="AE158" s="250" t="s">
        <v>551</v>
      </c>
      <c r="AF158" s="257"/>
      <c r="AG158" s="252"/>
      <c r="AH158" s="252"/>
      <c r="AI158" s="252"/>
      <c r="AJ158" s="252"/>
      <c r="AK158" s="252"/>
      <c r="AL158" s="252"/>
      <c r="AM158" s="252"/>
      <c r="AN158" s="252"/>
      <c r="AO158" s="252"/>
      <c r="AP158" s="252"/>
      <c r="AR158" s="250"/>
      <c r="AS158" s="250"/>
      <c r="AT158" s="250"/>
      <c r="AU158" s="250"/>
      <c r="AV158" s="219"/>
      <c r="AW158" s="219"/>
      <c r="AX158" s="219"/>
      <c r="AY158" s="219"/>
      <c r="AZ158" s="219"/>
      <c r="BA158" s="219"/>
      <c r="BB158" s="252"/>
      <c r="BC158" s="252"/>
      <c r="BD158" s="252"/>
      <c r="BE158" s="252"/>
      <c r="BF158" s="252"/>
      <c r="BG158" s="252"/>
    </row>
    <row r="159" spans="2:68" s="214" customFormat="1" ht="18.75" customHeight="1">
      <c r="B159" s="252"/>
      <c r="C159" s="408" t="s">
        <v>638</v>
      </c>
      <c r="D159" s="408"/>
      <c r="E159" s="408"/>
      <c r="F159" s="408"/>
      <c r="G159" s="408"/>
      <c r="H159" s="250"/>
      <c r="J159" s="250"/>
      <c r="K159" s="250"/>
      <c r="L159" s="250"/>
      <c r="M159" s="250"/>
      <c r="N159" s="250"/>
      <c r="O159" s="250"/>
      <c r="P159" s="250"/>
      <c r="Q159" s="250"/>
      <c r="R159" s="217"/>
      <c r="S159" s="250"/>
      <c r="T159" s="250"/>
      <c r="U159" s="250"/>
      <c r="W159" s="191" t="s">
        <v>639</v>
      </c>
      <c r="X159" s="250"/>
      <c r="Y159" s="250"/>
      <c r="Z159" s="250"/>
      <c r="AA159" s="250"/>
      <c r="AB159" s="250"/>
      <c r="AC159" s="250"/>
      <c r="AD159" s="250"/>
      <c r="AE159" s="252"/>
      <c r="AF159" s="252"/>
      <c r="AG159" s="252"/>
      <c r="AH159" s="252"/>
      <c r="AI159" s="252"/>
      <c r="AJ159" s="252"/>
      <c r="AK159" s="252"/>
      <c r="AL159" s="252"/>
      <c r="AM159" s="252"/>
      <c r="AN159" s="252"/>
      <c r="AO159" s="252"/>
      <c r="AP159" s="252"/>
      <c r="AQ159" s="252"/>
      <c r="AR159" s="252"/>
      <c r="AS159" s="252"/>
      <c r="AT159" s="252"/>
      <c r="AU159" s="250"/>
      <c r="AV159" s="252"/>
      <c r="AW159" s="252"/>
      <c r="AX159" s="252"/>
      <c r="AY159" s="252"/>
      <c r="AZ159" s="252"/>
      <c r="BA159" s="252"/>
      <c r="BB159" s="252"/>
      <c r="BC159" s="252"/>
      <c r="BD159" s="252"/>
      <c r="BE159" s="252"/>
      <c r="BF159" s="252"/>
      <c r="BG159" s="252"/>
    </row>
    <row r="160" spans="2:68" s="214" customFormat="1" ht="18.75" customHeight="1">
      <c r="B160" s="252"/>
      <c r="C160" s="408"/>
      <c r="D160" s="408"/>
      <c r="E160" s="408"/>
      <c r="F160" s="408"/>
      <c r="G160" s="408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17"/>
      <c r="S160" s="250"/>
      <c r="T160" s="250"/>
      <c r="U160" s="250"/>
      <c r="V160" s="250"/>
      <c r="W160" s="250"/>
      <c r="X160" s="250"/>
      <c r="Y160" s="250"/>
      <c r="Z160" s="250"/>
      <c r="AA160" s="250"/>
      <c r="AB160" s="250"/>
      <c r="AC160" s="252"/>
      <c r="AD160" s="252"/>
      <c r="AE160" s="252"/>
      <c r="AF160" s="252"/>
      <c r="AG160" s="252"/>
      <c r="AH160" s="252"/>
      <c r="AI160" s="252"/>
      <c r="AJ160" s="252"/>
      <c r="AK160" s="252"/>
      <c r="AL160" s="252"/>
      <c r="AM160" s="252"/>
      <c r="AN160" s="252"/>
      <c r="AO160" s="252"/>
      <c r="AP160" s="252"/>
      <c r="AQ160" s="252"/>
      <c r="AR160" s="252"/>
      <c r="AS160" s="252"/>
      <c r="AT160" s="252"/>
      <c r="AU160" s="252"/>
      <c r="AV160" s="252"/>
      <c r="AW160" s="252"/>
      <c r="AX160" s="252"/>
      <c r="AY160" s="252"/>
      <c r="AZ160" s="252"/>
      <c r="BA160" s="252"/>
      <c r="BB160" s="252"/>
      <c r="BC160" s="252"/>
      <c r="BD160" s="252"/>
      <c r="BE160" s="252"/>
      <c r="BF160" s="252"/>
      <c r="BG160" s="252"/>
    </row>
    <row r="161" spans="2:67" s="214" customFormat="1" ht="18.75" customHeight="1">
      <c r="B161" s="252"/>
      <c r="C161" s="250"/>
      <c r="D161" s="250"/>
      <c r="E161" s="250"/>
      <c r="F161" s="250"/>
      <c r="G161" s="252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0"/>
      <c r="X161" s="250"/>
      <c r="Y161" s="250"/>
      <c r="Z161" s="250"/>
      <c r="AA161" s="252"/>
      <c r="AB161" s="252"/>
      <c r="AC161" s="252"/>
      <c r="AD161" s="252"/>
      <c r="AE161" s="252"/>
      <c r="AF161" s="252"/>
      <c r="AG161" s="252"/>
      <c r="AH161" s="252"/>
      <c r="AI161" s="252"/>
      <c r="AJ161" s="252"/>
      <c r="AK161" s="252"/>
      <c r="AL161" s="252"/>
      <c r="AM161" s="252"/>
      <c r="AN161" s="252"/>
      <c r="AO161" s="252"/>
      <c r="AP161" s="252"/>
      <c r="AQ161" s="252"/>
      <c r="AR161" s="252"/>
      <c r="AS161" s="252"/>
      <c r="AT161" s="252"/>
      <c r="AU161" s="252"/>
      <c r="AV161" s="252"/>
      <c r="AW161" s="252"/>
      <c r="AX161" s="252"/>
      <c r="AY161" s="252"/>
      <c r="AZ161" s="252"/>
      <c r="BA161" s="252"/>
      <c r="BB161" s="252"/>
      <c r="BC161" s="252"/>
      <c r="BD161" s="252"/>
      <c r="BE161" s="252"/>
      <c r="BF161" s="252"/>
      <c r="BG161" s="252"/>
    </row>
    <row r="162" spans="2:67" s="214" customFormat="1" ht="18.75" customHeight="1">
      <c r="B162" s="207" t="s">
        <v>640</v>
      </c>
      <c r="C162" s="190" t="str">
        <f>$B$5&amp;"와 "&amp;$H$5&amp;"의 열팽창계수 차에 의한 표준불확도,"</f>
        <v>캘리퍼 검사기와 게이지 블록의 열팽창계수 차에 의한 표준불확도,</v>
      </c>
      <c r="D162" s="250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250"/>
      <c r="AA162" s="250"/>
      <c r="AB162" s="250"/>
      <c r="AD162" s="220" t="s">
        <v>641</v>
      </c>
      <c r="AE162" s="250"/>
      <c r="AF162" s="250"/>
      <c r="AG162" s="250"/>
      <c r="AH162" s="250"/>
      <c r="AI162" s="250"/>
      <c r="AJ162" s="250"/>
      <c r="AK162" s="250"/>
      <c r="AL162" s="250"/>
      <c r="AM162" s="250"/>
      <c r="AN162" s="250"/>
      <c r="AO162" s="250"/>
      <c r="AP162" s="250"/>
      <c r="AQ162" s="250"/>
      <c r="AR162" s="250"/>
      <c r="AS162" s="250"/>
      <c r="AT162" s="250"/>
      <c r="AU162" s="250"/>
      <c r="AV162" s="250"/>
      <c r="AW162" s="250"/>
      <c r="AX162" s="250"/>
      <c r="AY162" s="250"/>
      <c r="AZ162" s="250"/>
      <c r="BA162" s="250"/>
      <c r="BB162" s="252"/>
      <c r="BC162" s="252"/>
      <c r="BD162" s="252"/>
      <c r="BE162" s="252"/>
      <c r="BF162" s="252"/>
      <c r="BG162" s="252"/>
    </row>
    <row r="163" spans="2:67" s="214" customFormat="1" ht="18.75" customHeight="1">
      <c r="B163" s="190"/>
      <c r="C163" s="250" t="str">
        <f>"※ "&amp;$B$5&amp;"와 "&amp;$H$5&amp;"의 열팽창계수 차이 :"</f>
        <v>※ 캘리퍼 검사기와 게이지 블록의 열팽창계수 차이 :</v>
      </c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2"/>
      <c r="T163" s="250"/>
      <c r="U163" s="250"/>
      <c r="V163" s="250"/>
      <c r="W163" s="250"/>
      <c r="X163" s="250" t="s">
        <v>469</v>
      </c>
      <c r="Z163" s="250"/>
      <c r="AA163" s="250"/>
      <c r="AB163" s="250"/>
      <c r="AC163" s="250"/>
      <c r="AD163" s="252"/>
      <c r="AE163" s="252"/>
      <c r="AF163" s="252"/>
      <c r="AG163" s="252"/>
      <c r="AH163" s="250"/>
      <c r="AI163" s="250"/>
      <c r="AJ163" s="250"/>
      <c r="AK163" s="250"/>
      <c r="AL163" s="250"/>
      <c r="AM163" s="250"/>
      <c r="AN163" s="250"/>
      <c r="AO163" s="250"/>
      <c r="AP163" s="250"/>
      <c r="AQ163" s="250"/>
      <c r="AR163" s="250"/>
      <c r="AS163" s="250"/>
      <c r="AT163" s="250"/>
      <c r="AU163" s="250"/>
      <c r="AV163" s="250"/>
      <c r="AW163" s="250"/>
      <c r="AX163" s="250"/>
      <c r="AY163" s="250"/>
      <c r="AZ163" s="250"/>
      <c r="BA163" s="250"/>
      <c r="BB163" s="252"/>
      <c r="BC163" s="252"/>
      <c r="BD163" s="252"/>
      <c r="BE163" s="252"/>
      <c r="BF163" s="252"/>
      <c r="BG163" s="252"/>
    </row>
    <row r="164" spans="2:67" s="214" customFormat="1" ht="18.75" customHeight="1">
      <c r="B164" s="252"/>
      <c r="C164" s="257" t="s">
        <v>470</v>
      </c>
      <c r="D164" s="252"/>
      <c r="E164" s="252"/>
      <c r="F164" s="252"/>
      <c r="G164" s="252"/>
      <c r="H164" s="496" t="e">
        <f ca="1">H87*10^6</f>
        <v>#N/A</v>
      </c>
      <c r="I164" s="496"/>
      <c r="J164" s="496"/>
      <c r="K164" s="260" t="s">
        <v>642</v>
      </c>
      <c r="L164" s="260"/>
      <c r="M164" s="260"/>
      <c r="N164" s="260"/>
      <c r="O164" s="260"/>
      <c r="P164" s="26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  <c r="AA164" s="250"/>
      <c r="AB164" s="250"/>
      <c r="AC164" s="250"/>
      <c r="AD164" s="250"/>
      <c r="AE164" s="250"/>
      <c r="AF164" s="250"/>
      <c r="AG164" s="250"/>
      <c r="AH164" s="250"/>
      <c r="AI164" s="250"/>
      <c r="AJ164" s="250"/>
      <c r="AK164" s="250"/>
      <c r="AL164" s="250"/>
      <c r="AM164" s="250"/>
      <c r="AN164" s="250"/>
      <c r="AO164" s="250"/>
      <c r="AP164" s="250"/>
      <c r="AQ164" s="250"/>
      <c r="AR164" s="250"/>
      <c r="AS164" s="250"/>
      <c r="AT164" s="252"/>
      <c r="AU164" s="252"/>
      <c r="AV164" s="252"/>
      <c r="AW164" s="252"/>
      <c r="AX164" s="252"/>
      <c r="AY164" s="252"/>
      <c r="AZ164" s="252"/>
      <c r="BA164" s="252"/>
      <c r="BB164" s="252"/>
      <c r="BC164" s="252"/>
      <c r="BD164" s="252"/>
      <c r="BE164" s="252"/>
      <c r="BF164" s="252"/>
      <c r="BG164" s="252"/>
    </row>
    <row r="165" spans="2:67" s="214" customFormat="1" ht="18.75" customHeight="1">
      <c r="B165" s="252"/>
      <c r="C165" s="250" t="s">
        <v>643</v>
      </c>
      <c r="D165" s="250"/>
      <c r="E165" s="250"/>
      <c r="F165" s="250"/>
      <c r="G165" s="250"/>
      <c r="H165" s="250"/>
      <c r="I165" s="252"/>
      <c r="J165" s="250" t="s">
        <v>644</v>
      </c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U165" s="252"/>
      <c r="V165" s="252"/>
      <c r="W165" s="193"/>
      <c r="X165" s="250"/>
      <c r="Y165" s="250"/>
      <c r="Z165" s="250"/>
      <c r="AA165" s="250"/>
      <c r="AB165" s="250"/>
      <c r="AC165" s="250"/>
      <c r="AD165" s="250"/>
      <c r="AE165" s="250"/>
      <c r="AF165" s="250"/>
      <c r="AG165" s="250"/>
      <c r="AH165" s="250"/>
      <c r="AI165" s="250"/>
      <c r="AJ165" s="250"/>
      <c r="AK165" s="250"/>
      <c r="AL165" s="252"/>
      <c r="AM165" s="252"/>
      <c r="AN165" s="252"/>
      <c r="AO165" s="250"/>
      <c r="AP165" s="250"/>
      <c r="AQ165" s="250"/>
      <c r="AR165" s="250"/>
      <c r="AS165" s="250"/>
      <c r="AT165" s="250"/>
      <c r="AU165" s="250"/>
      <c r="AV165" s="250"/>
      <c r="AW165" s="250"/>
      <c r="AX165" s="250"/>
      <c r="AY165" s="250"/>
      <c r="AZ165" s="250"/>
      <c r="BA165" s="250"/>
      <c r="BB165" s="250"/>
      <c r="BC165" s="250"/>
      <c r="BD165" s="250"/>
      <c r="BE165" s="250"/>
      <c r="BF165" s="250"/>
      <c r="BG165" s="250"/>
      <c r="BH165" s="267"/>
      <c r="BI165" s="267"/>
      <c r="BJ165" s="267"/>
      <c r="BK165" s="267"/>
      <c r="BL165" s="267"/>
      <c r="BM165" s="267"/>
    </row>
    <row r="166" spans="2:67" s="214" customFormat="1" ht="18.75" customHeight="1">
      <c r="B166" s="252"/>
      <c r="C166" s="250"/>
      <c r="D166" s="250"/>
      <c r="E166" s="250"/>
      <c r="F166" s="250"/>
      <c r="G166" s="250"/>
      <c r="H166" s="250"/>
      <c r="I166" s="252"/>
      <c r="J166" s="250" t="s">
        <v>645</v>
      </c>
      <c r="K166" s="250"/>
      <c r="L166" s="250"/>
      <c r="M166" s="250"/>
      <c r="N166" s="250"/>
      <c r="O166" s="250"/>
      <c r="P166" s="250"/>
      <c r="Q166" s="250"/>
      <c r="R166" s="250"/>
      <c r="S166" s="250"/>
      <c r="T166" s="252"/>
      <c r="U166" s="250"/>
      <c r="V166" s="193"/>
      <c r="W166" s="250"/>
      <c r="X166" s="250"/>
      <c r="Y166" s="250"/>
      <c r="Z166" s="250"/>
      <c r="AA166" s="250"/>
      <c r="AB166" s="250"/>
      <c r="AC166" s="250"/>
      <c r="AD166" s="252"/>
      <c r="AE166" s="250"/>
      <c r="AF166" s="250"/>
      <c r="AG166" s="250"/>
      <c r="AH166" s="250"/>
      <c r="AI166" s="250"/>
      <c r="AJ166" s="250"/>
      <c r="AK166" s="252"/>
      <c r="AL166" s="252"/>
      <c r="AM166" s="252"/>
      <c r="AN166" s="252"/>
      <c r="AO166" s="250"/>
      <c r="AP166" s="250"/>
      <c r="AQ166" s="250"/>
      <c r="AR166" s="250"/>
      <c r="AS166" s="250"/>
      <c r="AT166" s="250"/>
      <c r="AU166" s="250"/>
      <c r="AV166" s="250"/>
      <c r="AW166" s="250"/>
      <c r="AX166" s="250"/>
      <c r="AY166" s="250"/>
      <c r="AZ166" s="250"/>
      <c r="BA166" s="250"/>
      <c r="BB166" s="250"/>
      <c r="BC166" s="250"/>
      <c r="BD166" s="250"/>
      <c r="BE166" s="250"/>
      <c r="BF166" s="250"/>
      <c r="BG166" s="250"/>
      <c r="BH166" s="267"/>
      <c r="BI166" s="267"/>
      <c r="BJ166" s="267"/>
      <c r="BK166" s="267"/>
      <c r="BL166" s="267"/>
      <c r="BM166" s="267"/>
      <c r="BN166" s="267"/>
    </row>
    <row r="167" spans="2:67" s="214" customFormat="1" ht="18.75" customHeight="1">
      <c r="B167" s="252"/>
      <c r="C167" s="250"/>
      <c r="D167" s="250"/>
      <c r="E167" s="250"/>
      <c r="F167" s="250"/>
      <c r="G167" s="250"/>
      <c r="H167" s="250"/>
      <c r="I167" s="250"/>
      <c r="J167" s="252"/>
      <c r="K167" s="257" t="s">
        <v>646</v>
      </c>
      <c r="L167" s="257"/>
      <c r="M167" s="257"/>
      <c r="N167" s="257"/>
      <c r="O167" s="257"/>
      <c r="P167" s="257"/>
      <c r="Q167" s="257"/>
      <c r="R167" s="257"/>
      <c r="S167" s="257"/>
      <c r="T167" s="250"/>
      <c r="U167" s="250"/>
      <c r="V167" s="250"/>
      <c r="W167" s="250"/>
      <c r="X167" s="250"/>
      <c r="Y167" s="250"/>
      <c r="Z167" s="250"/>
      <c r="AA167" s="250"/>
      <c r="AB167" s="250"/>
      <c r="AC167" s="250"/>
      <c r="AD167" s="250"/>
      <c r="AE167" s="250"/>
      <c r="AF167" s="250"/>
      <c r="AG167" s="216"/>
      <c r="AH167" s="250"/>
      <c r="AI167" s="250"/>
      <c r="AJ167" s="250"/>
      <c r="AK167" s="250"/>
      <c r="AL167" s="252"/>
      <c r="AM167" s="252"/>
      <c r="AN167" s="252"/>
      <c r="AO167" s="252"/>
      <c r="AP167" s="250"/>
      <c r="AQ167" s="250"/>
      <c r="AR167" s="250"/>
      <c r="AS167" s="250"/>
      <c r="AT167" s="250"/>
      <c r="AU167" s="250"/>
      <c r="AV167" s="250"/>
      <c r="AW167" s="250"/>
      <c r="AX167" s="250"/>
      <c r="AY167" s="250"/>
      <c r="AZ167" s="250"/>
      <c r="BA167" s="250"/>
      <c r="BB167" s="250"/>
      <c r="BC167" s="250"/>
      <c r="BD167" s="250"/>
      <c r="BE167" s="250"/>
      <c r="BF167" s="250"/>
      <c r="BG167" s="250"/>
      <c r="BH167" s="250"/>
      <c r="BI167" s="267"/>
      <c r="BJ167" s="267"/>
      <c r="BK167" s="267"/>
      <c r="BL167" s="267"/>
      <c r="BM167" s="267"/>
      <c r="BN167" s="267"/>
      <c r="BO167" s="267"/>
    </row>
    <row r="168" spans="2:67" s="214" customFormat="1" ht="18.75" customHeight="1">
      <c r="B168" s="252"/>
      <c r="C168" s="250"/>
      <c r="D168" s="250"/>
      <c r="E168" s="250"/>
      <c r="F168" s="250"/>
      <c r="G168" s="250"/>
      <c r="H168" s="250"/>
      <c r="I168" s="250"/>
      <c r="J168" s="252"/>
      <c r="K168" s="252"/>
      <c r="L168" s="205"/>
      <c r="M168" s="205"/>
      <c r="N168" s="252"/>
      <c r="O168" s="252"/>
      <c r="P168" s="252"/>
      <c r="Q168" s="252"/>
      <c r="R168" s="252"/>
      <c r="S168" s="252"/>
      <c r="T168" s="250"/>
      <c r="U168" s="250"/>
      <c r="V168" s="250"/>
      <c r="W168" s="250"/>
      <c r="X168" s="250"/>
      <c r="Y168" s="250"/>
      <c r="Z168" s="252"/>
      <c r="AA168" s="250"/>
      <c r="AB168" s="216"/>
      <c r="AC168" s="216"/>
      <c r="AD168" s="216"/>
      <c r="AE168" s="216"/>
      <c r="AF168" s="216"/>
      <c r="AG168" s="252"/>
      <c r="AH168" s="216"/>
      <c r="AI168" s="216"/>
      <c r="AJ168" s="216"/>
      <c r="AK168" s="216"/>
      <c r="AL168" s="252"/>
      <c r="AM168" s="217"/>
      <c r="AN168" s="217"/>
      <c r="AO168" s="217"/>
      <c r="AP168" s="217"/>
      <c r="AQ168" s="250"/>
      <c r="AR168" s="250"/>
      <c r="AS168" s="250"/>
      <c r="AT168" s="250"/>
      <c r="AU168" s="250"/>
      <c r="AV168" s="250"/>
      <c r="AW168" s="250"/>
      <c r="AX168" s="250"/>
      <c r="AY168" s="250"/>
      <c r="AZ168" s="250"/>
      <c r="BA168" s="250"/>
      <c r="BB168" s="250"/>
      <c r="BC168" s="250"/>
      <c r="BD168" s="250"/>
      <c r="BE168" s="250"/>
      <c r="BF168" s="250"/>
      <c r="BG168" s="250"/>
      <c r="BH168" s="250"/>
      <c r="BI168" s="267"/>
      <c r="BJ168" s="267"/>
      <c r="BK168" s="267"/>
      <c r="BL168" s="267"/>
      <c r="BM168" s="267"/>
    </row>
    <row r="169" spans="2:67" s="214" customFormat="1" ht="18.75" customHeight="1">
      <c r="B169" s="252"/>
      <c r="C169" s="250" t="s">
        <v>647</v>
      </c>
      <c r="D169" s="250"/>
      <c r="E169" s="250"/>
      <c r="F169" s="250"/>
      <c r="G169" s="250"/>
      <c r="H169" s="250"/>
      <c r="I169" s="476" t="str">
        <f>AB87</f>
        <v>삼각형</v>
      </c>
      <c r="J169" s="476"/>
      <c r="K169" s="476"/>
      <c r="L169" s="476"/>
      <c r="M169" s="476"/>
      <c r="N169" s="476"/>
      <c r="O169" s="476"/>
      <c r="P169" s="476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252"/>
      <c r="AB169" s="252"/>
      <c r="AC169" s="252"/>
      <c r="AD169" s="252"/>
      <c r="AE169" s="252"/>
      <c r="AF169" s="212"/>
      <c r="AG169" s="252"/>
      <c r="AH169" s="252"/>
      <c r="AI169" s="250"/>
      <c r="AJ169" s="250"/>
      <c r="AK169" s="250"/>
      <c r="AL169" s="250"/>
      <c r="AM169" s="250"/>
      <c r="AN169" s="250"/>
      <c r="AO169" s="250"/>
      <c r="AP169" s="250"/>
      <c r="AQ169" s="250"/>
      <c r="AR169" s="250"/>
      <c r="AS169" s="250"/>
      <c r="AT169" s="250"/>
      <c r="AU169" s="250"/>
      <c r="AV169" s="250"/>
      <c r="AW169" s="250"/>
      <c r="AX169" s="250"/>
      <c r="AY169" s="250"/>
      <c r="AZ169" s="250"/>
      <c r="BA169" s="250"/>
      <c r="BB169" s="250"/>
      <c r="BC169" s="250"/>
      <c r="BD169" s="250"/>
      <c r="BE169" s="250"/>
      <c r="BF169" s="250"/>
      <c r="BG169" s="250"/>
      <c r="BH169" s="267"/>
      <c r="BI169" s="267"/>
      <c r="BJ169" s="267"/>
      <c r="BK169" s="267"/>
      <c r="BL169" s="267"/>
      <c r="BM169" s="267"/>
      <c r="BN169" s="267"/>
    </row>
    <row r="170" spans="2:67" s="214" customFormat="1" ht="18.75" customHeight="1">
      <c r="B170" s="252"/>
      <c r="C170" s="408" t="s">
        <v>648</v>
      </c>
      <c r="D170" s="408"/>
      <c r="E170" s="408"/>
      <c r="F170" s="408"/>
      <c r="G170" s="408"/>
      <c r="H170" s="408"/>
      <c r="I170" s="250"/>
      <c r="J170" s="252"/>
      <c r="K170" s="250"/>
      <c r="L170" s="250"/>
      <c r="M170" s="250"/>
      <c r="N170" s="250"/>
      <c r="O170" s="250"/>
      <c r="P170" s="250"/>
      <c r="S170" s="426" t="e">
        <f>-H88</f>
        <v>#VALUE!</v>
      </c>
      <c r="T170" s="426"/>
      <c r="U170" s="408" t="s">
        <v>622</v>
      </c>
      <c r="V170" s="408"/>
      <c r="W170" s="408"/>
      <c r="X170" s="408"/>
      <c r="Y170" s="408"/>
      <c r="Z170" s="408"/>
      <c r="AA170" s="409" t="s">
        <v>453</v>
      </c>
      <c r="AB170" s="426" t="e">
        <f>S170*1000</f>
        <v>#VALUE!</v>
      </c>
      <c r="AC170" s="426"/>
      <c r="AD170" s="426"/>
      <c r="AE170" s="408" t="s">
        <v>445</v>
      </c>
      <c r="AF170" s="408"/>
      <c r="AG170" s="408"/>
      <c r="AH170" s="408"/>
      <c r="AI170" s="408"/>
      <c r="AJ170" s="260"/>
      <c r="AK170" s="250"/>
      <c r="AL170" s="250"/>
      <c r="AM170" s="250"/>
      <c r="AN170" s="250"/>
      <c r="AP170" s="250"/>
      <c r="AQ170" s="250"/>
      <c r="AR170" s="252"/>
      <c r="AS170" s="252"/>
      <c r="AT170" s="252"/>
      <c r="AU170" s="252"/>
      <c r="AV170" s="252"/>
      <c r="AW170" s="252"/>
      <c r="AX170" s="252"/>
      <c r="AY170" s="252"/>
      <c r="AZ170" s="252"/>
      <c r="BA170" s="250"/>
      <c r="BB170" s="250"/>
      <c r="BC170" s="250"/>
    </row>
    <row r="171" spans="2:67" s="214" customFormat="1" ht="18.75" customHeight="1">
      <c r="B171" s="252"/>
      <c r="C171" s="408"/>
      <c r="D171" s="408"/>
      <c r="E171" s="408"/>
      <c r="F171" s="408"/>
      <c r="G171" s="408"/>
      <c r="H171" s="408"/>
      <c r="I171" s="250"/>
      <c r="J171" s="250"/>
      <c r="K171" s="250"/>
      <c r="L171" s="250"/>
      <c r="M171" s="250"/>
      <c r="N171" s="250"/>
      <c r="O171" s="250"/>
      <c r="P171" s="252"/>
      <c r="S171" s="426"/>
      <c r="T171" s="426"/>
      <c r="U171" s="408"/>
      <c r="V171" s="408"/>
      <c r="W171" s="408"/>
      <c r="X171" s="408"/>
      <c r="Y171" s="408"/>
      <c r="Z171" s="408"/>
      <c r="AA171" s="409"/>
      <c r="AB171" s="426"/>
      <c r="AC171" s="426"/>
      <c r="AD171" s="426"/>
      <c r="AE171" s="408"/>
      <c r="AF171" s="408"/>
      <c r="AG171" s="408"/>
      <c r="AH171" s="408"/>
      <c r="AI171" s="408"/>
      <c r="AJ171" s="260"/>
      <c r="AK171" s="250"/>
      <c r="AM171" s="250"/>
      <c r="AN171" s="250"/>
      <c r="AP171" s="250"/>
      <c r="AQ171" s="250"/>
      <c r="AR171" s="252"/>
      <c r="AS171" s="252"/>
      <c r="AT171" s="252"/>
      <c r="AU171" s="252"/>
      <c r="AV171" s="252"/>
      <c r="AW171" s="252"/>
      <c r="AX171" s="252"/>
      <c r="AY171" s="252"/>
      <c r="AZ171" s="252"/>
      <c r="BA171" s="250"/>
      <c r="BB171" s="250"/>
      <c r="BC171" s="250"/>
    </row>
    <row r="172" spans="2:67" s="214" customFormat="1" ht="18.75" customHeight="1">
      <c r="B172" s="252"/>
      <c r="C172" s="250" t="s">
        <v>649</v>
      </c>
      <c r="D172" s="250"/>
      <c r="E172" s="250"/>
      <c r="F172" s="250"/>
      <c r="G172" s="250"/>
      <c r="H172" s="250"/>
      <c r="I172" s="250"/>
      <c r="J172" s="252"/>
      <c r="K172" s="252" t="s">
        <v>464</v>
      </c>
      <c r="L172" s="489" t="e">
        <f>AB170</f>
        <v>#VALUE!</v>
      </c>
      <c r="M172" s="489"/>
      <c r="N172" s="489"/>
      <c r="O172" s="217" t="s">
        <v>471</v>
      </c>
      <c r="P172" s="268"/>
      <c r="R172" s="252"/>
      <c r="S172" s="252"/>
      <c r="T172" s="252"/>
      <c r="U172" s="252"/>
      <c r="V172" s="252"/>
      <c r="W172" s="252"/>
      <c r="X172" s="252"/>
      <c r="Y172" s="252"/>
      <c r="Z172" s="252" t="s">
        <v>455</v>
      </c>
      <c r="AA172" s="252" t="s">
        <v>453</v>
      </c>
      <c r="AB172" s="491" t="e">
        <f>ABS(L172*O87)</f>
        <v>#VALUE!</v>
      </c>
      <c r="AC172" s="491"/>
      <c r="AD172" s="491"/>
      <c r="AE172" s="518"/>
      <c r="AF172" s="250" t="s">
        <v>551</v>
      </c>
      <c r="AG172" s="257"/>
      <c r="AH172" s="252"/>
      <c r="AI172" s="252"/>
      <c r="AK172" s="250"/>
      <c r="AL172" s="250"/>
      <c r="AM172" s="250"/>
      <c r="AN172" s="250"/>
      <c r="AO172" s="252"/>
      <c r="AP172" s="252"/>
      <c r="AQ172" s="252"/>
      <c r="AR172" s="252"/>
      <c r="AS172" s="252"/>
      <c r="AT172" s="217"/>
      <c r="AU172" s="250"/>
      <c r="AV172" s="250"/>
      <c r="AW172" s="250"/>
      <c r="AX172" s="259"/>
      <c r="AY172" s="217"/>
      <c r="AZ172" s="250"/>
      <c r="BA172" s="250"/>
      <c r="BB172" s="250"/>
      <c r="BC172" s="250"/>
      <c r="BD172" s="250"/>
      <c r="BE172" s="250"/>
      <c r="BF172" s="252"/>
      <c r="BG172" s="250"/>
      <c r="BH172" s="250"/>
      <c r="BI172" s="267"/>
      <c r="BJ172" s="267"/>
      <c r="BK172" s="267"/>
    </row>
    <row r="173" spans="2:67" s="214" customFormat="1" ht="18.75" customHeight="1">
      <c r="B173" s="252"/>
      <c r="C173" s="408" t="s">
        <v>650</v>
      </c>
      <c r="D173" s="408"/>
      <c r="E173" s="408"/>
      <c r="F173" s="408"/>
      <c r="G173" s="408"/>
      <c r="H173" s="250"/>
      <c r="J173" s="250"/>
      <c r="K173" s="250"/>
      <c r="L173" s="250"/>
      <c r="M173" s="250"/>
      <c r="N173" s="250"/>
      <c r="O173" s="250"/>
      <c r="P173" s="250"/>
      <c r="Q173" s="250"/>
      <c r="R173" s="217"/>
      <c r="S173" s="250"/>
      <c r="T173" s="250"/>
      <c r="U173" s="250"/>
      <c r="W173" s="250"/>
      <c r="X173" s="250"/>
      <c r="Y173" s="250"/>
      <c r="Z173" s="250"/>
      <c r="AA173" s="191" t="s">
        <v>651</v>
      </c>
      <c r="AB173" s="250"/>
      <c r="AC173" s="250"/>
      <c r="AD173" s="250"/>
      <c r="AE173" s="252"/>
      <c r="AF173" s="252"/>
      <c r="AH173" s="252"/>
      <c r="AI173" s="252"/>
      <c r="AJ173" s="252"/>
      <c r="AK173" s="252"/>
      <c r="AL173" s="252"/>
      <c r="AM173" s="252"/>
      <c r="AN173" s="252"/>
      <c r="AO173" s="252"/>
      <c r="AP173" s="252"/>
      <c r="AQ173" s="252"/>
      <c r="AR173" s="252"/>
      <c r="AS173" s="252"/>
      <c r="AT173" s="252"/>
      <c r="AU173" s="252"/>
      <c r="AV173" s="252"/>
      <c r="AW173" s="252"/>
      <c r="AX173" s="252"/>
      <c r="AY173" s="252"/>
      <c r="AZ173" s="252"/>
      <c r="BA173" s="252"/>
      <c r="BB173" s="252"/>
      <c r="BC173" s="252"/>
      <c r="BD173" s="252"/>
      <c r="BE173" s="252"/>
      <c r="BF173" s="252"/>
      <c r="BG173" s="252"/>
      <c r="BH173" s="267"/>
      <c r="BI173" s="267"/>
      <c r="BJ173" s="267"/>
      <c r="BK173" s="267"/>
      <c r="BL173" s="267"/>
    </row>
    <row r="174" spans="2:67" s="214" customFormat="1" ht="18.75" customHeight="1">
      <c r="B174" s="252"/>
      <c r="C174" s="408"/>
      <c r="D174" s="408"/>
      <c r="E174" s="408"/>
      <c r="F174" s="408"/>
      <c r="G174" s="408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17"/>
      <c r="S174" s="250"/>
      <c r="T174" s="250"/>
      <c r="U174" s="250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2"/>
      <c r="AF174" s="252"/>
      <c r="AG174" s="252"/>
      <c r="AH174" s="252"/>
      <c r="AI174" s="252"/>
      <c r="AJ174" s="252"/>
      <c r="AK174" s="252"/>
      <c r="AL174" s="252"/>
      <c r="AM174" s="252"/>
      <c r="AN174" s="252"/>
      <c r="AO174" s="252"/>
      <c r="AP174" s="252"/>
      <c r="AQ174" s="252"/>
      <c r="AR174" s="252"/>
      <c r="AS174" s="252"/>
      <c r="AT174" s="252"/>
      <c r="AU174" s="252"/>
      <c r="AV174" s="252"/>
      <c r="AW174" s="252"/>
      <c r="AX174" s="252"/>
      <c r="AY174" s="252"/>
      <c r="AZ174" s="252"/>
      <c r="BA174" s="252"/>
      <c r="BB174" s="252"/>
      <c r="BC174" s="252"/>
      <c r="BD174" s="252"/>
      <c r="BE174" s="252"/>
      <c r="BF174" s="252"/>
      <c r="BG174" s="252"/>
      <c r="BH174" s="267"/>
      <c r="BI174" s="267"/>
      <c r="BJ174" s="267"/>
      <c r="BK174" s="267"/>
      <c r="BL174" s="267"/>
    </row>
    <row r="175" spans="2:67" s="214" customFormat="1" ht="18.75" customHeight="1">
      <c r="B175" s="252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17"/>
      <c r="S175" s="250"/>
      <c r="T175" s="250"/>
      <c r="U175" s="250"/>
      <c r="V175" s="250"/>
      <c r="W175" s="250"/>
      <c r="X175" s="250"/>
      <c r="Y175" s="250"/>
      <c r="Z175" s="476">
        <v>100</v>
      </c>
      <c r="AA175" s="476"/>
      <c r="AD175" s="250"/>
      <c r="AE175" s="252"/>
      <c r="AF175" s="252"/>
      <c r="AG175" s="252"/>
      <c r="AH175" s="252"/>
      <c r="AI175" s="252"/>
      <c r="AJ175" s="252"/>
      <c r="AK175" s="252"/>
      <c r="AL175" s="252"/>
      <c r="AM175" s="252"/>
      <c r="AN175" s="252"/>
      <c r="AO175" s="252"/>
      <c r="AP175" s="252"/>
      <c r="AQ175" s="252"/>
      <c r="AR175" s="252"/>
      <c r="AS175" s="252"/>
      <c r="AT175" s="252"/>
      <c r="AU175" s="252"/>
      <c r="AV175" s="252"/>
      <c r="AW175" s="252"/>
      <c r="AX175" s="252"/>
      <c r="AY175" s="252"/>
      <c r="AZ175" s="252"/>
      <c r="BA175" s="252"/>
      <c r="BB175" s="252"/>
      <c r="BC175" s="252"/>
      <c r="BD175" s="252"/>
      <c r="BE175" s="252"/>
      <c r="BF175" s="252"/>
      <c r="BG175" s="252"/>
      <c r="BH175" s="267"/>
      <c r="BI175" s="267"/>
      <c r="BJ175" s="267"/>
      <c r="BK175" s="267"/>
      <c r="BL175" s="267"/>
    </row>
    <row r="176" spans="2:67" s="214" customFormat="1" ht="18.75" customHeight="1">
      <c r="B176" s="252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17"/>
      <c r="S176" s="250"/>
      <c r="T176" s="250"/>
      <c r="U176" s="250"/>
      <c r="V176" s="250"/>
      <c r="W176" s="250"/>
      <c r="X176" s="250"/>
      <c r="Y176" s="250"/>
      <c r="Z176" s="476"/>
      <c r="AA176" s="476"/>
      <c r="AD176" s="250"/>
      <c r="AE176" s="252"/>
      <c r="AF176" s="252"/>
      <c r="AG176" s="252"/>
      <c r="AH176" s="252"/>
      <c r="AI176" s="252"/>
      <c r="AJ176" s="252"/>
      <c r="AK176" s="252"/>
      <c r="AL176" s="252"/>
      <c r="AM176" s="252"/>
      <c r="AN176" s="252"/>
      <c r="AO176" s="252"/>
      <c r="AP176" s="252"/>
      <c r="AQ176" s="252"/>
      <c r="AR176" s="252"/>
      <c r="AS176" s="252"/>
      <c r="AT176" s="252"/>
      <c r="AU176" s="252"/>
      <c r="AV176" s="252"/>
      <c r="AW176" s="252"/>
      <c r="AX176" s="252"/>
      <c r="AY176" s="252"/>
      <c r="AZ176" s="252"/>
      <c r="BA176" s="252"/>
      <c r="BB176" s="252"/>
      <c r="BC176" s="252"/>
      <c r="BD176" s="252"/>
      <c r="BE176" s="252"/>
      <c r="BF176" s="252"/>
      <c r="BG176" s="252"/>
      <c r="BH176" s="267"/>
      <c r="BI176" s="267"/>
      <c r="BJ176" s="267"/>
      <c r="BK176" s="267"/>
      <c r="BL176" s="267"/>
    </row>
    <row r="177" spans="2:74" s="214" customFormat="1" ht="18.75" customHeight="1">
      <c r="B177" s="252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17"/>
      <c r="S177" s="250"/>
      <c r="T177" s="250"/>
      <c r="U177" s="250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2"/>
      <c r="AF177" s="252"/>
      <c r="AG177" s="252"/>
      <c r="AH177" s="252"/>
      <c r="AI177" s="252"/>
      <c r="AJ177" s="252"/>
      <c r="AK177" s="252"/>
      <c r="AL177" s="252"/>
      <c r="AM177" s="252"/>
      <c r="AN177" s="252"/>
      <c r="AO177" s="252"/>
      <c r="AP177" s="252"/>
      <c r="AQ177" s="252"/>
      <c r="AR177" s="252"/>
      <c r="AS177" s="252"/>
      <c r="AT177" s="252"/>
      <c r="AU177" s="252"/>
      <c r="AV177" s="252"/>
      <c r="AW177" s="252"/>
      <c r="AX177" s="252"/>
      <c r="AY177" s="252"/>
      <c r="AZ177" s="252"/>
      <c r="BA177" s="252"/>
      <c r="BB177" s="252"/>
      <c r="BC177" s="252"/>
      <c r="BD177" s="252"/>
      <c r="BE177" s="252"/>
      <c r="BF177" s="252"/>
      <c r="BG177" s="252"/>
      <c r="BH177" s="267"/>
      <c r="BI177" s="267"/>
      <c r="BJ177" s="267"/>
      <c r="BK177" s="267"/>
      <c r="BL177" s="267"/>
    </row>
    <row r="178" spans="2:74" s="214" customFormat="1" ht="18.75" customHeight="1">
      <c r="B178" s="252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17"/>
      <c r="S178" s="250"/>
      <c r="T178" s="250"/>
      <c r="U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2"/>
      <c r="AF178" s="252"/>
      <c r="AG178" s="252"/>
      <c r="AH178" s="252"/>
      <c r="AI178" s="252"/>
      <c r="AJ178" s="252"/>
      <c r="AK178" s="252"/>
      <c r="AL178" s="252"/>
      <c r="AM178" s="252"/>
      <c r="AN178" s="252"/>
      <c r="AO178" s="252"/>
      <c r="AP178" s="252"/>
      <c r="AQ178" s="252"/>
      <c r="AR178" s="252"/>
      <c r="AS178" s="252"/>
      <c r="AT178" s="252"/>
      <c r="AU178" s="252"/>
      <c r="AV178" s="252"/>
      <c r="AW178" s="252"/>
      <c r="AX178" s="252"/>
      <c r="AY178" s="252"/>
      <c r="AZ178" s="252"/>
      <c r="BA178" s="252"/>
      <c r="BB178" s="252"/>
      <c r="BC178" s="252"/>
      <c r="BD178" s="252"/>
      <c r="BE178" s="252"/>
      <c r="BF178" s="252"/>
      <c r="BG178" s="252"/>
      <c r="BH178" s="250"/>
      <c r="BI178" s="250"/>
      <c r="BJ178" s="250"/>
      <c r="BK178" s="250"/>
    </row>
    <row r="179" spans="2:74" s="214" customFormat="1" ht="18.75" customHeight="1">
      <c r="B179" s="221" t="s">
        <v>652</v>
      </c>
      <c r="C179" s="190" t="str">
        <f>$B$5&amp;"와 "&amp;$H$5&amp;"의 평균온도와 기준 온도와의 차이에 의한 표준불확도,"</f>
        <v>캘리퍼 검사기와 게이지 블록의 평균온도와 기준 온도와의 차이에 의한 표준불확도,</v>
      </c>
      <c r="D179" s="250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  <c r="AH179" s="250"/>
      <c r="AJ179" s="220" t="s">
        <v>653</v>
      </c>
      <c r="AL179" s="250"/>
      <c r="AM179" s="250"/>
      <c r="AN179" s="250"/>
      <c r="AO179" s="250"/>
      <c r="AP179" s="250"/>
      <c r="AQ179" s="250"/>
      <c r="AR179" s="250"/>
      <c r="AS179" s="250"/>
      <c r="AT179" s="250"/>
      <c r="AU179" s="250"/>
      <c r="AV179" s="250"/>
      <c r="AW179" s="250"/>
      <c r="AX179" s="250"/>
      <c r="AY179" s="250"/>
      <c r="AZ179" s="250"/>
      <c r="BA179" s="250"/>
      <c r="BB179" s="250"/>
      <c r="BC179" s="250"/>
      <c r="BD179" s="250"/>
      <c r="BE179" s="250"/>
      <c r="BF179" s="250"/>
      <c r="BG179" s="250"/>
      <c r="BH179" s="267"/>
      <c r="BI179" s="267"/>
      <c r="BJ179" s="267"/>
      <c r="BK179" s="267"/>
      <c r="BL179" s="267"/>
      <c r="BM179" s="267"/>
      <c r="BN179" s="267"/>
    </row>
    <row r="180" spans="2:74" s="214" customFormat="1" ht="18.75" customHeight="1">
      <c r="B180" s="222"/>
      <c r="C180" s="250" t="s">
        <v>654</v>
      </c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250"/>
      <c r="AB180" s="250"/>
      <c r="AC180" s="250"/>
      <c r="AD180" s="250"/>
      <c r="AE180" s="250"/>
      <c r="AF180" s="250"/>
      <c r="AG180" s="250"/>
      <c r="AH180" s="250"/>
      <c r="AI180" s="220"/>
      <c r="AJ180" s="250"/>
      <c r="AL180" s="250"/>
      <c r="AM180" s="250"/>
      <c r="AN180" s="250"/>
      <c r="AO180" s="250"/>
      <c r="AP180" s="250"/>
      <c r="AQ180" s="250"/>
      <c r="AR180" s="250"/>
      <c r="AS180" s="250"/>
      <c r="AT180" s="250"/>
      <c r="AU180" s="250"/>
      <c r="AV180" s="250"/>
      <c r="AW180" s="250"/>
      <c r="AX180" s="250"/>
      <c r="AY180" s="250"/>
      <c r="AZ180" s="250"/>
      <c r="BA180" s="250"/>
      <c r="BB180" s="250"/>
      <c r="BC180" s="250"/>
      <c r="BD180" s="250"/>
      <c r="BE180" s="250"/>
      <c r="BF180" s="250"/>
      <c r="BG180" s="250"/>
      <c r="BH180" s="267"/>
      <c r="BI180" s="267"/>
      <c r="BJ180" s="267"/>
      <c r="BK180" s="267"/>
      <c r="BL180" s="267"/>
      <c r="BM180" s="267"/>
      <c r="BN180" s="267"/>
    </row>
    <row r="181" spans="2:74" s="214" customFormat="1" ht="18.75" customHeight="1">
      <c r="B181" s="222"/>
      <c r="C181" s="190"/>
      <c r="E181" s="193" t="s">
        <v>655</v>
      </c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 t="s">
        <v>656</v>
      </c>
      <c r="R181" s="250"/>
      <c r="S181" s="250"/>
      <c r="T181" s="250"/>
      <c r="U181" s="250"/>
      <c r="V181" s="250"/>
      <c r="W181" s="250"/>
      <c r="X181" s="250"/>
      <c r="Y181" s="250"/>
      <c r="Z181" s="250"/>
      <c r="AA181" s="250"/>
      <c r="AB181" s="250"/>
      <c r="AC181" s="250"/>
      <c r="AD181" s="250"/>
      <c r="AE181" s="250"/>
      <c r="AF181" s="250"/>
      <c r="AG181" s="250"/>
      <c r="AH181" s="250"/>
      <c r="AI181" s="220"/>
      <c r="AJ181" s="250"/>
      <c r="AL181" s="250"/>
      <c r="AM181" s="250"/>
      <c r="AN181" s="250"/>
      <c r="AO181" s="250"/>
      <c r="AP181" s="250"/>
      <c r="AQ181" s="250"/>
      <c r="AR181" s="250"/>
      <c r="AS181" s="250"/>
      <c r="AT181" s="250"/>
      <c r="AU181" s="250"/>
      <c r="AV181" s="250"/>
      <c r="AW181" s="250"/>
      <c r="AX181" s="250"/>
      <c r="AY181" s="250"/>
      <c r="AZ181" s="250"/>
      <c r="BA181" s="250"/>
      <c r="BB181" s="250"/>
      <c r="BC181" s="250"/>
      <c r="BD181" s="250"/>
      <c r="BE181" s="250"/>
      <c r="BF181" s="250"/>
      <c r="BG181" s="250"/>
      <c r="BH181" s="267"/>
      <c r="BI181" s="267"/>
      <c r="BJ181" s="267"/>
      <c r="BK181" s="267"/>
      <c r="BL181" s="267"/>
      <c r="BM181" s="267"/>
      <c r="BN181" s="267"/>
    </row>
    <row r="182" spans="2:74" s="214" customFormat="1" ht="18.75" customHeight="1">
      <c r="B182" s="222"/>
      <c r="C182" s="190"/>
      <c r="D182" s="250" t="s">
        <v>472</v>
      </c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  <c r="AA182" s="250"/>
      <c r="AB182" s="250"/>
      <c r="AC182" s="250"/>
      <c r="AD182" s="250"/>
      <c r="AE182" s="250"/>
      <c r="AF182" s="250"/>
      <c r="AG182" s="250"/>
      <c r="AH182" s="250"/>
      <c r="AI182" s="220"/>
      <c r="AJ182" s="250"/>
      <c r="AL182" s="250"/>
      <c r="AM182" s="250"/>
      <c r="AN182" s="250"/>
      <c r="AO182" s="250"/>
      <c r="AP182" s="250"/>
      <c r="AQ182" s="250"/>
      <c r="AR182" s="250"/>
      <c r="AS182" s="250"/>
      <c r="AT182" s="250"/>
      <c r="AU182" s="250"/>
      <c r="AV182" s="250"/>
      <c r="AW182" s="250"/>
      <c r="AX182" s="250"/>
      <c r="AY182" s="250"/>
      <c r="AZ182" s="250"/>
      <c r="BA182" s="250"/>
      <c r="BB182" s="250"/>
      <c r="BC182" s="250"/>
      <c r="BD182" s="250"/>
      <c r="BE182" s="250"/>
      <c r="BF182" s="250"/>
      <c r="BG182" s="250"/>
      <c r="BH182" s="267"/>
      <c r="BI182" s="267"/>
      <c r="BJ182" s="267"/>
      <c r="BK182" s="267"/>
      <c r="BL182" s="267"/>
      <c r="BM182" s="267"/>
      <c r="BN182" s="267"/>
    </row>
    <row r="183" spans="2:74" s="214" customFormat="1" ht="18.75" customHeight="1">
      <c r="B183" s="222"/>
      <c r="C183" s="190"/>
      <c r="D183" s="250" t="s">
        <v>657</v>
      </c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0"/>
      <c r="Z183" s="250"/>
      <c r="AA183" s="250"/>
      <c r="AB183" s="250"/>
      <c r="AC183" s="250"/>
      <c r="AD183" s="250"/>
      <c r="AE183" s="250"/>
      <c r="AF183" s="250"/>
      <c r="AG183" s="250"/>
      <c r="AH183" s="250"/>
      <c r="AI183" s="220"/>
      <c r="AJ183" s="250"/>
      <c r="AL183" s="250"/>
      <c r="AM183" s="250"/>
      <c r="AN183" s="250"/>
      <c r="AO183" s="250"/>
      <c r="AP183" s="250"/>
      <c r="AQ183" s="250"/>
      <c r="AR183" s="250"/>
      <c r="AS183" s="250"/>
      <c r="AT183" s="250"/>
      <c r="AU183" s="250"/>
      <c r="AV183" s="250"/>
      <c r="AW183" s="250"/>
      <c r="AX183" s="250"/>
      <c r="AY183" s="250"/>
      <c r="AZ183" s="250"/>
      <c r="BA183" s="250"/>
      <c r="BB183" s="250"/>
      <c r="BC183" s="250"/>
      <c r="BD183" s="250"/>
      <c r="BE183" s="250"/>
      <c r="BF183" s="250"/>
      <c r="BG183" s="250"/>
      <c r="BH183" s="267"/>
      <c r="BI183" s="267"/>
      <c r="BJ183" s="267"/>
      <c r="BK183" s="267"/>
      <c r="BL183" s="267"/>
      <c r="BM183" s="267"/>
      <c r="BN183" s="267"/>
    </row>
    <row r="184" spans="2:74" s="214" customFormat="1" ht="18.75" customHeight="1">
      <c r="B184" s="222"/>
      <c r="C184" s="190"/>
      <c r="D184" s="250"/>
      <c r="E184" s="193" t="s">
        <v>473</v>
      </c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250"/>
      <c r="AG184" s="250"/>
      <c r="AH184" s="250"/>
      <c r="AI184" s="220"/>
      <c r="AJ184" s="250"/>
      <c r="AL184" s="250"/>
      <c r="AM184" s="250"/>
      <c r="AN184" s="250"/>
      <c r="AO184" s="250"/>
      <c r="AP184" s="250"/>
      <c r="AQ184" s="250"/>
      <c r="AR184" s="250"/>
      <c r="AS184" s="250"/>
      <c r="AT184" s="250"/>
      <c r="AU184" s="250"/>
      <c r="AV184" s="250"/>
      <c r="AW184" s="250"/>
      <c r="AX184" s="250"/>
      <c r="AY184" s="250"/>
      <c r="AZ184" s="250"/>
      <c r="BA184" s="250"/>
      <c r="BB184" s="250"/>
      <c r="BC184" s="250"/>
      <c r="BD184" s="250"/>
      <c r="BE184" s="250"/>
      <c r="BF184" s="250"/>
      <c r="BG184" s="250"/>
      <c r="BH184" s="267"/>
      <c r="BI184" s="267"/>
      <c r="BJ184" s="267"/>
      <c r="BK184" s="267"/>
      <c r="BL184" s="267"/>
      <c r="BM184" s="267"/>
      <c r="BN184" s="267"/>
    </row>
    <row r="185" spans="2:74" s="214" customFormat="1" ht="18.75" customHeight="1">
      <c r="B185" s="222"/>
      <c r="C185" s="190"/>
      <c r="D185" s="250"/>
      <c r="E185" s="193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  <c r="AA185" s="250"/>
      <c r="AB185" s="250"/>
      <c r="AC185" s="250"/>
      <c r="AD185" s="250"/>
      <c r="AE185" s="250"/>
      <c r="AF185" s="250"/>
      <c r="AG185" s="250"/>
      <c r="AH185" s="250"/>
      <c r="AI185" s="220"/>
      <c r="AJ185" s="250"/>
      <c r="AL185" s="250"/>
      <c r="AM185" s="250"/>
      <c r="AN185" s="250"/>
      <c r="AO185" s="250"/>
      <c r="AP185" s="250"/>
      <c r="AQ185" s="250"/>
      <c r="AR185" s="250"/>
      <c r="AS185" s="250"/>
      <c r="AT185" s="250"/>
      <c r="AU185" s="250"/>
      <c r="AV185" s="250"/>
      <c r="AW185" s="250"/>
      <c r="AX185" s="250"/>
      <c r="AY185" s="250"/>
      <c r="AZ185" s="250"/>
      <c r="BA185" s="250"/>
      <c r="BB185" s="250"/>
      <c r="BC185" s="250"/>
      <c r="BD185" s="250"/>
      <c r="BE185" s="250"/>
      <c r="BF185" s="250"/>
      <c r="BG185" s="250"/>
      <c r="BH185" s="267"/>
      <c r="BI185" s="267"/>
      <c r="BJ185" s="267"/>
      <c r="BK185" s="267"/>
      <c r="BL185" s="267"/>
      <c r="BM185" s="267"/>
      <c r="BN185" s="267"/>
    </row>
    <row r="186" spans="2:74" s="214" customFormat="1" ht="18.75" customHeight="1">
      <c r="B186" s="252"/>
      <c r="C186" s="257" t="s">
        <v>658</v>
      </c>
      <c r="D186" s="252"/>
      <c r="E186" s="252"/>
      <c r="F186" s="252"/>
      <c r="G186" s="252"/>
      <c r="H186" s="519" t="str">
        <f>H88</f>
        <v/>
      </c>
      <c r="I186" s="519"/>
      <c r="J186" s="519"/>
      <c r="K186" s="519"/>
      <c r="L186" s="519"/>
      <c r="M186" s="519"/>
      <c r="N186" s="519"/>
      <c r="O186" s="519"/>
      <c r="P186" s="260"/>
      <c r="Q186" s="250"/>
      <c r="R186" s="250"/>
      <c r="S186" s="250"/>
      <c r="T186" s="250"/>
      <c r="U186" s="250"/>
      <c r="V186" s="250"/>
      <c r="W186" s="250"/>
      <c r="X186" s="250"/>
      <c r="Y186" s="250"/>
      <c r="Z186" s="250"/>
      <c r="AA186" s="250"/>
      <c r="AB186" s="250"/>
      <c r="AC186" s="250"/>
      <c r="AD186" s="250"/>
      <c r="AE186" s="250"/>
      <c r="AF186" s="250"/>
      <c r="AG186" s="250"/>
      <c r="AH186" s="250"/>
      <c r="AI186" s="250"/>
      <c r="AJ186" s="250"/>
      <c r="AK186" s="250"/>
      <c r="AL186" s="250"/>
      <c r="AM186" s="250"/>
      <c r="AN186" s="250"/>
      <c r="AO186" s="250"/>
      <c r="AP186" s="250"/>
      <c r="AQ186" s="250"/>
      <c r="AR186" s="250"/>
      <c r="AS186" s="250"/>
      <c r="AT186" s="250"/>
      <c r="AU186" s="250"/>
      <c r="AV186" s="250"/>
      <c r="AW186" s="250"/>
      <c r="AX186" s="250"/>
      <c r="AY186" s="250"/>
      <c r="AZ186" s="250"/>
      <c r="BA186" s="250"/>
      <c r="BB186" s="250"/>
      <c r="BC186" s="250"/>
      <c r="BD186" s="250"/>
      <c r="BE186" s="250"/>
      <c r="BF186" s="250"/>
      <c r="BG186" s="250"/>
      <c r="BH186" s="267"/>
      <c r="BI186" s="267"/>
      <c r="BJ186" s="267"/>
      <c r="BK186" s="267"/>
      <c r="BL186" s="267"/>
      <c r="BM186" s="267"/>
    </row>
    <row r="187" spans="2:74" s="214" customFormat="1" ht="18.75" customHeight="1">
      <c r="B187" s="252"/>
      <c r="C187" s="250" t="s">
        <v>474</v>
      </c>
      <c r="D187" s="250"/>
      <c r="E187" s="250"/>
      <c r="F187" s="250"/>
      <c r="G187" s="250"/>
      <c r="H187" s="250"/>
      <c r="I187" s="250"/>
      <c r="K187" s="205"/>
      <c r="L187" s="205"/>
      <c r="M187" s="223" t="s">
        <v>659</v>
      </c>
      <c r="N187" s="260"/>
      <c r="O187" s="410">
        <f>Calcu!J40</f>
        <v>0.57735026918962584</v>
      </c>
      <c r="P187" s="410"/>
      <c r="Q187" s="410"/>
      <c r="R187" s="250"/>
      <c r="S187" s="258"/>
      <c r="T187" s="410">
        <f>Calcu!J41</f>
        <v>0.28867513459481292</v>
      </c>
      <c r="U187" s="410"/>
      <c r="V187" s="410"/>
      <c r="W187" s="260"/>
      <c r="X187" s="260"/>
      <c r="Y187" s="410">
        <f>Calcu!J42</f>
        <v>0.17320508075688773</v>
      </c>
      <c r="Z187" s="410"/>
      <c r="AA187" s="410"/>
      <c r="AC187" s="214" t="s">
        <v>453</v>
      </c>
      <c r="AD187" s="494">
        <f>O88</f>
        <v>0.66833125519211412</v>
      </c>
      <c r="AE187" s="494"/>
      <c r="AF187" s="494"/>
      <c r="AG187" s="495" t="str">
        <f>V88</f>
        <v>℃</v>
      </c>
      <c r="AH187" s="495"/>
      <c r="AZ187" s="250"/>
      <c r="BA187" s="250"/>
      <c r="BB187" s="250"/>
      <c r="BC187" s="250"/>
      <c r="BD187" s="250"/>
      <c r="BE187" s="250"/>
      <c r="BF187" s="250"/>
      <c r="BG187" s="250"/>
      <c r="BH187" s="250"/>
      <c r="BI187" s="250"/>
      <c r="BJ187" s="267"/>
      <c r="BK187" s="267"/>
      <c r="BL187" s="267"/>
      <c r="BM187" s="267"/>
      <c r="BN187" s="267"/>
      <c r="BO187" s="267"/>
      <c r="BP187" s="267"/>
      <c r="BQ187" s="267"/>
      <c r="BR187" s="267"/>
      <c r="BS187" s="267"/>
    </row>
    <row r="188" spans="2:74" s="214" customFormat="1" ht="18.75" customHeight="1">
      <c r="B188" s="252"/>
      <c r="C188" s="250" t="s">
        <v>660</v>
      </c>
      <c r="D188" s="250"/>
      <c r="E188" s="250"/>
      <c r="F188" s="250"/>
      <c r="G188" s="250"/>
      <c r="H188" s="250"/>
      <c r="I188" s="476" t="str">
        <f>AB88</f>
        <v>사다리꼴</v>
      </c>
      <c r="J188" s="476"/>
      <c r="K188" s="476"/>
      <c r="L188" s="476"/>
      <c r="M188" s="476"/>
      <c r="N188" s="476"/>
      <c r="O188" s="476"/>
      <c r="P188" s="476"/>
      <c r="Q188" s="250"/>
      <c r="R188" s="250"/>
      <c r="S188" s="250"/>
      <c r="T188" s="250"/>
      <c r="U188" s="250"/>
      <c r="V188" s="250"/>
      <c r="W188" s="250"/>
      <c r="X188" s="250"/>
      <c r="Y188" s="250"/>
      <c r="Z188" s="252"/>
      <c r="AA188" s="252"/>
      <c r="AB188" s="252"/>
      <c r="AC188" s="252"/>
      <c r="AD188" s="252"/>
      <c r="AE188" s="252"/>
      <c r="AF188" s="252"/>
      <c r="AG188" s="252"/>
      <c r="AH188" s="250"/>
      <c r="AI188" s="250"/>
      <c r="AJ188" s="250"/>
      <c r="AK188" s="250"/>
      <c r="AL188" s="250"/>
      <c r="AM188" s="250"/>
      <c r="AN188" s="250"/>
      <c r="AO188" s="250"/>
      <c r="AP188" s="250"/>
      <c r="AQ188" s="250"/>
      <c r="AR188" s="250"/>
      <c r="AS188" s="250"/>
      <c r="AT188" s="250"/>
      <c r="AU188" s="250"/>
      <c r="AV188" s="250"/>
      <c r="AW188" s="250"/>
      <c r="AX188" s="250"/>
      <c r="AY188" s="250"/>
      <c r="AZ188" s="250"/>
      <c r="BA188" s="250"/>
      <c r="BB188" s="250"/>
      <c r="BC188" s="250"/>
      <c r="BD188" s="250"/>
      <c r="BE188" s="250"/>
      <c r="BF188" s="252"/>
      <c r="BG188" s="250"/>
      <c r="BH188" s="267"/>
      <c r="BI188" s="267"/>
      <c r="BJ188" s="267"/>
      <c r="BK188" s="267"/>
      <c r="BL188" s="267"/>
      <c r="BM188" s="267"/>
      <c r="BN188" s="267"/>
      <c r="BO188" s="267"/>
      <c r="BP188" s="267"/>
      <c r="BQ188" s="267"/>
      <c r="BR188" s="267"/>
      <c r="BS188" s="267"/>
      <c r="BT188" s="267"/>
      <c r="BU188" s="267"/>
      <c r="BV188" s="267"/>
    </row>
    <row r="189" spans="2:74" s="214" customFormat="1" ht="18.75" customHeight="1">
      <c r="B189" s="252"/>
      <c r="C189" s="408" t="s">
        <v>661</v>
      </c>
      <c r="D189" s="408"/>
      <c r="E189" s="408"/>
      <c r="F189" s="408"/>
      <c r="G189" s="408"/>
      <c r="H189" s="408"/>
      <c r="I189" s="250"/>
      <c r="J189" s="250"/>
      <c r="K189" s="250"/>
      <c r="L189" s="250"/>
      <c r="M189" s="250"/>
      <c r="N189" s="250"/>
      <c r="O189" s="252"/>
      <c r="S189" s="496" t="e">
        <f ca="1">-H87*10^6</f>
        <v>#N/A</v>
      </c>
      <c r="T189" s="496"/>
      <c r="U189" s="496"/>
      <c r="V189" s="408" t="s">
        <v>634</v>
      </c>
      <c r="W189" s="408"/>
      <c r="X189" s="408"/>
      <c r="Y189" s="408"/>
      <c r="Z189" s="408"/>
      <c r="AA189" s="408"/>
      <c r="AB189" s="408"/>
      <c r="AC189" s="408"/>
      <c r="AD189" s="409" t="s">
        <v>453</v>
      </c>
      <c r="AE189" s="489" t="e">
        <f ca="1">S189*10^-6*1000</f>
        <v>#N/A</v>
      </c>
      <c r="AF189" s="489"/>
      <c r="AG189" s="489"/>
      <c r="AH189" s="489"/>
      <c r="AI189" s="408" t="s">
        <v>662</v>
      </c>
      <c r="AJ189" s="408"/>
      <c r="AK189" s="408"/>
      <c r="AL189" s="408"/>
      <c r="AM189" s="408"/>
      <c r="AN189" s="408"/>
      <c r="AO189" s="408"/>
      <c r="AP189" s="250"/>
      <c r="AQ189" s="250"/>
      <c r="AR189" s="250"/>
      <c r="AS189" s="250"/>
      <c r="AT189" s="250"/>
      <c r="AU189" s="250"/>
      <c r="AV189" s="250"/>
      <c r="AW189" s="250"/>
      <c r="AX189" s="250"/>
      <c r="AY189" s="250"/>
      <c r="AZ189" s="250"/>
      <c r="BA189" s="250"/>
      <c r="BB189" s="250"/>
      <c r="BC189" s="250"/>
      <c r="BD189" s="250"/>
      <c r="BE189" s="250"/>
      <c r="BF189" s="250"/>
      <c r="BG189" s="250"/>
      <c r="BH189" s="267"/>
      <c r="BI189" s="267"/>
      <c r="BJ189" s="267"/>
      <c r="BK189" s="267"/>
      <c r="BL189" s="267"/>
      <c r="BM189" s="267"/>
    </row>
    <row r="190" spans="2:74" s="214" customFormat="1" ht="18.75" customHeight="1">
      <c r="B190" s="252"/>
      <c r="C190" s="408"/>
      <c r="D190" s="408"/>
      <c r="E190" s="408"/>
      <c r="F190" s="408"/>
      <c r="G190" s="408"/>
      <c r="H190" s="408"/>
      <c r="I190" s="250"/>
      <c r="J190" s="250"/>
      <c r="K190" s="250"/>
      <c r="L190" s="250"/>
      <c r="M190" s="250"/>
      <c r="N190" s="250"/>
      <c r="O190" s="250"/>
      <c r="S190" s="496"/>
      <c r="T190" s="496"/>
      <c r="U190" s="496"/>
      <c r="V190" s="408"/>
      <c r="W190" s="408"/>
      <c r="X190" s="408"/>
      <c r="Y190" s="408"/>
      <c r="Z190" s="408"/>
      <c r="AA190" s="408"/>
      <c r="AB190" s="408"/>
      <c r="AC190" s="408"/>
      <c r="AD190" s="409"/>
      <c r="AE190" s="489"/>
      <c r="AF190" s="489"/>
      <c r="AG190" s="489"/>
      <c r="AH190" s="489"/>
      <c r="AI190" s="408"/>
      <c r="AJ190" s="408"/>
      <c r="AK190" s="408"/>
      <c r="AL190" s="408"/>
      <c r="AM190" s="408"/>
      <c r="AN190" s="408"/>
      <c r="AO190" s="408"/>
      <c r="AP190" s="250"/>
      <c r="AQ190" s="250"/>
      <c r="AR190" s="250"/>
      <c r="AS190" s="250"/>
      <c r="AT190" s="250"/>
      <c r="AU190" s="250"/>
      <c r="AV190" s="250"/>
      <c r="AW190" s="250"/>
      <c r="AX190" s="250"/>
      <c r="AY190" s="250"/>
      <c r="AZ190" s="250"/>
      <c r="BA190" s="250"/>
      <c r="BB190" s="250"/>
      <c r="BC190" s="250"/>
      <c r="BD190" s="250"/>
      <c r="BE190" s="250"/>
      <c r="BF190" s="250"/>
      <c r="BG190" s="250"/>
      <c r="BH190" s="267"/>
      <c r="BI190" s="267"/>
      <c r="BJ190" s="267"/>
      <c r="BK190" s="267"/>
      <c r="BL190" s="267"/>
      <c r="BM190" s="267"/>
    </row>
    <row r="191" spans="2:74" s="214" customFormat="1" ht="18.75" customHeight="1">
      <c r="B191" s="252"/>
      <c r="C191" s="250" t="s">
        <v>475</v>
      </c>
      <c r="D191" s="250"/>
      <c r="E191" s="250"/>
      <c r="F191" s="250"/>
      <c r="G191" s="250"/>
      <c r="H191" s="250"/>
      <c r="I191" s="250"/>
      <c r="J191" s="252"/>
      <c r="K191" s="191" t="s">
        <v>663</v>
      </c>
      <c r="L191" s="489" t="e">
        <f ca="1">AE189</f>
        <v>#N/A</v>
      </c>
      <c r="M191" s="489"/>
      <c r="N191" s="489"/>
      <c r="O191" s="408" t="s">
        <v>468</v>
      </c>
      <c r="P191" s="408"/>
      <c r="Q191" s="408"/>
      <c r="R191" s="408"/>
      <c r="S191" s="408"/>
      <c r="T191" s="490">
        <f>AD187</f>
        <v>0.66833125519211412</v>
      </c>
      <c r="U191" s="490"/>
      <c r="V191" s="490"/>
      <c r="W191" s="490"/>
      <c r="X191" s="252" t="s">
        <v>594</v>
      </c>
      <c r="Y191" s="252" t="s">
        <v>595</v>
      </c>
      <c r="Z191" s="491" t="e">
        <f ca="1">ABS(L191*T191)</f>
        <v>#N/A</v>
      </c>
      <c r="AA191" s="491"/>
      <c r="AB191" s="491"/>
      <c r="AC191" s="492"/>
      <c r="AD191" s="250" t="s">
        <v>551</v>
      </c>
      <c r="AE191" s="257"/>
      <c r="AF191" s="252"/>
      <c r="AG191" s="252"/>
      <c r="AH191" s="252"/>
      <c r="AI191" s="252"/>
      <c r="AJ191" s="252"/>
      <c r="AK191" s="252"/>
      <c r="AL191" s="252"/>
      <c r="AM191" s="252"/>
      <c r="AN191" s="252"/>
      <c r="AO191" s="252"/>
      <c r="AQ191" s="250"/>
      <c r="AR191" s="250"/>
      <c r="AS191" s="250"/>
      <c r="AT191" s="250"/>
      <c r="AU191" s="250"/>
      <c r="AV191" s="250"/>
      <c r="AW191" s="250"/>
      <c r="AX191" s="250"/>
      <c r="AY191" s="250"/>
      <c r="AZ191" s="250"/>
      <c r="BA191" s="250"/>
      <c r="BB191" s="250"/>
      <c r="BC191" s="250"/>
      <c r="BD191" s="250"/>
      <c r="BE191" s="250"/>
      <c r="BF191" s="250"/>
      <c r="BG191" s="250"/>
      <c r="BH191" s="267"/>
      <c r="BI191" s="267"/>
      <c r="BJ191" s="267"/>
      <c r="BK191" s="267"/>
    </row>
    <row r="192" spans="2:74" s="214" customFormat="1" ht="18.75" customHeight="1">
      <c r="B192" s="252"/>
      <c r="C192" s="408" t="s">
        <v>664</v>
      </c>
      <c r="D192" s="408"/>
      <c r="E192" s="408"/>
      <c r="F192" s="408"/>
      <c r="G192" s="408"/>
      <c r="H192" s="250"/>
      <c r="J192" s="250"/>
      <c r="K192" s="250"/>
      <c r="L192" s="250"/>
      <c r="M192" s="250"/>
      <c r="N192" s="250"/>
      <c r="O192" s="250"/>
      <c r="P192" s="250"/>
      <c r="Q192" s="250"/>
      <c r="R192" s="520">
        <f>O88</f>
        <v>0.66833125519211412</v>
      </c>
      <c r="S192" s="520"/>
      <c r="T192" s="520"/>
      <c r="U192" s="520"/>
      <c r="V192" s="520"/>
      <c r="W192" s="520"/>
      <c r="X192" s="520"/>
      <c r="Y192" s="520"/>
      <c r="Z192" s="520"/>
      <c r="AA192" s="520"/>
      <c r="AB192" s="520"/>
      <c r="AC192" s="520"/>
      <c r="AD192" s="520"/>
      <c r="AE192" s="520"/>
      <c r="AF192" s="409" t="s">
        <v>589</v>
      </c>
      <c r="AG192" s="476">
        <f>BC88</f>
        <v>305</v>
      </c>
      <c r="AH192" s="476"/>
      <c r="AI192" s="476"/>
      <c r="AJ192" s="476"/>
      <c r="AK192" s="252"/>
      <c r="AL192" s="252"/>
      <c r="AM192" s="252"/>
      <c r="AN192" s="252"/>
      <c r="AO192" s="252"/>
      <c r="AP192" s="252"/>
      <c r="AQ192" s="252"/>
      <c r="AR192" s="252"/>
      <c r="AS192" s="252"/>
      <c r="AT192" s="252"/>
      <c r="AU192" s="252"/>
      <c r="AV192" s="252"/>
      <c r="AW192" s="252"/>
      <c r="AX192" s="252"/>
      <c r="AY192" s="252"/>
      <c r="AZ192" s="252"/>
      <c r="BA192" s="252"/>
      <c r="BB192" s="252"/>
      <c r="BC192" s="252"/>
      <c r="BD192" s="252"/>
      <c r="BE192" s="252"/>
      <c r="BF192" s="252"/>
      <c r="BG192" s="252"/>
      <c r="BH192" s="267"/>
      <c r="BI192" s="267"/>
      <c r="BJ192" s="267"/>
      <c r="BK192" s="267"/>
      <c r="BP192" s="267"/>
      <c r="BS192" s="267"/>
      <c r="BT192" s="267"/>
      <c r="BU192" s="267"/>
    </row>
    <row r="193" spans="2:75" s="214" customFormat="1" ht="18.75" customHeight="1">
      <c r="B193" s="252"/>
      <c r="C193" s="408"/>
      <c r="D193" s="408"/>
      <c r="E193" s="408"/>
      <c r="F193" s="408"/>
      <c r="G193" s="408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418">
        <f>O89</f>
        <v>0.57735026918962584</v>
      </c>
      <c r="S193" s="418"/>
      <c r="T193" s="418"/>
      <c r="U193" s="418"/>
      <c r="V193" s="409" t="s">
        <v>665</v>
      </c>
      <c r="W193" s="418">
        <f>O90</f>
        <v>0.28867513459481292</v>
      </c>
      <c r="X193" s="418"/>
      <c r="Y193" s="418"/>
      <c r="Z193" s="418"/>
      <c r="AA193" s="409" t="s">
        <v>666</v>
      </c>
      <c r="AB193" s="416">
        <f>O91</f>
        <v>0.17320508075688773</v>
      </c>
      <c r="AC193" s="416"/>
      <c r="AD193" s="416"/>
      <c r="AE193" s="416"/>
      <c r="AF193" s="409"/>
      <c r="AG193" s="476"/>
      <c r="AH193" s="476"/>
      <c r="AI193" s="476"/>
      <c r="AJ193" s="476"/>
      <c r="AK193" s="252"/>
      <c r="AL193" s="252"/>
      <c r="AM193" s="252"/>
      <c r="AN193" s="252"/>
      <c r="AO193" s="252"/>
      <c r="AP193" s="252"/>
      <c r="AQ193" s="252"/>
      <c r="AR193" s="252"/>
      <c r="AS193" s="252"/>
      <c r="AT193" s="252"/>
      <c r="AU193" s="252"/>
      <c r="AV193" s="252"/>
      <c r="AW193" s="252"/>
      <c r="AX193" s="252"/>
      <c r="AY193" s="252"/>
      <c r="AZ193" s="252"/>
      <c r="BA193" s="252"/>
      <c r="BB193" s="252"/>
      <c r="BC193" s="252"/>
      <c r="BD193" s="252"/>
      <c r="BE193" s="252"/>
      <c r="BF193" s="252"/>
      <c r="BG193" s="252"/>
      <c r="BH193" s="267"/>
      <c r="BI193" s="267"/>
      <c r="BJ193" s="267"/>
      <c r="BK193" s="267"/>
      <c r="BP193" s="267"/>
      <c r="BS193" s="267"/>
      <c r="BT193" s="267"/>
      <c r="BU193" s="267"/>
    </row>
    <row r="194" spans="2:75" s="214" customFormat="1" ht="18.75" customHeight="1">
      <c r="B194" s="252"/>
      <c r="C194" s="250"/>
      <c r="D194" s="250"/>
      <c r="E194" s="250"/>
      <c r="F194" s="250"/>
      <c r="G194" s="252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  <c r="R194" s="409" t="str">
        <f>BC89</f>
        <v>∞</v>
      </c>
      <c r="S194" s="409"/>
      <c r="T194" s="409"/>
      <c r="U194" s="409"/>
      <c r="V194" s="409"/>
      <c r="W194" s="409">
        <f>BC90</f>
        <v>12</v>
      </c>
      <c r="X194" s="409"/>
      <c r="Y194" s="409"/>
      <c r="Z194" s="409"/>
      <c r="AA194" s="409"/>
      <c r="AB194" s="409">
        <f>BC91</f>
        <v>12</v>
      </c>
      <c r="AC194" s="409"/>
      <c r="AD194" s="409"/>
      <c r="AE194" s="409"/>
      <c r="AF194" s="252"/>
      <c r="AG194" s="252"/>
      <c r="AH194" s="252"/>
      <c r="AI194" s="252"/>
      <c r="AJ194" s="252"/>
      <c r="AK194" s="252"/>
      <c r="AL194" s="252"/>
      <c r="AM194" s="252"/>
      <c r="AN194" s="252"/>
      <c r="AO194" s="252"/>
      <c r="AP194" s="252"/>
      <c r="AQ194" s="252"/>
      <c r="AR194" s="252"/>
      <c r="AS194" s="252"/>
      <c r="AT194" s="252"/>
      <c r="AU194" s="252"/>
      <c r="AV194" s="252"/>
      <c r="AW194" s="252"/>
      <c r="AX194" s="252"/>
      <c r="AY194" s="252"/>
      <c r="AZ194" s="252"/>
      <c r="BA194" s="252"/>
      <c r="BB194" s="252"/>
      <c r="BC194" s="252"/>
      <c r="BD194" s="252"/>
      <c r="BE194" s="252"/>
      <c r="BF194" s="252"/>
      <c r="BG194" s="252"/>
    </row>
    <row r="195" spans="2:75" s="214" customFormat="1" ht="18.75" customHeight="1">
      <c r="B195" s="222"/>
      <c r="C195" s="190"/>
      <c r="D195" s="250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0"/>
      <c r="Z195" s="250"/>
      <c r="AA195" s="250"/>
      <c r="AB195" s="250"/>
      <c r="AC195" s="250"/>
      <c r="AD195" s="250"/>
      <c r="AE195" s="250"/>
      <c r="AF195" s="250"/>
      <c r="AG195" s="250"/>
      <c r="AH195" s="250"/>
      <c r="AI195" s="220"/>
      <c r="AJ195" s="250"/>
      <c r="AL195" s="250"/>
      <c r="AM195" s="250"/>
      <c r="AN195" s="250"/>
      <c r="AO195" s="250"/>
      <c r="AP195" s="250"/>
      <c r="AQ195" s="250"/>
      <c r="AR195" s="250"/>
      <c r="AS195" s="250"/>
      <c r="AT195" s="250"/>
      <c r="AU195" s="250"/>
      <c r="AV195" s="250"/>
      <c r="AW195" s="250"/>
      <c r="AX195" s="250"/>
      <c r="AY195" s="250"/>
      <c r="AZ195" s="250"/>
      <c r="BA195" s="250"/>
      <c r="BB195" s="250"/>
      <c r="BC195" s="250"/>
      <c r="BD195" s="250"/>
      <c r="BE195" s="250"/>
      <c r="BF195" s="250"/>
      <c r="BG195" s="250"/>
      <c r="BH195" s="267"/>
      <c r="BI195" s="267"/>
      <c r="BJ195" s="267"/>
      <c r="BK195" s="267"/>
      <c r="BL195" s="267"/>
      <c r="BM195" s="267"/>
      <c r="BN195" s="267"/>
    </row>
    <row r="196" spans="2:75" s="214" customFormat="1" ht="18.75" customHeight="1">
      <c r="C196" s="221" t="s">
        <v>477</v>
      </c>
      <c r="D196" s="190" t="s">
        <v>667</v>
      </c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P196" s="224" t="s">
        <v>668</v>
      </c>
      <c r="Q196" s="250"/>
      <c r="R196" s="250"/>
      <c r="S196" s="250"/>
      <c r="T196" s="250"/>
      <c r="U196" s="250"/>
      <c r="V196" s="250"/>
      <c r="W196" s="250"/>
      <c r="X196" s="250"/>
      <c r="Y196" s="250"/>
      <c r="Z196" s="250"/>
      <c r="AA196" s="250"/>
      <c r="AB196" s="250"/>
      <c r="AC196" s="250"/>
      <c r="AD196" s="250"/>
      <c r="AE196" s="250"/>
      <c r="AF196" s="250"/>
      <c r="AG196" s="250"/>
      <c r="AH196" s="250"/>
      <c r="AL196" s="250"/>
      <c r="AM196" s="250"/>
      <c r="AN196" s="250"/>
      <c r="AO196" s="250"/>
      <c r="AP196" s="250"/>
      <c r="AQ196" s="250"/>
      <c r="AR196" s="250"/>
      <c r="AS196" s="250"/>
      <c r="AT196" s="250"/>
      <c r="AU196" s="250"/>
      <c r="AV196" s="250"/>
      <c r="AW196" s="250"/>
      <c r="AX196" s="250"/>
      <c r="AY196" s="250"/>
      <c r="AZ196" s="250"/>
      <c r="BA196" s="250"/>
      <c r="BB196" s="250"/>
      <c r="BC196" s="250"/>
      <c r="BD196" s="250"/>
      <c r="BE196" s="250"/>
      <c r="BF196" s="250"/>
      <c r="BG196" s="250"/>
      <c r="BH196" s="267"/>
      <c r="BI196" s="267"/>
      <c r="BJ196" s="267"/>
      <c r="BK196" s="267"/>
      <c r="BL196" s="267"/>
      <c r="BM196" s="267"/>
      <c r="BN196" s="267"/>
    </row>
    <row r="197" spans="2:75" s="214" customFormat="1" ht="18.75" customHeight="1">
      <c r="C197" s="190"/>
      <c r="D197" s="250" t="str">
        <f>"※ 측정실 공기중의 온도를 측정하였고, 측정에 사용된 온도계의 불확도가 "&amp;O199&amp;" ℃를 넘지 않으므로,"</f>
        <v>※ 측정실 공기중의 온도를 측정하였고, 측정에 사용된 온도계의 불확도가 1 ℃를 넘지 않으므로,</v>
      </c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0"/>
      <c r="Z197" s="250"/>
      <c r="AA197" s="250"/>
      <c r="AB197" s="250"/>
      <c r="AC197" s="250"/>
      <c r="AD197" s="250"/>
      <c r="AE197" s="250"/>
      <c r="AF197" s="250"/>
      <c r="AG197" s="250"/>
      <c r="AH197" s="250"/>
      <c r="AI197" s="250"/>
      <c r="AJ197" s="250"/>
      <c r="AK197" s="250"/>
      <c r="AL197" s="250"/>
      <c r="AM197" s="250"/>
      <c r="AN197" s="250"/>
      <c r="AO197" s="250"/>
      <c r="AP197" s="250"/>
      <c r="AQ197" s="250"/>
      <c r="AR197" s="250"/>
      <c r="AS197" s="250"/>
      <c r="AT197" s="250"/>
      <c r="AU197" s="250"/>
      <c r="AV197" s="250"/>
      <c r="AW197" s="250"/>
      <c r="AX197" s="250"/>
      <c r="AY197" s="250"/>
      <c r="AZ197" s="250"/>
      <c r="BA197" s="250"/>
      <c r="BB197" s="250"/>
      <c r="BC197" s="250"/>
      <c r="BD197" s="250"/>
      <c r="BE197" s="250"/>
      <c r="BF197" s="250"/>
      <c r="BG197" s="250"/>
      <c r="BH197" s="250"/>
      <c r="BI197" s="267"/>
      <c r="BJ197" s="267"/>
      <c r="BK197" s="267"/>
      <c r="BL197" s="267"/>
      <c r="BM197" s="267"/>
      <c r="BN197" s="267"/>
      <c r="BO197" s="267"/>
    </row>
    <row r="198" spans="2:75" s="214" customFormat="1" ht="18.75" customHeight="1">
      <c r="C198" s="190"/>
      <c r="D198" s="250"/>
      <c r="E198" s="250" t="s">
        <v>669</v>
      </c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250"/>
      <c r="AG198" s="250"/>
      <c r="AH198" s="250"/>
      <c r="AI198" s="250"/>
      <c r="AJ198" s="250"/>
      <c r="AK198" s="250"/>
      <c r="AL198" s="250"/>
      <c r="AM198" s="250"/>
      <c r="AN198" s="250"/>
      <c r="AO198" s="250"/>
      <c r="AP198" s="250"/>
      <c r="AQ198" s="250"/>
      <c r="AR198" s="250"/>
      <c r="AS198" s="250"/>
      <c r="AT198" s="250"/>
      <c r="AU198" s="250"/>
      <c r="AV198" s="250"/>
      <c r="AW198" s="250"/>
      <c r="AX198" s="250"/>
      <c r="AY198" s="250"/>
      <c r="AZ198" s="250"/>
      <c r="BA198" s="250"/>
      <c r="BB198" s="250"/>
      <c r="BC198" s="250"/>
      <c r="BD198" s="250"/>
      <c r="BE198" s="250"/>
      <c r="BF198" s="250"/>
      <c r="BG198" s="250"/>
      <c r="BH198" s="250"/>
      <c r="BI198" s="267"/>
      <c r="BJ198" s="267"/>
      <c r="BK198" s="267"/>
      <c r="BL198" s="267"/>
      <c r="BM198" s="267"/>
      <c r="BN198" s="267"/>
      <c r="BO198" s="267"/>
    </row>
    <row r="199" spans="2:75" s="214" customFormat="1" ht="18.75" customHeight="1">
      <c r="C199" s="252"/>
      <c r="D199" s="408" t="s">
        <v>670</v>
      </c>
      <c r="E199" s="408"/>
      <c r="F199" s="408"/>
      <c r="G199" s="408"/>
      <c r="H199" s="408"/>
      <c r="I199" s="408"/>
      <c r="J199" s="408"/>
      <c r="K199" s="423" t="s">
        <v>671</v>
      </c>
      <c r="L199" s="423"/>
      <c r="M199" s="423"/>
      <c r="N199" s="409" t="s">
        <v>589</v>
      </c>
      <c r="O199" s="485">
        <f>Calcu!G40</f>
        <v>1</v>
      </c>
      <c r="P199" s="485"/>
      <c r="Q199" s="266" t="s">
        <v>672</v>
      </c>
      <c r="R199" s="263"/>
      <c r="S199" s="409" t="s">
        <v>589</v>
      </c>
      <c r="T199" s="478">
        <f>O199/SQRT(3)</f>
        <v>0.57735026918962584</v>
      </c>
      <c r="U199" s="478"/>
      <c r="V199" s="478"/>
      <c r="W199" s="426" t="str">
        <f>Q199</f>
        <v>℃</v>
      </c>
      <c r="X199" s="426"/>
      <c r="Y199" s="260"/>
      <c r="Z199" s="225"/>
      <c r="AA199" s="226"/>
      <c r="AB199" s="226"/>
      <c r="BA199" s="250"/>
      <c r="BB199" s="250"/>
      <c r="BC199" s="250"/>
      <c r="BD199" s="250"/>
      <c r="BE199" s="250"/>
      <c r="BF199" s="250"/>
      <c r="BG199" s="250"/>
      <c r="BH199" s="250"/>
      <c r="BI199" s="250"/>
      <c r="BJ199" s="250"/>
      <c r="BK199" s="267"/>
      <c r="BL199" s="267"/>
      <c r="BM199" s="267"/>
      <c r="BN199" s="267"/>
      <c r="BO199" s="267"/>
      <c r="BP199" s="267"/>
      <c r="BQ199" s="267"/>
      <c r="BR199" s="267"/>
      <c r="BS199" s="267"/>
      <c r="BT199" s="267"/>
    </row>
    <row r="200" spans="2:75" s="214" customFormat="1" ht="18.75" customHeight="1">
      <c r="C200" s="252"/>
      <c r="D200" s="408"/>
      <c r="E200" s="408"/>
      <c r="F200" s="408"/>
      <c r="G200" s="408"/>
      <c r="H200" s="408"/>
      <c r="I200" s="408"/>
      <c r="J200" s="408"/>
      <c r="K200" s="423"/>
      <c r="L200" s="423"/>
      <c r="M200" s="423"/>
      <c r="N200" s="409"/>
      <c r="O200" s="252"/>
      <c r="P200" s="252"/>
      <c r="Q200" s="252"/>
      <c r="R200" s="252"/>
      <c r="S200" s="409"/>
      <c r="T200" s="478"/>
      <c r="U200" s="478"/>
      <c r="V200" s="478"/>
      <c r="W200" s="426"/>
      <c r="X200" s="426"/>
      <c r="Y200" s="260"/>
      <c r="Z200" s="225"/>
      <c r="AA200" s="226"/>
      <c r="AB200" s="226"/>
      <c r="BA200" s="250"/>
      <c r="BB200" s="250"/>
      <c r="BC200" s="250"/>
      <c r="BD200" s="250"/>
      <c r="BE200" s="250"/>
      <c r="BF200" s="250"/>
      <c r="BG200" s="250"/>
      <c r="BH200" s="250"/>
      <c r="BI200" s="250"/>
      <c r="BJ200" s="250"/>
      <c r="BK200" s="267"/>
      <c r="BL200" s="267"/>
      <c r="BM200" s="267"/>
      <c r="BN200" s="267"/>
      <c r="BO200" s="267"/>
      <c r="BP200" s="267"/>
      <c r="BQ200" s="267"/>
      <c r="BR200" s="267"/>
      <c r="BS200" s="267"/>
      <c r="BT200" s="267"/>
    </row>
    <row r="201" spans="2:75" s="214" customFormat="1" ht="18.75" customHeight="1">
      <c r="C201" s="252"/>
      <c r="D201" s="250" t="s">
        <v>673</v>
      </c>
      <c r="E201" s="250"/>
      <c r="F201" s="250"/>
      <c r="G201" s="250"/>
      <c r="H201" s="250"/>
      <c r="I201" s="250"/>
      <c r="J201" s="476" t="str">
        <f>AB89</f>
        <v>직사각형</v>
      </c>
      <c r="K201" s="476"/>
      <c r="L201" s="476"/>
      <c r="M201" s="476"/>
      <c r="N201" s="476"/>
      <c r="O201" s="476"/>
      <c r="P201" s="476"/>
      <c r="Q201" s="476"/>
      <c r="R201" s="250"/>
      <c r="S201" s="250"/>
      <c r="T201" s="250"/>
      <c r="U201" s="250"/>
      <c r="V201" s="250"/>
      <c r="W201" s="250"/>
      <c r="X201" s="250"/>
      <c r="Y201" s="250"/>
      <c r="Z201" s="250"/>
      <c r="AA201" s="252"/>
      <c r="AB201" s="252"/>
      <c r="AC201" s="252"/>
      <c r="AD201" s="252"/>
      <c r="AE201" s="252"/>
      <c r="AF201" s="252"/>
      <c r="AG201" s="252"/>
      <c r="AH201" s="252"/>
      <c r="AI201" s="250"/>
      <c r="AJ201" s="250"/>
      <c r="AK201" s="250"/>
      <c r="AL201" s="250"/>
      <c r="AM201" s="250"/>
      <c r="AN201" s="250"/>
      <c r="AO201" s="250"/>
      <c r="AP201" s="250"/>
      <c r="AQ201" s="250"/>
      <c r="AR201" s="250"/>
      <c r="AS201" s="250"/>
      <c r="AT201" s="250"/>
      <c r="AU201" s="250"/>
      <c r="AV201" s="250"/>
      <c r="AW201" s="250"/>
      <c r="AX201" s="250"/>
      <c r="AY201" s="250"/>
      <c r="AZ201" s="250"/>
      <c r="BA201" s="250"/>
      <c r="BB201" s="250"/>
      <c r="BC201" s="250"/>
      <c r="BD201" s="250"/>
      <c r="BE201" s="250"/>
      <c r="BF201" s="250"/>
      <c r="BG201" s="252"/>
      <c r="BH201" s="250"/>
      <c r="BI201" s="267"/>
      <c r="BJ201" s="267"/>
      <c r="BK201" s="267"/>
      <c r="BL201" s="267"/>
      <c r="BM201" s="267"/>
      <c r="BN201" s="267"/>
      <c r="BO201" s="267"/>
      <c r="BP201" s="267"/>
      <c r="BQ201" s="267"/>
      <c r="BR201" s="267"/>
      <c r="BS201" s="267"/>
      <c r="BT201" s="267"/>
      <c r="BU201" s="267"/>
      <c r="BV201" s="267"/>
      <c r="BW201" s="267"/>
    </row>
    <row r="202" spans="2:75" s="214" customFormat="1" ht="18.75" customHeight="1">
      <c r="C202" s="252"/>
      <c r="D202" s="408" t="s">
        <v>674</v>
      </c>
      <c r="E202" s="408"/>
      <c r="F202" s="408"/>
      <c r="G202" s="408"/>
      <c r="H202" s="408"/>
      <c r="I202" s="408"/>
      <c r="J202" s="250"/>
      <c r="K202" s="250"/>
      <c r="L202" s="250"/>
      <c r="M202" s="250"/>
      <c r="N202" s="250"/>
      <c r="O202" s="409">
        <f>AG89</f>
        <v>1</v>
      </c>
      <c r="P202" s="409"/>
      <c r="Q202" s="250"/>
      <c r="R202" s="250"/>
      <c r="S202" s="250"/>
      <c r="T202" s="250"/>
      <c r="U202" s="250"/>
      <c r="V202" s="250"/>
      <c r="W202" s="267"/>
      <c r="X202" s="267"/>
      <c r="Y202" s="267"/>
      <c r="Z202" s="267"/>
      <c r="AA202" s="267"/>
      <c r="AB202" s="267"/>
    </row>
    <row r="203" spans="2:75" s="214" customFormat="1" ht="18.75" customHeight="1">
      <c r="C203" s="252"/>
      <c r="D203" s="408"/>
      <c r="E203" s="408"/>
      <c r="F203" s="408"/>
      <c r="G203" s="408"/>
      <c r="H203" s="408"/>
      <c r="I203" s="408"/>
      <c r="J203" s="250"/>
      <c r="K203" s="250"/>
      <c r="L203" s="250"/>
      <c r="M203" s="250"/>
      <c r="N203" s="250"/>
      <c r="O203" s="409"/>
      <c r="P203" s="409"/>
      <c r="Q203" s="250"/>
      <c r="R203" s="250"/>
      <c r="S203" s="250"/>
      <c r="T203" s="250"/>
      <c r="U203" s="250"/>
      <c r="V203" s="250"/>
      <c r="W203" s="267"/>
      <c r="X203" s="267"/>
      <c r="Y203" s="267"/>
      <c r="Z203" s="267"/>
      <c r="AA203" s="267"/>
      <c r="AB203" s="267"/>
    </row>
    <row r="204" spans="2:75" s="214" customFormat="1" ht="18.75" customHeight="1">
      <c r="C204" s="252"/>
      <c r="D204" s="250" t="s">
        <v>675</v>
      </c>
      <c r="E204" s="250"/>
      <c r="F204" s="250"/>
      <c r="G204" s="250"/>
      <c r="H204" s="250"/>
      <c r="I204" s="250"/>
      <c r="J204" s="250"/>
      <c r="K204" s="252"/>
      <c r="L204" s="252" t="s">
        <v>663</v>
      </c>
      <c r="M204" s="409">
        <f>O202</f>
        <v>1</v>
      </c>
      <c r="N204" s="409"/>
      <c r="O204" s="252" t="s">
        <v>606</v>
      </c>
      <c r="P204" s="478">
        <f>T199</f>
        <v>0.57735026918962584</v>
      </c>
      <c r="Q204" s="426"/>
      <c r="R204" s="426"/>
      <c r="S204" s="479" t="str">
        <f>W199</f>
        <v>℃</v>
      </c>
      <c r="T204" s="426"/>
      <c r="U204" s="253" t="s">
        <v>455</v>
      </c>
      <c r="V204" s="211" t="s">
        <v>587</v>
      </c>
      <c r="W204" s="478">
        <f>M204*P204</f>
        <v>0.57735026918962584</v>
      </c>
      <c r="X204" s="478"/>
      <c r="Y204" s="478"/>
      <c r="Z204" s="261" t="str">
        <f>S204</f>
        <v>℃</v>
      </c>
      <c r="AA204" s="55"/>
      <c r="AB204" s="260"/>
      <c r="AC204" s="227"/>
      <c r="AD204" s="217"/>
      <c r="AE204" s="252"/>
      <c r="AF204" s="257"/>
      <c r="AG204" s="252"/>
      <c r="AH204" s="252"/>
      <c r="AI204" s="252"/>
      <c r="AJ204" s="252"/>
      <c r="AK204" s="252"/>
      <c r="AL204" s="252"/>
      <c r="AM204" s="252"/>
      <c r="AN204" s="252"/>
      <c r="AO204" s="252"/>
      <c r="AP204" s="252"/>
      <c r="AR204" s="250"/>
      <c r="AS204" s="250"/>
      <c r="AT204" s="250"/>
      <c r="AU204" s="250"/>
      <c r="AV204" s="250"/>
      <c r="AW204" s="250"/>
      <c r="AX204" s="250"/>
      <c r="AY204" s="250"/>
      <c r="AZ204" s="250"/>
      <c r="BA204" s="250"/>
      <c r="BB204" s="250"/>
      <c r="BC204" s="250"/>
      <c r="BD204" s="250"/>
      <c r="BE204" s="250"/>
      <c r="BF204" s="250"/>
      <c r="BG204" s="250"/>
      <c r="BH204" s="250"/>
      <c r="BI204" s="267"/>
      <c r="BJ204" s="267"/>
      <c r="BK204" s="267"/>
      <c r="BL204" s="267"/>
    </row>
    <row r="205" spans="2:75" s="214" customFormat="1" ht="18.75" customHeight="1">
      <c r="C205" s="252"/>
      <c r="D205" s="408" t="s">
        <v>676</v>
      </c>
      <c r="E205" s="408"/>
      <c r="F205" s="408"/>
      <c r="G205" s="408"/>
      <c r="H205" s="408"/>
      <c r="I205" s="250"/>
      <c r="K205" s="250"/>
      <c r="L205" s="250"/>
      <c r="M205" s="250"/>
      <c r="N205" s="250"/>
      <c r="O205" s="250"/>
      <c r="P205" s="250"/>
      <c r="Q205" s="250"/>
      <c r="R205" s="250"/>
      <c r="S205" s="217"/>
      <c r="T205" s="250"/>
      <c r="U205" s="250"/>
      <c r="V205" s="250"/>
      <c r="X205" s="191" t="s">
        <v>677</v>
      </c>
      <c r="Y205" s="250"/>
      <c r="Z205" s="250"/>
      <c r="AA205" s="250"/>
      <c r="AB205" s="250"/>
      <c r="AC205" s="250"/>
      <c r="AD205" s="250"/>
      <c r="AE205" s="250"/>
      <c r="AF205" s="252"/>
      <c r="AG205" s="252"/>
      <c r="AH205" s="252"/>
      <c r="AI205" s="252"/>
      <c r="AJ205" s="252"/>
      <c r="AK205" s="252"/>
      <c r="AL205" s="252"/>
      <c r="AM205" s="252"/>
      <c r="AN205" s="252"/>
      <c r="AO205" s="252"/>
      <c r="AP205" s="252"/>
      <c r="AQ205" s="252"/>
      <c r="AR205" s="252"/>
      <c r="AS205" s="252"/>
      <c r="AT205" s="252"/>
      <c r="AU205" s="252"/>
      <c r="AV205" s="252"/>
      <c r="AW205" s="252"/>
      <c r="AX205" s="252"/>
      <c r="AY205" s="252"/>
      <c r="AZ205" s="252"/>
      <c r="BA205" s="252"/>
      <c r="BB205" s="252"/>
      <c r="BC205" s="252"/>
      <c r="BD205" s="252"/>
      <c r="BE205" s="252"/>
      <c r="BF205" s="252"/>
      <c r="BG205" s="252"/>
      <c r="BH205" s="252"/>
      <c r="BI205" s="267"/>
      <c r="BJ205" s="267"/>
      <c r="BK205" s="267"/>
      <c r="BL205" s="267"/>
      <c r="BQ205" s="267"/>
      <c r="BT205" s="267"/>
      <c r="BU205" s="267"/>
      <c r="BV205" s="267"/>
    </row>
    <row r="206" spans="2:75" s="214" customFormat="1" ht="18.75" customHeight="1">
      <c r="C206" s="252"/>
      <c r="D206" s="408"/>
      <c r="E206" s="408"/>
      <c r="F206" s="408"/>
      <c r="G206" s="408"/>
      <c r="H206" s="408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17"/>
      <c r="T206" s="250"/>
      <c r="U206" s="250"/>
      <c r="V206" s="250"/>
      <c r="W206" s="250"/>
      <c r="X206" s="250"/>
      <c r="Y206" s="250"/>
      <c r="Z206" s="250"/>
      <c r="AA206" s="250"/>
      <c r="AB206" s="250"/>
      <c r="AC206" s="250"/>
      <c r="AD206" s="252"/>
      <c r="AE206" s="252"/>
      <c r="AF206" s="252"/>
      <c r="AG206" s="252"/>
      <c r="AH206" s="252"/>
      <c r="AI206" s="252"/>
      <c r="AJ206" s="252"/>
      <c r="AK206" s="252"/>
      <c r="AL206" s="252"/>
      <c r="AM206" s="252"/>
      <c r="AN206" s="252"/>
      <c r="AO206" s="252"/>
      <c r="AP206" s="252"/>
      <c r="AQ206" s="252"/>
      <c r="AR206" s="252"/>
      <c r="AS206" s="252"/>
      <c r="AT206" s="252"/>
      <c r="AU206" s="252"/>
      <c r="AV206" s="252"/>
      <c r="AW206" s="252"/>
      <c r="AX206" s="252"/>
      <c r="AY206" s="252"/>
      <c r="AZ206" s="252"/>
      <c r="BA206" s="252"/>
      <c r="BB206" s="252"/>
      <c r="BC206" s="252"/>
      <c r="BD206" s="252"/>
      <c r="BE206" s="252"/>
      <c r="BF206" s="252"/>
      <c r="BG206" s="252"/>
      <c r="BH206" s="252"/>
      <c r="BI206" s="267"/>
      <c r="BJ206" s="267"/>
      <c r="BK206" s="267"/>
      <c r="BL206" s="267"/>
      <c r="BQ206" s="267"/>
      <c r="BT206" s="267"/>
      <c r="BU206" s="267"/>
      <c r="BV206" s="267"/>
    </row>
    <row r="207" spans="2:75" s="214" customFormat="1" ht="18.75" customHeight="1">
      <c r="C207" s="252"/>
      <c r="D207" s="250"/>
      <c r="E207" s="250"/>
      <c r="F207" s="250"/>
      <c r="G207" s="250"/>
      <c r="H207" s="252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2"/>
      <c r="Z207" s="252"/>
      <c r="AA207" s="252"/>
      <c r="AB207" s="252"/>
      <c r="AC207" s="252"/>
      <c r="AD207" s="252"/>
      <c r="AE207" s="252"/>
      <c r="AF207" s="252"/>
      <c r="AG207" s="252"/>
      <c r="AH207" s="252"/>
      <c r="AI207" s="252"/>
      <c r="AJ207" s="252"/>
      <c r="AK207" s="252"/>
      <c r="AL207" s="252"/>
      <c r="AM207" s="252"/>
      <c r="AN207" s="252"/>
      <c r="AO207" s="252"/>
      <c r="AP207" s="252"/>
      <c r="AQ207" s="252"/>
      <c r="AR207" s="252"/>
      <c r="AS207" s="252"/>
      <c r="AT207" s="252"/>
      <c r="AU207" s="252"/>
      <c r="AV207" s="252"/>
      <c r="AW207" s="252"/>
      <c r="AX207" s="252"/>
      <c r="AY207" s="252"/>
      <c r="AZ207" s="252"/>
      <c r="BA207" s="252"/>
      <c r="BB207" s="252"/>
      <c r="BC207" s="252"/>
      <c r="BD207" s="252"/>
      <c r="BE207" s="252"/>
      <c r="BF207" s="252"/>
      <c r="BG207" s="252"/>
      <c r="BH207" s="252"/>
    </row>
    <row r="208" spans="2:75" s="214" customFormat="1" ht="18.75" customHeight="1">
      <c r="C208" s="221" t="s">
        <v>678</v>
      </c>
      <c r="D208" s="190" t="s">
        <v>679</v>
      </c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P208" s="250"/>
      <c r="Q208" s="224" t="s">
        <v>680</v>
      </c>
      <c r="R208" s="250"/>
      <c r="S208" s="250"/>
      <c r="T208" s="250"/>
      <c r="U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250"/>
      <c r="AG208" s="250"/>
      <c r="AH208" s="250"/>
      <c r="AL208" s="250"/>
      <c r="AM208" s="250"/>
      <c r="AN208" s="250"/>
      <c r="AO208" s="250"/>
      <c r="AP208" s="250"/>
      <c r="AQ208" s="250"/>
      <c r="AR208" s="250"/>
      <c r="AS208" s="250"/>
      <c r="AT208" s="250"/>
      <c r="AU208" s="250"/>
      <c r="AV208" s="250"/>
      <c r="AW208" s="250"/>
      <c r="AX208" s="250"/>
      <c r="AY208" s="250"/>
      <c r="AZ208" s="250"/>
      <c r="BA208" s="250"/>
      <c r="BB208" s="250"/>
      <c r="BC208" s="250"/>
      <c r="BD208" s="250"/>
      <c r="BE208" s="250"/>
      <c r="BF208" s="250"/>
      <c r="BG208" s="250"/>
      <c r="BH208" s="267"/>
      <c r="BI208" s="267"/>
      <c r="BJ208" s="267"/>
      <c r="BK208" s="267"/>
      <c r="BL208" s="267"/>
      <c r="BM208" s="267"/>
      <c r="BN208" s="267"/>
    </row>
    <row r="209" spans="3:75" s="214" customFormat="1" ht="18.75" customHeight="1">
      <c r="C209" s="190"/>
      <c r="D209" s="250" t="str">
        <f>"※ 측정과정 중의 온도 변화는 과억의 측정을 경험으로 "&amp;O211&amp;" ℃를 초과하지 않으므로,"</f>
        <v>※ 측정과정 중의 온도 변화는 과억의 측정을 경험으로 0.5 ℃를 초과하지 않으므로,</v>
      </c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250"/>
      <c r="AG209" s="250"/>
      <c r="AH209" s="250"/>
      <c r="AI209" s="250"/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67"/>
      <c r="BJ209" s="267"/>
      <c r="BK209" s="267"/>
      <c r="BL209" s="267"/>
      <c r="BM209" s="267"/>
      <c r="BN209" s="267"/>
      <c r="BO209" s="267"/>
    </row>
    <row r="210" spans="3:75" s="214" customFormat="1" ht="18.75" customHeight="1">
      <c r="C210" s="190"/>
      <c r="D210" s="250"/>
      <c r="E210" s="250" t="s">
        <v>478</v>
      </c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250"/>
      <c r="AG210" s="250"/>
      <c r="AH210" s="250"/>
      <c r="AI210" s="250"/>
      <c r="AJ210" s="250"/>
      <c r="AK210" s="250"/>
      <c r="AL210" s="250"/>
      <c r="AM210" s="250"/>
      <c r="AN210" s="250"/>
      <c r="AO210" s="250"/>
      <c r="AP210" s="250"/>
      <c r="AQ210" s="250"/>
      <c r="AR210" s="250"/>
      <c r="AS210" s="250"/>
      <c r="AT210" s="250"/>
      <c r="AU210" s="250"/>
      <c r="AV210" s="250"/>
      <c r="AW210" s="250"/>
      <c r="AX210" s="250"/>
      <c r="AY210" s="250"/>
      <c r="AZ210" s="250"/>
      <c r="BA210" s="250"/>
      <c r="BB210" s="250"/>
      <c r="BC210" s="250"/>
      <c r="BD210" s="250"/>
      <c r="BE210" s="250"/>
      <c r="BF210" s="250"/>
      <c r="BG210" s="250"/>
      <c r="BH210" s="250"/>
      <c r="BI210" s="267"/>
      <c r="BJ210" s="267"/>
      <c r="BK210" s="267"/>
      <c r="BL210" s="267"/>
      <c r="BM210" s="267"/>
      <c r="BN210" s="267"/>
      <c r="BO210" s="267"/>
    </row>
    <row r="211" spans="3:75" s="214" customFormat="1" ht="18.75" customHeight="1">
      <c r="C211" s="252"/>
      <c r="D211" s="408" t="s">
        <v>681</v>
      </c>
      <c r="E211" s="408"/>
      <c r="F211" s="408"/>
      <c r="G211" s="408"/>
      <c r="H211" s="408"/>
      <c r="I211" s="408"/>
      <c r="J211" s="408"/>
      <c r="K211" s="423" t="s">
        <v>480</v>
      </c>
      <c r="L211" s="423"/>
      <c r="M211" s="423"/>
      <c r="N211" s="409" t="s">
        <v>453</v>
      </c>
      <c r="O211" s="485">
        <f>Calcu!G41</f>
        <v>0.5</v>
      </c>
      <c r="P211" s="485"/>
      <c r="Q211" s="266" t="s">
        <v>682</v>
      </c>
      <c r="R211" s="263"/>
      <c r="S211" s="409" t="s">
        <v>589</v>
      </c>
      <c r="T211" s="478">
        <f>O211/SQRT(3)</f>
        <v>0.28867513459481292</v>
      </c>
      <c r="U211" s="478"/>
      <c r="V211" s="478"/>
      <c r="W211" s="426" t="str">
        <f>Q211</f>
        <v>℃</v>
      </c>
      <c r="X211" s="426"/>
      <c r="Y211" s="260"/>
      <c r="Z211" s="225"/>
      <c r="AA211" s="226"/>
      <c r="AB211" s="226"/>
      <c r="BA211" s="250"/>
      <c r="BB211" s="250"/>
      <c r="BC211" s="250"/>
      <c r="BD211" s="250"/>
      <c r="BE211" s="250"/>
      <c r="BF211" s="250"/>
      <c r="BG211" s="250"/>
      <c r="BH211" s="250"/>
      <c r="BI211" s="250"/>
      <c r="BJ211" s="250"/>
      <c r="BK211" s="267"/>
      <c r="BL211" s="267"/>
      <c r="BM211" s="267"/>
      <c r="BN211" s="267"/>
      <c r="BO211" s="267"/>
      <c r="BP211" s="267"/>
      <c r="BQ211" s="267"/>
      <c r="BR211" s="267"/>
      <c r="BS211" s="267"/>
      <c r="BT211" s="267"/>
    </row>
    <row r="212" spans="3:75" s="214" customFormat="1" ht="18.75" customHeight="1">
      <c r="C212" s="252"/>
      <c r="D212" s="408"/>
      <c r="E212" s="408"/>
      <c r="F212" s="408"/>
      <c r="G212" s="408"/>
      <c r="H212" s="408"/>
      <c r="I212" s="408"/>
      <c r="J212" s="408"/>
      <c r="K212" s="423"/>
      <c r="L212" s="423"/>
      <c r="M212" s="423"/>
      <c r="N212" s="409"/>
      <c r="O212" s="252"/>
      <c r="P212" s="252"/>
      <c r="Q212" s="252"/>
      <c r="R212" s="252"/>
      <c r="S212" s="409"/>
      <c r="T212" s="478"/>
      <c r="U212" s="478"/>
      <c r="V212" s="478"/>
      <c r="W212" s="426"/>
      <c r="X212" s="426"/>
      <c r="Y212" s="260"/>
      <c r="Z212" s="225"/>
      <c r="AA212" s="226"/>
      <c r="AB212" s="226"/>
      <c r="BA212" s="250"/>
      <c r="BB212" s="250"/>
      <c r="BC212" s="250"/>
      <c r="BD212" s="250"/>
      <c r="BE212" s="250"/>
      <c r="BF212" s="250"/>
      <c r="BG212" s="250"/>
      <c r="BH212" s="250"/>
      <c r="BI212" s="250"/>
      <c r="BJ212" s="250"/>
      <c r="BK212" s="267"/>
      <c r="BL212" s="267"/>
      <c r="BM212" s="267"/>
      <c r="BN212" s="267"/>
      <c r="BO212" s="267"/>
      <c r="BP212" s="267"/>
      <c r="BQ212" s="267"/>
      <c r="BR212" s="267"/>
      <c r="BS212" s="267"/>
      <c r="BT212" s="267"/>
    </row>
    <row r="213" spans="3:75" s="214" customFormat="1" ht="18.75" customHeight="1">
      <c r="C213" s="252"/>
      <c r="D213" s="250" t="s">
        <v>683</v>
      </c>
      <c r="E213" s="250"/>
      <c r="F213" s="250"/>
      <c r="G213" s="250"/>
      <c r="H213" s="250"/>
      <c r="I213" s="250"/>
      <c r="J213" s="476" t="str">
        <f>AB90</f>
        <v>직사각형</v>
      </c>
      <c r="K213" s="476"/>
      <c r="L213" s="476"/>
      <c r="M213" s="476"/>
      <c r="N213" s="476"/>
      <c r="O213" s="476"/>
      <c r="P213" s="476"/>
      <c r="Q213" s="476"/>
      <c r="R213" s="250"/>
      <c r="S213" s="250"/>
      <c r="T213" s="250"/>
      <c r="U213" s="250"/>
      <c r="V213" s="250"/>
      <c r="W213" s="250"/>
      <c r="X213" s="250"/>
      <c r="Y213" s="250"/>
      <c r="Z213" s="250"/>
      <c r="AA213" s="252"/>
      <c r="AB213" s="252"/>
      <c r="AC213" s="252"/>
      <c r="AD213" s="252"/>
      <c r="AE213" s="252"/>
      <c r="AF213" s="252"/>
      <c r="AG213" s="252"/>
      <c r="AH213" s="252"/>
      <c r="AI213" s="250"/>
      <c r="AJ213" s="250"/>
      <c r="AK213" s="250"/>
      <c r="AL213" s="250"/>
      <c r="AM213" s="250"/>
      <c r="AN213" s="250"/>
      <c r="AO213" s="250"/>
      <c r="AP213" s="250"/>
      <c r="AQ213" s="250"/>
      <c r="AR213" s="250"/>
      <c r="AS213" s="250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  <c r="BF213" s="250"/>
      <c r="BG213" s="252"/>
      <c r="BH213" s="250"/>
      <c r="BI213" s="267"/>
      <c r="BJ213" s="267"/>
      <c r="BK213" s="267"/>
      <c r="BL213" s="267"/>
      <c r="BM213" s="267"/>
      <c r="BN213" s="267"/>
      <c r="BO213" s="267"/>
      <c r="BP213" s="267"/>
      <c r="BQ213" s="267"/>
      <c r="BR213" s="267"/>
      <c r="BS213" s="267"/>
      <c r="BT213" s="267"/>
      <c r="BU213" s="267"/>
      <c r="BV213" s="267"/>
      <c r="BW213" s="267"/>
    </row>
    <row r="214" spans="3:75" s="214" customFormat="1" ht="18.75" customHeight="1">
      <c r="C214" s="252"/>
      <c r="D214" s="408" t="s">
        <v>684</v>
      </c>
      <c r="E214" s="408"/>
      <c r="F214" s="408"/>
      <c r="G214" s="408"/>
      <c r="H214" s="408"/>
      <c r="I214" s="408"/>
      <c r="J214" s="250"/>
      <c r="K214" s="250"/>
      <c r="L214" s="250"/>
      <c r="M214" s="250"/>
      <c r="N214" s="250"/>
      <c r="O214" s="486">
        <f>AG90</f>
        <v>1</v>
      </c>
      <c r="P214" s="486"/>
      <c r="Q214" s="250"/>
      <c r="R214" s="250"/>
      <c r="S214" s="250"/>
      <c r="T214" s="250"/>
      <c r="U214" s="250"/>
      <c r="V214" s="250"/>
      <c r="W214" s="267"/>
      <c r="X214" s="267"/>
      <c r="Y214" s="267"/>
      <c r="Z214" s="267"/>
      <c r="AA214" s="267"/>
      <c r="AB214" s="267"/>
    </row>
    <row r="215" spans="3:75" s="214" customFormat="1" ht="18.75" customHeight="1">
      <c r="C215" s="252"/>
      <c r="D215" s="408"/>
      <c r="E215" s="408"/>
      <c r="F215" s="408"/>
      <c r="G215" s="408"/>
      <c r="H215" s="408"/>
      <c r="I215" s="408"/>
      <c r="J215" s="250"/>
      <c r="K215" s="250"/>
      <c r="L215" s="250"/>
      <c r="M215" s="250"/>
      <c r="N215" s="250"/>
      <c r="O215" s="486"/>
      <c r="P215" s="486"/>
      <c r="Q215" s="250"/>
      <c r="R215" s="250"/>
      <c r="S215" s="250"/>
      <c r="T215" s="250"/>
      <c r="U215" s="250"/>
      <c r="V215" s="250"/>
      <c r="W215" s="267"/>
      <c r="X215" s="267"/>
      <c r="Y215" s="267"/>
      <c r="Z215" s="267"/>
      <c r="AA215" s="267"/>
      <c r="AB215" s="267"/>
    </row>
    <row r="216" spans="3:75" s="214" customFormat="1" ht="18.75" customHeight="1">
      <c r="C216" s="252"/>
      <c r="D216" s="250" t="s">
        <v>685</v>
      </c>
      <c r="E216" s="250"/>
      <c r="F216" s="250"/>
      <c r="G216" s="250"/>
      <c r="H216" s="250"/>
      <c r="I216" s="250"/>
      <c r="J216" s="250"/>
      <c r="K216" s="252"/>
      <c r="L216" s="252" t="s">
        <v>663</v>
      </c>
      <c r="M216" s="409">
        <f>O214</f>
        <v>1</v>
      </c>
      <c r="N216" s="409"/>
      <c r="O216" s="252" t="s">
        <v>456</v>
      </c>
      <c r="P216" s="478">
        <f>T211</f>
        <v>0.28867513459481292</v>
      </c>
      <c r="Q216" s="426"/>
      <c r="R216" s="426"/>
      <c r="S216" s="479" t="str">
        <f>W211</f>
        <v>℃</v>
      </c>
      <c r="T216" s="426"/>
      <c r="U216" s="253" t="s">
        <v>686</v>
      </c>
      <c r="V216" s="211" t="s">
        <v>587</v>
      </c>
      <c r="W216" s="478">
        <f>M216*P216</f>
        <v>0.28867513459481292</v>
      </c>
      <c r="X216" s="478"/>
      <c r="Y216" s="478"/>
      <c r="Z216" s="261" t="str">
        <f>S216</f>
        <v>℃</v>
      </c>
      <c r="AA216" s="55"/>
      <c r="AB216" s="260"/>
      <c r="AC216" s="227"/>
      <c r="AD216" s="217"/>
      <c r="AE216" s="252"/>
      <c r="AF216" s="257"/>
      <c r="AG216" s="252"/>
      <c r="AH216" s="252"/>
      <c r="AI216" s="252"/>
      <c r="AJ216" s="252"/>
      <c r="AK216" s="252"/>
      <c r="AL216" s="252"/>
      <c r="AM216" s="252"/>
      <c r="AN216" s="252"/>
      <c r="AO216" s="252"/>
      <c r="AP216" s="252"/>
      <c r="AR216" s="250"/>
      <c r="AS216" s="250"/>
      <c r="AT216" s="250"/>
      <c r="AU216" s="250"/>
      <c r="AV216" s="250"/>
      <c r="AW216" s="250"/>
      <c r="AX216" s="250"/>
      <c r="AY216" s="250"/>
      <c r="AZ216" s="250"/>
      <c r="BA216" s="250"/>
      <c r="BB216" s="250"/>
      <c r="BC216" s="250"/>
      <c r="BD216" s="250"/>
      <c r="BE216" s="250"/>
      <c r="BF216" s="250"/>
      <c r="BG216" s="250"/>
      <c r="BH216" s="250"/>
      <c r="BI216" s="267"/>
      <c r="BJ216" s="267"/>
      <c r="BK216" s="267"/>
      <c r="BL216" s="267"/>
    </row>
    <row r="217" spans="3:75" s="214" customFormat="1" ht="18.75" customHeight="1">
      <c r="C217" s="252"/>
      <c r="D217" s="408" t="s">
        <v>687</v>
      </c>
      <c r="E217" s="408"/>
      <c r="F217" s="408"/>
      <c r="G217" s="408"/>
      <c r="H217" s="408"/>
      <c r="I217" s="250"/>
      <c r="K217" s="250"/>
      <c r="L217" s="250"/>
      <c r="M217" s="250"/>
      <c r="N217" s="250"/>
      <c r="O217" s="250"/>
      <c r="P217" s="250"/>
      <c r="Q217" s="250"/>
      <c r="R217" s="250"/>
      <c r="S217" s="217"/>
      <c r="T217" s="250"/>
      <c r="U217" s="250"/>
      <c r="V217" s="250"/>
      <c r="X217" s="191" t="s">
        <v>639</v>
      </c>
      <c r="Y217" s="250"/>
      <c r="Z217" s="250"/>
      <c r="AA217" s="250"/>
      <c r="AB217" s="250"/>
      <c r="AC217" s="250"/>
      <c r="AD217" s="250"/>
      <c r="AE217" s="250"/>
      <c r="AF217" s="252"/>
      <c r="AG217" s="252"/>
      <c r="AH217" s="252"/>
      <c r="AI217" s="252"/>
      <c r="AJ217" s="252"/>
      <c r="AK217" s="252"/>
      <c r="AL217" s="252"/>
      <c r="AM217" s="252"/>
      <c r="AN217" s="252"/>
      <c r="AO217" s="252"/>
      <c r="AP217" s="252"/>
      <c r="AQ217" s="252"/>
      <c r="AR217" s="252"/>
      <c r="AS217" s="252"/>
      <c r="AT217" s="252"/>
      <c r="AU217" s="252"/>
      <c r="AV217" s="252"/>
      <c r="AW217" s="252"/>
      <c r="AX217" s="252"/>
      <c r="AY217" s="252"/>
      <c r="AZ217" s="252"/>
      <c r="BA217" s="252"/>
      <c r="BB217" s="252"/>
      <c r="BC217" s="252"/>
      <c r="BD217" s="252"/>
      <c r="BE217" s="252"/>
      <c r="BF217" s="252"/>
      <c r="BG217" s="252"/>
      <c r="BH217" s="252"/>
      <c r="BI217" s="267"/>
      <c r="BJ217" s="267"/>
      <c r="BK217" s="267"/>
      <c r="BL217" s="267"/>
      <c r="BQ217" s="267"/>
      <c r="BT217" s="267"/>
      <c r="BU217" s="267"/>
      <c r="BV217" s="267"/>
    </row>
    <row r="218" spans="3:75" s="214" customFormat="1" ht="18.75" customHeight="1">
      <c r="C218" s="252"/>
      <c r="D218" s="408"/>
      <c r="E218" s="408"/>
      <c r="F218" s="408"/>
      <c r="G218" s="408"/>
      <c r="H218" s="408"/>
      <c r="I218" s="250"/>
      <c r="J218" s="250"/>
      <c r="K218" s="250"/>
      <c r="L218" s="250"/>
      <c r="M218" s="250"/>
      <c r="N218" s="250"/>
      <c r="O218" s="250"/>
      <c r="P218" s="250"/>
      <c r="Q218" s="250"/>
      <c r="R218" s="250"/>
      <c r="S218" s="217"/>
      <c r="T218" s="250"/>
      <c r="U218" s="250"/>
      <c r="V218" s="250"/>
      <c r="W218" s="250"/>
      <c r="X218" s="250"/>
      <c r="Y218" s="250"/>
      <c r="Z218" s="250"/>
      <c r="AA218" s="250"/>
      <c r="AB218" s="250"/>
      <c r="AC218" s="250"/>
      <c r="AD218" s="252"/>
      <c r="AE218" s="252"/>
      <c r="AF218" s="252"/>
      <c r="AG218" s="252"/>
      <c r="AH218" s="252"/>
      <c r="AI218" s="252"/>
      <c r="AJ218" s="252"/>
      <c r="AK218" s="252"/>
      <c r="AL218" s="252"/>
      <c r="AM218" s="252"/>
      <c r="AN218" s="252"/>
      <c r="AO218" s="252"/>
      <c r="AP218" s="252"/>
      <c r="AQ218" s="252"/>
      <c r="AR218" s="252"/>
      <c r="AS218" s="252"/>
      <c r="AT218" s="252"/>
      <c r="AU218" s="252"/>
      <c r="AV218" s="252"/>
      <c r="AW218" s="252"/>
      <c r="AX218" s="252"/>
      <c r="AY218" s="252"/>
      <c r="AZ218" s="252"/>
      <c r="BA218" s="252"/>
      <c r="BB218" s="252"/>
      <c r="BC218" s="252"/>
      <c r="BD218" s="252"/>
      <c r="BE218" s="252"/>
      <c r="BF218" s="252"/>
      <c r="BG218" s="252"/>
      <c r="BH218" s="252"/>
      <c r="BI218" s="267"/>
      <c r="BJ218" s="267"/>
      <c r="BK218" s="267"/>
      <c r="BL218" s="267"/>
      <c r="BQ218" s="267"/>
      <c r="BT218" s="267"/>
      <c r="BU218" s="267"/>
      <c r="BV218" s="267"/>
    </row>
    <row r="219" spans="3:75" s="214" customFormat="1" ht="18.75" customHeight="1">
      <c r="C219" s="252"/>
      <c r="D219" s="250"/>
      <c r="E219" s="250"/>
      <c r="F219" s="250"/>
      <c r="G219" s="250"/>
      <c r="H219" s="252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2"/>
      <c r="Z219" s="252"/>
      <c r="AA219" s="252"/>
      <c r="AB219" s="252"/>
      <c r="AC219" s="252"/>
      <c r="AD219" s="252"/>
      <c r="AE219" s="252"/>
      <c r="AF219" s="252"/>
      <c r="AG219" s="252"/>
      <c r="AH219" s="252"/>
      <c r="AI219" s="252"/>
      <c r="AJ219" s="252"/>
      <c r="AK219" s="252"/>
      <c r="AL219" s="252"/>
      <c r="AM219" s="252"/>
      <c r="AN219" s="252"/>
      <c r="AO219" s="252"/>
      <c r="AP219" s="252"/>
      <c r="AQ219" s="252"/>
      <c r="AR219" s="252"/>
      <c r="AS219" s="252"/>
      <c r="AT219" s="252"/>
      <c r="AU219" s="252"/>
      <c r="AV219" s="252"/>
      <c r="AW219" s="252"/>
      <c r="AX219" s="252"/>
      <c r="AY219" s="252"/>
      <c r="AZ219" s="252"/>
      <c r="BA219" s="252"/>
      <c r="BB219" s="252"/>
      <c r="BC219" s="252"/>
      <c r="BD219" s="252"/>
      <c r="BE219" s="252"/>
      <c r="BF219" s="252"/>
      <c r="BG219" s="252"/>
      <c r="BH219" s="252"/>
    </row>
    <row r="220" spans="3:75" s="214" customFormat="1" ht="18.75" customHeight="1">
      <c r="C220" s="221" t="s">
        <v>688</v>
      </c>
      <c r="D220" s="190" t="s">
        <v>689</v>
      </c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P220" s="250"/>
      <c r="R220" s="250"/>
      <c r="S220" s="250"/>
      <c r="T220" s="250"/>
      <c r="U220" s="250"/>
      <c r="V220" s="250"/>
      <c r="W220" s="250"/>
      <c r="X220" s="250"/>
      <c r="Y220" s="250"/>
      <c r="Z220" s="250"/>
      <c r="AA220" s="224" t="s">
        <v>690</v>
      </c>
      <c r="AD220" s="250"/>
      <c r="AE220" s="250"/>
      <c r="AF220" s="250"/>
      <c r="AG220" s="250"/>
      <c r="AH220" s="250"/>
      <c r="AL220" s="250"/>
      <c r="AM220" s="250"/>
      <c r="AN220" s="250"/>
      <c r="AO220" s="250"/>
      <c r="AP220" s="250"/>
      <c r="AQ220" s="250"/>
      <c r="AR220" s="250"/>
      <c r="AS220" s="250"/>
      <c r="AT220" s="250"/>
      <c r="AU220" s="250"/>
      <c r="AV220" s="250"/>
      <c r="AW220" s="250"/>
      <c r="AX220" s="250"/>
      <c r="AY220" s="250"/>
      <c r="AZ220" s="250"/>
      <c r="BA220" s="250"/>
      <c r="BB220" s="250"/>
      <c r="BC220" s="250"/>
      <c r="BD220" s="250"/>
      <c r="BE220" s="250"/>
      <c r="BF220" s="250"/>
      <c r="BG220" s="250"/>
      <c r="BH220" s="267"/>
      <c r="BI220" s="267"/>
      <c r="BJ220" s="267"/>
      <c r="BK220" s="267"/>
      <c r="BL220" s="267"/>
      <c r="BM220" s="267"/>
      <c r="BN220" s="267"/>
    </row>
    <row r="221" spans="3:75" s="214" customFormat="1" ht="18.75" customHeight="1">
      <c r="C221" s="190"/>
      <c r="D221" s="250" t="str">
        <f>"※ 정밀 정반의 측정 온도와 측정기의 온도 차이가 과거의 측정 경험상 "&amp;O223&amp;" ℃이내에서 일치한다고 추정하여,"</f>
        <v>※ 정밀 정반의 측정 온도와 측정기의 온도 차이가 과거의 측정 경험상 0.3 ℃이내에서 일치한다고 추정하여,</v>
      </c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250"/>
      <c r="AG221" s="250"/>
      <c r="AH221" s="250"/>
      <c r="AI221" s="250"/>
      <c r="AJ221" s="250"/>
      <c r="AK221" s="250"/>
      <c r="AL221" s="250"/>
      <c r="AM221" s="250"/>
      <c r="AN221" s="250"/>
      <c r="AO221" s="250"/>
      <c r="AP221" s="250"/>
      <c r="AQ221" s="250"/>
      <c r="AR221" s="250"/>
      <c r="AS221" s="250"/>
      <c r="AT221" s="250"/>
      <c r="AU221" s="250"/>
      <c r="AV221" s="250"/>
      <c r="AW221" s="250"/>
      <c r="AX221" s="250"/>
      <c r="AY221" s="250"/>
      <c r="AZ221" s="250"/>
      <c r="BA221" s="250"/>
      <c r="BB221" s="250"/>
      <c r="BC221" s="250"/>
      <c r="BD221" s="250"/>
      <c r="BE221" s="250"/>
      <c r="BF221" s="250"/>
      <c r="BG221" s="250"/>
      <c r="BH221" s="250"/>
      <c r="BI221" s="267"/>
      <c r="BJ221" s="267"/>
      <c r="BK221" s="267"/>
      <c r="BL221" s="267"/>
      <c r="BM221" s="267"/>
      <c r="BN221" s="267"/>
      <c r="BO221" s="267"/>
    </row>
    <row r="222" spans="3:75" s="214" customFormat="1" ht="18.75" customHeight="1">
      <c r="C222" s="190"/>
      <c r="D222" s="250"/>
      <c r="E222" s="250" t="s">
        <v>669</v>
      </c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250"/>
      <c r="AB222" s="250"/>
      <c r="AC222" s="250"/>
      <c r="AD222" s="250"/>
      <c r="AE222" s="250"/>
      <c r="AF222" s="250"/>
      <c r="AG222" s="250"/>
      <c r="AH222" s="250"/>
      <c r="AI222" s="250"/>
      <c r="AJ222" s="250"/>
      <c r="AK222" s="250"/>
      <c r="AL222" s="250"/>
      <c r="AM222" s="250"/>
      <c r="AN222" s="250"/>
      <c r="AO222" s="250"/>
      <c r="AP222" s="250"/>
      <c r="AQ222" s="250"/>
      <c r="AR222" s="250"/>
      <c r="AS222" s="250"/>
      <c r="AT222" s="250"/>
      <c r="AU222" s="250"/>
      <c r="AV222" s="250"/>
      <c r="AW222" s="250"/>
      <c r="AX222" s="250"/>
      <c r="AY222" s="250"/>
      <c r="AZ222" s="250"/>
      <c r="BA222" s="250"/>
      <c r="BB222" s="250"/>
      <c r="BC222" s="250"/>
      <c r="BD222" s="250"/>
      <c r="BE222" s="250"/>
      <c r="BF222" s="250"/>
      <c r="BG222" s="250"/>
      <c r="BH222" s="250"/>
      <c r="BI222" s="267"/>
      <c r="BJ222" s="267"/>
      <c r="BK222" s="267"/>
      <c r="BL222" s="267"/>
      <c r="BM222" s="267"/>
      <c r="BN222" s="267"/>
      <c r="BO222" s="267"/>
    </row>
    <row r="223" spans="3:75" s="214" customFormat="1" ht="18.75" customHeight="1">
      <c r="C223" s="252"/>
      <c r="D223" s="408" t="s">
        <v>691</v>
      </c>
      <c r="E223" s="408"/>
      <c r="F223" s="408"/>
      <c r="G223" s="408"/>
      <c r="H223" s="408"/>
      <c r="I223" s="408"/>
      <c r="J223" s="408"/>
      <c r="K223" s="423" t="s">
        <v>692</v>
      </c>
      <c r="L223" s="423"/>
      <c r="M223" s="423"/>
      <c r="N223" s="409" t="s">
        <v>587</v>
      </c>
      <c r="O223" s="485">
        <f>Calcu!G42</f>
        <v>0.3</v>
      </c>
      <c r="P223" s="485"/>
      <c r="Q223" s="266" t="s">
        <v>682</v>
      </c>
      <c r="R223" s="263"/>
      <c r="S223" s="409" t="s">
        <v>587</v>
      </c>
      <c r="T223" s="478">
        <f>O223/SQRT(3)</f>
        <v>0.17320508075688773</v>
      </c>
      <c r="U223" s="478"/>
      <c r="V223" s="478"/>
      <c r="W223" s="426" t="str">
        <f>Q223</f>
        <v>℃</v>
      </c>
      <c r="X223" s="426"/>
      <c r="Y223" s="260"/>
      <c r="Z223" s="225"/>
      <c r="AA223" s="226"/>
      <c r="AB223" s="226"/>
      <c r="BA223" s="250"/>
      <c r="BB223" s="250"/>
      <c r="BC223" s="250"/>
      <c r="BD223" s="250"/>
      <c r="BE223" s="250"/>
      <c r="BF223" s="250"/>
      <c r="BG223" s="250"/>
      <c r="BH223" s="250"/>
      <c r="BI223" s="250"/>
      <c r="BJ223" s="250"/>
      <c r="BK223" s="267"/>
      <c r="BL223" s="267"/>
      <c r="BM223" s="267"/>
      <c r="BN223" s="267"/>
      <c r="BO223" s="267"/>
      <c r="BP223" s="267"/>
      <c r="BQ223" s="267"/>
      <c r="BR223" s="267"/>
      <c r="BS223" s="267"/>
      <c r="BT223" s="267"/>
    </row>
    <row r="224" spans="3:75" s="214" customFormat="1" ht="18.75" customHeight="1">
      <c r="C224" s="252"/>
      <c r="D224" s="408"/>
      <c r="E224" s="408"/>
      <c r="F224" s="408"/>
      <c r="G224" s="408"/>
      <c r="H224" s="408"/>
      <c r="I224" s="408"/>
      <c r="J224" s="408"/>
      <c r="K224" s="423"/>
      <c r="L224" s="423"/>
      <c r="M224" s="423"/>
      <c r="N224" s="409"/>
      <c r="O224" s="252"/>
      <c r="P224" s="252"/>
      <c r="Q224" s="252"/>
      <c r="R224" s="252"/>
      <c r="S224" s="409"/>
      <c r="T224" s="478"/>
      <c r="U224" s="478"/>
      <c r="V224" s="478"/>
      <c r="W224" s="426"/>
      <c r="X224" s="426"/>
      <c r="Y224" s="260"/>
      <c r="Z224" s="225"/>
      <c r="AA224" s="226"/>
      <c r="AB224" s="226"/>
      <c r="BA224" s="250"/>
      <c r="BB224" s="250"/>
      <c r="BC224" s="250"/>
      <c r="BD224" s="250"/>
      <c r="BE224" s="250"/>
      <c r="BF224" s="250"/>
      <c r="BG224" s="250"/>
      <c r="BH224" s="250"/>
      <c r="BI224" s="250"/>
      <c r="BJ224" s="250"/>
      <c r="BK224" s="267"/>
      <c r="BL224" s="267"/>
      <c r="BM224" s="267"/>
      <c r="BN224" s="267"/>
      <c r="BO224" s="267"/>
      <c r="BP224" s="267"/>
      <c r="BQ224" s="267"/>
      <c r="BR224" s="267"/>
      <c r="BS224" s="267"/>
      <c r="BT224" s="267"/>
    </row>
    <row r="225" spans="2:75" s="214" customFormat="1" ht="18.75" customHeight="1">
      <c r="C225" s="252"/>
      <c r="D225" s="250" t="s">
        <v>693</v>
      </c>
      <c r="E225" s="250"/>
      <c r="F225" s="250"/>
      <c r="G225" s="250"/>
      <c r="H225" s="250"/>
      <c r="I225" s="250"/>
      <c r="J225" s="476" t="str">
        <f>AB91</f>
        <v>직사각형</v>
      </c>
      <c r="K225" s="476"/>
      <c r="L225" s="476"/>
      <c r="M225" s="476"/>
      <c r="N225" s="476"/>
      <c r="O225" s="476"/>
      <c r="P225" s="476"/>
      <c r="Q225" s="476"/>
      <c r="R225" s="250"/>
      <c r="S225" s="250"/>
      <c r="T225" s="250"/>
      <c r="U225" s="250"/>
      <c r="V225" s="250"/>
      <c r="W225" s="250"/>
      <c r="X225" s="250"/>
      <c r="Y225" s="250"/>
      <c r="Z225" s="250"/>
      <c r="AA225" s="252"/>
      <c r="AB225" s="252"/>
      <c r="AC225" s="252"/>
      <c r="AD225" s="252"/>
      <c r="AE225" s="252"/>
      <c r="AF225" s="252"/>
      <c r="AG225" s="252"/>
      <c r="AH225" s="252"/>
      <c r="AI225" s="250"/>
      <c r="AJ225" s="250"/>
      <c r="AK225" s="250"/>
      <c r="AL225" s="250"/>
      <c r="AM225" s="250"/>
      <c r="AN225" s="250"/>
      <c r="AO225" s="250"/>
      <c r="AP225" s="250"/>
      <c r="AQ225" s="250"/>
      <c r="AR225" s="250"/>
      <c r="AS225" s="250"/>
      <c r="AT225" s="250"/>
      <c r="AU225" s="250"/>
      <c r="AV225" s="250"/>
      <c r="AW225" s="250"/>
      <c r="AX225" s="250"/>
      <c r="AY225" s="250"/>
      <c r="AZ225" s="250"/>
      <c r="BA225" s="250"/>
      <c r="BB225" s="250"/>
      <c r="BC225" s="250"/>
      <c r="BD225" s="250"/>
      <c r="BE225" s="250"/>
      <c r="BF225" s="250"/>
      <c r="BG225" s="252"/>
      <c r="BH225" s="250"/>
      <c r="BI225" s="267"/>
      <c r="BJ225" s="267"/>
      <c r="BK225" s="267"/>
      <c r="BL225" s="267"/>
      <c r="BM225" s="267"/>
      <c r="BN225" s="267"/>
      <c r="BO225" s="267"/>
      <c r="BP225" s="267"/>
      <c r="BQ225" s="267"/>
      <c r="BR225" s="267"/>
      <c r="BS225" s="267"/>
      <c r="BT225" s="267"/>
      <c r="BU225" s="267"/>
      <c r="BV225" s="267"/>
      <c r="BW225" s="267"/>
    </row>
    <row r="226" spans="2:75" s="214" customFormat="1" ht="18.75" customHeight="1">
      <c r="C226" s="252"/>
      <c r="D226" s="408" t="s">
        <v>694</v>
      </c>
      <c r="E226" s="408"/>
      <c r="F226" s="408"/>
      <c r="G226" s="408"/>
      <c r="H226" s="408"/>
      <c r="I226" s="408"/>
      <c r="J226" s="250"/>
      <c r="K226" s="250"/>
      <c r="L226" s="250"/>
      <c r="M226" s="250"/>
      <c r="N226" s="250"/>
      <c r="O226" s="486">
        <f>AG91</f>
        <v>1</v>
      </c>
      <c r="P226" s="486"/>
      <c r="Q226" s="250"/>
      <c r="R226" s="250"/>
      <c r="S226" s="250"/>
      <c r="T226" s="250"/>
      <c r="U226" s="250"/>
      <c r="V226" s="250"/>
      <c r="W226" s="267"/>
      <c r="X226" s="267"/>
      <c r="Y226" s="267"/>
      <c r="Z226" s="267"/>
      <c r="AA226" s="267"/>
      <c r="AB226" s="267"/>
    </row>
    <row r="227" spans="2:75" s="214" customFormat="1" ht="18.75" customHeight="1">
      <c r="C227" s="252"/>
      <c r="D227" s="408"/>
      <c r="E227" s="408"/>
      <c r="F227" s="408"/>
      <c r="G227" s="408"/>
      <c r="H227" s="408"/>
      <c r="I227" s="408"/>
      <c r="J227" s="250"/>
      <c r="K227" s="250"/>
      <c r="L227" s="250"/>
      <c r="M227" s="250"/>
      <c r="N227" s="250"/>
      <c r="O227" s="486"/>
      <c r="P227" s="486"/>
      <c r="Q227" s="250"/>
      <c r="R227" s="250"/>
      <c r="S227" s="250"/>
      <c r="T227" s="250"/>
      <c r="U227" s="250"/>
      <c r="V227" s="250"/>
      <c r="W227" s="267"/>
      <c r="X227" s="267"/>
      <c r="Y227" s="267"/>
      <c r="Z227" s="267"/>
      <c r="AA227" s="267"/>
      <c r="AB227" s="267"/>
    </row>
    <row r="228" spans="2:75" s="214" customFormat="1" ht="18.75" customHeight="1">
      <c r="C228" s="252"/>
      <c r="D228" s="250" t="s">
        <v>481</v>
      </c>
      <c r="E228" s="250"/>
      <c r="F228" s="250"/>
      <c r="G228" s="250"/>
      <c r="H228" s="250"/>
      <c r="I228" s="250"/>
      <c r="J228" s="250"/>
      <c r="K228" s="252"/>
      <c r="L228" s="252" t="s">
        <v>637</v>
      </c>
      <c r="M228" s="409">
        <f>O226</f>
        <v>1</v>
      </c>
      <c r="N228" s="409"/>
      <c r="O228" s="252" t="s">
        <v>456</v>
      </c>
      <c r="P228" s="478">
        <f>T223</f>
        <v>0.17320508075688773</v>
      </c>
      <c r="Q228" s="426"/>
      <c r="R228" s="426"/>
      <c r="S228" s="479" t="str">
        <f>W223</f>
        <v>℃</v>
      </c>
      <c r="T228" s="426"/>
      <c r="U228" s="253" t="s">
        <v>455</v>
      </c>
      <c r="V228" s="211" t="s">
        <v>453</v>
      </c>
      <c r="W228" s="478">
        <f>M228*P228</f>
        <v>0.17320508075688773</v>
      </c>
      <c r="X228" s="478"/>
      <c r="Y228" s="478"/>
      <c r="Z228" s="261" t="str">
        <f>S228</f>
        <v>℃</v>
      </c>
      <c r="AA228" s="55"/>
      <c r="AB228" s="260"/>
      <c r="AC228" s="227"/>
      <c r="AD228" s="217"/>
      <c r="AE228" s="252"/>
      <c r="AF228" s="257"/>
      <c r="AG228" s="252"/>
      <c r="AH228" s="252"/>
      <c r="AI228" s="252"/>
      <c r="AJ228" s="252"/>
      <c r="AK228" s="252"/>
      <c r="AL228" s="252"/>
      <c r="AM228" s="252"/>
      <c r="AN228" s="252"/>
      <c r="AO228" s="252"/>
      <c r="AP228" s="252"/>
      <c r="AR228" s="250"/>
      <c r="AS228" s="250"/>
      <c r="AT228" s="250"/>
      <c r="AU228" s="250"/>
      <c r="AV228" s="250"/>
      <c r="AW228" s="250"/>
      <c r="AX228" s="250"/>
      <c r="AY228" s="250"/>
      <c r="AZ228" s="250"/>
      <c r="BA228" s="250"/>
      <c r="BB228" s="250"/>
      <c r="BC228" s="250"/>
      <c r="BD228" s="250"/>
      <c r="BE228" s="250"/>
      <c r="BF228" s="250"/>
      <c r="BG228" s="250"/>
      <c r="BH228" s="250"/>
      <c r="BI228" s="267"/>
      <c r="BJ228" s="267"/>
      <c r="BK228" s="267"/>
      <c r="BL228" s="267"/>
    </row>
    <row r="229" spans="2:75" s="214" customFormat="1" ht="18.75" customHeight="1">
      <c r="C229" s="252"/>
      <c r="D229" s="408" t="s">
        <v>695</v>
      </c>
      <c r="E229" s="408"/>
      <c r="F229" s="408"/>
      <c r="G229" s="408"/>
      <c r="H229" s="408"/>
      <c r="I229" s="250"/>
      <c r="K229" s="250"/>
      <c r="L229" s="250"/>
      <c r="M229" s="250"/>
      <c r="N229" s="250"/>
      <c r="O229" s="250"/>
      <c r="P229" s="250"/>
      <c r="Q229" s="250"/>
      <c r="R229" s="250"/>
      <c r="S229" s="217"/>
      <c r="T229" s="250"/>
      <c r="U229" s="250"/>
      <c r="V229" s="250"/>
      <c r="X229" s="191" t="s">
        <v>696</v>
      </c>
      <c r="Y229" s="250"/>
      <c r="Z229" s="250"/>
      <c r="AA229" s="250"/>
      <c r="AB229" s="250"/>
      <c r="AC229" s="250"/>
      <c r="AD229" s="250"/>
      <c r="AE229" s="250"/>
      <c r="AF229" s="252"/>
      <c r="AG229" s="252"/>
      <c r="AH229" s="252"/>
      <c r="AI229" s="252"/>
      <c r="AJ229" s="252"/>
      <c r="AK229" s="252"/>
      <c r="AL229" s="252"/>
      <c r="AM229" s="252"/>
      <c r="AN229" s="252"/>
      <c r="AO229" s="252"/>
      <c r="AP229" s="252"/>
      <c r="AQ229" s="252"/>
      <c r="AR229" s="252"/>
      <c r="AS229" s="252"/>
      <c r="AT229" s="252"/>
      <c r="AU229" s="252"/>
      <c r="AV229" s="252"/>
      <c r="AW229" s="252"/>
      <c r="AX229" s="252"/>
      <c r="AY229" s="252"/>
      <c r="AZ229" s="252"/>
      <c r="BA229" s="252"/>
      <c r="BB229" s="252"/>
      <c r="BC229" s="252"/>
      <c r="BD229" s="252"/>
      <c r="BE229" s="252"/>
      <c r="BF229" s="252"/>
      <c r="BG229" s="252"/>
      <c r="BH229" s="252"/>
      <c r="BI229" s="267"/>
      <c r="BJ229" s="267"/>
      <c r="BK229" s="267"/>
      <c r="BL229" s="267"/>
      <c r="BQ229" s="267"/>
      <c r="BT229" s="267"/>
      <c r="BU229" s="267"/>
      <c r="BV229" s="267"/>
    </row>
    <row r="230" spans="2:75" s="214" customFormat="1" ht="18.75" customHeight="1">
      <c r="C230" s="252"/>
      <c r="D230" s="408"/>
      <c r="E230" s="408"/>
      <c r="F230" s="408"/>
      <c r="G230" s="408"/>
      <c r="H230" s="408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  <c r="S230" s="217"/>
      <c r="T230" s="250"/>
      <c r="U230" s="250"/>
      <c r="V230" s="250"/>
      <c r="W230" s="250"/>
      <c r="X230" s="250"/>
      <c r="Y230" s="250"/>
      <c r="Z230" s="250"/>
      <c r="AA230" s="250"/>
      <c r="AB230" s="250"/>
      <c r="AC230" s="250"/>
      <c r="AD230" s="252"/>
      <c r="AE230" s="252"/>
      <c r="AF230" s="252"/>
      <c r="AG230" s="252"/>
      <c r="AH230" s="252"/>
      <c r="AI230" s="252"/>
      <c r="AJ230" s="252"/>
      <c r="AK230" s="252"/>
      <c r="AL230" s="252"/>
      <c r="AM230" s="252"/>
      <c r="AN230" s="252"/>
      <c r="AO230" s="252"/>
      <c r="AP230" s="252"/>
      <c r="AQ230" s="252"/>
      <c r="AR230" s="252"/>
      <c r="AS230" s="252"/>
      <c r="AT230" s="252"/>
      <c r="AU230" s="252"/>
      <c r="AV230" s="252"/>
      <c r="AW230" s="252"/>
      <c r="AX230" s="252"/>
      <c r="AY230" s="252"/>
      <c r="AZ230" s="252"/>
      <c r="BA230" s="252"/>
      <c r="BB230" s="252"/>
      <c r="BC230" s="252"/>
      <c r="BD230" s="252"/>
      <c r="BE230" s="252"/>
      <c r="BF230" s="252"/>
      <c r="BG230" s="252"/>
      <c r="BH230" s="252"/>
      <c r="BI230" s="267"/>
      <c r="BJ230" s="267"/>
      <c r="BK230" s="267"/>
      <c r="BL230" s="267"/>
      <c r="BQ230" s="267"/>
      <c r="BT230" s="267"/>
      <c r="BU230" s="267"/>
      <c r="BV230" s="267"/>
    </row>
    <row r="231" spans="2:75" s="214" customFormat="1" ht="18.75" customHeight="1">
      <c r="C231" s="252"/>
      <c r="D231" s="250"/>
      <c r="E231" s="250"/>
      <c r="F231" s="250"/>
      <c r="G231" s="250"/>
      <c r="H231" s="252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2"/>
      <c r="Z231" s="252"/>
      <c r="AA231" s="252"/>
      <c r="AB231" s="252"/>
      <c r="AC231" s="252"/>
      <c r="AD231" s="252"/>
      <c r="AE231" s="252"/>
      <c r="AF231" s="252"/>
      <c r="AG231" s="252"/>
      <c r="AH231" s="252"/>
      <c r="AI231" s="252"/>
      <c r="AJ231" s="252"/>
      <c r="AK231" s="252"/>
      <c r="AL231" s="252"/>
      <c r="AM231" s="252"/>
      <c r="AN231" s="252"/>
      <c r="AO231" s="252"/>
      <c r="AP231" s="252"/>
      <c r="AQ231" s="252"/>
      <c r="AR231" s="252"/>
      <c r="AS231" s="252"/>
      <c r="AT231" s="252"/>
      <c r="AU231" s="252"/>
      <c r="AV231" s="252"/>
      <c r="AW231" s="252"/>
      <c r="AX231" s="252"/>
      <c r="AY231" s="252"/>
      <c r="AZ231" s="252"/>
      <c r="BA231" s="252"/>
      <c r="BB231" s="252"/>
      <c r="BC231" s="252"/>
      <c r="BD231" s="252"/>
      <c r="BE231" s="252"/>
      <c r="BF231" s="252"/>
      <c r="BG231" s="252"/>
      <c r="BH231" s="252"/>
    </row>
    <row r="232" spans="2:75" s="214" customFormat="1" ht="18.75" customHeight="1">
      <c r="B232" s="221" t="s">
        <v>697</v>
      </c>
      <c r="C232" s="190" t="str">
        <f>$N$5&amp;"의 분해능에 의한 표준불확도,"</f>
        <v>전기 마이크로미터의 분해능에 의한 표준불확도,</v>
      </c>
      <c r="D232" s="250"/>
      <c r="E232" s="250"/>
      <c r="F232" s="250"/>
      <c r="G232" s="252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W232" s="220" t="s">
        <v>482</v>
      </c>
      <c r="X232" s="250"/>
      <c r="Y232" s="250"/>
      <c r="Z232" s="250"/>
      <c r="AA232" s="250"/>
      <c r="AB232" s="250"/>
      <c r="AC232" s="250"/>
      <c r="AD232" s="250"/>
      <c r="AE232" s="252"/>
      <c r="AF232" s="250"/>
      <c r="AG232" s="252"/>
      <c r="AH232" s="252"/>
      <c r="AI232" s="252"/>
      <c r="AJ232" s="252"/>
      <c r="AK232" s="252"/>
      <c r="AL232" s="252"/>
      <c r="AM232" s="252"/>
      <c r="AN232" s="252"/>
      <c r="AO232" s="252"/>
      <c r="AP232" s="252"/>
      <c r="AQ232" s="252"/>
      <c r="AR232" s="252"/>
      <c r="AS232" s="252"/>
      <c r="AT232" s="252"/>
      <c r="AU232" s="252"/>
      <c r="AV232" s="252"/>
      <c r="AW232" s="252"/>
      <c r="AX232" s="252"/>
      <c r="AY232" s="252"/>
      <c r="AZ232" s="252"/>
      <c r="BA232" s="252"/>
      <c r="BB232" s="252"/>
      <c r="BC232" s="252"/>
      <c r="BD232" s="252"/>
      <c r="BE232" s="252"/>
      <c r="BF232" s="252"/>
      <c r="BG232" s="252"/>
    </row>
    <row r="233" spans="2:75" s="214" customFormat="1" ht="18.75" customHeight="1">
      <c r="B233" s="190"/>
      <c r="C233" s="250" t="str">
        <f>"※ 교정에 사용된 "&amp;Z10&amp;" 분해능의 반범위에 직사각형 확률분포를 적용하여 계산한다."</f>
        <v>※ 교정에 사용된  분해능의 반범위에 직사각형 확률분포를 적용하여 계산한다.</v>
      </c>
      <c r="D233" s="250"/>
      <c r="E233" s="250"/>
      <c r="F233" s="250"/>
      <c r="G233" s="252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20"/>
      <c r="V233" s="250"/>
      <c r="W233" s="250"/>
      <c r="X233" s="250"/>
      <c r="Y233" s="250"/>
      <c r="Z233" s="250"/>
      <c r="AA233" s="250"/>
      <c r="AB233" s="250"/>
      <c r="AC233" s="250"/>
      <c r="AD233" s="250"/>
      <c r="AE233" s="252"/>
      <c r="AF233" s="250"/>
      <c r="AG233" s="252"/>
      <c r="AH233" s="252"/>
      <c r="AI233" s="252"/>
      <c r="AJ233" s="252"/>
      <c r="AK233" s="252"/>
      <c r="AL233" s="252"/>
      <c r="AM233" s="252"/>
      <c r="AN233" s="252"/>
      <c r="AO233" s="252"/>
      <c r="AP233" s="252"/>
      <c r="AQ233" s="252"/>
      <c r="AR233" s="252"/>
      <c r="AS233" s="252"/>
      <c r="AT233" s="252"/>
      <c r="AU233" s="252"/>
      <c r="AV233" s="252"/>
      <c r="AW233" s="252"/>
      <c r="AX233" s="252"/>
      <c r="AY233" s="252"/>
      <c r="AZ233" s="252"/>
      <c r="BA233" s="252"/>
      <c r="BB233" s="252"/>
      <c r="BC233" s="252"/>
      <c r="BD233" s="252"/>
      <c r="BE233" s="252"/>
      <c r="BF233" s="252"/>
      <c r="BG233" s="252"/>
    </row>
    <row r="234" spans="2:75" s="214" customFormat="1" ht="18.75" customHeight="1">
      <c r="B234" s="252"/>
      <c r="C234" s="250" t="s">
        <v>698</v>
      </c>
      <c r="D234" s="250"/>
      <c r="E234" s="250"/>
      <c r="F234" s="250"/>
      <c r="G234" s="250"/>
      <c r="H234" s="250"/>
      <c r="I234" s="252"/>
      <c r="J234" s="208" t="s">
        <v>483</v>
      </c>
      <c r="K234" s="250"/>
      <c r="L234" s="250"/>
      <c r="M234" s="250"/>
      <c r="N234" s="250"/>
      <c r="O234" s="250"/>
      <c r="P234" s="426">
        <f>T235</f>
        <v>0</v>
      </c>
      <c r="Q234" s="426"/>
      <c r="R234" s="426"/>
      <c r="S234" s="260" t="s">
        <v>191</v>
      </c>
      <c r="T234" s="260"/>
      <c r="U234" s="250"/>
      <c r="V234" s="252"/>
      <c r="W234" s="252"/>
      <c r="X234" s="259"/>
      <c r="AD234" s="250"/>
      <c r="AE234" s="250"/>
      <c r="AF234" s="252"/>
      <c r="AG234" s="252"/>
      <c r="AH234" s="252"/>
      <c r="AI234" s="252"/>
      <c r="AJ234" s="252"/>
      <c r="AK234" s="252"/>
      <c r="AL234" s="252"/>
      <c r="AM234" s="252"/>
      <c r="AN234" s="250"/>
      <c r="AO234" s="250"/>
      <c r="AP234" s="250"/>
      <c r="AQ234" s="250"/>
      <c r="AR234" s="250"/>
      <c r="AS234" s="250"/>
      <c r="AT234" s="250"/>
      <c r="AU234" s="250"/>
      <c r="AV234" s="250"/>
      <c r="AW234" s="250"/>
      <c r="AX234" s="250"/>
      <c r="AY234" s="252"/>
      <c r="AZ234" s="252"/>
      <c r="BA234" s="252"/>
      <c r="BB234" s="252"/>
      <c r="BC234" s="252"/>
      <c r="BD234" s="252"/>
      <c r="BE234" s="252"/>
      <c r="BF234" s="252"/>
      <c r="BG234" s="252"/>
    </row>
    <row r="235" spans="2:75" s="214" customFormat="1" ht="18.75" customHeight="1">
      <c r="B235" s="252"/>
      <c r="C235" s="250"/>
      <c r="D235" s="250"/>
      <c r="E235" s="250"/>
      <c r="F235" s="250"/>
      <c r="G235" s="250"/>
      <c r="H235" s="250"/>
      <c r="I235" s="250"/>
      <c r="K235" s="481" t="s">
        <v>699</v>
      </c>
      <c r="L235" s="481"/>
      <c r="M235" s="481"/>
      <c r="N235" s="409" t="s">
        <v>595</v>
      </c>
      <c r="O235" s="516" t="s">
        <v>700</v>
      </c>
      <c r="P235" s="517"/>
      <c r="Q235" s="517"/>
      <c r="R235" s="517"/>
      <c r="S235" s="409" t="s">
        <v>589</v>
      </c>
      <c r="T235" s="485">
        <f>Calcu!G43</f>
        <v>0</v>
      </c>
      <c r="U235" s="485"/>
      <c r="V235" s="266" t="s">
        <v>590</v>
      </c>
      <c r="W235" s="266"/>
      <c r="X235" s="414" t="s">
        <v>453</v>
      </c>
      <c r="Y235" s="478">
        <f>T235/2/SQRT(3)</f>
        <v>0</v>
      </c>
      <c r="Z235" s="478"/>
      <c r="AA235" s="478"/>
      <c r="AB235" s="426" t="str">
        <f>V235</f>
        <v>μm</v>
      </c>
      <c r="AC235" s="426"/>
      <c r="AD235" s="250"/>
      <c r="AE235" s="252"/>
      <c r="AF235" s="252"/>
      <c r="AG235" s="252"/>
      <c r="AH235" s="252"/>
      <c r="AI235" s="252"/>
      <c r="AJ235" s="252"/>
      <c r="AK235" s="252"/>
      <c r="AL235" s="252"/>
      <c r="AM235" s="252"/>
      <c r="AN235" s="252"/>
      <c r="AO235" s="252"/>
      <c r="AP235" s="252"/>
      <c r="AQ235" s="252"/>
      <c r="AR235" s="250"/>
      <c r="AS235" s="250"/>
      <c r="AT235" s="250"/>
      <c r="AU235" s="250"/>
      <c r="AV235" s="250"/>
      <c r="AW235" s="250"/>
      <c r="AX235" s="250"/>
      <c r="AY235" s="250"/>
      <c r="AZ235" s="252"/>
      <c r="BA235" s="252"/>
      <c r="BB235" s="252"/>
      <c r="BC235" s="252"/>
      <c r="BD235" s="252"/>
      <c r="BE235" s="252"/>
      <c r="BF235" s="252"/>
      <c r="BG235" s="252"/>
      <c r="BH235" s="252"/>
    </row>
    <row r="236" spans="2:75" s="214" customFormat="1" ht="18.75" customHeight="1">
      <c r="B236" s="252"/>
      <c r="C236" s="250"/>
      <c r="D236" s="250"/>
      <c r="E236" s="250"/>
      <c r="F236" s="250"/>
      <c r="G236" s="250"/>
      <c r="H236" s="250"/>
      <c r="I236" s="250"/>
      <c r="J236" s="228"/>
      <c r="K236" s="481"/>
      <c r="L236" s="481"/>
      <c r="M236" s="481"/>
      <c r="N236" s="409"/>
      <c r="O236" s="483"/>
      <c r="P236" s="483"/>
      <c r="Q236" s="483"/>
      <c r="R236" s="483"/>
      <c r="S236" s="409"/>
      <c r="T236" s="483"/>
      <c r="U236" s="483"/>
      <c r="V236" s="483"/>
      <c r="W236" s="483"/>
      <c r="X236" s="414"/>
      <c r="Y236" s="478"/>
      <c r="Z236" s="478"/>
      <c r="AA236" s="478"/>
      <c r="AB236" s="426"/>
      <c r="AC236" s="426"/>
      <c r="AD236" s="250"/>
      <c r="AE236" s="252"/>
      <c r="AF236" s="252"/>
      <c r="AG236" s="252"/>
      <c r="AH236" s="252"/>
      <c r="AI236" s="252"/>
      <c r="AJ236" s="252"/>
      <c r="AK236" s="252"/>
      <c r="AL236" s="252"/>
      <c r="AM236" s="252"/>
      <c r="AN236" s="252"/>
      <c r="AO236" s="252"/>
      <c r="AP236" s="252"/>
      <c r="AQ236" s="252"/>
      <c r="AR236" s="250"/>
      <c r="AS236" s="250"/>
      <c r="AT236" s="250"/>
      <c r="AU236" s="250"/>
      <c r="AV236" s="250"/>
      <c r="AW236" s="250"/>
      <c r="AX236" s="250"/>
      <c r="AY236" s="250"/>
      <c r="AZ236" s="252"/>
      <c r="BA236" s="252"/>
      <c r="BB236" s="252"/>
      <c r="BC236" s="252"/>
      <c r="BD236" s="252"/>
      <c r="BE236" s="252"/>
      <c r="BF236" s="252"/>
      <c r="BG236" s="252"/>
      <c r="BH236" s="252"/>
    </row>
    <row r="237" spans="2:75" s="214" customFormat="1" ht="18.75" customHeight="1">
      <c r="B237" s="252"/>
      <c r="C237" s="250" t="s">
        <v>701</v>
      </c>
      <c r="D237" s="250"/>
      <c r="E237" s="250"/>
      <c r="F237" s="250"/>
      <c r="G237" s="250"/>
      <c r="H237" s="250"/>
      <c r="I237" s="476" t="str">
        <f>AB92</f>
        <v>직사각형</v>
      </c>
      <c r="J237" s="476"/>
      <c r="K237" s="476"/>
      <c r="L237" s="476"/>
      <c r="M237" s="476"/>
      <c r="N237" s="476"/>
      <c r="O237" s="476"/>
      <c r="P237" s="476"/>
      <c r="Q237" s="250"/>
      <c r="R237" s="250"/>
      <c r="S237" s="250"/>
      <c r="T237" s="250"/>
      <c r="U237" s="250"/>
      <c r="V237" s="250"/>
      <c r="W237" s="250"/>
      <c r="X237" s="250"/>
      <c r="Y237" s="250"/>
      <c r="Z237" s="252"/>
      <c r="AA237" s="252"/>
      <c r="AB237" s="252"/>
      <c r="AC237" s="252"/>
      <c r="AD237" s="252"/>
      <c r="AE237" s="252"/>
      <c r="AF237" s="252"/>
      <c r="AG237" s="252"/>
      <c r="AH237" s="250"/>
      <c r="AI237" s="250"/>
      <c r="AJ237" s="250"/>
      <c r="AK237" s="250"/>
      <c r="AL237" s="250"/>
      <c r="AM237" s="250"/>
      <c r="AN237" s="250"/>
      <c r="AO237" s="250"/>
      <c r="AP237" s="250"/>
      <c r="AQ237" s="250"/>
      <c r="AR237" s="250"/>
      <c r="AS237" s="250"/>
      <c r="AT237" s="250"/>
      <c r="AU237" s="250"/>
      <c r="AV237" s="250"/>
      <c r="AW237" s="250"/>
      <c r="AX237" s="250"/>
      <c r="AY237" s="252"/>
      <c r="AZ237" s="252"/>
      <c r="BA237" s="252"/>
      <c r="BB237" s="252"/>
      <c r="BC237" s="252"/>
      <c r="BD237" s="252"/>
      <c r="BE237" s="252"/>
      <c r="BF237" s="252"/>
      <c r="BG237" s="252"/>
    </row>
    <row r="238" spans="2:75" s="214" customFormat="1" ht="18.75" customHeight="1">
      <c r="B238" s="252"/>
      <c r="C238" s="408" t="s">
        <v>702</v>
      </c>
      <c r="D238" s="408"/>
      <c r="E238" s="408"/>
      <c r="F238" s="408"/>
      <c r="G238" s="408"/>
      <c r="H238" s="408"/>
      <c r="I238" s="250"/>
      <c r="J238" s="250"/>
      <c r="K238" s="250"/>
      <c r="L238" s="250"/>
      <c r="M238" s="250"/>
      <c r="N238" s="409">
        <f>AG92</f>
        <v>1</v>
      </c>
      <c r="O238" s="409"/>
      <c r="P238" s="229"/>
      <c r="Q238" s="229"/>
      <c r="R238" s="229"/>
      <c r="S238" s="250"/>
      <c r="T238" s="250"/>
      <c r="U238" s="250"/>
      <c r="V238" s="250"/>
      <c r="W238" s="250"/>
      <c r="X238" s="250"/>
      <c r="Y238" s="250"/>
      <c r="Z238" s="230"/>
      <c r="AA238" s="230"/>
      <c r="AB238" s="250"/>
      <c r="AC238" s="250"/>
      <c r="AD238" s="250"/>
      <c r="AE238" s="250"/>
      <c r="AF238" s="250"/>
      <c r="AG238" s="250"/>
      <c r="AH238" s="250"/>
      <c r="AI238" s="250"/>
      <c r="AJ238" s="250"/>
      <c r="AK238" s="250"/>
      <c r="AL238" s="252"/>
      <c r="AM238" s="252"/>
      <c r="AN238" s="252"/>
      <c r="AO238" s="250"/>
      <c r="AP238" s="250"/>
      <c r="AQ238" s="250"/>
      <c r="AR238" s="250"/>
      <c r="AS238" s="250"/>
      <c r="AT238" s="250"/>
      <c r="AU238" s="250"/>
      <c r="AV238" s="250"/>
      <c r="AW238" s="250"/>
      <c r="AX238" s="250"/>
      <c r="AY238" s="252"/>
      <c r="AZ238" s="252"/>
      <c r="BA238" s="252"/>
      <c r="BB238" s="252"/>
      <c r="BC238" s="252"/>
      <c r="BD238" s="252"/>
      <c r="BE238" s="252"/>
      <c r="BF238" s="252"/>
      <c r="BG238" s="252"/>
    </row>
    <row r="239" spans="2:75" s="214" customFormat="1" ht="18.75" customHeight="1">
      <c r="B239" s="252"/>
      <c r="C239" s="408"/>
      <c r="D239" s="408"/>
      <c r="E239" s="408"/>
      <c r="F239" s="408"/>
      <c r="G239" s="408"/>
      <c r="H239" s="408"/>
      <c r="I239" s="250"/>
      <c r="J239" s="250"/>
      <c r="K239" s="250"/>
      <c r="L239" s="250"/>
      <c r="M239" s="250"/>
      <c r="N239" s="409"/>
      <c r="O239" s="409"/>
      <c r="P239" s="229"/>
      <c r="Q239" s="229"/>
      <c r="R239" s="229"/>
      <c r="S239" s="250"/>
      <c r="T239" s="250"/>
      <c r="U239" s="250"/>
      <c r="V239" s="250"/>
      <c r="W239" s="250"/>
      <c r="X239" s="250"/>
      <c r="Y239" s="250"/>
      <c r="Z239" s="230"/>
      <c r="AA239" s="230"/>
      <c r="AB239" s="250"/>
      <c r="AC239" s="250"/>
      <c r="AD239" s="250"/>
      <c r="AE239" s="250"/>
      <c r="AF239" s="250"/>
      <c r="AG239" s="250"/>
      <c r="AH239" s="250"/>
      <c r="AI239" s="250"/>
      <c r="AJ239" s="250"/>
      <c r="AK239" s="250"/>
      <c r="AL239" s="252"/>
      <c r="AM239" s="252"/>
      <c r="AN239" s="252"/>
      <c r="AO239" s="250"/>
      <c r="AP239" s="250"/>
      <c r="AQ239" s="250"/>
      <c r="AR239" s="250"/>
      <c r="AS239" s="250"/>
      <c r="AT239" s="250"/>
      <c r="AU239" s="250"/>
      <c r="AV239" s="250"/>
      <c r="AW239" s="250"/>
      <c r="AX239" s="250"/>
      <c r="AY239" s="252"/>
      <c r="AZ239" s="252"/>
      <c r="BA239" s="252"/>
      <c r="BB239" s="252"/>
      <c r="BC239" s="252"/>
      <c r="BD239" s="252"/>
      <c r="BE239" s="252"/>
      <c r="BF239" s="252"/>
      <c r="BG239" s="252"/>
    </row>
    <row r="240" spans="2:75" s="214" customFormat="1" ht="18.75" customHeight="1">
      <c r="B240" s="252"/>
      <c r="C240" s="250" t="s">
        <v>703</v>
      </c>
      <c r="D240" s="250"/>
      <c r="E240" s="250"/>
      <c r="F240" s="250"/>
      <c r="G240" s="250"/>
      <c r="H240" s="250"/>
      <c r="I240" s="250"/>
      <c r="J240" s="252"/>
      <c r="K240" s="252" t="s">
        <v>663</v>
      </c>
      <c r="L240" s="409">
        <f>N238</f>
        <v>1</v>
      </c>
      <c r="M240" s="409"/>
      <c r="N240" s="252" t="s">
        <v>456</v>
      </c>
      <c r="O240" s="478">
        <f>Y235</f>
        <v>0</v>
      </c>
      <c r="P240" s="426"/>
      <c r="Q240" s="426"/>
      <c r="R240" s="479" t="str">
        <f>AB235</f>
        <v>μm</v>
      </c>
      <c r="S240" s="426"/>
      <c r="T240" s="253" t="s">
        <v>455</v>
      </c>
      <c r="U240" s="211" t="s">
        <v>587</v>
      </c>
      <c r="V240" s="478">
        <f>L240*O240</f>
        <v>0</v>
      </c>
      <c r="W240" s="478"/>
      <c r="X240" s="478"/>
      <c r="Y240" s="261" t="str">
        <f>R240</f>
        <v>μm</v>
      </c>
      <c r="Z240" s="55"/>
      <c r="AA240" s="260"/>
      <c r="AB240" s="227"/>
      <c r="AC240" s="217"/>
      <c r="AD240" s="252"/>
      <c r="AE240" s="250"/>
      <c r="AF240" s="252"/>
      <c r="AG240" s="252"/>
      <c r="AH240" s="252"/>
      <c r="AI240" s="252"/>
      <c r="AJ240" s="252"/>
      <c r="AK240" s="250"/>
      <c r="AL240" s="252"/>
      <c r="AM240" s="252"/>
      <c r="AN240" s="252"/>
      <c r="AO240" s="250"/>
      <c r="AP240" s="250"/>
      <c r="AQ240" s="250"/>
      <c r="AR240" s="250"/>
      <c r="AS240" s="250"/>
      <c r="AT240" s="250"/>
      <c r="AU240" s="250"/>
      <c r="AV240" s="250"/>
      <c r="AW240" s="250"/>
      <c r="AX240" s="250"/>
      <c r="AY240" s="252"/>
      <c r="AZ240" s="252"/>
      <c r="BA240" s="252"/>
      <c r="BB240" s="252"/>
      <c r="BC240" s="252"/>
      <c r="BD240" s="252"/>
      <c r="BE240" s="252"/>
      <c r="BF240" s="252"/>
      <c r="BG240" s="252"/>
    </row>
    <row r="241" spans="1:59" s="214" customFormat="1" ht="18.75" customHeight="1">
      <c r="B241" s="252"/>
      <c r="C241" s="408" t="s">
        <v>704</v>
      </c>
      <c r="D241" s="408"/>
      <c r="E241" s="408"/>
      <c r="F241" s="408"/>
      <c r="G241" s="408"/>
      <c r="H241" s="250"/>
      <c r="J241" s="250"/>
      <c r="K241" s="250"/>
      <c r="L241" s="250"/>
      <c r="M241" s="250"/>
      <c r="N241" s="250"/>
      <c r="O241" s="250"/>
      <c r="P241" s="250"/>
      <c r="Q241" s="250"/>
      <c r="R241" s="217"/>
      <c r="S241" s="250"/>
      <c r="T241" s="250"/>
      <c r="U241" s="250"/>
      <c r="W241" s="250"/>
      <c r="X241" s="191" t="s">
        <v>479</v>
      </c>
      <c r="Y241" s="250"/>
      <c r="Z241" s="250"/>
      <c r="AA241" s="250"/>
      <c r="AB241" s="250"/>
      <c r="AC241" s="250"/>
      <c r="AD241" s="250"/>
      <c r="AE241" s="252"/>
      <c r="AF241" s="252"/>
      <c r="AG241" s="252"/>
      <c r="AH241" s="252"/>
      <c r="AI241" s="252"/>
      <c r="AJ241" s="252"/>
      <c r="AK241" s="252"/>
      <c r="AL241" s="252"/>
      <c r="AM241" s="252"/>
      <c r="AN241" s="252"/>
      <c r="AO241" s="252"/>
      <c r="AP241" s="252"/>
      <c r="AQ241" s="252"/>
      <c r="AR241" s="252"/>
      <c r="AS241" s="252"/>
      <c r="AT241" s="252"/>
      <c r="AU241" s="252"/>
      <c r="AV241" s="252"/>
      <c r="AW241" s="252"/>
      <c r="AX241" s="252"/>
      <c r="AY241" s="252"/>
      <c r="AZ241" s="252"/>
      <c r="BA241" s="252"/>
      <c r="BB241" s="252"/>
      <c r="BC241" s="252"/>
      <c r="BD241" s="252"/>
      <c r="BE241" s="252"/>
      <c r="BF241" s="252"/>
      <c r="BG241" s="252"/>
    </row>
    <row r="242" spans="1:59" s="214" customFormat="1" ht="18.75" customHeight="1">
      <c r="B242" s="252"/>
      <c r="C242" s="408"/>
      <c r="D242" s="408"/>
      <c r="E242" s="408"/>
      <c r="F242" s="408"/>
      <c r="G242" s="408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17"/>
      <c r="S242" s="250"/>
      <c r="T242" s="250"/>
      <c r="U242" s="250"/>
      <c r="V242" s="250"/>
      <c r="W242" s="250"/>
      <c r="X242" s="250"/>
      <c r="Y242" s="250"/>
      <c r="Z242" s="250"/>
      <c r="AA242" s="250"/>
      <c r="AB242" s="250"/>
      <c r="AC242" s="250"/>
      <c r="AD242" s="250"/>
      <c r="AE242" s="252"/>
      <c r="AF242" s="252"/>
      <c r="AG242" s="252"/>
      <c r="AH242" s="252"/>
      <c r="AI242" s="252"/>
      <c r="AJ242" s="252"/>
      <c r="AK242" s="252"/>
      <c r="AL242" s="252"/>
      <c r="AM242" s="252"/>
      <c r="AN242" s="252"/>
      <c r="AO242" s="252"/>
      <c r="AP242" s="252"/>
      <c r="AQ242" s="252"/>
      <c r="AR242" s="252"/>
      <c r="AS242" s="252"/>
      <c r="AT242" s="252"/>
      <c r="AU242" s="252"/>
      <c r="AV242" s="252"/>
      <c r="AW242" s="252"/>
      <c r="AX242" s="252"/>
      <c r="AY242" s="252"/>
      <c r="AZ242" s="252"/>
      <c r="BA242" s="252"/>
      <c r="BB242" s="252"/>
      <c r="BC242" s="252"/>
      <c r="BD242" s="252"/>
      <c r="BE242" s="252"/>
      <c r="BF242" s="252"/>
      <c r="BG242" s="252"/>
    </row>
    <row r="243" spans="1:59" s="214" customFormat="1" ht="18.75" customHeight="1">
      <c r="B243" s="252"/>
      <c r="C243" s="190"/>
      <c r="D243" s="250"/>
      <c r="E243" s="250"/>
      <c r="F243" s="250"/>
      <c r="G243" s="252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  <c r="AA243" s="250"/>
      <c r="AB243" s="250"/>
      <c r="AC243" s="250"/>
      <c r="AD243" s="250"/>
      <c r="AE243" s="252"/>
      <c r="AF243" s="250"/>
      <c r="AG243" s="252"/>
      <c r="AH243" s="252"/>
      <c r="AI243" s="252"/>
      <c r="AJ243" s="252"/>
      <c r="AK243" s="252"/>
      <c r="AL243" s="252"/>
      <c r="AM243" s="252"/>
      <c r="AN243" s="252"/>
      <c r="AO243" s="252"/>
      <c r="AP243" s="252"/>
      <c r="AQ243" s="252"/>
      <c r="AR243" s="252"/>
      <c r="AS243" s="252"/>
      <c r="AT243" s="252"/>
      <c r="AU243" s="252"/>
      <c r="AV243" s="252"/>
      <c r="AW243" s="252"/>
      <c r="AX243" s="252"/>
      <c r="AY243" s="252"/>
      <c r="AZ243" s="252"/>
      <c r="BA243" s="252"/>
      <c r="BB243" s="252"/>
      <c r="BC243" s="252"/>
      <c r="BD243" s="252"/>
      <c r="BE243" s="252"/>
      <c r="BF243" s="252"/>
      <c r="BG243" s="252"/>
    </row>
    <row r="244" spans="1:59" s="214" customFormat="1" ht="18.75" customHeight="1">
      <c r="B244" s="221" t="s">
        <v>705</v>
      </c>
      <c r="C244" s="190" t="str">
        <f>$N$5&amp;"의 불확도에 의한 표준불확도,"</f>
        <v>전기 마이크로미터의 불확도에 의한 표준불확도,</v>
      </c>
      <c r="D244" s="250"/>
      <c r="E244" s="250"/>
      <c r="F244" s="250"/>
      <c r="G244" s="252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W244" s="220" t="s">
        <v>706</v>
      </c>
      <c r="X244" s="250"/>
      <c r="Y244" s="250"/>
      <c r="Z244" s="250"/>
      <c r="AA244" s="250"/>
      <c r="AB244" s="250"/>
      <c r="AC244" s="250"/>
      <c r="AD244" s="250"/>
      <c r="AE244" s="252"/>
      <c r="AF244" s="250"/>
      <c r="AG244" s="252"/>
      <c r="AH244" s="252"/>
      <c r="AI244" s="252"/>
      <c r="AJ244" s="252"/>
      <c r="AK244" s="252"/>
      <c r="AL244" s="252"/>
      <c r="AM244" s="252"/>
      <c r="AN244" s="252"/>
      <c r="AO244" s="252"/>
      <c r="AP244" s="252"/>
      <c r="AQ244" s="252"/>
      <c r="AR244" s="252"/>
      <c r="AS244" s="252"/>
      <c r="AT244" s="252"/>
      <c r="AU244" s="252"/>
      <c r="AV244" s="252"/>
      <c r="AW244" s="252"/>
      <c r="AX244" s="252"/>
      <c r="AY244" s="252"/>
      <c r="AZ244" s="252"/>
      <c r="BA244" s="252"/>
      <c r="BB244" s="252"/>
      <c r="BC244" s="252"/>
      <c r="BD244" s="252"/>
      <c r="BE244" s="252"/>
      <c r="BF244" s="252"/>
      <c r="BG244" s="252"/>
    </row>
    <row r="245" spans="1:59" ht="18.75" customHeight="1">
      <c r="A245" s="191"/>
      <c r="B245" s="194"/>
      <c r="C245" s="250" t="str">
        <f>"※ "&amp;$N$5&amp;"의 교정성적서에 주어진 측정불확도가 "&amp;U247&amp;" μm (신뢰수준 약 95 %,"</f>
        <v>※ 전기 마이크로미터의 교정성적서에 주어진 측정불확도가 0 μm (신뢰수준 약 95 %,</v>
      </c>
      <c r="D245" s="250"/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2"/>
      <c r="U245" s="252"/>
      <c r="V245" s="252"/>
      <c r="X245" s="260"/>
      <c r="Y245" s="260"/>
      <c r="Z245" s="260"/>
      <c r="AA245" s="260"/>
      <c r="AB245" s="260"/>
      <c r="AC245" s="250"/>
      <c r="AD245" s="260"/>
      <c r="AE245" s="265"/>
      <c r="AF245" s="265"/>
      <c r="AG245" s="265"/>
      <c r="AH245" s="265"/>
      <c r="AJ245" s="191"/>
      <c r="AK245" s="191" t="s">
        <v>707</v>
      </c>
      <c r="AL245" s="191"/>
      <c r="AM245" s="191"/>
      <c r="AN245" s="191"/>
      <c r="AO245" s="191"/>
      <c r="AP245" s="191"/>
      <c r="AQ245" s="191"/>
      <c r="AR245" s="191"/>
      <c r="AS245" s="191"/>
      <c r="AT245" s="191"/>
      <c r="AU245" s="191"/>
      <c r="AV245" s="191"/>
      <c r="AW245" s="191"/>
      <c r="AX245" s="191"/>
      <c r="AY245" s="191"/>
      <c r="AZ245" s="191"/>
      <c r="BA245" s="191"/>
      <c r="BB245" s="191"/>
      <c r="BC245" s="191"/>
      <c r="BD245" s="191"/>
    </row>
    <row r="246" spans="1:59" ht="18.75" customHeight="1">
      <c r="A246" s="191"/>
      <c r="B246" s="194"/>
      <c r="C246" s="250"/>
      <c r="D246" s="250" t="s">
        <v>484</v>
      </c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2"/>
      <c r="U246" s="252"/>
      <c r="V246" s="252"/>
      <c r="X246" s="260"/>
      <c r="Y246" s="260"/>
      <c r="Z246" s="260"/>
      <c r="AA246" s="260"/>
      <c r="AB246" s="260"/>
      <c r="AC246" s="250"/>
      <c r="AD246" s="260"/>
      <c r="AE246" s="265"/>
      <c r="AF246" s="265"/>
      <c r="AG246" s="265"/>
      <c r="AH246" s="265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91"/>
      <c r="AT246" s="191"/>
      <c r="AU246" s="191"/>
      <c r="AV246" s="191"/>
      <c r="AW246" s="191"/>
      <c r="AX246" s="191"/>
      <c r="AY246" s="191"/>
      <c r="AZ246" s="191"/>
      <c r="BA246" s="191"/>
      <c r="BB246" s="191"/>
      <c r="BC246" s="191"/>
      <c r="BD246" s="191"/>
    </row>
    <row r="247" spans="1:59" ht="18.75" customHeight="1">
      <c r="A247" s="191"/>
      <c r="B247" s="191"/>
      <c r="C247" s="191" t="s">
        <v>708</v>
      </c>
      <c r="D247" s="191"/>
      <c r="E247" s="191"/>
      <c r="F247" s="191"/>
      <c r="G247" s="191"/>
      <c r="H247" s="191"/>
      <c r="I247" s="191"/>
      <c r="J247" s="466" t="s">
        <v>709</v>
      </c>
      <c r="K247" s="466"/>
      <c r="L247" s="466"/>
      <c r="M247" s="466" t="s">
        <v>589</v>
      </c>
      <c r="N247" s="454" t="s">
        <v>710</v>
      </c>
      <c r="O247" s="454"/>
      <c r="P247" s="466" t="s">
        <v>666</v>
      </c>
      <c r="Q247" s="487" t="s">
        <v>711</v>
      </c>
      <c r="R247" s="487"/>
      <c r="S247" s="487"/>
      <c r="T247" s="466" t="s">
        <v>589</v>
      </c>
      <c r="U247" s="485">
        <f>Calcu!G44</f>
        <v>0</v>
      </c>
      <c r="V247" s="485"/>
      <c r="W247" s="485"/>
      <c r="X247" s="231" t="s">
        <v>189</v>
      </c>
      <c r="Z247" s="466" t="s">
        <v>666</v>
      </c>
      <c r="AA247" s="426">
        <f>Calcu!H44</f>
        <v>0</v>
      </c>
      <c r="AB247" s="426"/>
      <c r="AC247" s="426"/>
      <c r="AD247" s="515" t="str">
        <f>Calcu!L44</f>
        <v>μm</v>
      </c>
      <c r="AE247" s="515"/>
      <c r="AF247" s="466" t="s">
        <v>589</v>
      </c>
      <c r="AG247" s="426" t="e">
        <f>U247/U248+AA247</f>
        <v>#DIV/0!</v>
      </c>
      <c r="AH247" s="426"/>
      <c r="AI247" s="426"/>
      <c r="AJ247" s="515" t="str">
        <f>AD247</f>
        <v>μm</v>
      </c>
      <c r="AK247" s="515"/>
      <c r="AL247" s="193"/>
      <c r="AM247" s="258"/>
      <c r="AN247" s="258"/>
      <c r="AO247" s="258"/>
      <c r="AP247" s="261"/>
      <c r="AQ247" s="261"/>
      <c r="AR247" s="191"/>
      <c r="AS247" s="191"/>
      <c r="AT247" s="191"/>
      <c r="AU247" s="191"/>
      <c r="AV247" s="191"/>
      <c r="AW247" s="191"/>
      <c r="AX247" s="191"/>
      <c r="AY247" s="191"/>
      <c r="AZ247" s="191"/>
      <c r="BA247" s="191"/>
      <c r="BB247" s="191"/>
    </row>
    <row r="248" spans="1:59" ht="18.75" customHeight="1">
      <c r="A248" s="191"/>
      <c r="B248" s="191"/>
      <c r="C248" s="191"/>
      <c r="D248" s="191"/>
      <c r="E248" s="191"/>
      <c r="F248" s="191"/>
      <c r="G248" s="191"/>
      <c r="H248" s="191"/>
      <c r="I248" s="191"/>
      <c r="J248" s="466"/>
      <c r="K248" s="466"/>
      <c r="L248" s="466"/>
      <c r="M248" s="466"/>
      <c r="N248" s="488" t="s">
        <v>712</v>
      </c>
      <c r="O248" s="488"/>
      <c r="P248" s="466"/>
      <c r="Q248" s="487"/>
      <c r="R248" s="487"/>
      <c r="S248" s="487"/>
      <c r="T248" s="466"/>
      <c r="U248" s="451">
        <f>Calcu!I44</f>
        <v>0</v>
      </c>
      <c r="V248" s="451"/>
      <c r="W248" s="451"/>
      <c r="X248" s="451"/>
      <c r="Y248" s="451"/>
      <c r="Z248" s="466"/>
      <c r="AA248" s="426"/>
      <c r="AB248" s="426"/>
      <c r="AC248" s="426"/>
      <c r="AD248" s="515"/>
      <c r="AE248" s="515"/>
      <c r="AF248" s="466"/>
      <c r="AG248" s="426"/>
      <c r="AH248" s="426"/>
      <c r="AI248" s="426"/>
      <c r="AJ248" s="515"/>
      <c r="AK248" s="515"/>
      <c r="AL248" s="193"/>
      <c r="AM248" s="258"/>
      <c r="AN248" s="258"/>
      <c r="AO248" s="258"/>
      <c r="AP248" s="261"/>
      <c r="AQ248" s="261"/>
      <c r="AR248" s="191"/>
      <c r="AS248" s="191"/>
      <c r="AT248" s="191"/>
      <c r="AU248" s="191"/>
      <c r="AV248" s="191"/>
      <c r="AW248" s="191"/>
      <c r="AX248" s="191"/>
      <c r="AY248" s="191"/>
      <c r="AZ248" s="191"/>
      <c r="BA248" s="191"/>
      <c r="BB248" s="191"/>
    </row>
    <row r="249" spans="1:59" ht="18.75" customHeight="1">
      <c r="A249" s="191"/>
      <c r="B249" s="191"/>
      <c r="C249" s="191" t="s">
        <v>713</v>
      </c>
      <c r="D249" s="191"/>
      <c r="E249" s="191"/>
      <c r="F249" s="191"/>
      <c r="G249" s="191"/>
      <c r="H249" s="191"/>
      <c r="I249" s="476" t="str">
        <f>AB93</f>
        <v>정규</v>
      </c>
      <c r="J249" s="476"/>
      <c r="K249" s="476"/>
      <c r="L249" s="476"/>
      <c r="M249" s="476"/>
      <c r="N249" s="476"/>
      <c r="O249" s="476"/>
      <c r="P249" s="476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91"/>
    </row>
    <row r="250" spans="1:59" ht="18.75" customHeight="1">
      <c r="A250" s="191"/>
      <c r="B250" s="191"/>
      <c r="C250" s="408" t="s">
        <v>714</v>
      </c>
      <c r="D250" s="408"/>
      <c r="E250" s="408"/>
      <c r="F250" s="408"/>
      <c r="G250" s="408"/>
      <c r="H250" s="408"/>
      <c r="I250" s="250"/>
      <c r="J250" s="250"/>
      <c r="K250" s="191"/>
      <c r="L250" s="191"/>
      <c r="N250" s="477">
        <f>AG93</f>
        <v>1</v>
      </c>
      <c r="O250" s="477"/>
      <c r="P250" s="191"/>
      <c r="S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</row>
    <row r="251" spans="1:59" ht="18.75" customHeight="1">
      <c r="A251" s="191"/>
      <c r="B251" s="191"/>
      <c r="C251" s="408"/>
      <c r="D251" s="408"/>
      <c r="E251" s="408"/>
      <c r="F251" s="408"/>
      <c r="G251" s="408"/>
      <c r="H251" s="408"/>
      <c r="I251" s="257"/>
      <c r="J251" s="257"/>
      <c r="K251" s="191"/>
      <c r="L251" s="191"/>
      <c r="N251" s="477"/>
      <c r="O251" s="477"/>
      <c r="P251" s="191"/>
      <c r="S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</row>
    <row r="252" spans="1:59" s="191" customFormat="1" ht="18.75" customHeight="1">
      <c r="C252" s="191" t="s">
        <v>715</v>
      </c>
      <c r="K252" s="253" t="s">
        <v>455</v>
      </c>
      <c r="L252" s="412">
        <f>N250</f>
        <v>1</v>
      </c>
      <c r="M252" s="412"/>
      <c r="N252" s="252" t="s">
        <v>606</v>
      </c>
      <c r="O252" s="478" t="e">
        <f>AG247</f>
        <v>#DIV/0!</v>
      </c>
      <c r="P252" s="426"/>
      <c r="Q252" s="426"/>
      <c r="R252" s="479" t="str">
        <f>AJ247</f>
        <v>μm</v>
      </c>
      <c r="S252" s="426"/>
      <c r="T252" s="253" t="s">
        <v>607</v>
      </c>
      <c r="U252" s="211" t="s">
        <v>589</v>
      </c>
      <c r="V252" s="478" t="e">
        <f>L252*O252</f>
        <v>#DIV/0!</v>
      </c>
      <c r="W252" s="478"/>
      <c r="X252" s="478"/>
      <c r="Y252" s="261" t="str">
        <f>R252</f>
        <v>μm</v>
      </c>
      <c r="Z252" s="55"/>
      <c r="AA252" s="260"/>
      <c r="AB252" s="250"/>
      <c r="AC252" s="250"/>
      <c r="AD252" s="250"/>
      <c r="AE252" s="260"/>
    </row>
    <row r="253" spans="1:59" ht="18.75" customHeight="1">
      <c r="A253" s="191"/>
      <c r="B253" s="191"/>
      <c r="C253" s="250" t="s">
        <v>716</v>
      </c>
      <c r="D253" s="250"/>
      <c r="E253" s="250"/>
      <c r="F253" s="250"/>
      <c r="G253" s="250"/>
      <c r="I253" s="205" t="s">
        <v>485</v>
      </c>
      <c r="J253" s="191"/>
      <c r="K253" s="191"/>
      <c r="L253" s="191"/>
      <c r="M253" s="191"/>
      <c r="N253" s="191"/>
      <c r="O253" s="191"/>
      <c r="P253" s="191"/>
      <c r="Q253" s="191"/>
      <c r="R253" s="191"/>
      <c r="S253" s="206"/>
      <c r="T253" s="206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</row>
    <row r="254" spans="1:59" s="214" customFormat="1" ht="18.75" customHeight="1">
      <c r="B254" s="252"/>
      <c r="C254" s="190"/>
      <c r="D254" s="250"/>
      <c r="E254" s="250"/>
      <c r="F254" s="250"/>
      <c r="G254" s="252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0"/>
      <c r="AA254" s="250"/>
      <c r="AB254" s="250"/>
      <c r="AC254" s="250"/>
      <c r="AD254" s="250"/>
      <c r="AE254" s="252"/>
      <c r="AF254" s="250"/>
      <c r="AG254" s="252"/>
      <c r="AH254" s="252"/>
      <c r="AI254" s="252"/>
      <c r="AJ254" s="252"/>
      <c r="AK254" s="252"/>
      <c r="AL254" s="252"/>
      <c r="AM254" s="252"/>
      <c r="AN254" s="252"/>
      <c r="AO254" s="252"/>
      <c r="AP254" s="252"/>
      <c r="AQ254" s="252"/>
      <c r="AR254" s="252"/>
      <c r="AS254" s="252"/>
      <c r="AT254" s="252"/>
      <c r="AU254" s="252"/>
      <c r="AV254" s="252"/>
      <c r="AW254" s="252"/>
      <c r="AX254" s="252"/>
      <c r="AY254" s="252"/>
      <c r="AZ254" s="252"/>
      <c r="BA254" s="252"/>
      <c r="BB254" s="252"/>
      <c r="BC254" s="252"/>
      <c r="BD254" s="252"/>
      <c r="BE254" s="252"/>
      <c r="BF254" s="252"/>
      <c r="BG254" s="252"/>
    </row>
    <row r="255" spans="1:59" s="214" customFormat="1" ht="18.75" customHeight="1">
      <c r="B255" s="232" t="s">
        <v>486</v>
      </c>
      <c r="C255" s="190" t="s">
        <v>487</v>
      </c>
      <c r="E255" s="250"/>
      <c r="F255" s="250"/>
      <c r="G255" s="252"/>
      <c r="H255" s="250"/>
      <c r="I255" s="250"/>
      <c r="J255" s="250"/>
      <c r="K255" s="250"/>
      <c r="L255" s="250"/>
      <c r="M255" s="250"/>
      <c r="N255" s="250"/>
      <c r="O255" s="250"/>
      <c r="P255" s="250"/>
      <c r="R255" s="250"/>
      <c r="S255" s="250"/>
      <c r="T255" s="250"/>
      <c r="U255" s="250"/>
      <c r="W255" s="224" t="s">
        <v>717</v>
      </c>
      <c r="Y255" s="250"/>
      <c r="Z255" s="250"/>
      <c r="AA255" s="250"/>
      <c r="AB255" s="250"/>
      <c r="AC255" s="250"/>
      <c r="AD255" s="250"/>
      <c r="AE255" s="252"/>
      <c r="AF255" s="250"/>
      <c r="AG255" s="252"/>
      <c r="AH255" s="252"/>
      <c r="AI255" s="252"/>
      <c r="AJ255" s="252"/>
      <c r="AK255" s="252"/>
      <c r="AL255" s="252"/>
      <c r="AM255" s="252"/>
      <c r="AN255" s="252"/>
      <c r="AO255" s="252"/>
      <c r="AP255" s="252"/>
      <c r="AQ255" s="252"/>
      <c r="AR255" s="252"/>
      <c r="AS255" s="252"/>
      <c r="AT255" s="252"/>
      <c r="AU255" s="252"/>
      <c r="AV255" s="252"/>
      <c r="AW255" s="252"/>
      <c r="AX255" s="252"/>
      <c r="AY255" s="252"/>
      <c r="AZ255" s="252"/>
      <c r="BA255" s="252"/>
      <c r="BB255" s="252"/>
      <c r="BC255" s="252"/>
      <c r="BD255" s="252"/>
      <c r="BE255" s="252"/>
      <c r="BF255" s="252"/>
      <c r="BG255" s="252"/>
    </row>
    <row r="256" spans="1:59" s="214" customFormat="1" ht="18.75" customHeight="1">
      <c r="B256" s="233"/>
      <c r="C256" s="250" t="str">
        <f>"※ 정반의 교정성적서에 명기된 평면도가 "&amp;T259&amp;" μm이고, 정반의 전체면적의 1/5 영역에서 교정이 실시 되었다."</f>
        <v>※ 정반의 교정성적서에 명기된 평면도가 0 μm이고, 정반의 전체면적의 1/5 영역에서 교정이 실시 되었다.</v>
      </c>
      <c r="D256" s="250"/>
      <c r="E256" s="250"/>
      <c r="F256" s="250"/>
      <c r="G256" s="252"/>
      <c r="H256" s="250"/>
      <c r="I256" s="250"/>
      <c r="J256" s="250"/>
      <c r="K256" s="250"/>
      <c r="L256" s="250"/>
      <c r="M256" s="250"/>
      <c r="N256" s="250"/>
      <c r="O256" s="250"/>
      <c r="P256" s="250"/>
      <c r="Q256" s="224"/>
      <c r="R256" s="250"/>
      <c r="S256" s="250"/>
      <c r="T256" s="250"/>
      <c r="U256" s="250"/>
      <c r="V256" s="250"/>
      <c r="W256" s="250"/>
      <c r="X256" s="250"/>
      <c r="Y256" s="250"/>
      <c r="Z256" s="250"/>
      <c r="AA256" s="250"/>
      <c r="AB256" s="250"/>
      <c r="AC256" s="250"/>
      <c r="AD256" s="250"/>
      <c r="AE256" s="252"/>
      <c r="AF256" s="250"/>
      <c r="AG256" s="252"/>
      <c r="AH256" s="252"/>
      <c r="AI256" s="252"/>
      <c r="AJ256" s="252"/>
      <c r="AK256" s="252"/>
      <c r="AL256" s="252"/>
      <c r="AM256" s="252"/>
      <c r="AN256" s="252"/>
      <c r="AO256" s="252"/>
      <c r="AP256" s="252"/>
      <c r="AQ256" s="252"/>
      <c r="AR256" s="252"/>
      <c r="AS256" s="252"/>
      <c r="AT256" s="252"/>
      <c r="AU256" s="252"/>
      <c r="AV256" s="252"/>
      <c r="AW256" s="252"/>
      <c r="AX256" s="252"/>
      <c r="AY256" s="252"/>
      <c r="AZ256" s="252"/>
      <c r="BA256" s="252"/>
      <c r="BB256" s="252"/>
      <c r="BC256" s="252"/>
      <c r="BD256" s="252"/>
      <c r="BE256" s="252"/>
      <c r="BF256" s="252"/>
      <c r="BG256" s="252"/>
    </row>
    <row r="257" spans="2:65" s="214" customFormat="1" ht="18.75" customHeight="1">
      <c r="B257" s="233"/>
      <c r="C257" s="250"/>
      <c r="D257" s="250" t="s">
        <v>718</v>
      </c>
      <c r="E257" s="250"/>
      <c r="F257" s="250"/>
      <c r="G257" s="252"/>
      <c r="H257" s="250"/>
      <c r="I257" s="250"/>
      <c r="J257" s="250"/>
      <c r="K257" s="250"/>
      <c r="L257" s="250"/>
      <c r="M257" s="250"/>
      <c r="N257" s="250"/>
      <c r="O257" s="250"/>
      <c r="P257" s="250"/>
      <c r="Q257" s="224"/>
      <c r="R257" s="250"/>
      <c r="S257" s="250"/>
      <c r="T257" s="250"/>
      <c r="U257" s="250"/>
      <c r="V257" s="250"/>
      <c r="W257" s="250"/>
      <c r="X257" s="250"/>
      <c r="Y257" s="250"/>
      <c r="Z257" s="250"/>
      <c r="AA257" s="250"/>
      <c r="AB257" s="250"/>
      <c r="AC257" s="250"/>
      <c r="AD257" s="250"/>
      <c r="AE257" s="252"/>
      <c r="AF257" s="250"/>
      <c r="AG257" s="252"/>
      <c r="AH257" s="252"/>
      <c r="AI257" s="252"/>
      <c r="AJ257" s="252"/>
      <c r="AK257" s="252"/>
      <c r="AL257" s="252"/>
      <c r="AM257" s="252"/>
      <c r="AN257" s="252"/>
      <c r="AO257" s="252"/>
      <c r="AP257" s="252"/>
      <c r="AQ257" s="252"/>
      <c r="AR257" s="252"/>
      <c r="AS257" s="252"/>
      <c r="AT257" s="252"/>
      <c r="AU257" s="252"/>
      <c r="AV257" s="252"/>
      <c r="AW257" s="252"/>
      <c r="AX257" s="252"/>
      <c r="AY257" s="252"/>
      <c r="AZ257" s="252"/>
      <c r="BA257" s="252"/>
      <c r="BB257" s="252"/>
      <c r="BC257" s="252"/>
      <c r="BD257" s="252"/>
      <c r="BE257" s="252"/>
      <c r="BF257" s="252"/>
      <c r="BG257" s="252"/>
    </row>
    <row r="258" spans="2:65" s="214" customFormat="1" ht="18.75" customHeight="1">
      <c r="B258" s="252"/>
      <c r="C258" s="250" t="s">
        <v>719</v>
      </c>
      <c r="D258" s="250"/>
      <c r="E258" s="250"/>
      <c r="F258" s="250"/>
      <c r="G258" s="250"/>
      <c r="H258" s="250"/>
      <c r="I258" s="252"/>
      <c r="J258" s="257" t="s">
        <v>720</v>
      </c>
      <c r="K258" s="234"/>
      <c r="L258" s="234"/>
      <c r="M258" s="234"/>
      <c r="N258" s="234"/>
      <c r="O258" s="480">
        <f>Calcu!G45</f>
        <v>0</v>
      </c>
      <c r="P258" s="480"/>
      <c r="Q258" s="480"/>
      <c r="R258" s="260" t="s">
        <v>191</v>
      </c>
      <c r="S258" s="268"/>
      <c r="T258" s="268"/>
      <c r="U258" s="234"/>
      <c r="V258" s="234"/>
      <c r="W258" s="234"/>
      <c r="X258" s="234"/>
      <c r="Y258" s="234"/>
      <c r="Z258" s="234"/>
      <c r="AA258" s="234"/>
      <c r="AB258" s="234"/>
      <c r="AC258" s="234"/>
      <c r="AD258" s="234"/>
      <c r="AE258" s="234"/>
      <c r="AF258" s="234"/>
      <c r="AG258" s="234"/>
      <c r="AH258" s="234"/>
      <c r="AI258" s="234"/>
      <c r="AJ258" s="234"/>
      <c r="AK258" s="234"/>
      <c r="AL258" s="234"/>
      <c r="AM258" s="234"/>
      <c r="AN258" s="234"/>
      <c r="AO258" s="234"/>
      <c r="AP258" s="234"/>
      <c r="AQ258" s="234"/>
      <c r="AR258" s="234"/>
      <c r="AS258" s="234"/>
      <c r="AT258" s="234"/>
      <c r="AU258" s="234"/>
      <c r="AV258" s="234"/>
      <c r="AW258" s="234"/>
      <c r="AX258" s="234"/>
      <c r="AY258" s="234"/>
      <c r="AZ258" s="234"/>
      <c r="BA258" s="234"/>
      <c r="BB258" s="252"/>
      <c r="BC258" s="252"/>
      <c r="BD258" s="252"/>
      <c r="BE258" s="252"/>
      <c r="BF258" s="252"/>
      <c r="BG258" s="252"/>
    </row>
    <row r="259" spans="2:65" s="214" customFormat="1" ht="18.75" customHeight="1">
      <c r="B259" s="252"/>
      <c r="C259" s="250"/>
      <c r="D259" s="250"/>
      <c r="E259" s="250"/>
      <c r="F259" s="250"/>
      <c r="G259" s="250"/>
      <c r="H259" s="250"/>
      <c r="I259" s="250"/>
      <c r="J259" s="250"/>
      <c r="K259" s="481" t="s">
        <v>488</v>
      </c>
      <c r="L259" s="481"/>
      <c r="M259" s="481"/>
      <c r="N259" s="414" t="s">
        <v>595</v>
      </c>
      <c r="O259" s="484" t="s">
        <v>721</v>
      </c>
      <c r="P259" s="484"/>
      <c r="Q259" s="484"/>
      <c r="R259" s="484"/>
      <c r="S259" s="414" t="s">
        <v>589</v>
      </c>
      <c r="T259" s="482">
        <f>O258</f>
        <v>0</v>
      </c>
      <c r="U259" s="482"/>
      <c r="V259" s="266" t="str">
        <f>R258</f>
        <v>μm</v>
      </c>
      <c r="W259" s="266"/>
      <c r="X259" s="414" t="s">
        <v>453</v>
      </c>
      <c r="Y259" s="478">
        <f>T259/5/SQRT(3)</f>
        <v>0</v>
      </c>
      <c r="Z259" s="478"/>
      <c r="AA259" s="478"/>
      <c r="AB259" s="426" t="str">
        <f>V259</f>
        <v>μm</v>
      </c>
      <c r="AC259" s="426"/>
      <c r="AD259" s="226"/>
      <c r="AE259" s="226"/>
      <c r="AF259" s="226"/>
      <c r="AG259" s="250"/>
      <c r="AH259" s="250"/>
      <c r="AI259" s="250"/>
      <c r="AJ259" s="250"/>
      <c r="AK259" s="250"/>
      <c r="AL259" s="250"/>
      <c r="AM259" s="250"/>
      <c r="AN259" s="250"/>
      <c r="AO259" s="250"/>
      <c r="AP259" s="250"/>
      <c r="AQ259" s="250"/>
      <c r="AR259" s="250"/>
      <c r="AS259" s="252"/>
      <c r="AT259" s="252"/>
      <c r="AU259" s="252"/>
      <c r="AV259" s="252"/>
      <c r="AW259" s="250"/>
      <c r="AX259" s="250"/>
      <c r="AY259" s="250"/>
      <c r="AZ259" s="250"/>
      <c r="BA259" s="250"/>
      <c r="BB259" s="250"/>
      <c r="BC259" s="250"/>
      <c r="BD259" s="250"/>
      <c r="BE259" s="252"/>
      <c r="BF259" s="252"/>
      <c r="BG259" s="252"/>
      <c r="BH259" s="252"/>
      <c r="BI259" s="252"/>
      <c r="BJ259" s="252"/>
      <c r="BK259" s="252"/>
      <c r="BL259" s="252"/>
      <c r="BM259" s="252"/>
    </row>
    <row r="260" spans="2:65" s="214" customFormat="1" ht="18.75" customHeight="1">
      <c r="B260" s="252"/>
      <c r="C260" s="250"/>
      <c r="D260" s="250"/>
      <c r="E260" s="250"/>
      <c r="F260" s="250"/>
      <c r="G260" s="250"/>
      <c r="H260" s="250"/>
      <c r="I260" s="250"/>
      <c r="J260" s="250"/>
      <c r="K260" s="481"/>
      <c r="L260" s="481"/>
      <c r="M260" s="481"/>
      <c r="N260" s="414"/>
      <c r="O260" s="483"/>
      <c r="P260" s="483"/>
      <c r="Q260" s="483"/>
      <c r="R260" s="483"/>
      <c r="S260" s="414"/>
      <c r="T260" s="483"/>
      <c r="U260" s="483"/>
      <c r="V260" s="483"/>
      <c r="W260" s="483"/>
      <c r="X260" s="414"/>
      <c r="Y260" s="478"/>
      <c r="Z260" s="478"/>
      <c r="AA260" s="478"/>
      <c r="AB260" s="426"/>
      <c r="AC260" s="426"/>
      <c r="AD260" s="226"/>
      <c r="AE260" s="226"/>
      <c r="AF260" s="226"/>
      <c r="AG260" s="250"/>
      <c r="AH260" s="250"/>
      <c r="AI260" s="250"/>
      <c r="AJ260" s="250"/>
      <c r="AK260" s="250"/>
      <c r="AL260" s="250"/>
      <c r="AM260" s="250"/>
      <c r="AN260" s="250"/>
      <c r="AO260" s="250"/>
      <c r="AP260" s="250"/>
      <c r="AQ260" s="250"/>
      <c r="AR260" s="250"/>
      <c r="AS260" s="252"/>
      <c r="AT260" s="252"/>
      <c r="AU260" s="252"/>
      <c r="AV260" s="252"/>
      <c r="AW260" s="250"/>
      <c r="AX260" s="250"/>
      <c r="AY260" s="250"/>
      <c r="AZ260" s="250"/>
      <c r="BA260" s="250"/>
      <c r="BB260" s="250"/>
      <c r="BC260" s="250"/>
      <c r="BD260" s="250"/>
      <c r="BE260" s="252"/>
      <c r="BF260" s="252"/>
      <c r="BG260" s="252"/>
      <c r="BH260" s="252"/>
      <c r="BI260" s="252"/>
      <c r="BJ260" s="252"/>
      <c r="BK260" s="252"/>
      <c r="BL260" s="252"/>
      <c r="BM260" s="252"/>
    </row>
    <row r="261" spans="2:65" s="214" customFormat="1" ht="18.75" customHeight="1">
      <c r="B261" s="252"/>
      <c r="C261" s="250" t="s">
        <v>722</v>
      </c>
      <c r="D261" s="250"/>
      <c r="E261" s="250"/>
      <c r="F261" s="250"/>
      <c r="G261" s="250"/>
      <c r="H261" s="250"/>
      <c r="I261" s="476" t="str">
        <f>AB94</f>
        <v>직사각형</v>
      </c>
      <c r="J261" s="476"/>
      <c r="K261" s="476"/>
      <c r="L261" s="476"/>
      <c r="M261" s="476"/>
      <c r="N261" s="476"/>
      <c r="O261" s="476"/>
      <c r="P261" s="476"/>
      <c r="Q261" s="250"/>
      <c r="R261" s="250"/>
      <c r="S261" s="250"/>
      <c r="T261" s="250"/>
      <c r="U261" s="250"/>
      <c r="V261" s="250"/>
      <c r="W261" s="250"/>
      <c r="X261" s="250"/>
      <c r="Y261" s="250"/>
      <c r="Z261" s="252"/>
      <c r="AA261" s="252"/>
      <c r="AB261" s="252"/>
      <c r="AC261" s="252"/>
      <c r="AD261" s="252"/>
      <c r="AE261" s="252"/>
      <c r="AF261" s="252"/>
      <c r="AG261" s="252"/>
      <c r="AH261" s="250"/>
      <c r="AI261" s="250"/>
      <c r="AJ261" s="250"/>
      <c r="AK261" s="250"/>
      <c r="AL261" s="252"/>
      <c r="AM261" s="252"/>
      <c r="AN261" s="252"/>
      <c r="AO261" s="252"/>
      <c r="AP261" s="252"/>
      <c r="AQ261" s="252"/>
      <c r="AR261" s="252"/>
      <c r="AS261" s="250"/>
      <c r="AT261" s="250"/>
      <c r="AU261" s="250"/>
      <c r="AV261" s="250"/>
      <c r="AW261" s="250"/>
      <c r="AX261" s="250"/>
      <c r="AY261" s="252"/>
      <c r="AZ261" s="252"/>
      <c r="BA261" s="252"/>
      <c r="BB261" s="252"/>
      <c r="BC261" s="252"/>
      <c r="BD261" s="252"/>
      <c r="BE261" s="252"/>
      <c r="BF261" s="252"/>
      <c r="BG261" s="252"/>
    </row>
    <row r="262" spans="2:65" s="214" customFormat="1" ht="18.75" customHeight="1">
      <c r="B262" s="252"/>
      <c r="C262" s="408" t="s">
        <v>723</v>
      </c>
      <c r="D262" s="408"/>
      <c r="E262" s="408"/>
      <c r="F262" s="408"/>
      <c r="G262" s="408"/>
      <c r="H262" s="408"/>
      <c r="I262" s="250"/>
      <c r="J262" s="250"/>
      <c r="K262" s="250"/>
      <c r="L262" s="250"/>
      <c r="M262" s="250"/>
      <c r="N262" s="409">
        <f>AG93</f>
        <v>1</v>
      </c>
      <c r="O262" s="409"/>
      <c r="P262" s="229"/>
      <c r="Q262" s="229"/>
      <c r="R262" s="229"/>
      <c r="S262" s="250"/>
      <c r="T262" s="250"/>
      <c r="U262" s="250"/>
      <c r="V262" s="250"/>
      <c r="W262" s="250"/>
      <c r="X262" s="250"/>
      <c r="Y262" s="250"/>
      <c r="Z262" s="230"/>
      <c r="AA262" s="230"/>
      <c r="AB262" s="250"/>
      <c r="AC262" s="250"/>
      <c r="AD262" s="250"/>
      <c r="AE262" s="250"/>
      <c r="AF262" s="250"/>
      <c r="AG262" s="250"/>
      <c r="AH262" s="250"/>
      <c r="AI262" s="250"/>
      <c r="AJ262" s="250"/>
      <c r="AK262" s="250"/>
      <c r="AL262" s="252"/>
      <c r="AM262" s="252"/>
      <c r="AN262" s="252"/>
      <c r="AO262" s="250"/>
      <c r="AP262" s="250"/>
      <c r="AQ262" s="250"/>
      <c r="AR262" s="250"/>
      <c r="AS262" s="250"/>
      <c r="AT262" s="250"/>
      <c r="AU262" s="250"/>
      <c r="AV262" s="250"/>
      <c r="AW262" s="250"/>
      <c r="AX262" s="250"/>
      <c r="AY262" s="252"/>
      <c r="AZ262" s="252"/>
      <c r="BA262" s="252"/>
      <c r="BB262" s="252"/>
      <c r="BC262" s="252"/>
      <c r="BD262" s="252"/>
      <c r="BE262" s="252"/>
      <c r="BF262" s="252"/>
      <c r="BG262" s="252"/>
    </row>
    <row r="263" spans="2:65" s="214" customFormat="1" ht="18.75" customHeight="1">
      <c r="B263" s="252"/>
      <c r="C263" s="408"/>
      <c r="D263" s="408"/>
      <c r="E263" s="408"/>
      <c r="F263" s="408"/>
      <c r="G263" s="408"/>
      <c r="H263" s="408"/>
      <c r="I263" s="250"/>
      <c r="J263" s="250"/>
      <c r="K263" s="250"/>
      <c r="L263" s="250"/>
      <c r="M263" s="250"/>
      <c r="N263" s="409"/>
      <c r="O263" s="409"/>
      <c r="P263" s="229"/>
      <c r="Q263" s="229"/>
      <c r="R263" s="229"/>
      <c r="S263" s="250"/>
      <c r="T263" s="250"/>
      <c r="U263" s="250"/>
      <c r="V263" s="250"/>
      <c r="W263" s="250"/>
      <c r="X263" s="250"/>
      <c r="Y263" s="250"/>
      <c r="Z263" s="230"/>
      <c r="AA263" s="230"/>
      <c r="AB263" s="250"/>
      <c r="AC263" s="250"/>
      <c r="AD263" s="250"/>
      <c r="AE263" s="250"/>
      <c r="AF263" s="250"/>
      <c r="AG263" s="250"/>
      <c r="AH263" s="250"/>
      <c r="AI263" s="250"/>
      <c r="AJ263" s="250"/>
      <c r="AK263" s="250"/>
      <c r="AL263" s="252"/>
      <c r="AM263" s="252"/>
      <c r="AN263" s="252"/>
      <c r="AO263" s="250"/>
      <c r="AP263" s="250"/>
      <c r="AQ263" s="250"/>
      <c r="AR263" s="250"/>
      <c r="AS263" s="250"/>
      <c r="AT263" s="250"/>
      <c r="AU263" s="250"/>
      <c r="AV263" s="250"/>
      <c r="AW263" s="250"/>
      <c r="AX263" s="250"/>
      <c r="AY263" s="252"/>
      <c r="AZ263" s="252"/>
      <c r="BA263" s="252"/>
      <c r="BB263" s="252"/>
      <c r="BC263" s="252"/>
      <c r="BD263" s="252"/>
      <c r="BE263" s="252"/>
      <c r="BF263" s="252"/>
      <c r="BG263" s="252"/>
    </row>
    <row r="264" spans="2:65" s="214" customFormat="1" ht="18.75" customHeight="1">
      <c r="B264" s="252"/>
      <c r="C264" s="250" t="s">
        <v>724</v>
      </c>
      <c r="D264" s="250"/>
      <c r="E264" s="250"/>
      <c r="F264" s="250"/>
      <c r="G264" s="250"/>
      <c r="H264" s="250"/>
      <c r="I264" s="250"/>
      <c r="J264" s="252"/>
      <c r="K264" s="252" t="s">
        <v>663</v>
      </c>
      <c r="L264" s="409">
        <f>N262</f>
        <v>1</v>
      </c>
      <c r="M264" s="409"/>
      <c r="N264" s="252" t="s">
        <v>606</v>
      </c>
      <c r="O264" s="478">
        <f>Y259</f>
        <v>0</v>
      </c>
      <c r="P264" s="426"/>
      <c r="Q264" s="426"/>
      <c r="R264" s="479" t="str">
        <f>AB259</f>
        <v>μm</v>
      </c>
      <c r="S264" s="426"/>
      <c r="T264" s="253" t="s">
        <v>455</v>
      </c>
      <c r="U264" s="211" t="s">
        <v>589</v>
      </c>
      <c r="V264" s="478">
        <f>L264*O264</f>
        <v>0</v>
      </c>
      <c r="W264" s="478"/>
      <c r="X264" s="478"/>
      <c r="Y264" s="261" t="str">
        <f>R264</f>
        <v>μm</v>
      </c>
      <c r="Z264" s="55"/>
      <c r="AA264" s="260"/>
      <c r="AB264" s="227"/>
      <c r="AC264" s="217"/>
      <c r="AD264" s="252"/>
      <c r="AE264" s="250"/>
      <c r="AF264" s="252"/>
      <c r="AG264" s="252"/>
      <c r="AH264" s="252"/>
      <c r="AI264" s="252"/>
      <c r="AJ264" s="252"/>
      <c r="AK264" s="250"/>
      <c r="AL264" s="252"/>
      <c r="AM264" s="252"/>
      <c r="AN264" s="252"/>
      <c r="AO264" s="250"/>
      <c r="AP264" s="250"/>
      <c r="AQ264" s="250"/>
      <c r="AR264" s="250"/>
      <c r="AS264" s="250"/>
      <c r="AT264" s="250"/>
      <c r="AU264" s="250"/>
      <c r="AV264" s="250"/>
      <c r="AW264" s="250"/>
      <c r="AX264" s="250"/>
      <c r="AY264" s="252"/>
      <c r="AZ264" s="252"/>
      <c r="BA264" s="252"/>
      <c r="BB264" s="252"/>
      <c r="BC264" s="252"/>
      <c r="BD264" s="252"/>
      <c r="BE264" s="252"/>
      <c r="BF264" s="252"/>
      <c r="BG264" s="252"/>
    </row>
    <row r="265" spans="2:65" s="214" customFormat="1" ht="18.75" customHeight="1">
      <c r="B265" s="252"/>
      <c r="C265" s="408" t="s">
        <v>489</v>
      </c>
      <c r="D265" s="408"/>
      <c r="E265" s="408"/>
      <c r="F265" s="408"/>
      <c r="G265" s="408"/>
      <c r="H265" s="250"/>
      <c r="J265" s="250"/>
      <c r="K265" s="250"/>
      <c r="L265" s="250"/>
      <c r="M265" s="250"/>
      <c r="N265" s="250"/>
      <c r="O265" s="250"/>
      <c r="P265" s="250"/>
      <c r="Q265" s="250"/>
      <c r="R265" s="217"/>
      <c r="S265" s="250"/>
      <c r="T265" s="250"/>
      <c r="U265" s="250"/>
      <c r="W265" s="250"/>
      <c r="X265" s="191" t="s">
        <v>628</v>
      </c>
      <c r="Y265" s="250"/>
      <c r="Z265" s="250"/>
      <c r="AA265" s="250"/>
      <c r="AB265" s="250"/>
      <c r="AC265" s="250"/>
      <c r="AD265" s="250"/>
      <c r="AE265" s="252"/>
      <c r="AF265" s="252"/>
      <c r="AG265" s="252"/>
      <c r="AH265" s="252"/>
      <c r="AI265" s="252"/>
      <c r="AJ265" s="252"/>
      <c r="AK265" s="252"/>
      <c r="AL265" s="252"/>
      <c r="AM265" s="252"/>
      <c r="AN265" s="252"/>
      <c r="AO265" s="252"/>
      <c r="AP265" s="252"/>
      <c r="AQ265" s="252"/>
      <c r="AR265" s="252"/>
      <c r="AS265" s="252"/>
      <c r="AT265" s="252"/>
      <c r="AU265" s="252"/>
      <c r="AV265" s="252"/>
      <c r="AW265" s="252"/>
      <c r="AX265" s="252"/>
      <c r="AY265" s="252"/>
      <c r="AZ265" s="252"/>
      <c r="BA265" s="252"/>
      <c r="BB265" s="252"/>
      <c r="BC265" s="252"/>
      <c r="BD265" s="252"/>
      <c r="BE265" s="252"/>
      <c r="BF265" s="252"/>
      <c r="BG265" s="252"/>
    </row>
    <row r="266" spans="2:65" s="214" customFormat="1" ht="18.75" customHeight="1">
      <c r="B266" s="252"/>
      <c r="C266" s="408"/>
      <c r="D266" s="408"/>
      <c r="E266" s="408"/>
      <c r="F266" s="408"/>
      <c r="G266" s="408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  <c r="R266" s="217"/>
      <c r="S266" s="250"/>
      <c r="T266" s="250"/>
      <c r="U266" s="250"/>
      <c r="V266" s="250"/>
      <c r="W266" s="250"/>
      <c r="X266" s="250"/>
      <c r="Y266" s="250"/>
      <c r="Z266" s="250"/>
      <c r="AA266" s="250"/>
      <c r="AB266" s="250"/>
      <c r="AC266" s="250"/>
      <c r="AD266" s="250"/>
      <c r="AE266" s="252"/>
      <c r="AF266" s="250"/>
      <c r="AG266" s="252"/>
      <c r="AH266" s="252"/>
      <c r="AI266" s="252"/>
      <c r="AJ266" s="252"/>
      <c r="AK266" s="252"/>
      <c r="AL266" s="252"/>
      <c r="AM266" s="252"/>
      <c r="AN266" s="252"/>
      <c r="AO266" s="252"/>
      <c r="AP266" s="252"/>
      <c r="AQ266" s="252"/>
      <c r="AR266" s="252"/>
      <c r="AS266" s="252"/>
      <c r="AT266" s="252"/>
      <c r="AU266" s="252"/>
      <c r="AV266" s="252"/>
      <c r="AW266" s="252"/>
      <c r="AX266" s="252"/>
      <c r="AY266" s="252"/>
      <c r="AZ266" s="252"/>
      <c r="BA266" s="252"/>
      <c r="BB266" s="252"/>
      <c r="BC266" s="252"/>
      <c r="BD266" s="252"/>
      <c r="BE266" s="252"/>
      <c r="BF266" s="252"/>
      <c r="BG266" s="252"/>
    </row>
    <row r="267" spans="2:65" s="214" customFormat="1" ht="18.75" customHeight="1">
      <c r="B267" s="252"/>
      <c r="C267" s="250"/>
      <c r="D267" s="250"/>
      <c r="E267" s="250"/>
      <c r="F267" s="250"/>
      <c r="G267" s="252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  <c r="R267" s="250"/>
      <c r="S267" s="250"/>
      <c r="AB267" s="250"/>
      <c r="AC267" s="250"/>
      <c r="AD267" s="250"/>
      <c r="AE267" s="252"/>
      <c r="AF267" s="250"/>
      <c r="AG267" s="252"/>
      <c r="AH267" s="252"/>
      <c r="AI267" s="252"/>
      <c r="AJ267" s="252"/>
      <c r="AK267" s="252"/>
      <c r="AL267" s="252"/>
      <c r="AM267" s="252"/>
      <c r="AN267" s="252"/>
      <c r="AO267" s="252"/>
      <c r="AP267" s="252"/>
      <c r="AQ267" s="252"/>
      <c r="AR267" s="252"/>
      <c r="AS267" s="252"/>
      <c r="AT267" s="252"/>
      <c r="AU267" s="252"/>
      <c r="AV267" s="252"/>
      <c r="AW267" s="252"/>
      <c r="AX267" s="252"/>
      <c r="AY267" s="252"/>
      <c r="AZ267" s="252"/>
      <c r="BA267" s="252"/>
      <c r="BB267" s="252"/>
      <c r="BC267" s="252"/>
      <c r="BD267" s="252"/>
      <c r="BE267" s="252"/>
      <c r="BF267" s="252"/>
      <c r="BG267" s="252"/>
    </row>
    <row r="268" spans="2:65" s="214" customFormat="1" ht="18.75" customHeight="1">
      <c r="B268" s="232" t="s">
        <v>725</v>
      </c>
      <c r="D268" s="190" t="s">
        <v>726</v>
      </c>
      <c r="E268" s="250"/>
      <c r="F268" s="250"/>
      <c r="G268" s="252"/>
      <c r="H268" s="250"/>
      <c r="I268" s="250"/>
      <c r="J268" s="250"/>
      <c r="K268" s="250"/>
      <c r="L268" s="250"/>
      <c r="M268" s="250"/>
      <c r="N268" s="250"/>
      <c r="O268" s="250"/>
      <c r="P268" s="250"/>
      <c r="R268" s="250"/>
      <c r="S268" s="224" t="s">
        <v>727</v>
      </c>
      <c r="T268" s="250"/>
      <c r="U268" s="250"/>
      <c r="Y268" s="250"/>
      <c r="Z268" s="250"/>
      <c r="AA268" s="250"/>
      <c r="AB268" s="250"/>
      <c r="AC268" s="250"/>
      <c r="AD268" s="250"/>
      <c r="AE268" s="252"/>
      <c r="AF268" s="250"/>
      <c r="AG268" s="252"/>
      <c r="AH268" s="252"/>
      <c r="AI268" s="252"/>
      <c r="AJ268" s="252"/>
      <c r="AK268" s="252"/>
      <c r="AL268" s="252"/>
      <c r="AM268" s="252"/>
      <c r="AN268" s="252"/>
      <c r="AO268" s="252"/>
      <c r="AP268" s="252"/>
      <c r="AQ268" s="252"/>
      <c r="AR268" s="252"/>
      <c r="AS268" s="252"/>
      <c r="AT268" s="252"/>
      <c r="AU268" s="252"/>
      <c r="AV268" s="252"/>
      <c r="AW268" s="252"/>
      <c r="AX268" s="252"/>
      <c r="AY268" s="252"/>
      <c r="AZ268" s="252"/>
      <c r="BA268" s="252"/>
      <c r="BB268" s="252"/>
      <c r="BC268" s="252"/>
      <c r="BD268" s="252"/>
      <c r="BE268" s="252"/>
      <c r="BF268" s="252"/>
      <c r="BG268" s="252"/>
    </row>
    <row r="269" spans="2:65" s="214" customFormat="1" ht="18.75" customHeight="1">
      <c r="B269" s="233"/>
      <c r="C269" s="250" t="str">
        <f>"※ 전기 마이크로미터의 측정자가 블록의 중앙점에 정확히 접촉하지 않을 경우, "&amp;$B$5&amp;" 블록의 평행도가"</f>
        <v>※ 전기 마이크로미터의 측정자가 블록의 중앙점에 정확히 접촉하지 않을 경우, 캘리퍼 검사기 블록의 평행도가</v>
      </c>
      <c r="D269" s="250"/>
      <c r="E269" s="250"/>
      <c r="F269" s="250"/>
      <c r="G269" s="252"/>
      <c r="H269" s="250"/>
      <c r="I269" s="250"/>
      <c r="J269" s="250"/>
      <c r="K269" s="250"/>
      <c r="L269" s="250"/>
      <c r="M269" s="250"/>
      <c r="N269" s="250"/>
      <c r="O269" s="250"/>
      <c r="P269" s="250"/>
      <c r="Q269" s="224"/>
      <c r="R269" s="250"/>
      <c r="S269" s="250"/>
      <c r="T269" s="250"/>
      <c r="U269" s="250"/>
      <c r="V269" s="250"/>
      <c r="W269" s="250"/>
      <c r="X269" s="250"/>
      <c r="Y269" s="250"/>
      <c r="Z269" s="250"/>
      <c r="AA269" s="250"/>
      <c r="AB269" s="250"/>
      <c r="AC269" s="250"/>
      <c r="AD269" s="250"/>
      <c r="AE269" s="252"/>
      <c r="AF269" s="250"/>
      <c r="AG269" s="252"/>
      <c r="AH269" s="252"/>
      <c r="AI269" s="252"/>
      <c r="AJ269" s="252"/>
      <c r="AK269" s="252"/>
      <c r="AL269" s="252"/>
      <c r="AM269" s="252"/>
      <c r="AN269" s="252"/>
      <c r="AO269" s="252"/>
      <c r="AP269" s="252"/>
      <c r="AQ269" s="252"/>
      <c r="AR269" s="252"/>
      <c r="AS269" s="252"/>
      <c r="AT269" s="252"/>
      <c r="AU269" s="252"/>
      <c r="AV269" s="252"/>
      <c r="AW269" s="252"/>
      <c r="AX269" s="252"/>
      <c r="AY269" s="252"/>
      <c r="AZ269" s="252"/>
      <c r="BA269" s="252"/>
      <c r="BB269" s="252"/>
      <c r="BC269" s="252"/>
      <c r="BD269" s="252"/>
      <c r="BE269" s="252"/>
      <c r="BF269" s="252"/>
      <c r="BG269" s="252"/>
    </row>
    <row r="270" spans="2:65" s="214" customFormat="1" ht="18.75" customHeight="1">
      <c r="B270" s="233"/>
      <c r="C270" s="250"/>
      <c r="D270" s="250" t="s">
        <v>728</v>
      </c>
      <c r="E270" s="250"/>
      <c r="F270" s="250"/>
      <c r="G270" s="252"/>
      <c r="H270" s="250"/>
      <c r="I270" s="250"/>
      <c r="J270" s="250"/>
      <c r="K270" s="250"/>
      <c r="L270" s="250"/>
      <c r="M270" s="250"/>
      <c r="N270" s="250"/>
      <c r="O270" s="250"/>
      <c r="P270" s="250"/>
      <c r="Q270" s="224"/>
      <c r="R270" s="250"/>
      <c r="S270" s="250"/>
      <c r="T270" s="250"/>
      <c r="U270" s="250"/>
      <c r="V270" s="250"/>
      <c r="W270" s="250"/>
      <c r="X270" s="250"/>
      <c r="Y270" s="250"/>
      <c r="Z270" s="250"/>
      <c r="AA270" s="250"/>
      <c r="AB270" s="250"/>
      <c r="AC270" s="250"/>
      <c r="AD270" s="250"/>
      <c r="AE270" s="252"/>
      <c r="AF270" s="250"/>
      <c r="AG270" s="252"/>
      <c r="AH270" s="252"/>
      <c r="AI270" s="252"/>
      <c r="AJ270" s="252"/>
      <c r="AK270" s="252"/>
      <c r="AL270" s="252"/>
      <c r="AM270" s="252"/>
      <c r="AN270" s="252"/>
      <c r="AO270" s="252"/>
      <c r="AP270" s="252"/>
      <c r="AQ270" s="252"/>
      <c r="AR270" s="252"/>
      <c r="AS270" s="252"/>
      <c r="AT270" s="252"/>
      <c r="AU270" s="252"/>
      <c r="AV270" s="252"/>
      <c r="AW270" s="252"/>
      <c r="AX270" s="252"/>
      <c r="AY270" s="252"/>
      <c r="AZ270" s="252"/>
      <c r="BA270" s="252"/>
      <c r="BB270" s="252"/>
      <c r="BC270" s="252"/>
      <c r="BD270" s="252"/>
      <c r="BE270" s="252"/>
      <c r="BF270" s="252"/>
      <c r="BG270" s="252"/>
    </row>
    <row r="271" spans="2:65" s="214" customFormat="1" ht="18.75" customHeight="1">
      <c r="B271" s="233"/>
      <c r="C271" s="250"/>
      <c r="D271" s="250" t="str">
        <f>"블록의 평행도 측정값 중 가장 큰 값이 "&amp;O273&amp;" μm이고, 측정자가 블록의 좁은 폭(W=9 mm)의 반경 2 mm"</f>
        <v>블록의 평행도 측정값 중 가장 큰 값이 0 μm이고, 측정자가 블록의 좁은 폭(W=9 mm)의 반경 2 mm</v>
      </c>
      <c r="E271" s="250"/>
      <c r="F271" s="250"/>
      <c r="G271" s="252"/>
      <c r="H271" s="250"/>
      <c r="I271" s="250"/>
      <c r="J271" s="250"/>
      <c r="K271" s="250"/>
      <c r="L271" s="250"/>
      <c r="M271" s="250"/>
      <c r="N271" s="250"/>
      <c r="O271" s="250"/>
      <c r="P271" s="250"/>
      <c r="Q271" s="224"/>
      <c r="R271" s="250"/>
      <c r="S271" s="250"/>
      <c r="T271" s="250"/>
      <c r="U271" s="250"/>
      <c r="V271" s="250"/>
      <c r="W271" s="250"/>
      <c r="X271" s="250"/>
      <c r="Y271" s="250"/>
      <c r="Z271" s="250"/>
      <c r="AA271" s="250"/>
      <c r="AB271" s="250"/>
      <c r="AC271" s="250"/>
      <c r="AD271" s="250"/>
      <c r="AE271" s="252"/>
      <c r="AF271" s="250"/>
      <c r="AG271" s="252"/>
      <c r="AH271" s="252"/>
      <c r="AI271" s="252"/>
      <c r="AJ271" s="252"/>
      <c r="AK271" s="252"/>
      <c r="AL271" s="252"/>
      <c r="AM271" s="252"/>
      <c r="AN271" s="252"/>
      <c r="AO271" s="252"/>
      <c r="AP271" s="252"/>
      <c r="AQ271" s="252"/>
      <c r="AR271" s="252"/>
      <c r="AS271" s="252"/>
      <c r="AT271" s="252"/>
      <c r="AU271" s="252"/>
      <c r="AV271" s="252"/>
      <c r="AW271" s="252"/>
      <c r="AX271" s="252"/>
      <c r="AY271" s="252"/>
      <c r="AZ271" s="252"/>
      <c r="BA271" s="252"/>
      <c r="BB271" s="252"/>
      <c r="BC271" s="252"/>
      <c r="BD271" s="252"/>
      <c r="BE271" s="252"/>
      <c r="BF271" s="252"/>
      <c r="BG271" s="252"/>
    </row>
    <row r="272" spans="2:65" s="214" customFormat="1" ht="18.75" customHeight="1">
      <c r="B272" s="233"/>
      <c r="C272" s="250"/>
      <c r="D272" s="250" t="s">
        <v>729</v>
      </c>
      <c r="E272" s="250"/>
      <c r="F272" s="250"/>
      <c r="G272" s="252"/>
      <c r="H272" s="250"/>
      <c r="I272" s="250"/>
      <c r="J272" s="250"/>
      <c r="K272" s="250"/>
      <c r="L272" s="250"/>
      <c r="M272" s="250"/>
      <c r="N272" s="250"/>
      <c r="O272" s="250"/>
      <c r="P272" s="250"/>
      <c r="Q272" s="224"/>
      <c r="R272" s="250"/>
      <c r="S272" s="250"/>
      <c r="T272" s="250"/>
      <c r="U272" s="250"/>
      <c r="V272" s="250"/>
      <c r="W272" s="250"/>
      <c r="X272" s="250"/>
      <c r="Y272" s="250"/>
      <c r="Z272" s="250"/>
      <c r="AA272" s="250"/>
      <c r="AB272" s="250"/>
      <c r="AC272" s="250"/>
      <c r="AD272" s="250"/>
      <c r="AE272" s="252"/>
      <c r="AF272" s="250"/>
      <c r="AG272" s="252"/>
      <c r="AH272" s="252"/>
      <c r="AI272" s="252"/>
      <c r="AJ272" s="252"/>
      <c r="AK272" s="252"/>
      <c r="AL272" s="252"/>
      <c r="AM272" s="252"/>
      <c r="AN272" s="252"/>
      <c r="AO272" s="252"/>
      <c r="AP272" s="252"/>
      <c r="AQ272" s="252"/>
      <c r="AR272" s="252"/>
      <c r="AS272" s="252"/>
      <c r="AT272" s="252"/>
      <c r="AU272" s="252"/>
      <c r="AV272" s="252"/>
      <c r="AW272" s="252"/>
      <c r="AX272" s="252"/>
      <c r="AY272" s="252"/>
      <c r="AZ272" s="252"/>
      <c r="BA272" s="252"/>
      <c r="BB272" s="252"/>
      <c r="BC272" s="252"/>
      <c r="BD272" s="252"/>
      <c r="BE272" s="252"/>
      <c r="BF272" s="252"/>
      <c r="BG272" s="252"/>
    </row>
    <row r="273" spans="2:68" s="214" customFormat="1" ht="18.75" customHeight="1">
      <c r="B273" s="252"/>
      <c r="C273" s="250" t="s">
        <v>490</v>
      </c>
      <c r="D273" s="250"/>
      <c r="E273" s="250"/>
      <c r="F273" s="250"/>
      <c r="G273" s="250"/>
      <c r="H273" s="250"/>
      <c r="I273" s="252"/>
      <c r="J273" s="257" t="s">
        <v>720</v>
      </c>
      <c r="K273" s="234"/>
      <c r="L273" s="234"/>
      <c r="M273" s="234"/>
      <c r="N273" s="234"/>
      <c r="O273" s="480">
        <f>Calcu!G46</f>
        <v>0</v>
      </c>
      <c r="P273" s="480"/>
      <c r="Q273" s="260" t="s">
        <v>730</v>
      </c>
      <c r="S273" s="268"/>
      <c r="T273" s="268"/>
      <c r="U273" s="234"/>
      <c r="V273" s="234"/>
      <c r="W273" s="234"/>
      <c r="X273" s="234"/>
      <c r="Y273" s="234"/>
      <c r="Z273" s="234"/>
      <c r="AA273" s="234"/>
      <c r="AB273" s="234"/>
      <c r="AC273" s="234"/>
      <c r="AD273" s="234"/>
      <c r="AE273" s="234"/>
      <c r="AF273" s="234"/>
      <c r="AG273" s="234"/>
      <c r="AH273" s="234"/>
      <c r="AI273" s="234"/>
      <c r="AJ273" s="234"/>
      <c r="AK273" s="234"/>
      <c r="AL273" s="234"/>
      <c r="AM273" s="234"/>
      <c r="AN273" s="234"/>
      <c r="AO273" s="234"/>
      <c r="AP273" s="234"/>
      <c r="AQ273" s="234"/>
      <c r="AR273" s="234"/>
      <c r="AS273" s="234"/>
      <c r="AT273" s="234"/>
      <c r="AU273" s="234"/>
      <c r="AV273" s="234"/>
      <c r="AW273" s="234"/>
      <c r="AX273" s="234"/>
      <c r="AY273" s="234"/>
      <c r="AZ273" s="234"/>
      <c r="BA273" s="234"/>
      <c r="BB273" s="252"/>
      <c r="BC273" s="252"/>
      <c r="BD273" s="252"/>
      <c r="BE273" s="252"/>
      <c r="BF273" s="252"/>
      <c r="BG273" s="252"/>
    </row>
    <row r="274" spans="2:68" s="214" customFormat="1" ht="18.75" customHeight="1">
      <c r="B274" s="252"/>
      <c r="C274" s="250"/>
      <c r="D274" s="250"/>
      <c r="E274" s="250"/>
      <c r="F274" s="250"/>
      <c r="G274" s="250"/>
      <c r="H274" s="250"/>
      <c r="I274" s="250"/>
      <c r="J274" s="250"/>
      <c r="K274" s="481" t="s">
        <v>731</v>
      </c>
      <c r="L274" s="481"/>
      <c r="M274" s="481"/>
      <c r="N274" s="414" t="s">
        <v>453</v>
      </c>
      <c r="O274" s="514">
        <v>2</v>
      </c>
      <c r="P274" s="514"/>
      <c r="Q274" s="414" t="s">
        <v>456</v>
      </c>
      <c r="R274" s="482">
        <f>O273</f>
        <v>0</v>
      </c>
      <c r="S274" s="482"/>
      <c r="T274" s="266" t="str">
        <f>Q273</f>
        <v>μm</v>
      </c>
      <c r="U274" s="266"/>
      <c r="V274" s="414" t="s">
        <v>595</v>
      </c>
      <c r="W274" s="478">
        <f>O274/O275*R274/SQRT(3)</f>
        <v>0</v>
      </c>
      <c r="X274" s="478"/>
      <c r="Y274" s="478"/>
      <c r="Z274" s="426" t="str">
        <f>T274</f>
        <v>μm</v>
      </c>
      <c r="AA274" s="426"/>
      <c r="AB274" s="226"/>
      <c r="AC274" s="226"/>
      <c r="AI274" s="226"/>
      <c r="AJ274" s="250"/>
      <c r="AK274" s="250"/>
      <c r="AL274" s="250"/>
      <c r="AM274" s="250"/>
      <c r="AN274" s="250"/>
      <c r="AO274" s="250"/>
      <c r="AP274" s="250"/>
      <c r="AQ274" s="250"/>
      <c r="AR274" s="250"/>
      <c r="AS274" s="250"/>
      <c r="AT274" s="250"/>
      <c r="AU274" s="250"/>
      <c r="AV274" s="252"/>
      <c r="AW274" s="252"/>
      <c r="AX274" s="252"/>
      <c r="AY274" s="252"/>
      <c r="AZ274" s="250"/>
      <c r="BA274" s="250"/>
      <c r="BB274" s="250"/>
      <c r="BC274" s="250"/>
      <c r="BD274" s="250"/>
      <c r="BE274" s="250"/>
      <c r="BF274" s="250"/>
      <c r="BG274" s="250"/>
      <c r="BH274" s="252"/>
      <c r="BI274" s="252"/>
      <c r="BJ274" s="252"/>
      <c r="BK274" s="252"/>
      <c r="BL274" s="252"/>
      <c r="BM274" s="252"/>
      <c r="BN274" s="252"/>
      <c r="BO274" s="252"/>
      <c r="BP274" s="252"/>
    </row>
    <row r="275" spans="2:68" s="214" customFormat="1" ht="18.75" customHeight="1">
      <c r="B275" s="252"/>
      <c r="C275" s="250"/>
      <c r="D275" s="250"/>
      <c r="E275" s="250"/>
      <c r="F275" s="250"/>
      <c r="G275" s="250"/>
      <c r="H275" s="250"/>
      <c r="I275" s="250"/>
      <c r="J275" s="250"/>
      <c r="K275" s="481"/>
      <c r="L275" s="481"/>
      <c r="M275" s="481"/>
      <c r="N275" s="414"/>
      <c r="O275" s="483">
        <v>9</v>
      </c>
      <c r="P275" s="483"/>
      <c r="Q275" s="414"/>
      <c r="R275" s="483"/>
      <c r="S275" s="483"/>
      <c r="T275" s="483"/>
      <c r="U275" s="483"/>
      <c r="V275" s="414"/>
      <c r="W275" s="478"/>
      <c r="X275" s="478"/>
      <c r="Y275" s="478"/>
      <c r="Z275" s="426"/>
      <c r="AA275" s="426"/>
      <c r="AB275" s="226"/>
      <c r="AC275" s="226"/>
      <c r="AI275" s="226"/>
      <c r="AJ275" s="250"/>
      <c r="AK275" s="250"/>
      <c r="AL275" s="250"/>
      <c r="AM275" s="250"/>
      <c r="AN275" s="250"/>
      <c r="AO275" s="250"/>
      <c r="AP275" s="250"/>
      <c r="AQ275" s="250"/>
      <c r="AR275" s="250"/>
      <c r="AS275" s="250"/>
      <c r="AT275" s="250"/>
      <c r="AU275" s="250"/>
      <c r="AV275" s="252"/>
      <c r="AW275" s="252"/>
      <c r="AX275" s="252"/>
      <c r="AY275" s="252"/>
      <c r="AZ275" s="250"/>
      <c r="BA275" s="250"/>
      <c r="BB275" s="250"/>
      <c r="BC275" s="250"/>
      <c r="BD275" s="250"/>
      <c r="BE275" s="250"/>
      <c r="BF275" s="250"/>
      <c r="BG275" s="250"/>
      <c r="BH275" s="252"/>
      <c r="BI275" s="252"/>
      <c r="BJ275" s="252"/>
      <c r="BK275" s="252"/>
      <c r="BL275" s="252"/>
      <c r="BM275" s="252"/>
      <c r="BN275" s="252"/>
      <c r="BO275" s="252"/>
      <c r="BP275" s="252"/>
    </row>
    <row r="276" spans="2:68" s="214" customFormat="1" ht="18.75" customHeight="1">
      <c r="B276" s="252"/>
      <c r="C276" s="250" t="s">
        <v>732</v>
      </c>
      <c r="D276" s="250"/>
      <c r="E276" s="250"/>
      <c r="F276" s="250"/>
      <c r="G276" s="250"/>
      <c r="H276" s="250"/>
      <c r="I276" s="476" t="str">
        <f>AB95</f>
        <v>직사각형</v>
      </c>
      <c r="J276" s="476"/>
      <c r="K276" s="476"/>
      <c r="L276" s="476"/>
      <c r="M276" s="476"/>
      <c r="N276" s="476"/>
      <c r="O276" s="476"/>
      <c r="P276" s="476"/>
      <c r="Q276" s="250"/>
      <c r="R276" s="250"/>
      <c r="S276" s="250"/>
      <c r="T276" s="250"/>
      <c r="U276" s="250"/>
      <c r="V276" s="250"/>
      <c r="W276" s="250"/>
      <c r="X276" s="250"/>
      <c r="Y276" s="250"/>
      <c r="Z276" s="252"/>
      <c r="AA276" s="252"/>
      <c r="AB276" s="252"/>
      <c r="AC276" s="252"/>
      <c r="AD276" s="252"/>
      <c r="AE276" s="252"/>
      <c r="AF276" s="252"/>
      <c r="AG276" s="252"/>
      <c r="AH276" s="250"/>
      <c r="AI276" s="250"/>
      <c r="AJ276" s="250"/>
      <c r="AK276" s="250"/>
      <c r="AL276" s="252"/>
      <c r="AM276" s="252"/>
      <c r="AN276" s="252"/>
      <c r="AO276" s="252"/>
      <c r="AP276" s="252"/>
      <c r="AQ276" s="252"/>
      <c r="AR276" s="252"/>
      <c r="AS276" s="250"/>
      <c r="AT276" s="250"/>
      <c r="AU276" s="250"/>
      <c r="AV276" s="250"/>
      <c r="AW276" s="250"/>
      <c r="AX276" s="250"/>
      <c r="AY276" s="252"/>
      <c r="AZ276" s="252"/>
      <c r="BA276" s="252"/>
      <c r="BB276" s="252"/>
      <c r="BC276" s="252"/>
      <c r="BD276" s="252"/>
      <c r="BE276" s="252"/>
      <c r="BF276" s="252"/>
      <c r="BG276" s="252"/>
    </row>
    <row r="277" spans="2:68" s="214" customFormat="1" ht="18.75" customHeight="1">
      <c r="B277" s="252"/>
      <c r="C277" s="408" t="s">
        <v>733</v>
      </c>
      <c r="D277" s="408"/>
      <c r="E277" s="408"/>
      <c r="F277" s="408"/>
      <c r="G277" s="408"/>
      <c r="H277" s="408"/>
      <c r="I277" s="250"/>
      <c r="J277" s="250"/>
      <c r="K277" s="250"/>
      <c r="L277" s="250"/>
      <c r="M277" s="250"/>
      <c r="N277" s="486">
        <f>AG95</f>
        <v>1</v>
      </c>
      <c r="O277" s="486"/>
      <c r="P277" s="229"/>
      <c r="Q277" s="229"/>
      <c r="R277" s="229"/>
      <c r="S277" s="250"/>
      <c r="T277" s="250"/>
      <c r="U277" s="250"/>
      <c r="V277" s="250"/>
      <c r="W277" s="250"/>
      <c r="X277" s="250"/>
      <c r="Y277" s="250"/>
      <c r="Z277" s="230"/>
      <c r="AA277" s="230"/>
      <c r="AB277" s="250"/>
      <c r="AC277" s="250"/>
      <c r="AD277" s="250"/>
      <c r="AE277" s="250"/>
      <c r="AF277" s="250"/>
      <c r="AG277" s="250"/>
      <c r="AH277" s="250"/>
      <c r="AI277" s="250"/>
      <c r="AJ277" s="250"/>
      <c r="AK277" s="250"/>
      <c r="AL277" s="252"/>
      <c r="AM277" s="252"/>
      <c r="AN277" s="252"/>
      <c r="AO277" s="250"/>
      <c r="AP277" s="250"/>
      <c r="AQ277" s="250"/>
      <c r="AR277" s="250"/>
      <c r="AS277" s="250"/>
      <c r="AT277" s="250"/>
      <c r="AU277" s="250"/>
      <c r="AV277" s="250"/>
      <c r="AW277" s="250"/>
      <c r="AX277" s="250"/>
      <c r="AY277" s="252"/>
      <c r="AZ277" s="252"/>
      <c r="BA277" s="252"/>
      <c r="BB277" s="252"/>
      <c r="BC277" s="252"/>
      <c r="BD277" s="252"/>
      <c r="BE277" s="252"/>
      <c r="BF277" s="252"/>
      <c r="BG277" s="252"/>
    </row>
    <row r="278" spans="2:68" s="214" customFormat="1" ht="18.75" customHeight="1">
      <c r="B278" s="252"/>
      <c r="C278" s="408"/>
      <c r="D278" s="408"/>
      <c r="E278" s="408"/>
      <c r="F278" s="408"/>
      <c r="G278" s="408"/>
      <c r="H278" s="408"/>
      <c r="I278" s="250"/>
      <c r="J278" s="250"/>
      <c r="K278" s="250"/>
      <c r="L278" s="250"/>
      <c r="M278" s="250"/>
      <c r="N278" s="486"/>
      <c r="O278" s="486"/>
      <c r="P278" s="229"/>
      <c r="Q278" s="229"/>
      <c r="R278" s="229"/>
      <c r="S278" s="250"/>
      <c r="T278" s="250"/>
      <c r="U278" s="250"/>
      <c r="V278" s="250"/>
      <c r="W278" s="250"/>
      <c r="X278" s="250"/>
      <c r="Y278" s="250"/>
      <c r="Z278" s="230"/>
      <c r="AA278" s="230"/>
      <c r="AB278" s="250"/>
      <c r="AC278" s="250"/>
      <c r="AD278" s="250"/>
      <c r="AE278" s="250"/>
      <c r="AF278" s="250"/>
      <c r="AG278" s="250"/>
      <c r="AH278" s="250"/>
      <c r="AI278" s="250"/>
      <c r="AJ278" s="250"/>
      <c r="AK278" s="250"/>
      <c r="AL278" s="252"/>
      <c r="AM278" s="252"/>
      <c r="AN278" s="252"/>
      <c r="AO278" s="250"/>
      <c r="AP278" s="250"/>
      <c r="AQ278" s="250"/>
      <c r="AR278" s="250"/>
      <c r="AS278" s="250"/>
      <c r="AT278" s="250"/>
      <c r="AU278" s="250"/>
      <c r="AV278" s="250"/>
      <c r="AW278" s="250"/>
      <c r="AX278" s="250"/>
      <c r="AY278" s="252"/>
      <c r="AZ278" s="252"/>
      <c r="BA278" s="252"/>
      <c r="BB278" s="252"/>
      <c r="BC278" s="252"/>
      <c r="BD278" s="252"/>
      <c r="BE278" s="252"/>
      <c r="BF278" s="252"/>
      <c r="BG278" s="252"/>
    </row>
    <row r="279" spans="2:68" s="214" customFormat="1" ht="18.75" customHeight="1">
      <c r="B279" s="252"/>
      <c r="C279" s="250" t="s">
        <v>734</v>
      </c>
      <c r="D279" s="250"/>
      <c r="E279" s="250"/>
      <c r="F279" s="250"/>
      <c r="G279" s="250"/>
      <c r="H279" s="250"/>
      <c r="I279" s="250"/>
      <c r="J279" s="252"/>
      <c r="K279" s="252" t="s">
        <v>735</v>
      </c>
      <c r="L279" s="409">
        <f>N277</f>
        <v>1</v>
      </c>
      <c r="M279" s="409"/>
      <c r="N279" s="252" t="s">
        <v>606</v>
      </c>
      <c r="O279" s="478">
        <f>W274</f>
        <v>0</v>
      </c>
      <c r="P279" s="426"/>
      <c r="Q279" s="426"/>
      <c r="R279" s="479" t="str">
        <f>Z274</f>
        <v>μm</v>
      </c>
      <c r="S279" s="426"/>
      <c r="T279" s="253" t="s">
        <v>686</v>
      </c>
      <c r="U279" s="211" t="s">
        <v>589</v>
      </c>
      <c r="V279" s="478">
        <f>L279*O279</f>
        <v>0</v>
      </c>
      <c r="W279" s="478"/>
      <c r="X279" s="478"/>
      <c r="Y279" s="261" t="str">
        <f>R279</f>
        <v>μm</v>
      </c>
      <c r="Z279" s="55"/>
      <c r="AA279" s="260"/>
      <c r="AB279" s="227"/>
      <c r="AC279" s="217"/>
      <c r="AD279" s="252"/>
      <c r="AE279" s="250"/>
      <c r="AF279" s="252"/>
      <c r="AG279" s="252"/>
      <c r="AH279" s="252"/>
      <c r="AI279" s="252"/>
      <c r="AJ279" s="252"/>
      <c r="AK279" s="250"/>
      <c r="AL279" s="252"/>
      <c r="AM279" s="252"/>
      <c r="AN279" s="252"/>
      <c r="AO279" s="250"/>
      <c r="AP279" s="250"/>
      <c r="AQ279" s="250"/>
      <c r="AR279" s="250"/>
      <c r="AS279" s="250"/>
      <c r="AT279" s="250"/>
      <c r="AU279" s="250"/>
      <c r="AV279" s="250"/>
      <c r="AW279" s="250"/>
      <c r="AX279" s="250"/>
      <c r="AY279" s="252"/>
      <c r="AZ279" s="252"/>
      <c r="BA279" s="252"/>
      <c r="BB279" s="252"/>
      <c r="BC279" s="252"/>
      <c r="BD279" s="252"/>
      <c r="BE279" s="252"/>
      <c r="BF279" s="252"/>
      <c r="BG279" s="252"/>
    </row>
    <row r="280" spans="2:68" s="214" customFormat="1" ht="18.75" customHeight="1">
      <c r="B280" s="252"/>
      <c r="C280" s="408" t="s">
        <v>736</v>
      </c>
      <c r="D280" s="408"/>
      <c r="E280" s="408"/>
      <c r="F280" s="408"/>
      <c r="G280" s="408"/>
      <c r="H280" s="250"/>
      <c r="J280" s="250"/>
      <c r="K280" s="250"/>
      <c r="L280" s="250"/>
      <c r="M280" s="250"/>
      <c r="N280" s="250"/>
      <c r="O280" s="250"/>
      <c r="P280" s="250"/>
      <c r="Q280" s="250"/>
      <c r="R280" s="217"/>
      <c r="S280" s="250"/>
      <c r="T280" s="250"/>
      <c r="U280" s="250"/>
      <c r="W280" s="250"/>
      <c r="X280" s="191" t="s">
        <v>628</v>
      </c>
      <c r="Y280" s="250"/>
      <c r="Z280" s="250"/>
      <c r="AA280" s="250"/>
      <c r="AB280" s="250"/>
      <c r="AC280" s="250"/>
      <c r="AD280" s="250"/>
      <c r="AE280" s="252"/>
      <c r="AF280" s="252"/>
      <c r="AG280" s="252"/>
      <c r="AH280" s="252"/>
      <c r="AI280" s="252"/>
      <c r="AJ280" s="252"/>
      <c r="AK280" s="252"/>
      <c r="AL280" s="252"/>
      <c r="AM280" s="252"/>
      <c r="AN280" s="252"/>
      <c r="AO280" s="252"/>
      <c r="AP280" s="252"/>
      <c r="AQ280" s="252"/>
      <c r="AR280" s="252"/>
      <c r="AS280" s="252"/>
      <c r="AT280" s="252"/>
      <c r="AU280" s="252"/>
      <c r="AV280" s="252"/>
      <c r="AW280" s="252"/>
      <c r="AX280" s="252"/>
      <c r="AY280" s="252"/>
      <c r="AZ280" s="252"/>
      <c r="BA280" s="252"/>
      <c r="BB280" s="252"/>
      <c r="BC280" s="252"/>
      <c r="BD280" s="252"/>
      <c r="BE280" s="252"/>
      <c r="BF280" s="252"/>
      <c r="BG280" s="252"/>
    </row>
    <row r="281" spans="2:68" s="214" customFormat="1" ht="18.75" customHeight="1">
      <c r="B281" s="252"/>
      <c r="C281" s="408"/>
      <c r="D281" s="408"/>
      <c r="E281" s="408"/>
      <c r="F281" s="408"/>
      <c r="G281" s="408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  <c r="R281" s="217"/>
      <c r="S281" s="250"/>
      <c r="T281" s="250"/>
      <c r="U281" s="250"/>
      <c r="V281" s="250"/>
      <c r="W281" s="250"/>
      <c r="X281" s="250"/>
      <c r="Y281" s="250"/>
      <c r="Z281" s="250"/>
      <c r="AA281" s="250"/>
      <c r="AB281" s="250"/>
      <c r="AC281" s="250"/>
      <c r="AD281" s="250"/>
      <c r="AE281" s="252"/>
      <c r="AF281" s="250"/>
      <c r="AG281" s="252"/>
      <c r="AH281" s="252"/>
      <c r="AI281" s="252"/>
      <c r="AJ281" s="252"/>
      <c r="AK281" s="252"/>
      <c r="AL281" s="252"/>
      <c r="AM281" s="252"/>
      <c r="AN281" s="252"/>
      <c r="AO281" s="252"/>
      <c r="AP281" s="252"/>
      <c r="AQ281" s="252"/>
      <c r="AR281" s="252"/>
      <c r="AS281" s="252"/>
      <c r="AT281" s="252"/>
      <c r="AU281" s="252"/>
      <c r="AV281" s="252"/>
      <c r="AW281" s="252"/>
      <c r="AX281" s="252"/>
      <c r="AY281" s="252"/>
      <c r="AZ281" s="252"/>
      <c r="BA281" s="252"/>
      <c r="BB281" s="252"/>
      <c r="BC281" s="252"/>
      <c r="BD281" s="252"/>
      <c r="BE281" s="252"/>
      <c r="BF281" s="252"/>
      <c r="BG281" s="252"/>
    </row>
    <row r="282" spans="2:68" s="214" customFormat="1" ht="18.75" customHeight="1">
      <c r="B282" s="252"/>
      <c r="C282" s="250"/>
      <c r="D282" s="250"/>
      <c r="E282" s="250"/>
      <c r="F282" s="250"/>
      <c r="G282" s="252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/>
      <c r="S282" s="250"/>
      <c r="AB282" s="250"/>
      <c r="AC282" s="250"/>
      <c r="AD282" s="250"/>
      <c r="AE282" s="252"/>
      <c r="AF282" s="250"/>
      <c r="AG282" s="252"/>
      <c r="AH282" s="252"/>
      <c r="AI282" s="252"/>
      <c r="AJ282" s="252"/>
      <c r="AK282" s="252"/>
      <c r="AL282" s="252"/>
      <c r="AM282" s="252"/>
      <c r="AN282" s="252"/>
      <c r="AO282" s="252"/>
      <c r="AP282" s="252"/>
      <c r="AQ282" s="252"/>
      <c r="AR282" s="252"/>
      <c r="AS282" s="252"/>
      <c r="AT282" s="252"/>
      <c r="AU282" s="252"/>
      <c r="AV282" s="252"/>
      <c r="AW282" s="252"/>
      <c r="AX282" s="252"/>
      <c r="AY282" s="252"/>
      <c r="AZ282" s="252"/>
      <c r="BA282" s="252"/>
      <c r="BB282" s="252"/>
      <c r="BC282" s="252"/>
      <c r="BD282" s="252"/>
      <c r="BE282" s="252"/>
      <c r="BF282" s="252"/>
      <c r="BG282" s="252"/>
    </row>
    <row r="283" spans="2:68" s="214" customFormat="1" ht="18.75" customHeight="1">
      <c r="B283" s="232" t="s">
        <v>737</v>
      </c>
      <c r="C283" s="190" t="s">
        <v>738</v>
      </c>
      <c r="E283" s="250"/>
      <c r="F283" s="250"/>
      <c r="G283" s="252"/>
      <c r="H283" s="250"/>
      <c r="I283" s="250"/>
      <c r="J283" s="250"/>
      <c r="K283" s="250"/>
      <c r="L283" s="250"/>
      <c r="M283" s="250"/>
      <c r="N283" s="250"/>
      <c r="O283" s="250"/>
      <c r="P283" s="250"/>
      <c r="R283" s="250"/>
      <c r="S283" s="224"/>
      <c r="T283" s="250"/>
      <c r="U283" s="250"/>
      <c r="Y283" s="250"/>
      <c r="Z283" s="250"/>
      <c r="AA283" s="250"/>
      <c r="AB283" s="250"/>
      <c r="AC283" s="250"/>
      <c r="AD283" s="250"/>
      <c r="AE283" s="252"/>
      <c r="AF283" s="250"/>
      <c r="AG283" s="252"/>
      <c r="AH283" s="252"/>
      <c r="AI283" s="252"/>
      <c r="AJ283" s="252"/>
      <c r="AK283" s="252"/>
      <c r="AL283" s="252"/>
      <c r="AM283" s="252"/>
      <c r="AN283" s="252"/>
      <c r="AO283" s="252"/>
      <c r="AP283" s="252"/>
      <c r="AQ283" s="252"/>
      <c r="AR283" s="252"/>
      <c r="AS283" s="252"/>
      <c r="AT283" s="252"/>
      <c r="AU283" s="252"/>
      <c r="AV283" s="252"/>
      <c r="AW283" s="252"/>
      <c r="AX283" s="252"/>
      <c r="AY283" s="252"/>
      <c r="AZ283" s="252"/>
      <c r="BA283" s="252"/>
      <c r="BB283" s="252"/>
      <c r="BC283" s="252"/>
      <c r="BD283" s="252"/>
      <c r="BE283" s="252"/>
      <c r="BF283" s="252"/>
      <c r="BG283" s="252"/>
    </row>
    <row r="284" spans="2:68" s="214" customFormat="1" ht="18.75" customHeight="1">
      <c r="B284" s="233"/>
      <c r="C284" s="250" t="s">
        <v>739</v>
      </c>
      <c r="D284" s="250"/>
      <c r="E284" s="250"/>
      <c r="F284" s="250"/>
      <c r="G284" s="252"/>
      <c r="H284" s="250"/>
      <c r="I284" s="250"/>
      <c r="J284" s="250"/>
      <c r="K284" s="250"/>
      <c r="L284" s="250"/>
      <c r="M284" s="250"/>
      <c r="N284" s="250"/>
      <c r="O284" s="250"/>
      <c r="P284" s="250"/>
      <c r="Q284" s="224"/>
      <c r="R284" s="250"/>
      <c r="S284" s="250"/>
      <c r="T284" s="250"/>
      <c r="U284" s="250"/>
      <c r="V284" s="250"/>
      <c r="W284" s="250"/>
      <c r="X284" s="250"/>
      <c r="Y284" s="250"/>
      <c r="Z284" s="250"/>
      <c r="AA284" s="250"/>
      <c r="AB284" s="250"/>
      <c r="AC284" s="250"/>
      <c r="AD284" s="250"/>
      <c r="AE284" s="252"/>
      <c r="AF284" s="250"/>
      <c r="AG284" s="252"/>
      <c r="AH284" s="252"/>
      <c r="AI284" s="252"/>
      <c r="AJ284" s="252"/>
      <c r="AK284" s="252"/>
      <c r="AL284" s="252"/>
      <c r="AM284" s="252"/>
      <c r="AN284" s="252"/>
      <c r="AO284" s="252"/>
      <c r="AP284" s="252"/>
      <c r="AQ284" s="252"/>
      <c r="AR284" s="252"/>
      <c r="AS284" s="252"/>
      <c r="AT284" s="252"/>
      <c r="AU284" s="252"/>
      <c r="AV284" s="252"/>
      <c r="AW284" s="252"/>
      <c r="AX284" s="252"/>
      <c r="AY284" s="252"/>
      <c r="AZ284" s="252"/>
      <c r="BA284" s="252"/>
      <c r="BB284" s="252"/>
      <c r="BC284" s="252"/>
      <c r="BD284" s="252"/>
      <c r="BE284" s="252"/>
      <c r="BF284" s="252"/>
      <c r="BG284" s="252"/>
    </row>
    <row r="285" spans="2:68" s="214" customFormat="1" ht="18.75" customHeight="1">
      <c r="B285" s="233"/>
      <c r="C285" s="235" t="s">
        <v>740</v>
      </c>
      <c r="D285" s="250"/>
      <c r="E285" s="250"/>
      <c r="F285" s="250"/>
      <c r="G285" s="252"/>
      <c r="H285" s="250"/>
      <c r="I285" s="250" t="s">
        <v>741</v>
      </c>
      <c r="J285" s="250"/>
      <c r="K285" s="250"/>
      <c r="L285" s="250"/>
      <c r="M285" s="250"/>
      <c r="N285" s="250"/>
      <c r="O285" s="250"/>
      <c r="P285" s="250"/>
      <c r="Q285" s="224"/>
      <c r="R285" s="250"/>
      <c r="S285" s="250"/>
      <c r="T285" s="250"/>
      <c r="U285" s="250"/>
      <c r="V285" s="250"/>
      <c r="W285" s="250"/>
      <c r="X285" s="250"/>
      <c r="Y285" s="250"/>
      <c r="Z285" s="250"/>
      <c r="AA285" s="250"/>
      <c r="AB285" s="250"/>
      <c r="AC285" s="250"/>
      <c r="AD285" s="250"/>
      <c r="AE285" s="252"/>
      <c r="AF285" s="250"/>
      <c r="AG285" s="252"/>
      <c r="AH285" s="252"/>
      <c r="AI285" s="252"/>
      <c r="AJ285" s="252"/>
      <c r="AK285" s="252"/>
      <c r="AL285" s="252"/>
      <c r="AM285" s="252"/>
      <c r="AN285" s="252"/>
      <c r="AO285" s="252"/>
      <c r="AP285" s="252"/>
      <c r="AQ285" s="252"/>
      <c r="AR285" s="252"/>
      <c r="AS285" s="252"/>
      <c r="AT285" s="252"/>
      <c r="AU285" s="252"/>
      <c r="AV285" s="252"/>
      <c r="AW285" s="252"/>
      <c r="AX285" s="252"/>
      <c r="AY285" s="252"/>
      <c r="AZ285" s="252"/>
      <c r="BA285" s="252"/>
      <c r="BB285" s="252"/>
      <c r="BC285" s="252"/>
      <c r="BD285" s="252"/>
      <c r="BE285" s="252"/>
      <c r="BF285" s="252"/>
      <c r="BG285" s="252"/>
    </row>
    <row r="286" spans="2:68" s="214" customFormat="1" ht="18.75" customHeight="1">
      <c r="C286" s="252"/>
      <c r="D286" s="250" t="s">
        <v>742</v>
      </c>
      <c r="E286" s="250"/>
      <c r="F286" s="250"/>
      <c r="G286" s="250"/>
      <c r="H286" s="250"/>
      <c r="I286" s="250"/>
      <c r="J286" s="252"/>
      <c r="K286" s="257"/>
      <c r="L286" s="234"/>
      <c r="M286" s="234"/>
      <c r="N286" s="234"/>
      <c r="O286" s="234"/>
      <c r="P286" s="262"/>
      <c r="Q286" s="262"/>
      <c r="R286" s="260"/>
      <c r="T286" s="268"/>
      <c r="U286" s="268"/>
      <c r="V286" s="234"/>
      <c r="W286" s="234"/>
      <c r="X286" s="474" t="e">
        <f>O86</f>
        <v>#VALUE!</v>
      </c>
      <c r="Y286" s="475"/>
      <c r="Z286" s="475"/>
      <c r="AA286" s="475" t="str">
        <f>V86</f>
        <v>℃</v>
      </c>
      <c r="AB286" s="475"/>
      <c r="AC286" s="234"/>
      <c r="AD286" s="234"/>
      <c r="AE286" s="234"/>
      <c r="AF286" s="234"/>
      <c r="AG286" s="234"/>
      <c r="AH286" s="234"/>
      <c r="AI286" s="234"/>
      <c r="AJ286" s="234"/>
      <c r="AK286" s="234"/>
      <c r="AL286" s="234"/>
      <c r="AM286" s="234"/>
      <c r="AN286" s="234"/>
      <c r="AO286" s="234"/>
      <c r="AP286" s="234"/>
      <c r="AQ286" s="234"/>
      <c r="AR286" s="234"/>
      <c r="AS286" s="234"/>
      <c r="AT286" s="234"/>
      <c r="AU286" s="234"/>
      <c r="AV286" s="234"/>
      <c r="AW286" s="234"/>
      <c r="AX286" s="234"/>
      <c r="AY286" s="234"/>
      <c r="AZ286" s="234"/>
      <c r="BA286" s="234"/>
      <c r="BB286" s="234"/>
      <c r="BC286" s="252"/>
      <c r="BD286" s="252"/>
      <c r="BE286" s="252"/>
      <c r="BF286" s="252"/>
      <c r="BG286" s="252"/>
      <c r="BH286" s="252"/>
    </row>
    <row r="287" spans="2:68" s="214" customFormat="1" ht="18.75" customHeight="1">
      <c r="C287" s="252"/>
      <c r="D287" s="250" t="s">
        <v>743</v>
      </c>
      <c r="E287" s="250"/>
      <c r="F287" s="250"/>
      <c r="G287" s="250"/>
      <c r="H287" s="250"/>
      <c r="I287" s="250"/>
      <c r="J287" s="476" t="str">
        <f>AB96</f>
        <v>정규</v>
      </c>
      <c r="K287" s="476"/>
      <c r="L287" s="476"/>
      <c r="M287" s="476"/>
      <c r="N287" s="476"/>
      <c r="O287" s="476"/>
      <c r="P287" s="476"/>
      <c r="Q287" s="476"/>
      <c r="R287" s="250"/>
      <c r="S287" s="250"/>
      <c r="T287" s="250"/>
      <c r="U287" s="250"/>
      <c r="V287" s="250"/>
      <c r="W287" s="250"/>
      <c r="X287" s="250"/>
      <c r="Y287" s="250"/>
      <c r="Z287" s="250"/>
      <c r="AA287" s="252"/>
      <c r="AB287" s="252"/>
      <c r="AC287" s="252"/>
      <c r="AD287" s="252"/>
      <c r="AE287" s="252"/>
      <c r="AF287" s="252"/>
      <c r="AG287" s="252"/>
      <c r="AH287" s="252"/>
      <c r="AI287" s="250"/>
      <c r="AJ287" s="250"/>
      <c r="AK287" s="250"/>
      <c r="AL287" s="250"/>
      <c r="AM287" s="252"/>
      <c r="AN287" s="252"/>
      <c r="AO287" s="252"/>
      <c r="AP287" s="252"/>
      <c r="AQ287" s="252"/>
      <c r="AR287" s="252"/>
      <c r="AS287" s="252"/>
      <c r="AT287" s="250"/>
      <c r="AU287" s="250"/>
      <c r="AV287" s="250"/>
      <c r="AW287" s="250"/>
      <c r="AX287" s="250"/>
      <c r="AY287" s="250"/>
      <c r="AZ287" s="252"/>
      <c r="BA287" s="252"/>
      <c r="BB287" s="252"/>
      <c r="BC287" s="252"/>
      <c r="BD287" s="252"/>
      <c r="BE287" s="252"/>
      <c r="BF287" s="252"/>
      <c r="BG287" s="252"/>
      <c r="BH287" s="252"/>
    </row>
    <row r="288" spans="2:68" s="214" customFormat="1" ht="18.75" customHeight="1">
      <c r="C288" s="252"/>
      <c r="D288" s="250" t="s">
        <v>744</v>
      </c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29"/>
      <c r="R288" s="229"/>
      <c r="S288" s="229"/>
      <c r="T288" s="250"/>
      <c r="U288" s="250"/>
      <c r="V288" s="250"/>
      <c r="W288" s="250"/>
      <c r="X288" s="250"/>
      <c r="Y288" s="250"/>
      <c r="Z288" s="250"/>
      <c r="AA288" s="230"/>
      <c r="AB288" s="230"/>
      <c r="AC288" s="250"/>
      <c r="AD288" s="250"/>
      <c r="AE288" s="250"/>
      <c r="AF288" s="250"/>
      <c r="AG288" s="250"/>
      <c r="AH288" s="250"/>
      <c r="AI288" s="250"/>
      <c r="AJ288" s="250"/>
      <c r="AK288" s="250"/>
      <c r="AL288" s="250"/>
      <c r="AM288" s="252"/>
      <c r="AN288" s="252"/>
      <c r="AO288" s="252"/>
      <c r="AP288" s="250"/>
      <c r="AQ288" s="250"/>
      <c r="AR288" s="250"/>
      <c r="AS288" s="250"/>
      <c r="AT288" s="250"/>
      <c r="AU288" s="250"/>
      <c r="AV288" s="250"/>
      <c r="AW288" s="250"/>
      <c r="AX288" s="250"/>
      <c r="AY288" s="250"/>
      <c r="AZ288" s="252"/>
      <c r="BA288" s="252"/>
      <c r="BB288" s="252"/>
      <c r="BC288" s="252"/>
      <c r="BD288" s="252"/>
      <c r="BE288" s="252"/>
      <c r="BF288" s="252"/>
      <c r="BG288" s="252"/>
      <c r="BH288" s="252"/>
    </row>
    <row r="289" spans="1:60" s="214" customFormat="1" ht="18.75" customHeight="1">
      <c r="C289" s="252"/>
      <c r="D289" s="250" t="s">
        <v>745</v>
      </c>
      <c r="E289" s="250"/>
      <c r="F289" s="250"/>
      <c r="G289" s="250"/>
      <c r="H289" s="250"/>
      <c r="I289" s="250"/>
      <c r="J289" s="250"/>
      <c r="K289" s="252"/>
      <c r="L289" s="267" t="s">
        <v>746</v>
      </c>
      <c r="P289" s="267" t="str">
        <f>IF(H86=0,"0 이므로 2차항을 적용한다.","0 이 아니므로 2차항을 적용하지 않는다.")</f>
        <v>0 이 아니므로 2차항을 적용하지 않는다.</v>
      </c>
      <c r="AO289" s="252"/>
      <c r="AP289" s="250"/>
      <c r="AQ289" s="250"/>
      <c r="AR289" s="250"/>
      <c r="AS289" s="250"/>
      <c r="AT289" s="250"/>
      <c r="AU289" s="250"/>
      <c r="AV289" s="250"/>
      <c r="AW289" s="250"/>
      <c r="AX289" s="250"/>
      <c r="AY289" s="250"/>
      <c r="AZ289" s="252"/>
      <c r="BA289" s="252"/>
      <c r="BB289" s="252"/>
      <c r="BC289" s="252"/>
      <c r="BD289" s="252"/>
      <c r="BE289" s="252"/>
      <c r="BF289" s="252"/>
      <c r="BG289" s="252"/>
      <c r="BH289" s="252"/>
    </row>
    <row r="290" spans="1:60" s="214" customFormat="1" ht="18.75" customHeight="1">
      <c r="C290" s="252"/>
      <c r="D290" s="250"/>
      <c r="E290" s="250"/>
      <c r="F290" s="250"/>
      <c r="G290" s="250"/>
      <c r="H290" s="250"/>
      <c r="I290" s="250"/>
      <c r="J290" s="250"/>
      <c r="K290" s="252"/>
      <c r="L290" s="257"/>
      <c r="M290" s="234"/>
      <c r="N290" s="234"/>
      <c r="O290" s="234"/>
      <c r="P290" s="234"/>
      <c r="Q290" s="262"/>
      <c r="R290" s="262"/>
      <c r="S290" s="474" t="e">
        <f>X286</f>
        <v>#VALUE!</v>
      </c>
      <c r="T290" s="475"/>
      <c r="U290" s="475"/>
      <c r="V290" s="475" t="str">
        <f>AA286</f>
        <v>℃</v>
      </c>
      <c r="W290" s="475"/>
      <c r="X290" s="236" t="s">
        <v>456</v>
      </c>
      <c r="AD290" s="217"/>
      <c r="AE290" s="425" t="e">
        <f>AP96</f>
        <v>#VALUE!</v>
      </c>
      <c r="AF290" s="408"/>
      <c r="AG290" s="408"/>
      <c r="AH290" s="408"/>
      <c r="AI290" s="408" t="s">
        <v>551</v>
      </c>
      <c r="AJ290" s="408"/>
      <c r="AK290" s="408"/>
      <c r="AL290" s="408"/>
      <c r="AM290" s="408"/>
      <c r="AN290" s="408"/>
      <c r="AO290" s="252"/>
      <c r="AP290" s="250"/>
      <c r="AQ290" s="250"/>
      <c r="AR290" s="250"/>
      <c r="AS290" s="250"/>
      <c r="AT290" s="250"/>
      <c r="AU290" s="250"/>
      <c r="AV290" s="250"/>
      <c r="AW290" s="250"/>
      <c r="AX290" s="250"/>
      <c r="AY290" s="250"/>
      <c r="AZ290" s="252"/>
      <c r="BA290" s="252"/>
      <c r="BB290" s="252"/>
      <c r="BC290" s="252"/>
      <c r="BD290" s="252"/>
      <c r="BE290" s="252"/>
      <c r="BF290" s="252"/>
      <c r="BG290" s="252"/>
      <c r="BH290" s="252"/>
    </row>
    <row r="291" spans="1:60" s="214" customFormat="1" ht="18.75" customHeight="1">
      <c r="C291" s="252"/>
      <c r="D291" s="250" t="s">
        <v>491</v>
      </c>
      <c r="E291" s="250"/>
      <c r="F291" s="250"/>
      <c r="G291" s="250"/>
      <c r="H291" s="250"/>
      <c r="I291" s="250" t="s">
        <v>311</v>
      </c>
      <c r="K291" s="250"/>
      <c r="L291" s="250"/>
      <c r="M291" s="250"/>
      <c r="N291" s="250"/>
      <c r="O291" s="250"/>
      <c r="P291" s="250"/>
      <c r="Q291" s="250"/>
      <c r="R291" s="250"/>
      <c r="S291" s="217"/>
      <c r="T291" s="250"/>
      <c r="U291" s="250"/>
      <c r="V291" s="250"/>
      <c r="X291" s="250"/>
      <c r="Y291" s="191"/>
      <c r="Z291" s="250"/>
      <c r="AA291" s="250"/>
      <c r="AB291" s="250"/>
      <c r="AC291" s="250"/>
      <c r="AD291" s="250"/>
      <c r="AE291" s="250"/>
      <c r="AF291" s="252"/>
      <c r="AG291" s="252"/>
      <c r="AH291" s="252"/>
      <c r="AI291" s="252"/>
      <c r="AJ291" s="252"/>
      <c r="AK291" s="252"/>
      <c r="AL291" s="252"/>
      <c r="AM291" s="252"/>
      <c r="AN291" s="252"/>
      <c r="AO291" s="252"/>
      <c r="AP291" s="252"/>
      <c r="AQ291" s="252"/>
      <c r="AR291" s="252"/>
      <c r="AS291" s="252"/>
      <c r="AT291" s="252"/>
      <c r="AU291" s="252"/>
      <c r="AV291" s="252"/>
      <c r="AW291" s="252"/>
      <c r="AX291" s="252"/>
      <c r="AY291" s="252"/>
      <c r="AZ291" s="252"/>
      <c r="BA291" s="252"/>
      <c r="BB291" s="252"/>
      <c r="BC291" s="252"/>
      <c r="BD291" s="252"/>
      <c r="BE291" s="252"/>
      <c r="BF291" s="252"/>
      <c r="BG291" s="252"/>
      <c r="BH291" s="252"/>
    </row>
    <row r="292" spans="1:60" s="214" customFormat="1" ht="18.75" customHeight="1">
      <c r="C292" s="252"/>
      <c r="D292" s="250"/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  <c r="R292" s="250"/>
      <c r="S292" s="217"/>
      <c r="T292" s="250"/>
      <c r="U292" s="250"/>
      <c r="V292" s="250"/>
      <c r="W292" s="250"/>
      <c r="X292" s="250"/>
      <c r="Y292" s="250"/>
      <c r="Z292" s="250"/>
      <c r="AA292" s="250"/>
      <c r="AB292" s="250"/>
      <c r="AC292" s="250"/>
      <c r="AD292" s="250"/>
      <c r="AE292" s="250"/>
      <c r="AF292" s="252"/>
      <c r="AG292" s="250"/>
      <c r="AH292" s="252"/>
      <c r="AI292" s="252"/>
      <c r="AJ292" s="252"/>
      <c r="AK292" s="252"/>
      <c r="AL292" s="252"/>
      <c r="AM292" s="252"/>
      <c r="AN292" s="252"/>
      <c r="AO292" s="252"/>
      <c r="AP292" s="252"/>
      <c r="AQ292" s="252"/>
      <c r="AR292" s="252"/>
      <c r="AS292" s="252"/>
      <c r="AT292" s="252"/>
      <c r="AU292" s="252"/>
      <c r="AV292" s="252"/>
      <c r="AW292" s="252"/>
      <c r="AX292" s="252"/>
      <c r="AY292" s="252"/>
      <c r="AZ292" s="252"/>
      <c r="BA292" s="252"/>
      <c r="BB292" s="252"/>
      <c r="BC292" s="252"/>
      <c r="BD292" s="252"/>
      <c r="BE292" s="252"/>
      <c r="BF292" s="252"/>
      <c r="BG292" s="252"/>
      <c r="BH292" s="252"/>
    </row>
    <row r="293" spans="1:60" s="214" customFormat="1" ht="18.75" customHeight="1">
      <c r="B293" s="233"/>
      <c r="C293" s="235" t="s">
        <v>747</v>
      </c>
      <c r="D293" s="250"/>
      <c r="E293" s="250"/>
      <c r="F293" s="250"/>
      <c r="G293" s="252"/>
      <c r="H293" s="250"/>
      <c r="I293" s="250" t="s">
        <v>748</v>
      </c>
      <c r="J293" s="250"/>
      <c r="K293" s="250"/>
      <c r="L293" s="250"/>
      <c r="M293" s="250"/>
      <c r="N293" s="250"/>
      <c r="O293" s="250"/>
      <c r="P293" s="250"/>
      <c r="Q293" s="224"/>
      <c r="R293" s="250"/>
      <c r="S293" s="250"/>
      <c r="T293" s="250"/>
      <c r="U293" s="250"/>
      <c r="V293" s="250"/>
      <c r="W293" s="250"/>
      <c r="X293" s="250"/>
      <c r="Y293" s="250"/>
      <c r="AE293" s="252"/>
      <c r="AF293" s="250"/>
      <c r="AG293" s="252"/>
      <c r="AH293" s="252"/>
      <c r="AI293" s="252"/>
      <c r="AJ293" s="252"/>
      <c r="AK293" s="252"/>
      <c r="AL293" s="252"/>
      <c r="AM293" s="252"/>
      <c r="AN293" s="252"/>
      <c r="AO293" s="252"/>
      <c r="AP293" s="252"/>
      <c r="AQ293" s="252"/>
      <c r="AR293" s="252"/>
      <c r="AS293" s="252"/>
      <c r="AT293" s="252"/>
      <c r="AU293" s="252"/>
      <c r="AV293" s="252"/>
      <c r="AW293" s="252"/>
      <c r="AX293" s="252"/>
      <c r="AY293" s="252"/>
      <c r="AZ293" s="252"/>
      <c r="BA293" s="252"/>
      <c r="BB293" s="252"/>
      <c r="BC293" s="252"/>
      <c r="BD293" s="252"/>
      <c r="BE293" s="252"/>
      <c r="BF293" s="252"/>
      <c r="BG293" s="252"/>
    </row>
    <row r="294" spans="1:60" s="214" customFormat="1" ht="18.75" customHeight="1">
      <c r="C294" s="252"/>
      <c r="D294" s="250" t="s">
        <v>749</v>
      </c>
      <c r="E294" s="250"/>
      <c r="F294" s="250"/>
      <c r="G294" s="250"/>
      <c r="H294" s="250"/>
      <c r="I294" s="250"/>
      <c r="J294" s="252"/>
      <c r="K294" s="257"/>
      <c r="L294" s="234"/>
      <c r="M294" s="234"/>
      <c r="N294" s="234"/>
      <c r="O294" s="234"/>
      <c r="P294" s="262"/>
      <c r="Q294" s="262"/>
      <c r="R294" s="260"/>
      <c r="T294" s="268"/>
      <c r="U294" s="268"/>
      <c r="V294" s="234"/>
      <c r="W294" s="234"/>
      <c r="Y294" s="474">
        <f>O88</f>
        <v>0.66833125519211412</v>
      </c>
      <c r="Z294" s="475"/>
      <c r="AA294" s="475"/>
      <c r="AB294" s="475" t="str">
        <f>V88</f>
        <v>℃</v>
      </c>
      <c r="AC294" s="475"/>
      <c r="AD294" s="234"/>
      <c r="AE294" s="234"/>
      <c r="AF294" s="234"/>
      <c r="AG294" s="234"/>
      <c r="AH294" s="234"/>
      <c r="AI294" s="234"/>
      <c r="AJ294" s="234"/>
      <c r="AK294" s="234"/>
      <c r="AL294" s="234"/>
      <c r="AM294" s="234"/>
      <c r="AN294" s="234"/>
      <c r="AO294" s="234"/>
      <c r="AP294" s="234"/>
      <c r="AQ294" s="234"/>
      <c r="AR294" s="234"/>
      <c r="AS294" s="234"/>
      <c r="AT294" s="234"/>
      <c r="AU294" s="234"/>
      <c r="AV294" s="234"/>
      <c r="AW294" s="234"/>
      <c r="AX294" s="234"/>
      <c r="AY294" s="234"/>
      <c r="AZ294" s="234"/>
      <c r="BA294" s="234"/>
      <c r="BB294" s="234"/>
      <c r="BC294" s="252"/>
      <c r="BD294" s="252"/>
      <c r="BE294" s="252"/>
      <c r="BF294" s="252"/>
      <c r="BG294" s="252"/>
      <c r="BH294" s="252"/>
    </row>
    <row r="295" spans="1:60" s="214" customFormat="1" ht="18.75" customHeight="1">
      <c r="C295" s="252"/>
      <c r="D295" s="250" t="s">
        <v>492</v>
      </c>
      <c r="E295" s="250"/>
      <c r="F295" s="250"/>
      <c r="G295" s="250"/>
      <c r="H295" s="250"/>
      <c r="I295" s="250"/>
      <c r="J295" s="476" t="str">
        <f>AB97</f>
        <v>정규</v>
      </c>
      <c r="K295" s="476"/>
      <c r="L295" s="476"/>
      <c r="M295" s="476"/>
      <c r="N295" s="476"/>
      <c r="O295" s="476"/>
      <c r="P295" s="476"/>
      <c r="Q295" s="476"/>
      <c r="R295" s="250"/>
      <c r="S295" s="250"/>
      <c r="T295" s="250"/>
      <c r="U295" s="250"/>
      <c r="V295" s="250"/>
      <c r="W295" s="250"/>
      <c r="X295" s="250"/>
      <c r="Y295" s="250"/>
      <c r="Z295" s="250"/>
      <c r="AA295" s="252"/>
      <c r="AB295" s="252"/>
      <c r="AC295" s="252"/>
      <c r="AD295" s="252"/>
      <c r="AE295" s="252"/>
      <c r="AF295" s="252"/>
      <c r="AG295" s="252"/>
      <c r="AH295" s="252"/>
      <c r="AI295" s="250"/>
      <c r="AJ295" s="250"/>
      <c r="AK295" s="250"/>
      <c r="AL295" s="250"/>
      <c r="AM295" s="252"/>
      <c r="AN295" s="252"/>
      <c r="AO295" s="252"/>
      <c r="AP295" s="252"/>
      <c r="AQ295" s="252"/>
      <c r="AR295" s="252"/>
      <c r="AS295" s="252"/>
      <c r="AT295" s="250"/>
      <c r="AU295" s="250"/>
      <c r="AV295" s="250"/>
      <c r="AW295" s="250"/>
      <c r="AX295" s="250"/>
      <c r="AY295" s="250"/>
      <c r="AZ295" s="252"/>
      <c r="BA295" s="252"/>
      <c r="BB295" s="252"/>
      <c r="BC295" s="252"/>
      <c r="BD295" s="252"/>
      <c r="BE295" s="252"/>
      <c r="BF295" s="252"/>
      <c r="BG295" s="252"/>
      <c r="BH295" s="252"/>
    </row>
    <row r="296" spans="1:60" s="214" customFormat="1" ht="18.75" customHeight="1">
      <c r="C296" s="252"/>
      <c r="D296" s="250" t="s">
        <v>493</v>
      </c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29"/>
      <c r="R296" s="229"/>
      <c r="S296" s="229"/>
      <c r="T296" s="250"/>
      <c r="U296" s="250"/>
      <c r="V296" s="250"/>
      <c r="W296" s="250"/>
      <c r="X296" s="250"/>
      <c r="Y296" s="250"/>
      <c r="Z296" s="250"/>
      <c r="AA296" s="230"/>
      <c r="AB296" s="230"/>
      <c r="AC296" s="250"/>
      <c r="AD296" s="250"/>
      <c r="AE296" s="250"/>
      <c r="AF296" s="250"/>
      <c r="AG296" s="250"/>
      <c r="AH296" s="250"/>
      <c r="AI296" s="250"/>
      <c r="AJ296" s="250"/>
      <c r="AK296" s="250"/>
      <c r="AL296" s="250"/>
      <c r="AM296" s="252"/>
      <c r="AN296" s="252"/>
      <c r="AO296" s="252"/>
      <c r="AP296" s="250"/>
      <c r="AQ296" s="250"/>
      <c r="AR296" s="250"/>
      <c r="AS296" s="250"/>
      <c r="AT296" s="250"/>
      <c r="AU296" s="250"/>
      <c r="AV296" s="250"/>
      <c r="AW296" s="250"/>
      <c r="AX296" s="250"/>
      <c r="AY296" s="250"/>
      <c r="AZ296" s="252"/>
      <c r="BA296" s="252"/>
      <c r="BB296" s="252"/>
      <c r="BC296" s="252"/>
      <c r="BD296" s="252"/>
      <c r="BE296" s="252"/>
      <c r="BF296" s="252"/>
      <c r="BG296" s="252"/>
      <c r="BH296" s="252"/>
    </row>
    <row r="297" spans="1:60" s="214" customFormat="1" ht="18.75" customHeight="1">
      <c r="C297" s="252"/>
      <c r="D297" s="250" t="s">
        <v>494</v>
      </c>
      <c r="E297" s="250"/>
      <c r="F297" s="250"/>
      <c r="G297" s="250"/>
      <c r="H297" s="250"/>
      <c r="I297" s="250"/>
      <c r="J297" s="250"/>
      <c r="K297" s="250"/>
      <c r="L297" s="267" t="s">
        <v>750</v>
      </c>
      <c r="P297" s="267" t="e">
        <f ca="1">IF(H87=0,"0 이므로 2차항을 적용한다.","0 이 아니므로 2차항을 적용하지 않는다.")</f>
        <v>#N/A</v>
      </c>
      <c r="R297" s="229"/>
      <c r="S297" s="229"/>
      <c r="T297" s="250"/>
      <c r="U297" s="250"/>
      <c r="V297" s="250"/>
      <c r="W297" s="250"/>
      <c r="X297" s="250"/>
      <c r="Y297" s="250"/>
      <c r="Z297" s="250"/>
      <c r="AA297" s="230"/>
      <c r="AB297" s="230"/>
      <c r="AC297" s="250"/>
      <c r="AD297" s="250"/>
      <c r="AE297" s="250"/>
      <c r="AF297" s="250"/>
      <c r="AG297" s="250"/>
      <c r="AH297" s="250"/>
      <c r="AI297" s="250"/>
      <c r="AJ297" s="250"/>
      <c r="AK297" s="250"/>
      <c r="AL297" s="250"/>
      <c r="AM297" s="252"/>
      <c r="AN297" s="252"/>
      <c r="AO297" s="252"/>
      <c r="AP297" s="250"/>
      <c r="AQ297" s="250"/>
      <c r="AR297" s="250"/>
      <c r="AS297" s="250"/>
      <c r="AT297" s="250"/>
      <c r="AU297" s="250"/>
      <c r="AV297" s="250"/>
      <c r="AW297" s="250"/>
      <c r="AX297" s="250"/>
      <c r="AY297" s="250"/>
      <c r="AZ297" s="252"/>
      <c r="BA297" s="252"/>
      <c r="BB297" s="252"/>
      <c r="BC297" s="252"/>
      <c r="BD297" s="252"/>
      <c r="BE297" s="252"/>
      <c r="BF297" s="252"/>
      <c r="BG297" s="252"/>
      <c r="BH297" s="252"/>
    </row>
    <row r="298" spans="1:60" s="214" customFormat="1" ht="18.75" customHeight="1">
      <c r="C298" s="252"/>
      <c r="E298" s="250"/>
      <c r="F298" s="250"/>
      <c r="G298" s="250"/>
      <c r="H298" s="250"/>
      <c r="I298" s="250"/>
      <c r="J298" s="250"/>
      <c r="K298" s="252"/>
      <c r="L298" s="257"/>
      <c r="M298" s="234"/>
      <c r="N298" s="234"/>
      <c r="O298" s="234"/>
      <c r="P298" s="234"/>
      <c r="Q298" s="262"/>
      <c r="R298" s="262"/>
      <c r="S298" s="474">
        <f>Y294</f>
        <v>0.66833125519211412</v>
      </c>
      <c r="T298" s="475"/>
      <c r="U298" s="475"/>
      <c r="V298" s="475" t="str">
        <f>AB294</f>
        <v>℃</v>
      </c>
      <c r="W298" s="475"/>
      <c r="X298" s="236" t="s">
        <v>593</v>
      </c>
      <c r="AD298" s="217"/>
      <c r="AE298" s="425" t="e">
        <f ca="1">AP97</f>
        <v>#N/A</v>
      </c>
      <c r="AF298" s="408"/>
      <c r="AG298" s="408"/>
      <c r="AH298" s="408"/>
      <c r="AI298" s="408" t="s">
        <v>554</v>
      </c>
      <c r="AJ298" s="408"/>
      <c r="AK298" s="408"/>
      <c r="AL298" s="408"/>
      <c r="AM298" s="408"/>
      <c r="AN298" s="408"/>
      <c r="AO298" s="252"/>
      <c r="AP298" s="250"/>
      <c r="AQ298" s="250"/>
      <c r="AR298" s="250"/>
      <c r="AS298" s="250"/>
      <c r="AT298" s="250"/>
      <c r="AU298" s="250"/>
      <c r="AV298" s="250"/>
      <c r="AW298" s="250"/>
      <c r="AX298" s="250"/>
      <c r="AY298" s="250"/>
      <c r="AZ298" s="252"/>
      <c r="BA298" s="252"/>
      <c r="BB298" s="252"/>
      <c r="BC298" s="252"/>
      <c r="BD298" s="252"/>
      <c r="BE298" s="252"/>
      <c r="BF298" s="252"/>
      <c r="BG298" s="252"/>
      <c r="BH298" s="252"/>
    </row>
    <row r="299" spans="1:60" s="214" customFormat="1" ht="18.75" customHeight="1">
      <c r="C299" s="252"/>
      <c r="D299" s="250" t="s">
        <v>751</v>
      </c>
      <c r="E299" s="250"/>
      <c r="F299" s="250"/>
      <c r="G299" s="250"/>
      <c r="H299" s="250"/>
      <c r="I299" s="250" t="s">
        <v>311</v>
      </c>
      <c r="K299" s="250"/>
      <c r="L299" s="250"/>
      <c r="M299" s="250"/>
      <c r="N299" s="250"/>
      <c r="O299" s="250"/>
      <c r="P299" s="250"/>
      <c r="Q299" s="250"/>
      <c r="R299" s="250"/>
      <c r="S299" s="217"/>
      <c r="T299" s="250"/>
      <c r="U299" s="250"/>
      <c r="V299" s="250"/>
      <c r="X299" s="250"/>
      <c r="Y299" s="191"/>
      <c r="Z299" s="250"/>
      <c r="AA299" s="250"/>
      <c r="AB299" s="250"/>
      <c r="AC299" s="250"/>
      <c r="AD299" s="250"/>
      <c r="AE299" s="250"/>
      <c r="AF299" s="252"/>
      <c r="AG299" s="252"/>
      <c r="AH299" s="252"/>
      <c r="AI299" s="252"/>
      <c r="AJ299" s="252"/>
      <c r="AK299" s="252"/>
      <c r="AL299" s="252"/>
      <c r="AM299" s="252"/>
      <c r="AN299" s="252"/>
      <c r="AO299" s="252"/>
      <c r="AP299" s="252"/>
      <c r="AQ299" s="252"/>
      <c r="AR299" s="252"/>
      <c r="AS299" s="252"/>
      <c r="AT299" s="252"/>
      <c r="AU299" s="252"/>
      <c r="AV299" s="252"/>
      <c r="AW299" s="252"/>
      <c r="AX299" s="252"/>
      <c r="AY299" s="252"/>
      <c r="AZ299" s="252"/>
      <c r="BA299" s="252"/>
      <c r="BB299" s="252"/>
      <c r="BC299" s="252"/>
      <c r="BD299" s="252"/>
      <c r="BE299" s="252"/>
      <c r="BF299" s="252"/>
      <c r="BG299" s="252"/>
      <c r="BH299" s="252"/>
    </row>
    <row r="300" spans="1:60" s="214" customFormat="1" ht="18.75" customHeight="1">
      <c r="B300" s="252"/>
      <c r="C300" s="250"/>
      <c r="D300" s="250"/>
      <c r="E300" s="250"/>
      <c r="F300" s="250"/>
      <c r="G300" s="252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  <c r="R300" s="250"/>
      <c r="S300" s="250"/>
      <c r="AB300" s="250"/>
      <c r="AC300" s="250"/>
      <c r="AD300" s="250"/>
      <c r="AE300" s="252"/>
      <c r="AF300" s="250"/>
      <c r="AG300" s="252"/>
      <c r="AH300" s="252"/>
      <c r="AI300" s="252"/>
      <c r="AJ300" s="252"/>
      <c r="AK300" s="252"/>
      <c r="AL300" s="252"/>
      <c r="AM300" s="252"/>
      <c r="AN300" s="252"/>
      <c r="AO300" s="252"/>
      <c r="AP300" s="252"/>
      <c r="AQ300" s="252"/>
      <c r="AR300" s="252"/>
      <c r="AS300" s="252"/>
      <c r="AT300" s="252"/>
      <c r="AU300" s="252"/>
      <c r="AV300" s="252"/>
      <c r="AW300" s="252"/>
      <c r="AX300" s="252"/>
      <c r="AY300" s="252"/>
      <c r="AZ300" s="252"/>
      <c r="BA300" s="252"/>
      <c r="BB300" s="252"/>
      <c r="BC300" s="252"/>
      <c r="BD300" s="252"/>
      <c r="BE300" s="252"/>
      <c r="BF300" s="252"/>
      <c r="BG300" s="252"/>
    </row>
    <row r="301" spans="1:60" s="214" customFormat="1" ht="18.75" customHeight="1">
      <c r="A301" s="190" t="s">
        <v>752</v>
      </c>
      <c r="B301" s="252"/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252"/>
      <c r="O301" s="252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  <c r="AB301" s="252"/>
      <c r="AC301" s="252"/>
      <c r="AD301" s="252"/>
      <c r="AE301" s="252"/>
      <c r="AF301" s="252"/>
      <c r="AG301" s="252"/>
      <c r="AH301" s="252"/>
      <c r="AI301" s="252"/>
      <c r="AJ301" s="252"/>
      <c r="AK301" s="252"/>
      <c r="AL301" s="252"/>
      <c r="AM301" s="252"/>
      <c r="AN301" s="252"/>
      <c r="AO301" s="252"/>
      <c r="AP301" s="252"/>
      <c r="AQ301" s="252"/>
      <c r="AR301" s="252"/>
      <c r="AS301" s="252"/>
      <c r="AT301" s="252"/>
      <c r="AU301" s="252"/>
      <c r="AV301" s="252"/>
      <c r="AW301" s="252"/>
      <c r="AX301" s="252"/>
      <c r="AY301" s="252"/>
      <c r="AZ301" s="252"/>
      <c r="BA301" s="252"/>
      <c r="BB301" s="252"/>
      <c r="BC301" s="252"/>
      <c r="BD301" s="252"/>
      <c r="BE301" s="252"/>
      <c r="BF301" s="252"/>
    </row>
    <row r="302" spans="1:60" s="214" customFormat="1" ht="18.75" customHeight="1">
      <c r="A302" s="252"/>
      <c r="B302" s="252"/>
      <c r="C302" s="252"/>
      <c r="D302" s="252"/>
      <c r="E302" s="252"/>
      <c r="F302" s="252"/>
      <c r="G302" s="252"/>
      <c r="H302" s="252"/>
      <c r="I302" s="252"/>
      <c r="J302" s="252"/>
      <c r="K302" s="252"/>
      <c r="L302" s="252"/>
      <c r="M302" s="252"/>
      <c r="N302" s="252"/>
      <c r="O302" s="252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  <c r="AB302" s="252"/>
      <c r="AC302" s="252"/>
      <c r="AD302" s="252"/>
      <c r="AE302" s="250"/>
      <c r="AF302" s="252"/>
      <c r="AG302" s="252"/>
      <c r="AH302" s="252"/>
      <c r="AI302" s="252"/>
      <c r="AJ302" s="252"/>
      <c r="AK302" s="250"/>
      <c r="AL302" s="250"/>
      <c r="AM302" s="255"/>
      <c r="AN302" s="255"/>
      <c r="AO302" s="255"/>
      <c r="AP302" s="255"/>
      <c r="AQ302" s="250"/>
      <c r="AR302" s="252"/>
      <c r="AT302" s="237"/>
      <c r="AU302" s="237"/>
      <c r="AV302" s="237"/>
      <c r="AW302" s="250"/>
      <c r="AX302" s="250"/>
      <c r="AY302" s="252"/>
      <c r="BA302" s="252"/>
      <c r="BB302" s="252"/>
      <c r="BC302" s="252"/>
      <c r="BD302" s="252"/>
      <c r="BE302" s="252"/>
      <c r="BF302" s="252"/>
    </row>
    <row r="303" spans="1:60" s="214" customFormat="1" ht="18.75" customHeight="1">
      <c r="A303" s="252"/>
      <c r="B303" s="252"/>
      <c r="C303" s="252"/>
      <c r="D303" s="252"/>
      <c r="E303" s="252" t="s">
        <v>453</v>
      </c>
      <c r="F303" s="410" t="e">
        <f ca="1">AP83</f>
        <v>#N/A</v>
      </c>
      <c r="G303" s="410"/>
      <c r="H303" s="410"/>
      <c r="I303" s="250" t="s">
        <v>191</v>
      </c>
      <c r="J303" s="250"/>
      <c r="K303" s="409" t="s">
        <v>476</v>
      </c>
      <c r="L303" s="409"/>
      <c r="M303" s="473" t="e">
        <f ca="1">AT83</f>
        <v>#N/A</v>
      </c>
      <c r="N303" s="473"/>
      <c r="O303" s="473"/>
      <c r="P303" s="473"/>
      <c r="Q303" s="250" t="s">
        <v>447</v>
      </c>
      <c r="R303" s="250"/>
      <c r="S303" s="252"/>
      <c r="U303" s="409" t="s">
        <v>476</v>
      </c>
      <c r="V303" s="409"/>
      <c r="W303" s="410">
        <f>AP84</f>
        <v>0</v>
      </c>
      <c r="X303" s="410"/>
      <c r="Y303" s="410"/>
      <c r="Z303" s="250" t="s">
        <v>191</v>
      </c>
      <c r="AA303" s="250"/>
      <c r="AB303" s="409" t="s">
        <v>476</v>
      </c>
      <c r="AC303" s="409"/>
      <c r="AD303" s="473" t="e">
        <f>AP85</f>
        <v>#VALUE!</v>
      </c>
      <c r="AE303" s="473"/>
      <c r="AF303" s="473"/>
      <c r="AG303" s="473"/>
      <c r="AH303" s="250" t="s">
        <v>447</v>
      </c>
      <c r="AI303" s="252"/>
      <c r="AL303" s="409" t="s">
        <v>476</v>
      </c>
      <c r="AM303" s="409"/>
      <c r="AN303" s="473" t="e">
        <f ca="1">AP86</f>
        <v>#VALUE!</v>
      </c>
      <c r="AO303" s="473"/>
      <c r="AP303" s="473"/>
      <c r="AQ303" s="473"/>
      <c r="AR303" s="250" t="s">
        <v>447</v>
      </c>
      <c r="AS303" s="252"/>
    </row>
    <row r="304" spans="1:60" s="214" customFormat="1" ht="18.75" customHeight="1">
      <c r="A304" s="252"/>
      <c r="B304" s="252"/>
      <c r="C304" s="252"/>
      <c r="D304" s="252"/>
      <c r="E304" s="252"/>
      <c r="F304" s="409" t="s">
        <v>476</v>
      </c>
      <c r="G304" s="409"/>
      <c r="H304" s="473" t="e">
        <f>AP87</f>
        <v>#VALUE!</v>
      </c>
      <c r="I304" s="473"/>
      <c r="J304" s="473"/>
      <c r="K304" s="473"/>
      <c r="L304" s="250" t="s">
        <v>447</v>
      </c>
      <c r="M304" s="252"/>
      <c r="P304" s="409" t="s">
        <v>476</v>
      </c>
      <c r="Q304" s="409"/>
      <c r="R304" s="473" t="e">
        <f ca="1">AP88</f>
        <v>#N/A</v>
      </c>
      <c r="S304" s="473"/>
      <c r="T304" s="473"/>
      <c r="U304" s="473"/>
      <c r="V304" s="250" t="s">
        <v>626</v>
      </c>
      <c r="W304" s="252"/>
      <c r="Z304" s="409" t="s">
        <v>666</v>
      </c>
      <c r="AA304" s="409"/>
      <c r="AB304" s="410">
        <f>AP92</f>
        <v>0</v>
      </c>
      <c r="AC304" s="410"/>
      <c r="AD304" s="410"/>
      <c r="AE304" s="250" t="s">
        <v>730</v>
      </c>
      <c r="AF304" s="250"/>
      <c r="AG304" s="258"/>
      <c r="AH304" s="409" t="s">
        <v>666</v>
      </c>
      <c r="AI304" s="409"/>
      <c r="AJ304" s="410" t="e">
        <f>AP93</f>
        <v>#DIV/0!</v>
      </c>
      <c r="AK304" s="410"/>
      <c r="AL304" s="410"/>
      <c r="AM304" s="250" t="s">
        <v>191</v>
      </c>
      <c r="AN304" s="250"/>
      <c r="AO304" s="250"/>
      <c r="AP304" s="409" t="s">
        <v>666</v>
      </c>
      <c r="AQ304" s="409"/>
      <c r="AR304" s="410">
        <f>AP94</f>
        <v>0</v>
      </c>
      <c r="AS304" s="410"/>
      <c r="AT304" s="410"/>
      <c r="AU304" s="250" t="s">
        <v>730</v>
      </c>
      <c r="AV304" s="250"/>
      <c r="AW304" s="252"/>
    </row>
    <row r="305" spans="1:81" s="214" customFormat="1" ht="18.75" customHeight="1">
      <c r="A305" s="252"/>
      <c r="B305" s="252"/>
      <c r="C305" s="252"/>
      <c r="D305" s="252"/>
      <c r="E305" s="252"/>
      <c r="F305" s="409" t="s">
        <v>476</v>
      </c>
      <c r="G305" s="409"/>
      <c r="H305" s="410">
        <f>AP95</f>
        <v>0</v>
      </c>
      <c r="I305" s="410"/>
      <c r="J305" s="410"/>
      <c r="K305" s="250" t="s">
        <v>730</v>
      </c>
      <c r="L305" s="250"/>
      <c r="M305" s="409" t="s">
        <v>666</v>
      </c>
      <c r="N305" s="409"/>
      <c r="O305" s="473" t="e">
        <f>AP96</f>
        <v>#VALUE!</v>
      </c>
      <c r="P305" s="473"/>
      <c r="Q305" s="473"/>
      <c r="R305" s="473"/>
      <c r="S305" s="250" t="s">
        <v>626</v>
      </c>
      <c r="T305" s="252"/>
      <c r="W305" s="409" t="s">
        <v>666</v>
      </c>
      <c r="X305" s="409"/>
      <c r="Y305" s="473" t="e">
        <f ca="1">AP97</f>
        <v>#N/A</v>
      </c>
      <c r="Z305" s="473"/>
      <c r="AA305" s="473"/>
      <c r="AB305" s="473"/>
      <c r="AC305" s="250" t="s">
        <v>626</v>
      </c>
      <c r="AD305" s="252"/>
      <c r="AG305" s="252"/>
      <c r="AH305" s="254"/>
      <c r="AI305" s="254"/>
      <c r="AJ305" s="254"/>
      <c r="AK305" s="250"/>
      <c r="AL305" s="250"/>
      <c r="AM305" s="252"/>
      <c r="AN305" s="252"/>
      <c r="AO305" s="252"/>
      <c r="AP305" s="254"/>
      <c r="AQ305" s="254"/>
      <c r="AR305" s="254"/>
      <c r="AS305" s="250"/>
      <c r="AT305" s="250"/>
    </row>
    <row r="306" spans="1:81" s="267" customFormat="1" ht="18.75" customHeight="1">
      <c r="A306" s="250"/>
      <c r="B306" s="250"/>
      <c r="C306" s="250"/>
      <c r="D306" s="250"/>
      <c r="E306" s="252" t="s">
        <v>453</v>
      </c>
      <c r="F306" s="415" t="e">
        <f ca="1">AP98</f>
        <v>#N/A</v>
      </c>
      <c r="G306" s="415"/>
      <c r="H306" s="415"/>
      <c r="I306" s="250" t="s">
        <v>191</v>
      </c>
      <c r="J306" s="250"/>
      <c r="K306" s="409" t="s">
        <v>666</v>
      </c>
      <c r="L306" s="409"/>
      <c r="M306" s="422" t="e">
        <f ca="1">AU98</f>
        <v>#N/A</v>
      </c>
      <c r="N306" s="422"/>
      <c r="O306" s="422"/>
      <c r="P306" s="250" t="s">
        <v>447</v>
      </c>
      <c r="Q306" s="250"/>
      <c r="R306" s="252"/>
      <c r="S306" s="214"/>
      <c r="T306" s="250"/>
      <c r="U306" s="250"/>
      <c r="V306" s="250"/>
      <c r="W306" s="250"/>
      <c r="X306" s="250"/>
      <c r="Y306" s="250"/>
      <c r="Z306" s="250"/>
      <c r="AA306" s="250"/>
      <c r="AB306" s="250"/>
      <c r="AC306" s="250"/>
      <c r="AD306" s="250"/>
      <c r="AE306" s="250"/>
      <c r="AF306" s="250"/>
      <c r="AG306" s="252"/>
      <c r="AH306" s="250"/>
      <c r="AI306" s="250"/>
      <c r="AJ306" s="250"/>
      <c r="AK306" s="250"/>
      <c r="AL306" s="250"/>
      <c r="AM306" s="250"/>
      <c r="AN306" s="250"/>
      <c r="AO306" s="250"/>
      <c r="AW306" s="252"/>
      <c r="AX306" s="250"/>
      <c r="AY306" s="250"/>
      <c r="AZ306" s="250"/>
      <c r="BA306" s="250"/>
      <c r="BB306" s="250"/>
      <c r="BC306" s="250"/>
      <c r="BD306" s="250"/>
      <c r="BE306" s="250"/>
      <c r="BF306" s="250"/>
      <c r="BG306" s="250"/>
      <c r="BH306" s="250"/>
    </row>
    <row r="307" spans="1:81" s="267" customFormat="1" ht="18.75" customHeight="1">
      <c r="A307" s="250"/>
      <c r="B307" s="250"/>
      <c r="C307" s="250"/>
      <c r="D307" s="251"/>
      <c r="E307" s="251"/>
      <c r="F307" s="251"/>
      <c r="G307" s="250"/>
      <c r="H307" s="250"/>
      <c r="I307" s="252"/>
      <c r="J307" s="252"/>
      <c r="K307" s="238"/>
      <c r="L307" s="238"/>
      <c r="M307" s="238"/>
      <c r="N307" s="238"/>
      <c r="O307" s="250"/>
      <c r="P307" s="250"/>
      <c r="Q307" s="250"/>
      <c r="R307" s="250"/>
      <c r="S307" s="250"/>
      <c r="T307" s="250"/>
      <c r="U307" s="250"/>
      <c r="V307" s="250"/>
      <c r="W307" s="250"/>
      <c r="X307" s="250"/>
      <c r="Y307" s="250"/>
      <c r="Z307" s="250"/>
      <c r="AA307" s="250"/>
      <c r="AB307" s="250"/>
      <c r="AC307" s="250"/>
      <c r="AD307" s="250"/>
      <c r="AE307" s="250"/>
      <c r="AF307" s="250"/>
      <c r="AG307" s="250"/>
      <c r="AH307" s="250"/>
      <c r="AI307" s="250"/>
      <c r="AJ307" s="250"/>
      <c r="AK307" s="250"/>
      <c r="AL307" s="250"/>
      <c r="AM307" s="250"/>
      <c r="AN307" s="250"/>
      <c r="AO307" s="250"/>
      <c r="AP307" s="250"/>
      <c r="AQ307" s="250"/>
      <c r="AR307" s="250"/>
      <c r="AS307" s="250"/>
      <c r="AT307" s="250"/>
      <c r="AU307" s="250"/>
      <c r="AV307" s="250"/>
      <c r="AW307" s="250"/>
      <c r="AX307" s="250"/>
      <c r="AY307" s="250"/>
      <c r="AZ307" s="250"/>
      <c r="BA307" s="250"/>
      <c r="BB307" s="250"/>
      <c r="BC307" s="250"/>
      <c r="BD307" s="250"/>
      <c r="BE307" s="250"/>
      <c r="BF307" s="250"/>
    </row>
    <row r="308" spans="1:81" s="214" customFormat="1" ht="18.75" customHeight="1">
      <c r="A308" s="252"/>
      <c r="B308" s="252"/>
      <c r="C308" s="252"/>
      <c r="D308" s="259" t="s">
        <v>753</v>
      </c>
      <c r="E308" s="252" t="s">
        <v>453</v>
      </c>
      <c r="F308" s="415" t="e">
        <f ca="1">F306</f>
        <v>#N/A</v>
      </c>
      <c r="G308" s="415"/>
      <c r="H308" s="415"/>
      <c r="I308" s="204"/>
      <c r="J308" s="260"/>
      <c r="K308" s="411" t="e">
        <f ca="1">M306</f>
        <v>#N/A</v>
      </c>
      <c r="L308" s="412"/>
      <c r="M308" s="412"/>
      <c r="N308" s="191"/>
      <c r="O308" s="191"/>
      <c r="P308" s="191"/>
      <c r="Q308" s="408" t="str">
        <f>BA98</f>
        <v>μm</v>
      </c>
      <c r="R308" s="408"/>
      <c r="T308" s="250"/>
      <c r="U308" s="250"/>
      <c r="V308" s="250"/>
      <c r="W308" s="250"/>
      <c r="X308" s="250"/>
      <c r="Y308" s="252"/>
      <c r="Z308" s="252"/>
      <c r="AA308" s="252"/>
      <c r="AB308" s="252"/>
      <c r="AC308" s="252"/>
      <c r="AD308" s="252"/>
      <c r="AE308" s="250"/>
      <c r="AF308" s="252"/>
      <c r="AG308" s="252"/>
      <c r="AH308" s="252"/>
      <c r="AI308" s="252"/>
      <c r="AJ308" s="252"/>
      <c r="AK308" s="252"/>
      <c r="AL308" s="252"/>
      <c r="AM308" s="252"/>
      <c r="AN308" s="252"/>
      <c r="AO308" s="252"/>
      <c r="AP308" s="252"/>
      <c r="AQ308" s="252"/>
      <c r="AR308" s="252"/>
      <c r="AS308" s="252"/>
      <c r="AT308" s="252"/>
      <c r="AU308" s="252"/>
      <c r="AV308" s="252"/>
      <c r="AW308" s="252"/>
      <c r="AX308" s="252"/>
      <c r="AY308" s="252"/>
      <c r="AZ308" s="252"/>
      <c r="BA308" s="252"/>
      <c r="BB308" s="252"/>
      <c r="BC308" s="252"/>
      <c r="BD308" s="252"/>
      <c r="BE308" s="252"/>
      <c r="BF308" s="252"/>
    </row>
    <row r="309" spans="1:81" s="250" customFormat="1" ht="18.75" customHeight="1"/>
    <row r="310" spans="1:81" ht="18.75" customHeight="1">
      <c r="A310" s="190" t="s">
        <v>754</v>
      </c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91"/>
      <c r="AF310" s="191"/>
      <c r="AG310" s="191"/>
      <c r="AH310" s="191"/>
      <c r="AI310" s="191"/>
      <c r="AJ310" s="191"/>
      <c r="AK310" s="191"/>
      <c r="AL310" s="191"/>
      <c r="AM310" s="191"/>
      <c r="AN310" s="191"/>
      <c r="AO310" s="191"/>
      <c r="AP310" s="191"/>
      <c r="AQ310" s="191"/>
      <c r="AR310" s="191"/>
      <c r="AS310" s="191"/>
      <c r="AT310" s="191"/>
      <c r="AU310" s="191"/>
      <c r="AV310" s="191"/>
      <c r="AW310" s="191"/>
      <c r="AX310" s="191"/>
      <c r="AY310" s="191"/>
      <c r="AZ310" s="191"/>
      <c r="BA310" s="191"/>
      <c r="BB310" s="191"/>
      <c r="BC310" s="191"/>
      <c r="BD310" s="191"/>
      <c r="BE310" s="191"/>
      <c r="BF310" s="191"/>
    </row>
    <row r="311" spans="1:81" ht="18.75" customHeight="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416" t="e">
        <f ca="1">Calcu!V49</f>
        <v>#N/A</v>
      </c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416"/>
      <c r="AA311" s="416"/>
      <c r="AB311" s="416"/>
      <c r="AC311" s="416"/>
      <c r="AD311" s="416"/>
      <c r="AE311" s="416"/>
      <c r="AF311" s="416"/>
      <c r="AG311" s="416"/>
      <c r="AH311" s="416"/>
      <c r="AI311" s="416"/>
      <c r="AJ311" s="416"/>
      <c r="AK311" s="416"/>
      <c r="AL311" s="416"/>
      <c r="AM311" s="416"/>
      <c r="AN311" s="416"/>
      <c r="AO311" s="416"/>
      <c r="AP311" s="416"/>
      <c r="AQ311" s="416"/>
      <c r="AR311" s="409" t="s">
        <v>755</v>
      </c>
      <c r="AS311" s="417" t="e">
        <f ca="1">TRIM(BC98)</f>
        <v>#VALUE!</v>
      </c>
      <c r="AT311" s="417"/>
      <c r="AU311" s="417"/>
      <c r="AV311" s="417"/>
      <c r="AW311" s="417"/>
      <c r="AX311" s="191"/>
      <c r="AY311" s="191"/>
      <c r="AZ311" s="191"/>
      <c r="BF311" s="191"/>
      <c r="BG311" s="191"/>
      <c r="BH311" s="250"/>
      <c r="BI311" s="250"/>
      <c r="BL311" s="239"/>
      <c r="BM311" s="239"/>
      <c r="BN311" s="239"/>
      <c r="BO311" s="239"/>
      <c r="BP311" s="239"/>
      <c r="BQ311" s="267"/>
      <c r="BR311" s="267"/>
      <c r="BS311" s="267"/>
      <c r="BT311" s="267"/>
      <c r="BU311" s="267"/>
      <c r="BV311" s="267"/>
      <c r="BW311" s="267"/>
      <c r="BX311" s="267"/>
      <c r="BY311" s="267"/>
      <c r="BZ311" s="267"/>
      <c r="CA311" s="267"/>
      <c r="CB311" s="267"/>
      <c r="CC311" s="267"/>
    </row>
    <row r="312" spans="1:81" ht="18.75" customHeight="1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418" t="e">
        <f ca="1">Calcu!V34</f>
        <v>#N/A</v>
      </c>
      <c r="N312" s="418"/>
      <c r="O312" s="418"/>
      <c r="P312" s="418"/>
      <c r="Q312" s="409" t="s">
        <v>756</v>
      </c>
      <c r="R312" s="418" t="e">
        <f ca="1">Calcu!V35</f>
        <v>#N/A</v>
      </c>
      <c r="S312" s="418"/>
      <c r="T312" s="418"/>
      <c r="U312" s="418"/>
      <c r="V312" s="409" t="s">
        <v>757</v>
      </c>
      <c r="W312" s="416" t="e">
        <f ca="1">Calcu!V36</f>
        <v>#VALUE!</v>
      </c>
      <c r="X312" s="416"/>
      <c r="Y312" s="416"/>
      <c r="Z312" s="416"/>
      <c r="AA312" s="409" t="s">
        <v>758</v>
      </c>
      <c r="AB312" s="418" t="e">
        <f ca="1">Calcu!V37</f>
        <v>#VALUE!</v>
      </c>
      <c r="AC312" s="418"/>
      <c r="AD312" s="418"/>
      <c r="AE312" s="418"/>
      <c r="AF312" s="409" t="s">
        <v>759</v>
      </c>
      <c r="AG312" s="416" t="e">
        <f ca="1">Calcu!V38</f>
        <v>#VALUE!</v>
      </c>
      <c r="AH312" s="416"/>
      <c r="AI312" s="416"/>
      <c r="AJ312" s="416"/>
      <c r="AK312" s="409" t="s">
        <v>476</v>
      </c>
      <c r="AL312" s="416" t="e">
        <f ca="1">Calcu!V39</f>
        <v>#N/A</v>
      </c>
      <c r="AM312" s="416"/>
      <c r="AN312" s="416"/>
      <c r="AO312" s="416"/>
      <c r="AR312" s="409"/>
      <c r="AS312" s="417"/>
      <c r="AT312" s="417"/>
      <c r="AU312" s="417"/>
      <c r="AV312" s="417"/>
      <c r="AW312" s="417"/>
      <c r="AX312" s="191"/>
      <c r="AY312" s="191"/>
      <c r="AZ312" s="191"/>
      <c r="BF312" s="191"/>
      <c r="BG312" s="191"/>
      <c r="BH312" s="191"/>
      <c r="BI312" s="191"/>
      <c r="BL312" s="239"/>
      <c r="BM312" s="239"/>
      <c r="BN312" s="239"/>
      <c r="BO312" s="239"/>
      <c r="BP312" s="239"/>
    </row>
    <row r="313" spans="1:81" ht="18.75" customHeight="1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409" t="str">
        <f>Calcu!U34</f>
        <v>∞</v>
      </c>
      <c r="N313" s="409"/>
      <c r="O313" s="409"/>
      <c r="P313" s="409"/>
      <c r="Q313" s="409"/>
      <c r="R313" s="409" t="str">
        <f>Calcu!U35</f>
        <v>∞</v>
      </c>
      <c r="S313" s="409"/>
      <c r="T313" s="409"/>
      <c r="U313" s="409"/>
      <c r="V313" s="409"/>
      <c r="W313" s="409">
        <f>Calcu!U36</f>
        <v>100</v>
      </c>
      <c r="X313" s="409"/>
      <c r="Y313" s="409"/>
      <c r="Z313" s="409"/>
      <c r="AA313" s="409"/>
      <c r="AB313" s="409">
        <f>Calcu!U37</f>
        <v>12</v>
      </c>
      <c r="AC313" s="409"/>
      <c r="AD313" s="409"/>
      <c r="AE313" s="409"/>
      <c r="AF313" s="409"/>
      <c r="AG313" s="451">
        <f>Calcu!U38</f>
        <v>100</v>
      </c>
      <c r="AH313" s="451"/>
      <c r="AI313" s="451"/>
      <c r="AJ313" s="451"/>
      <c r="AK313" s="409"/>
      <c r="AL313" s="409">
        <f>Calcu!U39</f>
        <v>305</v>
      </c>
      <c r="AM313" s="409"/>
      <c r="AN313" s="409"/>
      <c r="AO313" s="409"/>
      <c r="AX313" s="191"/>
      <c r="AY313" s="191"/>
      <c r="AZ313" s="191"/>
      <c r="BA313" s="191"/>
      <c r="BB313" s="191"/>
      <c r="BC313" s="191"/>
      <c r="BD313" s="191"/>
      <c r="BE313" s="191"/>
      <c r="BF313" s="191"/>
      <c r="BG313" s="191"/>
      <c r="BH313" s="191"/>
      <c r="BI313" s="191"/>
    </row>
    <row r="314" spans="1:81" ht="18.75" customHeight="1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409" t="s">
        <v>476</v>
      </c>
      <c r="N314" s="416" t="e">
        <f ca="1">Calcu!V43</f>
        <v>#N/A</v>
      </c>
      <c r="O314" s="416"/>
      <c r="P314" s="416"/>
      <c r="Q314" s="416"/>
      <c r="R314" s="409" t="s">
        <v>760</v>
      </c>
      <c r="S314" s="416" t="e">
        <f ca="1">Calcu!V44</f>
        <v>#N/A</v>
      </c>
      <c r="T314" s="416"/>
      <c r="U314" s="416"/>
      <c r="V314" s="416"/>
      <c r="W314" s="409" t="s">
        <v>761</v>
      </c>
      <c r="X314" s="416" t="e">
        <f ca="1">Calcu!V45</f>
        <v>#N/A</v>
      </c>
      <c r="Y314" s="416"/>
      <c r="Z314" s="416"/>
      <c r="AA314" s="416"/>
      <c r="AB314" s="409" t="s">
        <v>756</v>
      </c>
      <c r="AC314" s="416" t="e">
        <f ca="1">Calcu!V46</f>
        <v>#N/A</v>
      </c>
      <c r="AD314" s="416"/>
      <c r="AE314" s="416"/>
      <c r="AF314" s="416"/>
      <c r="AG314" s="409" t="s">
        <v>476</v>
      </c>
      <c r="AH314" s="416" t="e">
        <f ca="1">Calcu!V47</f>
        <v>#VALUE!</v>
      </c>
      <c r="AI314" s="416"/>
      <c r="AJ314" s="416"/>
      <c r="AK314" s="416"/>
      <c r="AL314" s="409" t="s">
        <v>762</v>
      </c>
      <c r="AM314" s="416" t="e">
        <f ca="1">Calcu!V48</f>
        <v>#N/A</v>
      </c>
      <c r="AN314" s="416"/>
      <c r="AO314" s="416"/>
      <c r="AP314" s="416"/>
      <c r="AQ314" s="252"/>
      <c r="AR314" s="252"/>
      <c r="AS314" s="252"/>
      <c r="AT314" s="252"/>
      <c r="AU314" s="252"/>
      <c r="AV314" s="252"/>
      <c r="AW314" s="252"/>
      <c r="AX314" s="191"/>
      <c r="AY314" s="191"/>
      <c r="AZ314" s="191"/>
      <c r="BA314" s="191"/>
      <c r="BB314" s="191"/>
      <c r="BC314" s="191"/>
      <c r="BD314" s="191"/>
      <c r="BE314" s="191"/>
      <c r="BF314" s="191"/>
      <c r="BG314" s="191"/>
      <c r="BH314" s="191"/>
    </row>
    <row r="315" spans="1:81" ht="18.75" customHeight="1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409"/>
      <c r="N315" s="451" t="str">
        <f>Calcu!U43</f>
        <v>∞</v>
      </c>
      <c r="O315" s="451"/>
      <c r="P315" s="451"/>
      <c r="Q315" s="451"/>
      <c r="R315" s="409"/>
      <c r="S315" s="409" t="str">
        <f>Calcu!U44</f>
        <v>∞</v>
      </c>
      <c r="T315" s="409"/>
      <c r="U315" s="409"/>
      <c r="V315" s="409"/>
      <c r="W315" s="409"/>
      <c r="X315" s="409">
        <f>Calcu!U45</f>
        <v>50</v>
      </c>
      <c r="Y315" s="409"/>
      <c r="Z315" s="409"/>
      <c r="AA315" s="409"/>
      <c r="AB315" s="409"/>
      <c r="AC315" s="409">
        <f>Calcu!U46</f>
        <v>50</v>
      </c>
      <c r="AD315" s="409"/>
      <c r="AE315" s="409"/>
      <c r="AF315" s="409"/>
      <c r="AG315" s="409"/>
      <c r="AH315" s="409" t="str">
        <f>Calcu!U47</f>
        <v>∞</v>
      </c>
      <c r="AI315" s="409"/>
      <c r="AJ315" s="409"/>
      <c r="AK315" s="409"/>
      <c r="AL315" s="409"/>
      <c r="AM315" s="409" t="str">
        <f>Calcu!U48</f>
        <v>∞</v>
      </c>
      <c r="AN315" s="409"/>
      <c r="AO315" s="409"/>
      <c r="AP315" s="409"/>
      <c r="AQ315" s="252"/>
      <c r="AR315" s="252"/>
      <c r="AS315" s="252"/>
      <c r="AT315" s="252"/>
      <c r="AU315" s="252"/>
      <c r="AV315" s="252"/>
      <c r="AW315" s="252"/>
      <c r="AX315" s="252"/>
      <c r="AY315" s="191"/>
      <c r="AZ315" s="191"/>
      <c r="BA315" s="191"/>
      <c r="BB315" s="191"/>
      <c r="BC315" s="191"/>
      <c r="BD315" s="191"/>
      <c r="BE315" s="191"/>
      <c r="BF315" s="191"/>
      <c r="BG315" s="191"/>
      <c r="BH315" s="191"/>
    </row>
    <row r="316" spans="1:81" ht="18.75" customHeight="1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  <c r="AM316" s="191"/>
      <c r="AN316" s="191"/>
      <c r="AO316" s="191"/>
      <c r="AP316" s="191"/>
      <c r="AQ316" s="191"/>
      <c r="AR316" s="191"/>
      <c r="AS316" s="191"/>
      <c r="AT316" s="191"/>
      <c r="AU316" s="191"/>
      <c r="AV316" s="191"/>
      <c r="AW316" s="191"/>
      <c r="AX316" s="191"/>
      <c r="AY316" s="191"/>
      <c r="AZ316" s="191"/>
      <c r="BA316" s="191"/>
      <c r="BB316" s="191"/>
      <c r="BC316" s="191"/>
      <c r="BD316" s="191"/>
      <c r="BE316" s="191"/>
      <c r="BF316" s="191"/>
      <c r="BG316" s="191"/>
      <c r="BH316" s="191"/>
    </row>
    <row r="317" spans="1:81" ht="18.75" customHeight="1">
      <c r="A317" s="190" t="s">
        <v>496</v>
      </c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  <c r="AM317" s="191"/>
      <c r="AN317" s="191"/>
      <c r="AO317" s="191"/>
      <c r="AP317" s="191"/>
      <c r="AQ317" s="191"/>
      <c r="AR317" s="191"/>
      <c r="AS317" s="191"/>
      <c r="AT317" s="191"/>
      <c r="AU317" s="191"/>
      <c r="AV317" s="191"/>
      <c r="AW317" s="191"/>
      <c r="AX317" s="191"/>
      <c r="AY317" s="191"/>
      <c r="AZ317" s="191"/>
      <c r="BA317" s="191"/>
      <c r="BB317" s="191"/>
      <c r="BC317" s="191"/>
      <c r="BD317" s="191"/>
    </row>
    <row r="318" spans="1:81" ht="18.75" customHeight="1">
      <c r="A318" s="190"/>
      <c r="B318" s="191" t="s">
        <v>497</v>
      </c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  <c r="AM318" s="191"/>
      <c r="AN318" s="191"/>
      <c r="AO318" s="191"/>
      <c r="AP318" s="191"/>
      <c r="AQ318" s="191"/>
      <c r="AR318" s="191"/>
      <c r="AS318" s="191"/>
      <c r="AT318" s="191"/>
      <c r="AU318" s="191"/>
      <c r="AV318" s="191"/>
      <c r="AW318" s="191"/>
      <c r="AX318" s="191"/>
      <c r="AY318" s="191"/>
    </row>
    <row r="319" spans="1:81" ht="18.75" customHeight="1">
      <c r="A319" s="190"/>
      <c r="B319" s="191"/>
      <c r="C319" s="191" t="s">
        <v>763</v>
      </c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  <c r="AM319" s="191"/>
      <c r="AN319" s="191"/>
      <c r="AO319" s="191"/>
      <c r="AP319" s="191"/>
      <c r="AQ319" s="191"/>
      <c r="AR319" s="191"/>
      <c r="AS319" s="191"/>
      <c r="AT319" s="191"/>
      <c r="AU319" s="191"/>
      <c r="AV319" s="191"/>
      <c r="AW319" s="191"/>
      <c r="AX319" s="191"/>
      <c r="AY319" s="191"/>
    </row>
    <row r="320" spans="1:81" ht="18.75" customHeight="1">
      <c r="A320" s="190"/>
      <c r="B320" s="191"/>
      <c r="C320" s="55" t="s">
        <v>764</v>
      </c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91"/>
      <c r="AF320" s="191"/>
      <c r="AG320" s="191"/>
      <c r="AH320" s="191"/>
      <c r="AI320" s="191"/>
      <c r="AJ320" s="191"/>
      <c r="AK320" s="191"/>
      <c r="AL320" s="191"/>
      <c r="AM320" s="191"/>
      <c r="AN320" s="191"/>
      <c r="AO320" s="191"/>
      <c r="AP320" s="191"/>
      <c r="AQ320" s="191"/>
      <c r="AR320" s="191"/>
      <c r="AS320" s="191"/>
      <c r="AT320" s="191"/>
      <c r="AU320" s="191"/>
      <c r="AV320" s="191"/>
      <c r="AW320" s="191"/>
      <c r="AX320" s="191"/>
      <c r="AY320" s="191"/>
      <c r="AZ320" s="191"/>
      <c r="BA320" s="191"/>
      <c r="BB320" s="191"/>
      <c r="BC320" s="191"/>
      <c r="BD320" s="191"/>
    </row>
    <row r="321" spans="1:56" ht="18.75" customHeight="1">
      <c r="A321" s="190"/>
      <c r="B321" s="191"/>
      <c r="C321" s="250" t="s">
        <v>765</v>
      </c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91"/>
      <c r="AF321" s="191"/>
      <c r="AG321" s="191"/>
      <c r="AH321" s="191"/>
      <c r="AI321" s="191"/>
      <c r="AJ321" s="191"/>
      <c r="AK321" s="191"/>
      <c r="AL321" s="191"/>
      <c r="AM321" s="191"/>
      <c r="AN321" s="191"/>
      <c r="AO321" s="191"/>
      <c r="AP321" s="191"/>
      <c r="AQ321" s="191"/>
      <c r="AR321" s="191"/>
      <c r="AS321" s="191"/>
      <c r="AT321" s="191"/>
      <c r="AU321" s="191"/>
      <c r="AV321" s="191"/>
      <c r="AW321" s="191"/>
      <c r="AX321" s="191"/>
      <c r="AY321" s="191"/>
      <c r="AZ321" s="191"/>
      <c r="BA321" s="191"/>
      <c r="BB321" s="191"/>
      <c r="BC321" s="191"/>
      <c r="BD321" s="191"/>
    </row>
    <row r="322" spans="1:56" ht="18.75" customHeight="1">
      <c r="A322" s="190"/>
      <c r="B322" s="191"/>
      <c r="D322" s="191"/>
      <c r="E322" s="259"/>
      <c r="F322" s="191"/>
      <c r="G322" s="210"/>
      <c r="H322" s="252"/>
      <c r="I322" s="252"/>
      <c r="J322" s="252"/>
      <c r="R322" s="259"/>
      <c r="S322" s="240"/>
      <c r="T322" s="240"/>
      <c r="U322" s="240"/>
      <c r="V322" s="240"/>
      <c r="W322" s="240"/>
      <c r="X322" s="191"/>
      <c r="Y322" s="191"/>
      <c r="Z322" s="191"/>
      <c r="AA322" s="191"/>
      <c r="AB322" s="191"/>
      <c r="AC322" s="191"/>
      <c r="AD322" s="191"/>
      <c r="AE322" s="191"/>
      <c r="AF322" s="191"/>
      <c r="AG322" s="191"/>
      <c r="AH322" s="191"/>
      <c r="AI322" s="191"/>
      <c r="AJ322" s="191"/>
      <c r="AK322" s="191"/>
      <c r="AL322" s="191"/>
      <c r="AM322" s="191"/>
      <c r="AN322" s="191"/>
      <c r="AO322" s="191"/>
      <c r="AP322" s="191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  <c r="BA322" s="191"/>
      <c r="BB322" s="191"/>
      <c r="BC322" s="191"/>
      <c r="BD322" s="191"/>
    </row>
    <row r="323" spans="1:56" ht="18.75" customHeight="1">
      <c r="A323" s="190"/>
      <c r="B323" s="191" t="s">
        <v>766</v>
      </c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91"/>
      <c r="AF323" s="191"/>
      <c r="AG323" s="191"/>
      <c r="AH323" s="191"/>
      <c r="AI323" s="191"/>
      <c r="AJ323" s="191"/>
      <c r="AK323" s="191"/>
      <c r="AL323" s="191"/>
      <c r="AM323" s="191"/>
      <c r="AN323" s="191"/>
      <c r="AO323" s="191"/>
      <c r="AP323" s="191"/>
      <c r="AQ323" s="191"/>
      <c r="AR323" s="191"/>
      <c r="AS323" s="191"/>
      <c r="AT323" s="191"/>
      <c r="AU323" s="191"/>
      <c r="AV323" s="191"/>
      <c r="AW323" s="191"/>
      <c r="AX323" s="191"/>
      <c r="AY323" s="191"/>
      <c r="AZ323" s="191"/>
      <c r="BA323" s="191"/>
      <c r="BB323" s="191"/>
      <c r="BC323" s="191"/>
      <c r="BD323" s="191"/>
    </row>
    <row r="324" spans="1:56" ht="18.75" customHeight="1">
      <c r="A324" s="190"/>
      <c r="B324" s="191"/>
      <c r="C324" s="191" t="s">
        <v>767</v>
      </c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91"/>
      <c r="AF324" s="191"/>
      <c r="AG324" s="191"/>
      <c r="AH324" s="191"/>
      <c r="AI324" s="191"/>
      <c r="AJ324" s="191"/>
      <c r="AK324" s="191"/>
      <c r="AL324" s="191"/>
      <c r="AM324" s="191"/>
      <c r="AN324" s="191"/>
      <c r="AO324" s="191"/>
      <c r="AP324" s="191"/>
      <c r="AQ324" s="191"/>
      <c r="AR324" s="191"/>
      <c r="AS324" s="191"/>
      <c r="AT324" s="191"/>
      <c r="AU324" s="191"/>
      <c r="AV324" s="191"/>
      <c r="AW324" s="191"/>
      <c r="AX324" s="191"/>
      <c r="AY324" s="191"/>
      <c r="AZ324" s="191"/>
      <c r="BA324" s="191"/>
      <c r="BB324" s="191"/>
      <c r="BC324" s="191"/>
      <c r="BD324" s="191"/>
    </row>
    <row r="325" spans="1:56" ht="18.75" customHeight="1">
      <c r="B325" s="191"/>
      <c r="C325" s="191" t="s">
        <v>498</v>
      </c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91"/>
      <c r="AF325" s="191"/>
      <c r="AG325" s="191"/>
      <c r="AH325" s="191"/>
      <c r="AI325" s="191"/>
      <c r="AJ325" s="191"/>
      <c r="AK325" s="191"/>
      <c r="AL325" s="191"/>
      <c r="AM325" s="191"/>
      <c r="AN325" s="191"/>
      <c r="AO325" s="191"/>
      <c r="AP325" s="191"/>
      <c r="AQ325" s="191"/>
      <c r="AR325" s="191"/>
      <c r="AS325" s="191"/>
      <c r="AT325" s="191"/>
      <c r="AU325" s="191"/>
      <c r="AV325" s="191"/>
      <c r="AW325" s="191"/>
      <c r="AX325" s="191"/>
      <c r="AY325" s="191"/>
      <c r="AZ325" s="191"/>
      <c r="BA325" s="191"/>
      <c r="BB325" s="191"/>
      <c r="BC325" s="191"/>
      <c r="BD325" s="191"/>
    </row>
    <row r="326" spans="1:56" ht="18.75" customHeight="1">
      <c r="A326" s="191"/>
      <c r="B326" s="191"/>
      <c r="C326" s="55" t="s">
        <v>768</v>
      </c>
      <c r="AL326" s="191"/>
      <c r="AM326" s="191"/>
      <c r="AN326" s="191"/>
      <c r="AO326" s="191"/>
      <c r="AP326" s="191"/>
      <c r="AQ326" s="191"/>
      <c r="AR326" s="191"/>
      <c r="AS326" s="191"/>
      <c r="AT326" s="191"/>
      <c r="AU326" s="191"/>
      <c r="AV326" s="191"/>
      <c r="AW326" s="191"/>
      <c r="AX326" s="191"/>
      <c r="AY326" s="191"/>
      <c r="AZ326" s="191"/>
      <c r="BA326" s="191"/>
      <c r="BB326" s="191"/>
    </row>
    <row r="327" spans="1:56" ht="18.75" customHeight="1">
      <c r="A327" s="191"/>
      <c r="B327" s="191"/>
      <c r="AL327" s="191"/>
      <c r="AM327" s="191"/>
      <c r="AN327" s="191"/>
      <c r="AO327" s="191"/>
      <c r="AP327" s="191"/>
      <c r="AQ327" s="191"/>
      <c r="AR327" s="191"/>
      <c r="AS327" s="191"/>
      <c r="AT327" s="191"/>
      <c r="AU327" s="191"/>
      <c r="AV327" s="191"/>
      <c r="AW327" s="191"/>
      <c r="AX327" s="191"/>
      <c r="AY327" s="191"/>
      <c r="AZ327" s="191"/>
      <c r="BA327" s="191"/>
      <c r="BB327" s="191"/>
    </row>
    <row r="328" spans="1:56" ht="18.75" customHeight="1">
      <c r="A328" s="191"/>
      <c r="B328" s="191"/>
      <c r="C328" s="191"/>
      <c r="D328" s="191"/>
      <c r="E328" s="193"/>
      <c r="F328" s="191"/>
      <c r="G328" s="191"/>
      <c r="H328" s="210" t="s">
        <v>499</v>
      </c>
      <c r="I328" s="409" t="e">
        <f ca="1">Calcu!E64</f>
        <v>#N/A</v>
      </c>
      <c r="J328" s="409"/>
      <c r="K328" s="409"/>
      <c r="L328" s="241" t="s">
        <v>456</v>
      </c>
      <c r="M328" s="415" t="e">
        <f ca="1">F308</f>
        <v>#N/A</v>
      </c>
      <c r="N328" s="415"/>
      <c r="O328" s="415"/>
      <c r="P328" s="204"/>
      <c r="Q328" s="260"/>
      <c r="R328" s="411" t="e">
        <f ca="1">K308</f>
        <v>#N/A</v>
      </c>
      <c r="S328" s="412"/>
      <c r="T328" s="412"/>
      <c r="U328" s="191"/>
      <c r="V328" s="191"/>
      <c r="W328" s="191"/>
      <c r="X328" s="408" t="str">
        <f>Q308</f>
        <v>μm</v>
      </c>
      <c r="Y328" s="408"/>
      <c r="Z328" s="241" t="s">
        <v>453</v>
      </c>
      <c r="AA328" s="415" t="e">
        <f ca="1">Calcu!C53</f>
        <v>#N/A</v>
      </c>
      <c r="AB328" s="415"/>
      <c r="AC328" s="415"/>
      <c r="AD328" s="204"/>
      <c r="AE328" s="260"/>
      <c r="AF328" s="411" t="e">
        <f ca="1">Calcu!D53</f>
        <v>#N/A</v>
      </c>
      <c r="AG328" s="412"/>
      <c r="AH328" s="412"/>
      <c r="AI328" s="191"/>
      <c r="AJ328" s="191"/>
      <c r="AK328" s="191"/>
      <c r="AL328" s="408" t="str">
        <f>X328</f>
        <v>μm</v>
      </c>
      <c r="AM328" s="408"/>
      <c r="AN328" s="252" t="s">
        <v>500</v>
      </c>
      <c r="AO328" s="414" t="e">
        <f ca="1">Calcu!T53</f>
        <v>#N/A</v>
      </c>
      <c r="AP328" s="414"/>
      <c r="AQ328" s="414"/>
      <c r="AR328" s="204"/>
      <c r="AS328" s="413" t="e">
        <f ca="1">Calcu!U53</f>
        <v>#N/A</v>
      </c>
      <c r="AT328" s="413"/>
      <c r="AU328" s="413"/>
      <c r="AV328" s="258"/>
      <c r="AW328" s="191"/>
      <c r="AX328" s="191"/>
      <c r="AY328" s="191"/>
      <c r="AZ328" s="408" t="str">
        <f>AL328</f>
        <v>μm</v>
      </c>
      <c r="BA328" s="408"/>
    </row>
    <row r="334" spans="1:56" s="188" customFormat="1" ht="26.25">
      <c r="A334" s="273" t="s">
        <v>769</v>
      </c>
    </row>
    <row r="335" spans="1:56" ht="18.75" customHeight="1">
      <c r="A335" s="190" t="s">
        <v>770</v>
      </c>
      <c r="B335" s="252"/>
      <c r="C335" s="252"/>
      <c r="D335" s="252"/>
      <c r="E335" s="252"/>
      <c r="F335" s="252"/>
      <c r="G335" s="252"/>
      <c r="H335" s="252"/>
      <c r="I335" s="252"/>
      <c r="J335" s="252"/>
      <c r="K335" s="252"/>
      <c r="L335" s="252"/>
      <c r="M335" s="252"/>
      <c r="N335" s="252"/>
      <c r="O335" s="252"/>
      <c r="P335" s="252"/>
      <c r="Q335" s="252"/>
      <c r="R335" s="252"/>
      <c r="S335" s="252"/>
      <c r="T335" s="252"/>
      <c r="U335" s="252"/>
      <c r="V335" s="252"/>
      <c r="W335" s="252"/>
      <c r="X335" s="252"/>
      <c r="Y335" s="252"/>
      <c r="Z335" s="252"/>
      <c r="AA335" s="252"/>
      <c r="AB335" s="252"/>
      <c r="AC335" s="252"/>
      <c r="AD335" s="252"/>
      <c r="AE335" s="252"/>
      <c r="AF335" s="252"/>
      <c r="AG335" s="252"/>
      <c r="AH335" s="252"/>
      <c r="AI335" s="252"/>
      <c r="AJ335" s="252"/>
      <c r="AK335" s="252"/>
      <c r="AL335" s="252"/>
      <c r="AM335" s="252"/>
      <c r="AN335" s="252"/>
      <c r="AO335" s="252"/>
      <c r="AP335" s="252"/>
      <c r="AQ335" s="252"/>
      <c r="AR335" s="252"/>
    </row>
    <row r="336" spans="1:56" ht="18.75" customHeight="1">
      <c r="A336" s="190"/>
      <c r="B336" s="467" t="s">
        <v>771</v>
      </c>
      <c r="C336" s="468"/>
      <c r="D336" s="468"/>
      <c r="E336" s="468"/>
      <c r="F336" s="469"/>
      <c r="G336" s="467" t="s">
        <v>772</v>
      </c>
      <c r="H336" s="468"/>
      <c r="I336" s="468"/>
      <c r="J336" s="468"/>
      <c r="K336" s="468"/>
      <c r="L336" s="468"/>
      <c r="M336" s="468"/>
      <c r="N336" s="468"/>
      <c r="O336" s="468"/>
      <c r="P336" s="469"/>
      <c r="Q336" s="467" t="s">
        <v>773</v>
      </c>
      <c r="R336" s="468"/>
      <c r="S336" s="468"/>
      <c r="T336" s="468"/>
      <c r="U336" s="468"/>
      <c r="V336" s="468"/>
      <c r="W336" s="468"/>
      <c r="X336" s="468"/>
      <c r="Y336" s="468"/>
      <c r="Z336" s="469"/>
      <c r="AA336" s="467" t="s">
        <v>774</v>
      </c>
      <c r="AB336" s="468"/>
      <c r="AC336" s="468"/>
      <c r="AD336" s="468"/>
      <c r="AE336" s="468"/>
      <c r="AF336" s="468"/>
      <c r="AG336" s="468"/>
      <c r="AH336" s="468"/>
      <c r="AI336" s="468"/>
      <c r="AJ336" s="469"/>
      <c r="AK336" s="467" t="s">
        <v>775</v>
      </c>
      <c r="AL336" s="468"/>
      <c r="AM336" s="468"/>
      <c r="AN336" s="468"/>
      <c r="AO336" s="468"/>
      <c r="AP336" s="468"/>
      <c r="AQ336" s="468"/>
      <c r="AR336" s="468"/>
      <c r="AS336" s="468"/>
      <c r="AT336" s="469"/>
    </row>
    <row r="337" spans="1:46" ht="18.75" customHeight="1">
      <c r="A337" s="190"/>
      <c r="B337" s="470"/>
      <c r="C337" s="471"/>
      <c r="D337" s="471"/>
      <c r="E337" s="471"/>
      <c r="F337" s="472"/>
      <c r="G337" s="470"/>
      <c r="H337" s="471"/>
      <c r="I337" s="471"/>
      <c r="J337" s="471"/>
      <c r="K337" s="471"/>
      <c r="L337" s="471"/>
      <c r="M337" s="471"/>
      <c r="N337" s="471"/>
      <c r="O337" s="471"/>
      <c r="P337" s="472"/>
      <c r="Q337" s="470"/>
      <c r="R337" s="471"/>
      <c r="S337" s="471"/>
      <c r="T337" s="471"/>
      <c r="U337" s="471"/>
      <c r="V337" s="471"/>
      <c r="W337" s="471"/>
      <c r="X337" s="471"/>
      <c r="Y337" s="471"/>
      <c r="Z337" s="472"/>
      <c r="AA337" s="470"/>
      <c r="AB337" s="471"/>
      <c r="AC337" s="471"/>
      <c r="AD337" s="471"/>
      <c r="AE337" s="471"/>
      <c r="AF337" s="471"/>
      <c r="AG337" s="471"/>
      <c r="AH337" s="471"/>
      <c r="AI337" s="471"/>
      <c r="AJ337" s="472"/>
      <c r="AK337" s="470"/>
      <c r="AL337" s="471"/>
      <c r="AM337" s="471"/>
      <c r="AN337" s="471"/>
      <c r="AO337" s="471"/>
      <c r="AP337" s="471"/>
      <c r="AQ337" s="471"/>
      <c r="AR337" s="471"/>
      <c r="AS337" s="471"/>
      <c r="AT337" s="472"/>
    </row>
    <row r="338" spans="1:46" ht="18.75" customHeight="1">
      <c r="A338" s="190"/>
      <c r="B338" s="460" t="str">
        <f>Calcu!D9</f>
        <v/>
      </c>
      <c r="C338" s="461"/>
      <c r="D338" s="461"/>
      <c r="E338" s="461"/>
      <c r="F338" s="462"/>
      <c r="G338" s="463" t="e">
        <f ca="1">Calcu!AG9</f>
        <v>#N/A</v>
      </c>
      <c r="H338" s="464"/>
      <c r="I338" s="464"/>
      <c r="J338" s="464"/>
      <c r="K338" s="464"/>
      <c r="L338" s="464"/>
      <c r="M338" s="464"/>
      <c r="N338" s="464"/>
      <c r="O338" s="464"/>
      <c r="P338" s="465"/>
      <c r="Q338" s="463" t="e">
        <f ca="1">Calcu!AH9</f>
        <v>#N/A</v>
      </c>
      <c r="R338" s="464"/>
      <c r="S338" s="464"/>
      <c r="T338" s="464"/>
      <c r="U338" s="464"/>
      <c r="V338" s="464"/>
      <c r="W338" s="464"/>
      <c r="X338" s="464"/>
      <c r="Y338" s="464"/>
      <c r="Z338" s="465"/>
      <c r="AA338" s="463" t="e">
        <f ca="1">Calcu!AI9</f>
        <v>#N/A</v>
      </c>
      <c r="AB338" s="464"/>
      <c r="AC338" s="464"/>
      <c r="AD338" s="464"/>
      <c r="AE338" s="464"/>
      <c r="AF338" s="464"/>
      <c r="AG338" s="464"/>
      <c r="AH338" s="464"/>
      <c r="AI338" s="464"/>
      <c r="AJ338" s="465"/>
      <c r="AK338" s="463" t="e">
        <f ca="1">Calcu!AJ9</f>
        <v>#N/A</v>
      </c>
      <c r="AL338" s="464"/>
      <c r="AM338" s="464"/>
      <c r="AN338" s="464"/>
      <c r="AO338" s="464"/>
      <c r="AP338" s="464"/>
      <c r="AQ338" s="464"/>
      <c r="AR338" s="464"/>
      <c r="AS338" s="464"/>
      <c r="AT338" s="465"/>
    </row>
    <row r="339" spans="1:46" ht="18.75" customHeight="1">
      <c r="A339" s="190"/>
      <c r="B339" s="460" t="str">
        <f>Calcu!D10</f>
        <v/>
      </c>
      <c r="C339" s="461"/>
      <c r="D339" s="461"/>
      <c r="E339" s="461"/>
      <c r="F339" s="462"/>
      <c r="G339" s="463" t="e">
        <f ca="1">Calcu!AG10</f>
        <v>#N/A</v>
      </c>
      <c r="H339" s="464"/>
      <c r="I339" s="464"/>
      <c r="J339" s="464"/>
      <c r="K339" s="464"/>
      <c r="L339" s="464"/>
      <c r="M339" s="464"/>
      <c r="N339" s="464"/>
      <c r="O339" s="464"/>
      <c r="P339" s="465"/>
      <c r="Q339" s="463" t="e">
        <f ca="1">Calcu!AH10</f>
        <v>#N/A</v>
      </c>
      <c r="R339" s="464"/>
      <c r="S339" s="464"/>
      <c r="T339" s="464"/>
      <c r="U339" s="464"/>
      <c r="V339" s="464"/>
      <c r="W339" s="464"/>
      <c r="X339" s="464"/>
      <c r="Y339" s="464"/>
      <c r="Z339" s="465"/>
      <c r="AA339" s="463" t="e">
        <f ca="1">Calcu!AI10</f>
        <v>#N/A</v>
      </c>
      <c r="AB339" s="464"/>
      <c r="AC339" s="464"/>
      <c r="AD339" s="464"/>
      <c r="AE339" s="464"/>
      <c r="AF339" s="464"/>
      <c r="AG339" s="464"/>
      <c r="AH339" s="464"/>
      <c r="AI339" s="464"/>
      <c r="AJ339" s="465"/>
      <c r="AK339" s="463" t="e">
        <f ca="1">Calcu!AJ10</f>
        <v>#N/A</v>
      </c>
      <c r="AL339" s="464"/>
      <c r="AM339" s="464"/>
      <c r="AN339" s="464"/>
      <c r="AO339" s="464"/>
      <c r="AP339" s="464"/>
      <c r="AQ339" s="464"/>
      <c r="AR339" s="464"/>
      <c r="AS339" s="464"/>
      <c r="AT339" s="465"/>
    </row>
    <row r="340" spans="1:46" ht="18.75" customHeight="1">
      <c r="A340" s="190"/>
      <c r="B340" s="460" t="str">
        <f>Calcu!D11</f>
        <v/>
      </c>
      <c r="C340" s="461"/>
      <c r="D340" s="461"/>
      <c r="E340" s="461"/>
      <c r="F340" s="462"/>
      <c r="G340" s="463" t="e">
        <f ca="1">Calcu!AG11</f>
        <v>#N/A</v>
      </c>
      <c r="H340" s="464"/>
      <c r="I340" s="464"/>
      <c r="J340" s="464"/>
      <c r="K340" s="464"/>
      <c r="L340" s="464"/>
      <c r="M340" s="464"/>
      <c r="N340" s="464"/>
      <c r="O340" s="464"/>
      <c r="P340" s="465"/>
      <c r="Q340" s="463" t="e">
        <f ca="1">Calcu!AH11</f>
        <v>#N/A</v>
      </c>
      <c r="R340" s="464"/>
      <c r="S340" s="464"/>
      <c r="T340" s="464"/>
      <c r="U340" s="464"/>
      <c r="V340" s="464"/>
      <c r="W340" s="464"/>
      <c r="X340" s="464"/>
      <c r="Y340" s="464"/>
      <c r="Z340" s="465"/>
      <c r="AA340" s="463" t="e">
        <f ca="1">Calcu!AI11</f>
        <v>#N/A</v>
      </c>
      <c r="AB340" s="464"/>
      <c r="AC340" s="464"/>
      <c r="AD340" s="464"/>
      <c r="AE340" s="464"/>
      <c r="AF340" s="464"/>
      <c r="AG340" s="464"/>
      <c r="AH340" s="464"/>
      <c r="AI340" s="464"/>
      <c r="AJ340" s="465"/>
      <c r="AK340" s="463" t="e">
        <f ca="1">Calcu!AJ11</f>
        <v>#N/A</v>
      </c>
      <c r="AL340" s="464"/>
      <c r="AM340" s="464"/>
      <c r="AN340" s="464"/>
      <c r="AO340" s="464"/>
      <c r="AP340" s="464"/>
      <c r="AQ340" s="464"/>
      <c r="AR340" s="464"/>
      <c r="AS340" s="464"/>
      <c r="AT340" s="465"/>
    </row>
    <row r="341" spans="1:46" ht="18.75" customHeight="1">
      <c r="A341" s="190"/>
      <c r="B341" s="460" t="str">
        <f>Calcu!D12</f>
        <v/>
      </c>
      <c r="C341" s="461"/>
      <c r="D341" s="461"/>
      <c r="E341" s="461"/>
      <c r="F341" s="462"/>
      <c r="G341" s="463" t="e">
        <f ca="1">Calcu!AG12</f>
        <v>#N/A</v>
      </c>
      <c r="H341" s="464"/>
      <c r="I341" s="464"/>
      <c r="J341" s="464"/>
      <c r="K341" s="464"/>
      <c r="L341" s="464"/>
      <c r="M341" s="464"/>
      <c r="N341" s="464"/>
      <c r="O341" s="464"/>
      <c r="P341" s="465"/>
      <c r="Q341" s="463" t="e">
        <f ca="1">Calcu!AH12</f>
        <v>#N/A</v>
      </c>
      <c r="R341" s="464"/>
      <c r="S341" s="464"/>
      <c r="T341" s="464"/>
      <c r="U341" s="464"/>
      <c r="V341" s="464"/>
      <c r="W341" s="464"/>
      <c r="X341" s="464"/>
      <c r="Y341" s="464"/>
      <c r="Z341" s="465"/>
      <c r="AA341" s="463" t="e">
        <f ca="1">Calcu!AI12</f>
        <v>#N/A</v>
      </c>
      <c r="AB341" s="464"/>
      <c r="AC341" s="464"/>
      <c r="AD341" s="464"/>
      <c r="AE341" s="464"/>
      <c r="AF341" s="464"/>
      <c r="AG341" s="464"/>
      <c r="AH341" s="464"/>
      <c r="AI341" s="464"/>
      <c r="AJ341" s="465"/>
      <c r="AK341" s="463" t="e">
        <f ca="1">Calcu!AJ12</f>
        <v>#N/A</v>
      </c>
      <c r="AL341" s="464"/>
      <c r="AM341" s="464"/>
      <c r="AN341" s="464"/>
      <c r="AO341" s="464"/>
      <c r="AP341" s="464"/>
      <c r="AQ341" s="464"/>
      <c r="AR341" s="464"/>
      <c r="AS341" s="464"/>
      <c r="AT341" s="465"/>
    </row>
    <row r="342" spans="1:46" ht="18.75" customHeight="1">
      <c r="A342" s="190"/>
      <c r="B342" s="460" t="str">
        <f>Calcu!D13</f>
        <v/>
      </c>
      <c r="C342" s="461"/>
      <c r="D342" s="461"/>
      <c r="E342" s="461"/>
      <c r="F342" s="462"/>
      <c r="G342" s="463" t="e">
        <f ca="1">Calcu!AG13</f>
        <v>#N/A</v>
      </c>
      <c r="H342" s="464"/>
      <c r="I342" s="464"/>
      <c r="J342" s="464"/>
      <c r="K342" s="464"/>
      <c r="L342" s="464"/>
      <c r="M342" s="464"/>
      <c r="N342" s="464"/>
      <c r="O342" s="464"/>
      <c r="P342" s="465"/>
      <c r="Q342" s="463" t="e">
        <f ca="1">Calcu!AH13</f>
        <v>#N/A</v>
      </c>
      <c r="R342" s="464"/>
      <c r="S342" s="464"/>
      <c r="T342" s="464"/>
      <c r="U342" s="464"/>
      <c r="V342" s="464"/>
      <c r="W342" s="464"/>
      <c r="X342" s="464"/>
      <c r="Y342" s="464"/>
      <c r="Z342" s="465"/>
      <c r="AA342" s="463" t="e">
        <f ca="1">Calcu!AI13</f>
        <v>#N/A</v>
      </c>
      <c r="AB342" s="464"/>
      <c r="AC342" s="464"/>
      <c r="AD342" s="464"/>
      <c r="AE342" s="464"/>
      <c r="AF342" s="464"/>
      <c r="AG342" s="464"/>
      <c r="AH342" s="464"/>
      <c r="AI342" s="464"/>
      <c r="AJ342" s="465"/>
      <c r="AK342" s="463" t="e">
        <f ca="1">Calcu!AJ13</f>
        <v>#N/A</v>
      </c>
      <c r="AL342" s="464"/>
      <c r="AM342" s="464"/>
      <c r="AN342" s="464"/>
      <c r="AO342" s="464"/>
      <c r="AP342" s="464"/>
      <c r="AQ342" s="464"/>
      <c r="AR342" s="464"/>
      <c r="AS342" s="464"/>
      <c r="AT342" s="465"/>
    </row>
    <row r="343" spans="1:46" ht="18.75" customHeight="1">
      <c r="A343" s="190"/>
      <c r="B343" s="460" t="str">
        <f>Calcu!D14</f>
        <v/>
      </c>
      <c r="C343" s="461"/>
      <c r="D343" s="461"/>
      <c r="E343" s="461"/>
      <c r="F343" s="462"/>
      <c r="G343" s="463" t="e">
        <f ca="1">Calcu!AG14</f>
        <v>#N/A</v>
      </c>
      <c r="H343" s="464"/>
      <c r="I343" s="464"/>
      <c r="J343" s="464"/>
      <c r="K343" s="464"/>
      <c r="L343" s="464"/>
      <c r="M343" s="464"/>
      <c r="N343" s="464"/>
      <c r="O343" s="464"/>
      <c r="P343" s="465"/>
      <c r="Q343" s="463" t="e">
        <f ca="1">Calcu!AH14</f>
        <v>#N/A</v>
      </c>
      <c r="R343" s="464"/>
      <c r="S343" s="464"/>
      <c r="T343" s="464"/>
      <c r="U343" s="464"/>
      <c r="V343" s="464"/>
      <c r="W343" s="464"/>
      <c r="X343" s="464"/>
      <c r="Y343" s="464"/>
      <c r="Z343" s="465"/>
      <c r="AA343" s="463" t="e">
        <f ca="1">Calcu!AI14</f>
        <v>#N/A</v>
      </c>
      <c r="AB343" s="464"/>
      <c r="AC343" s="464"/>
      <c r="AD343" s="464"/>
      <c r="AE343" s="464"/>
      <c r="AF343" s="464"/>
      <c r="AG343" s="464"/>
      <c r="AH343" s="464"/>
      <c r="AI343" s="464"/>
      <c r="AJ343" s="465"/>
      <c r="AK343" s="463" t="e">
        <f ca="1">Calcu!AJ14</f>
        <v>#N/A</v>
      </c>
      <c r="AL343" s="464"/>
      <c r="AM343" s="464"/>
      <c r="AN343" s="464"/>
      <c r="AO343" s="464"/>
      <c r="AP343" s="464"/>
      <c r="AQ343" s="464"/>
      <c r="AR343" s="464"/>
      <c r="AS343" s="464"/>
      <c r="AT343" s="465"/>
    </row>
    <row r="344" spans="1:46" ht="18.75" customHeight="1">
      <c r="A344" s="190"/>
      <c r="B344" s="460" t="str">
        <f>Calcu!D15</f>
        <v/>
      </c>
      <c r="C344" s="461"/>
      <c r="D344" s="461"/>
      <c r="E344" s="461"/>
      <c r="F344" s="462"/>
      <c r="G344" s="463" t="e">
        <f ca="1">Calcu!AG15</f>
        <v>#N/A</v>
      </c>
      <c r="H344" s="464"/>
      <c r="I344" s="464"/>
      <c r="J344" s="464"/>
      <c r="K344" s="464"/>
      <c r="L344" s="464"/>
      <c r="M344" s="464"/>
      <c r="N344" s="464"/>
      <c r="O344" s="464"/>
      <c r="P344" s="465"/>
      <c r="Q344" s="463" t="e">
        <f ca="1">Calcu!AH15</f>
        <v>#N/A</v>
      </c>
      <c r="R344" s="464"/>
      <c r="S344" s="464"/>
      <c r="T344" s="464"/>
      <c r="U344" s="464"/>
      <c r="V344" s="464"/>
      <c r="W344" s="464"/>
      <c r="X344" s="464"/>
      <c r="Y344" s="464"/>
      <c r="Z344" s="465"/>
      <c r="AA344" s="463" t="e">
        <f ca="1">Calcu!AI15</f>
        <v>#N/A</v>
      </c>
      <c r="AB344" s="464"/>
      <c r="AC344" s="464"/>
      <c r="AD344" s="464"/>
      <c r="AE344" s="464"/>
      <c r="AF344" s="464"/>
      <c r="AG344" s="464"/>
      <c r="AH344" s="464"/>
      <c r="AI344" s="464"/>
      <c r="AJ344" s="465"/>
      <c r="AK344" s="463" t="e">
        <f ca="1">Calcu!AJ15</f>
        <v>#N/A</v>
      </c>
      <c r="AL344" s="464"/>
      <c r="AM344" s="464"/>
      <c r="AN344" s="464"/>
      <c r="AO344" s="464"/>
      <c r="AP344" s="464"/>
      <c r="AQ344" s="464"/>
      <c r="AR344" s="464"/>
      <c r="AS344" s="464"/>
      <c r="AT344" s="465"/>
    </row>
    <row r="345" spans="1:46" ht="18.75" customHeight="1">
      <c r="A345" s="190"/>
      <c r="B345" s="460" t="str">
        <f>Calcu!D16</f>
        <v/>
      </c>
      <c r="C345" s="461"/>
      <c r="D345" s="461"/>
      <c r="E345" s="461"/>
      <c r="F345" s="462"/>
      <c r="G345" s="463" t="e">
        <f ca="1">Calcu!AG16</f>
        <v>#N/A</v>
      </c>
      <c r="H345" s="464"/>
      <c r="I345" s="464"/>
      <c r="J345" s="464"/>
      <c r="K345" s="464"/>
      <c r="L345" s="464"/>
      <c r="M345" s="464"/>
      <c r="N345" s="464"/>
      <c r="O345" s="464"/>
      <c r="P345" s="465"/>
      <c r="Q345" s="463" t="e">
        <f ca="1">Calcu!AH16</f>
        <v>#N/A</v>
      </c>
      <c r="R345" s="464"/>
      <c r="S345" s="464"/>
      <c r="T345" s="464"/>
      <c r="U345" s="464"/>
      <c r="V345" s="464"/>
      <c r="W345" s="464"/>
      <c r="X345" s="464"/>
      <c r="Y345" s="464"/>
      <c r="Z345" s="465"/>
      <c r="AA345" s="463" t="e">
        <f ca="1">Calcu!AI16</f>
        <v>#N/A</v>
      </c>
      <c r="AB345" s="464"/>
      <c r="AC345" s="464"/>
      <c r="AD345" s="464"/>
      <c r="AE345" s="464"/>
      <c r="AF345" s="464"/>
      <c r="AG345" s="464"/>
      <c r="AH345" s="464"/>
      <c r="AI345" s="464"/>
      <c r="AJ345" s="465"/>
      <c r="AK345" s="463" t="e">
        <f ca="1">Calcu!AJ16</f>
        <v>#N/A</v>
      </c>
      <c r="AL345" s="464"/>
      <c r="AM345" s="464"/>
      <c r="AN345" s="464"/>
      <c r="AO345" s="464"/>
      <c r="AP345" s="464"/>
      <c r="AQ345" s="464"/>
      <c r="AR345" s="464"/>
      <c r="AS345" s="464"/>
      <c r="AT345" s="465"/>
    </row>
    <row r="346" spans="1:46" ht="18.75" customHeight="1">
      <c r="A346" s="190"/>
      <c r="B346" s="460" t="str">
        <f>Calcu!D17</f>
        <v/>
      </c>
      <c r="C346" s="461"/>
      <c r="D346" s="461"/>
      <c r="E346" s="461"/>
      <c r="F346" s="462"/>
      <c r="G346" s="463" t="e">
        <f ca="1">Calcu!AG17</f>
        <v>#N/A</v>
      </c>
      <c r="H346" s="464"/>
      <c r="I346" s="464"/>
      <c r="J346" s="464"/>
      <c r="K346" s="464"/>
      <c r="L346" s="464"/>
      <c r="M346" s="464"/>
      <c r="N346" s="464"/>
      <c r="O346" s="464"/>
      <c r="P346" s="465"/>
      <c r="Q346" s="463" t="e">
        <f ca="1">Calcu!AH17</f>
        <v>#N/A</v>
      </c>
      <c r="R346" s="464"/>
      <c r="S346" s="464"/>
      <c r="T346" s="464"/>
      <c r="U346" s="464"/>
      <c r="V346" s="464"/>
      <c r="W346" s="464"/>
      <c r="X346" s="464"/>
      <c r="Y346" s="464"/>
      <c r="Z346" s="465"/>
      <c r="AA346" s="463" t="e">
        <f ca="1">Calcu!AI17</f>
        <v>#N/A</v>
      </c>
      <c r="AB346" s="464"/>
      <c r="AC346" s="464"/>
      <c r="AD346" s="464"/>
      <c r="AE346" s="464"/>
      <c r="AF346" s="464"/>
      <c r="AG346" s="464"/>
      <c r="AH346" s="464"/>
      <c r="AI346" s="464"/>
      <c r="AJ346" s="465"/>
      <c r="AK346" s="463" t="e">
        <f ca="1">Calcu!AJ17</f>
        <v>#N/A</v>
      </c>
      <c r="AL346" s="464"/>
      <c r="AM346" s="464"/>
      <c r="AN346" s="464"/>
      <c r="AO346" s="464"/>
      <c r="AP346" s="464"/>
      <c r="AQ346" s="464"/>
      <c r="AR346" s="464"/>
      <c r="AS346" s="464"/>
      <c r="AT346" s="465"/>
    </row>
    <row r="347" spans="1:46" ht="18.75" customHeight="1">
      <c r="A347" s="190"/>
      <c r="B347" s="460" t="str">
        <f>Calcu!D18</f>
        <v/>
      </c>
      <c r="C347" s="461"/>
      <c r="D347" s="461"/>
      <c r="E347" s="461"/>
      <c r="F347" s="462"/>
      <c r="G347" s="463" t="e">
        <f ca="1">Calcu!AG18</f>
        <v>#N/A</v>
      </c>
      <c r="H347" s="464"/>
      <c r="I347" s="464"/>
      <c r="J347" s="464"/>
      <c r="K347" s="464"/>
      <c r="L347" s="464"/>
      <c r="M347" s="464"/>
      <c r="N347" s="464"/>
      <c r="O347" s="464"/>
      <c r="P347" s="465"/>
      <c r="Q347" s="463" t="e">
        <f ca="1">Calcu!AH18</f>
        <v>#N/A</v>
      </c>
      <c r="R347" s="464"/>
      <c r="S347" s="464"/>
      <c r="T347" s="464"/>
      <c r="U347" s="464"/>
      <c r="V347" s="464"/>
      <c r="W347" s="464"/>
      <c r="X347" s="464"/>
      <c r="Y347" s="464"/>
      <c r="Z347" s="465"/>
      <c r="AA347" s="463" t="e">
        <f ca="1">Calcu!AI18</f>
        <v>#N/A</v>
      </c>
      <c r="AB347" s="464"/>
      <c r="AC347" s="464"/>
      <c r="AD347" s="464"/>
      <c r="AE347" s="464"/>
      <c r="AF347" s="464"/>
      <c r="AG347" s="464"/>
      <c r="AH347" s="464"/>
      <c r="AI347" s="464"/>
      <c r="AJ347" s="465"/>
      <c r="AK347" s="463" t="e">
        <f ca="1">Calcu!AJ18</f>
        <v>#N/A</v>
      </c>
      <c r="AL347" s="464"/>
      <c r="AM347" s="464"/>
      <c r="AN347" s="464"/>
      <c r="AO347" s="464"/>
      <c r="AP347" s="464"/>
      <c r="AQ347" s="464"/>
      <c r="AR347" s="464"/>
      <c r="AS347" s="464"/>
      <c r="AT347" s="465"/>
    </row>
    <row r="348" spans="1:46" ht="18.75" customHeight="1">
      <c r="A348" s="190"/>
      <c r="B348" s="460" t="str">
        <f>Calcu!D19</f>
        <v/>
      </c>
      <c r="C348" s="461"/>
      <c r="D348" s="461"/>
      <c r="E348" s="461"/>
      <c r="F348" s="462"/>
      <c r="G348" s="463" t="e">
        <f ca="1">Calcu!AG19</f>
        <v>#N/A</v>
      </c>
      <c r="H348" s="464"/>
      <c r="I348" s="464"/>
      <c r="J348" s="464"/>
      <c r="K348" s="464"/>
      <c r="L348" s="464"/>
      <c r="M348" s="464"/>
      <c r="N348" s="464"/>
      <c r="O348" s="464"/>
      <c r="P348" s="465"/>
      <c r="Q348" s="463" t="e">
        <f ca="1">Calcu!AH19</f>
        <v>#N/A</v>
      </c>
      <c r="R348" s="464"/>
      <c r="S348" s="464"/>
      <c r="T348" s="464"/>
      <c r="U348" s="464"/>
      <c r="V348" s="464"/>
      <c r="W348" s="464"/>
      <c r="X348" s="464"/>
      <c r="Y348" s="464"/>
      <c r="Z348" s="465"/>
      <c r="AA348" s="463" t="e">
        <f ca="1">Calcu!AI19</f>
        <v>#N/A</v>
      </c>
      <c r="AB348" s="464"/>
      <c r="AC348" s="464"/>
      <c r="AD348" s="464"/>
      <c r="AE348" s="464"/>
      <c r="AF348" s="464"/>
      <c r="AG348" s="464"/>
      <c r="AH348" s="464"/>
      <c r="AI348" s="464"/>
      <c r="AJ348" s="465"/>
      <c r="AK348" s="463" t="e">
        <f ca="1">Calcu!AJ19</f>
        <v>#N/A</v>
      </c>
      <c r="AL348" s="464"/>
      <c r="AM348" s="464"/>
      <c r="AN348" s="464"/>
      <c r="AO348" s="464"/>
      <c r="AP348" s="464"/>
      <c r="AQ348" s="464"/>
      <c r="AR348" s="464"/>
      <c r="AS348" s="464"/>
      <c r="AT348" s="465"/>
    </row>
    <row r="349" spans="1:46" ht="18.75" customHeight="1">
      <c r="A349" s="190"/>
      <c r="B349" s="460" t="str">
        <f>Calcu!D20</f>
        <v/>
      </c>
      <c r="C349" s="461"/>
      <c r="D349" s="461"/>
      <c r="E349" s="461"/>
      <c r="F349" s="462"/>
      <c r="G349" s="463" t="e">
        <f ca="1">Calcu!AG20</f>
        <v>#N/A</v>
      </c>
      <c r="H349" s="464"/>
      <c r="I349" s="464"/>
      <c r="J349" s="464"/>
      <c r="K349" s="464"/>
      <c r="L349" s="464"/>
      <c r="M349" s="464"/>
      <c r="N349" s="464"/>
      <c r="O349" s="464"/>
      <c r="P349" s="465"/>
      <c r="Q349" s="463" t="e">
        <f ca="1">Calcu!AH20</f>
        <v>#N/A</v>
      </c>
      <c r="R349" s="464"/>
      <c r="S349" s="464"/>
      <c r="T349" s="464"/>
      <c r="U349" s="464"/>
      <c r="V349" s="464"/>
      <c r="W349" s="464"/>
      <c r="X349" s="464"/>
      <c r="Y349" s="464"/>
      <c r="Z349" s="465"/>
      <c r="AA349" s="463" t="e">
        <f ca="1">Calcu!AI20</f>
        <v>#N/A</v>
      </c>
      <c r="AB349" s="464"/>
      <c r="AC349" s="464"/>
      <c r="AD349" s="464"/>
      <c r="AE349" s="464"/>
      <c r="AF349" s="464"/>
      <c r="AG349" s="464"/>
      <c r="AH349" s="464"/>
      <c r="AI349" s="464"/>
      <c r="AJ349" s="465"/>
      <c r="AK349" s="463" t="e">
        <f ca="1">Calcu!AJ20</f>
        <v>#N/A</v>
      </c>
      <c r="AL349" s="464"/>
      <c r="AM349" s="464"/>
      <c r="AN349" s="464"/>
      <c r="AO349" s="464"/>
      <c r="AP349" s="464"/>
      <c r="AQ349" s="464"/>
      <c r="AR349" s="464"/>
      <c r="AS349" s="464"/>
      <c r="AT349" s="465"/>
    </row>
    <row r="350" spans="1:46" ht="18.75" customHeight="1">
      <c r="A350" s="190"/>
      <c r="B350" s="460" t="str">
        <f>Calcu!D21</f>
        <v/>
      </c>
      <c r="C350" s="461"/>
      <c r="D350" s="461"/>
      <c r="E350" s="461"/>
      <c r="F350" s="462"/>
      <c r="G350" s="463" t="e">
        <f ca="1">Calcu!AG21</f>
        <v>#N/A</v>
      </c>
      <c r="H350" s="464"/>
      <c r="I350" s="464"/>
      <c r="J350" s="464"/>
      <c r="K350" s="464"/>
      <c r="L350" s="464"/>
      <c r="M350" s="464"/>
      <c r="N350" s="464"/>
      <c r="O350" s="464"/>
      <c r="P350" s="465"/>
      <c r="Q350" s="463" t="e">
        <f ca="1">Calcu!AH21</f>
        <v>#N/A</v>
      </c>
      <c r="R350" s="464"/>
      <c r="S350" s="464"/>
      <c r="T350" s="464"/>
      <c r="U350" s="464"/>
      <c r="V350" s="464"/>
      <c r="W350" s="464"/>
      <c r="X350" s="464"/>
      <c r="Y350" s="464"/>
      <c r="Z350" s="465"/>
      <c r="AA350" s="463" t="e">
        <f ca="1">Calcu!AI21</f>
        <v>#N/A</v>
      </c>
      <c r="AB350" s="464"/>
      <c r="AC350" s="464"/>
      <c r="AD350" s="464"/>
      <c r="AE350" s="464"/>
      <c r="AF350" s="464"/>
      <c r="AG350" s="464"/>
      <c r="AH350" s="464"/>
      <c r="AI350" s="464"/>
      <c r="AJ350" s="465"/>
      <c r="AK350" s="463" t="e">
        <f ca="1">Calcu!AJ21</f>
        <v>#N/A</v>
      </c>
      <c r="AL350" s="464"/>
      <c r="AM350" s="464"/>
      <c r="AN350" s="464"/>
      <c r="AO350" s="464"/>
      <c r="AP350" s="464"/>
      <c r="AQ350" s="464"/>
      <c r="AR350" s="464"/>
      <c r="AS350" s="464"/>
      <c r="AT350" s="465"/>
    </row>
    <row r="351" spans="1:46" ht="18.75" customHeight="1">
      <c r="A351" s="190"/>
      <c r="B351" s="460" t="str">
        <f>Calcu!D22</f>
        <v/>
      </c>
      <c r="C351" s="461"/>
      <c r="D351" s="461"/>
      <c r="E351" s="461"/>
      <c r="F351" s="462"/>
      <c r="G351" s="463" t="e">
        <f ca="1">Calcu!AG22</f>
        <v>#N/A</v>
      </c>
      <c r="H351" s="464"/>
      <c r="I351" s="464"/>
      <c r="J351" s="464"/>
      <c r="K351" s="464"/>
      <c r="L351" s="464"/>
      <c r="M351" s="464"/>
      <c r="N351" s="464"/>
      <c r="O351" s="464"/>
      <c r="P351" s="465"/>
      <c r="Q351" s="463" t="e">
        <f ca="1">Calcu!AH22</f>
        <v>#N/A</v>
      </c>
      <c r="R351" s="464"/>
      <c r="S351" s="464"/>
      <c r="T351" s="464"/>
      <c r="U351" s="464"/>
      <c r="V351" s="464"/>
      <c r="W351" s="464"/>
      <c r="X351" s="464"/>
      <c r="Y351" s="464"/>
      <c r="Z351" s="465"/>
      <c r="AA351" s="463" t="e">
        <f ca="1">Calcu!AI22</f>
        <v>#N/A</v>
      </c>
      <c r="AB351" s="464"/>
      <c r="AC351" s="464"/>
      <c r="AD351" s="464"/>
      <c r="AE351" s="464"/>
      <c r="AF351" s="464"/>
      <c r="AG351" s="464"/>
      <c r="AH351" s="464"/>
      <c r="AI351" s="464"/>
      <c r="AJ351" s="465"/>
      <c r="AK351" s="463" t="e">
        <f ca="1">Calcu!AJ22</f>
        <v>#N/A</v>
      </c>
      <c r="AL351" s="464"/>
      <c r="AM351" s="464"/>
      <c r="AN351" s="464"/>
      <c r="AO351" s="464"/>
      <c r="AP351" s="464"/>
      <c r="AQ351" s="464"/>
      <c r="AR351" s="464"/>
      <c r="AS351" s="464"/>
      <c r="AT351" s="465"/>
    </row>
    <row r="352" spans="1:46" ht="18.75" customHeight="1">
      <c r="A352" s="190"/>
      <c r="B352" s="460" t="str">
        <f>Calcu!D23</f>
        <v/>
      </c>
      <c r="C352" s="461"/>
      <c r="D352" s="461"/>
      <c r="E352" s="461"/>
      <c r="F352" s="462"/>
      <c r="G352" s="463" t="e">
        <f ca="1">Calcu!AG23</f>
        <v>#N/A</v>
      </c>
      <c r="H352" s="464"/>
      <c r="I352" s="464"/>
      <c r="J352" s="464"/>
      <c r="K352" s="464"/>
      <c r="L352" s="464"/>
      <c r="M352" s="464"/>
      <c r="N352" s="464"/>
      <c r="O352" s="464"/>
      <c r="P352" s="465"/>
      <c r="Q352" s="463" t="e">
        <f ca="1">Calcu!AH23</f>
        <v>#N/A</v>
      </c>
      <c r="R352" s="464"/>
      <c r="S352" s="464"/>
      <c r="T352" s="464"/>
      <c r="U352" s="464"/>
      <c r="V352" s="464"/>
      <c r="W352" s="464"/>
      <c r="X352" s="464"/>
      <c r="Y352" s="464"/>
      <c r="Z352" s="465"/>
      <c r="AA352" s="463" t="e">
        <f ca="1">Calcu!AI23</f>
        <v>#N/A</v>
      </c>
      <c r="AB352" s="464"/>
      <c r="AC352" s="464"/>
      <c r="AD352" s="464"/>
      <c r="AE352" s="464"/>
      <c r="AF352" s="464"/>
      <c r="AG352" s="464"/>
      <c r="AH352" s="464"/>
      <c r="AI352" s="464"/>
      <c r="AJ352" s="465"/>
      <c r="AK352" s="463" t="e">
        <f ca="1">Calcu!AJ23</f>
        <v>#N/A</v>
      </c>
      <c r="AL352" s="464"/>
      <c r="AM352" s="464"/>
      <c r="AN352" s="464"/>
      <c r="AO352" s="464"/>
      <c r="AP352" s="464"/>
      <c r="AQ352" s="464"/>
      <c r="AR352" s="464"/>
      <c r="AS352" s="464"/>
      <c r="AT352" s="465"/>
    </row>
    <row r="353" spans="1:69" ht="18.75" customHeight="1">
      <c r="A353" s="190"/>
      <c r="B353" s="460" t="str">
        <f>Calcu!D24</f>
        <v/>
      </c>
      <c r="C353" s="461"/>
      <c r="D353" s="461"/>
      <c r="E353" s="461"/>
      <c r="F353" s="462"/>
      <c r="G353" s="463" t="e">
        <f ca="1">Calcu!AG24</f>
        <v>#N/A</v>
      </c>
      <c r="H353" s="464"/>
      <c r="I353" s="464"/>
      <c r="J353" s="464"/>
      <c r="K353" s="464"/>
      <c r="L353" s="464"/>
      <c r="M353" s="464"/>
      <c r="N353" s="464"/>
      <c r="O353" s="464"/>
      <c r="P353" s="465"/>
      <c r="Q353" s="463" t="e">
        <f ca="1">Calcu!AH24</f>
        <v>#N/A</v>
      </c>
      <c r="R353" s="464"/>
      <c r="S353" s="464"/>
      <c r="T353" s="464"/>
      <c r="U353" s="464"/>
      <c r="V353" s="464"/>
      <c r="W353" s="464"/>
      <c r="X353" s="464"/>
      <c r="Y353" s="464"/>
      <c r="Z353" s="465"/>
      <c r="AA353" s="463" t="e">
        <f ca="1">Calcu!AI24</f>
        <v>#N/A</v>
      </c>
      <c r="AB353" s="464"/>
      <c r="AC353" s="464"/>
      <c r="AD353" s="464"/>
      <c r="AE353" s="464"/>
      <c r="AF353" s="464"/>
      <c r="AG353" s="464"/>
      <c r="AH353" s="464"/>
      <c r="AI353" s="464"/>
      <c r="AJ353" s="465"/>
      <c r="AK353" s="463" t="e">
        <f ca="1">Calcu!AJ24</f>
        <v>#N/A</v>
      </c>
      <c r="AL353" s="464"/>
      <c r="AM353" s="464"/>
      <c r="AN353" s="464"/>
      <c r="AO353" s="464"/>
      <c r="AP353" s="464"/>
      <c r="AQ353" s="464"/>
      <c r="AR353" s="464"/>
      <c r="AS353" s="464"/>
      <c r="AT353" s="465"/>
    </row>
    <row r="354" spans="1:69" ht="18.75" customHeight="1">
      <c r="A354" s="190"/>
      <c r="B354" s="460" t="str">
        <f>Calcu!D25</f>
        <v/>
      </c>
      <c r="C354" s="461"/>
      <c r="D354" s="461"/>
      <c r="E354" s="461"/>
      <c r="F354" s="462"/>
      <c r="G354" s="463" t="e">
        <f ca="1">Calcu!AG25</f>
        <v>#N/A</v>
      </c>
      <c r="H354" s="464"/>
      <c r="I354" s="464"/>
      <c r="J354" s="464"/>
      <c r="K354" s="464"/>
      <c r="L354" s="464"/>
      <c r="M354" s="464"/>
      <c r="N354" s="464"/>
      <c r="O354" s="464"/>
      <c r="P354" s="465"/>
      <c r="Q354" s="463" t="e">
        <f ca="1">Calcu!AH25</f>
        <v>#N/A</v>
      </c>
      <c r="R354" s="464"/>
      <c r="S354" s="464"/>
      <c r="T354" s="464"/>
      <c r="U354" s="464"/>
      <c r="V354" s="464"/>
      <c r="W354" s="464"/>
      <c r="X354" s="464"/>
      <c r="Y354" s="464"/>
      <c r="Z354" s="465"/>
      <c r="AA354" s="463" t="e">
        <f ca="1">Calcu!AI25</f>
        <v>#N/A</v>
      </c>
      <c r="AB354" s="464"/>
      <c r="AC354" s="464"/>
      <c r="AD354" s="464"/>
      <c r="AE354" s="464"/>
      <c r="AF354" s="464"/>
      <c r="AG354" s="464"/>
      <c r="AH354" s="464"/>
      <c r="AI354" s="464"/>
      <c r="AJ354" s="465"/>
      <c r="AK354" s="463" t="e">
        <f ca="1">Calcu!AJ25</f>
        <v>#N/A</v>
      </c>
      <c r="AL354" s="464"/>
      <c r="AM354" s="464"/>
      <c r="AN354" s="464"/>
      <c r="AO354" s="464"/>
      <c r="AP354" s="464"/>
      <c r="AQ354" s="464"/>
      <c r="AR354" s="464"/>
      <c r="AS354" s="464"/>
      <c r="AT354" s="465"/>
    </row>
    <row r="355" spans="1:69" ht="18.75" customHeight="1">
      <c r="A355" s="190"/>
      <c r="B355" s="460" t="str">
        <f>Calcu!D26</f>
        <v/>
      </c>
      <c r="C355" s="461"/>
      <c r="D355" s="461"/>
      <c r="E355" s="461"/>
      <c r="F355" s="462"/>
      <c r="G355" s="463" t="e">
        <f ca="1">Calcu!AG26</f>
        <v>#N/A</v>
      </c>
      <c r="H355" s="464"/>
      <c r="I355" s="464"/>
      <c r="J355" s="464"/>
      <c r="K355" s="464"/>
      <c r="L355" s="464"/>
      <c r="M355" s="464"/>
      <c r="N355" s="464"/>
      <c r="O355" s="464"/>
      <c r="P355" s="465"/>
      <c r="Q355" s="463" t="e">
        <f ca="1">Calcu!AH26</f>
        <v>#N/A</v>
      </c>
      <c r="R355" s="464"/>
      <c r="S355" s="464"/>
      <c r="T355" s="464"/>
      <c r="U355" s="464"/>
      <c r="V355" s="464"/>
      <c r="W355" s="464"/>
      <c r="X355" s="464"/>
      <c r="Y355" s="464"/>
      <c r="Z355" s="465"/>
      <c r="AA355" s="463" t="e">
        <f ca="1">Calcu!AI26</f>
        <v>#N/A</v>
      </c>
      <c r="AB355" s="464"/>
      <c r="AC355" s="464"/>
      <c r="AD355" s="464"/>
      <c r="AE355" s="464"/>
      <c r="AF355" s="464"/>
      <c r="AG355" s="464"/>
      <c r="AH355" s="464"/>
      <c r="AI355" s="464"/>
      <c r="AJ355" s="465"/>
      <c r="AK355" s="463" t="e">
        <f ca="1">Calcu!AJ26</f>
        <v>#N/A</v>
      </c>
      <c r="AL355" s="464"/>
      <c r="AM355" s="464"/>
      <c r="AN355" s="464"/>
      <c r="AO355" s="464"/>
      <c r="AP355" s="464"/>
      <c r="AQ355" s="464"/>
      <c r="AR355" s="464"/>
      <c r="AS355" s="464"/>
      <c r="AT355" s="465"/>
    </row>
    <row r="356" spans="1:69" ht="18.75" customHeight="1">
      <c r="A356" s="190"/>
      <c r="B356" s="460" t="str">
        <f>Calcu!D27</f>
        <v/>
      </c>
      <c r="C356" s="461"/>
      <c r="D356" s="461"/>
      <c r="E356" s="461"/>
      <c r="F356" s="462"/>
      <c r="G356" s="463" t="e">
        <f ca="1">Calcu!AG27</f>
        <v>#N/A</v>
      </c>
      <c r="H356" s="464"/>
      <c r="I356" s="464"/>
      <c r="J356" s="464"/>
      <c r="K356" s="464"/>
      <c r="L356" s="464"/>
      <c r="M356" s="464"/>
      <c r="N356" s="464"/>
      <c r="O356" s="464"/>
      <c r="P356" s="465"/>
      <c r="Q356" s="463" t="e">
        <f ca="1">Calcu!AH27</f>
        <v>#N/A</v>
      </c>
      <c r="R356" s="464"/>
      <c r="S356" s="464"/>
      <c r="T356" s="464"/>
      <c r="U356" s="464"/>
      <c r="V356" s="464"/>
      <c r="W356" s="464"/>
      <c r="X356" s="464"/>
      <c r="Y356" s="464"/>
      <c r="Z356" s="465"/>
      <c r="AA356" s="463" t="e">
        <f ca="1">Calcu!AI27</f>
        <v>#N/A</v>
      </c>
      <c r="AB356" s="464"/>
      <c r="AC356" s="464"/>
      <c r="AD356" s="464"/>
      <c r="AE356" s="464"/>
      <c r="AF356" s="464"/>
      <c r="AG356" s="464"/>
      <c r="AH356" s="464"/>
      <c r="AI356" s="464"/>
      <c r="AJ356" s="465"/>
      <c r="AK356" s="463" t="e">
        <f ca="1">Calcu!AJ27</f>
        <v>#N/A</v>
      </c>
      <c r="AL356" s="464"/>
      <c r="AM356" s="464"/>
      <c r="AN356" s="464"/>
      <c r="AO356" s="464"/>
      <c r="AP356" s="464"/>
      <c r="AQ356" s="464"/>
      <c r="AR356" s="464"/>
      <c r="AS356" s="464"/>
      <c r="AT356" s="465"/>
    </row>
    <row r="357" spans="1:69" ht="18.75" customHeight="1">
      <c r="A357" s="190"/>
      <c r="B357" s="460" t="str">
        <f>Calcu!D28</f>
        <v/>
      </c>
      <c r="C357" s="461"/>
      <c r="D357" s="461"/>
      <c r="E357" s="461"/>
      <c r="F357" s="462"/>
      <c r="G357" s="463" t="e">
        <f ca="1">Calcu!AG28</f>
        <v>#N/A</v>
      </c>
      <c r="H357" s="464"/>
      <c r="I357" s="464"/>
      <c r="J357" s="464"/>
      <c r="K357" s="464"/>
      <c r="L357" s="464"/>
      <c r="M357" s="464"/>
      <c r="N357" s="464"/>
      <c r="O357" s="464"/>
      <c r="P357" s="465"/>
      <c r="Q357" s="463" t="e">
        <f ca="1">Calcu!AH28</f>
        <v>#N/A</v>
      </c>
      <c r="R357" s="464"/>
      <c r="S357" s="464"/>
      <c r="T357" s="464"/>
      <c r="U357" s="464"/>
      <c r="V357" s="464"/>
      <c r="W357" s="464"/>
      <c r="X357" s="464"/>
      <c r="Y357" s="464"/>
      <c r="Z357" s="465"/>
      <c r="AA357" s="463" t="e">
        <f ca="1">Calcu!AI28</f>
        <v>#N/A</v>
      </c>
      <c r="AB357" s="464"/>
      <c r="AC357" s="464"/>
      <c r="AD357" s="464"/>
      <c r="AE357" s="464"/>
      <c r="AF357" s="464"/>
      <c r="AG357" s="464"/>
      <c r="AH357" s="464"/>
      <c r="AI357" s="464"/>
      <c r="AJ357" s="465"/>
      <c r="AK357" s="463" t="e">
        <f ca="1">Calcu!AJ28</f>
        <v>#N/A</v>
      </c>
      <c r="AL357" s="464"/>
      <c r="AM357" s="464"/>
      <c r="AN357" s="464"/>
      <c r="AO357" s="464"/>
      <c r="AP357" s="464"/>
      <c r="AQ357" s="464"/>
      <c r="AR357" s="464"/>
      <c r="AS357" s="464"/>
      <c r="AT357" s="465"/>
    </row>
    <row r="358" spans="1:69" ht="18.75" customHeight="1">
      <c r="A358" s="190"/>
    </row>
    <row r="359" spans="1:69" ht="18.75" customHeight="1">
      <c r="A359" s="190" t="s">
        <v>776</v>
      </c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91"/>
      <c r="AF359" s="191"/>
      <c r="AG359" s="191"/>
      <c r="AH359" s="191"/>
      <c r="AI359" s="191"/>
      <c r="AJ359" s="191"/>
      <c r="AK359" s="191"/>
      <c r="AL359" s="191"/>
      <c r="AM359" s="191"/>
      <c r="AN359" s="191"/>
      <c r="AO359" s="191"/>
      <c r="AP359" s="191"/>
      <c r="AQ359" s="191"/>
      <c r="AR359" s="191"/>
      <c r="AS359" s="191"/>
      <c r="AT359" s="191"/>
    </row>
    <row r="360" spans="1:69" ht="18.75" customHeight="1">
      <c r="A360" s="192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91"/>
      <c r="AF360" s="191"/>
      <c r="AG360" s="191"/>
      <c r="AH360" s="191"/>
      <c r="AI360" s="191"/>
      <c r="AJ360" s="191"/>
      <c r="AK360" s="191"/>
      <c r="AL360" s="191"/>
      <c r="AM360" s="191"/>
      <c r="AN360" s="191"/>
      <c r="AO360" s="191"/>
      <c r="AP360" s="191"/>
      <c r="AQ360" s="191"/>
      <c r="AR360" s="191"/>
      <c r="AS360" s="191"/>
      <c r="AT360" s="191"/>
    </row>
    <row r="361" spans="1:69" ht="18.75" customHeight="1">
      <c r="A361" s="192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91"/>
      <c r="AF361" s="191"/>
      <c r="AG361" s="191"/>
      <c r="AH361" s="191"/>
      <c r="AI361" s="191"/>
      <c r="AJ361" s="191"/>
      <c r="AK361" s="191"/>
      <c r="AL361" s="191"/>
      <c r="AM361" s="191"/>
      <c r="AN361" s="191"/>
      <c r="AO361" s="191"/>
      <c r="AP361" s="191"/>
      <c r="AQ361" s="191"/>
      <c r="AR361" s="191"/>
      <c r="AS361" s="191"/>
      <c r="AT361" s="191"/>
    </row>
    <row r="362" spans="1:69" ht="18.75" customHeight="1">
      <c r="A362" s="192"/>
      <c r="B362" s="191"/>
      <c r="C362" s="466" t="s">
        <v>777</v>
      </c>
      <c r="D362" s="466"/>
      <c r="E362" s="466"/>
      <c r="F362" s="252" t="s">
        <v>778</v>
      </c>
      <c r="G362" s="191" t="s">
        <v>779</v>
      </c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W362" s="193"/>
      <c r="X362" s="193"/>
      <c r="Y362" s="193"/>
      <c r="Z362" s="191"/>
      <c r="AA362" s="191"/>
      <c r="AB362" s="191"/>
      <c r="AC362" s="191"/>
      <c r="AD362" s="191"/>
      <c r="AE362" s="191"/>
      <c r="AF362" s="191"/>
      <c r="AG362" s="191"/>
      <c r="AH362" s="191"/>
      <c r="AI362" s="191"/>
      <c r="AJ362" s="191"/>
      <c r="AK362" s="191"/>
      <c r="AL362" s="191"/>
      <c r="AM362" s="191"/>
      <c r="AN362" s="191"/>
      <c r="AO362" s="191"/>
      <c r="AP362" s="191"/>
      <c r="AQ362" s="191"/>
      <c r="AR362" s="191"/>
      <c r="AS362" s="191"/>
      <c r="AT362" s="191"/>
    </row>
    <row r="363" spans="1:69" ht="18.75" customHeight="1">
      <c r="A363" s="192"/>
      <c r="B363" s="191"/>
      <c r="C363" s="466" t="s">
        <v>780</v>
      </c>
      <c r="D363" s="466"/>
      <c r="E363" s="466"/>
      <c r="F363" s="252" t="s">
        <v>781</v>
      </c>
      <c r="G363" s="191" t="s">
        <v>782</v>
      </c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W363" s="193"/>
      <c r="X363" s="193"/>
      <c r="Y363" s="193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  <c r="AM363" s="191"/>
      <c r="AN363" s="191"/>
      <c r="AO363" s="191"/>
      <c r="AP363" s="191"/>
      <c r="AQ363" s="191"/>
      <c r="AR363" s="191"/>
      <c r="AS363" s="191"/>
      <c r="AT363" s="191"/>
    </row>
    <row r="364" spans="1:69" ht="18.75" customHeight="1">
      <c r="A364" s="192"/>
      <c r="B364" s="191"/>
      <c r="C364" s="466" t="s">
        <v>783</v>
      </c>
      <c r="D364" s="466"/>
      <c r="E364" s="466"/>
      <c r="F364" s="252" t="s">
        <v>440</v>
      </c>
      <c r="G364" s="191" t="s">
        <v>784</v>
      </c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1"/>
      <c r="AT364" s="191"/>
      <c r="AU364" s="191"/>
      <c r="AV364" s="191"/>
      <c r="AW364" s="191"/>
      <c r="AX364" s="191"/>
      <c r="AY364" s="191"/>
      <c r="AZ364" s="191"/>
      <c r="BA364" s="191"/>
      <c r="BB364" s="191"/>
    </row>
    <row r="365" spans="1:69" ht="18.75" customHeight="1">
      <c r="A365" s="192"/>
      <c r="B365" s="191"/>
      <c r="C365" s="466"/>
      <c r="D365" s="466"/>
      <c r="E365" s="466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  <c r="AM365" s="191"/>
      <c r="AN365" s="191"/>
      <c r="AO365" s="191"/>
      <c r="AP365" s="191"/>
      <c r="AQ365" s="191"/>
      <c r="AR365" s="191"/>
      <c r="AS365" s="191"/>
      <c r="AT365" s="191"/>
      <c r="AU365" s="191"/>
      <c r="AV365" s="191"/>
      <c r="AW365" s="191"/>
      <c r="AX365" s="191"/>
      <c r="AY365" s="191"/>
      <c r="AZ365" s="191"/>
      <c r="BA365" s="191"/>
      <c r="BB365" s="191"/>
      <c r="BD365" s="267"/>
      <c r="BE365" s="267"/>
      <c r="BF365" s="267"/>
      <c r="BG365" s="267"/>
      <c r="BH365" s="267"/>
      <c r="BI365" s="267"/>
      <c r="BJ365" s="267"/>
      <c r="BK365" s="267"/>
      <c r="BL365" s="267"/>
      <c r="BM365" s="267"/>
      <c r="BN365" s="267"/>
      <c r="BO365" s="267"/>
      <c r="BP365" s="267"/>
      <c r="BQ365" s="267"/>
    </row>
    <row r="366" spans="1:69" ht="18.75" customHeight="1">
      <c r="A366" s="190" t="s">
        <v>785</v>
      </c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1"/>
      <c r="AT366" s="191"/>
    </row>
    <row r="367" spans="1:69" ht="18.75" customHeight="1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1"/>
      <c r="AT367" s="191"/>
    </row>
    <row r="368" spans="1:69" ht="18.75" customHeight="1">
      <c r="A368" s="191"/>
      <c r="B368" s="191"/>
      <c r="C368" s="191" t="s">
        <v>443</v>
      </c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1"/>
      <c r="AT368" s="191"/>
    </row>
    <row r="369" spans="1:58" ht="18.75" customHeight="1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1"/>
      <c r="AT369" s="191"/>
    </row>
    <row r="370" spans="1:58" ht="18.75" customHeight="1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1"/>
      <c r="AT370" s="191"/>
    </row>
    <row r="371" spans="1:58" ht="18.75" customHeight="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91"/>
      <c r="AF371" s="191"/>
      <c r="AG371" s="191"/>
      <c r="AH371" s="191"/>
      <c r="AI371" s="191"/>
      <c r="AJ371" s="191"/>
      <c r="AK371" s="191"/>
      <c r="AL371" s="191"/>
      <c r="AM371" s="191"/>
      <c r="AN371" s="191"/>
      <c r="AO371" s="191"/>
      <c r="AP371" s="191"/>
      <c r="AQ371" s="191"/>
      <c r="AR371" s="191"/>
      <c r="AS371" s="191"/>
      <c r="AT371" s="191"/>
    </row>
    <row r="372" spans="1:58" ht="18.75" customHeight="1">
      <c r="A372" s="194" t="s">
        <v>786</v>
      </c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91"/>
      <c r="AF372" s="191"/>
      <c r="AG372" s="191"/>
      <c r="AH372" s="191"/>
      <c r="AI372" s="191"/>
      <c r="AJ372" s="191"/>
      <c r="AK372" s="191"/>
      <c r="AL372" s="191"/>
      <c r="AM372" s="191"/>
      <c r="AN372" s="191"/>
      <c r="AO372" s="191"/>
      <c r="AP372" s="191"/>
      <c r="AQ372" s="191"/>
      <c r="AR372" s="191"/>
      <c r="AS372" s="191"/>
      <c r="AT372" s="191"/>
    </row>
    <row r="373" spans="1:58" ht="18.75" customHeight="1">
      <c r="A373" s="191"/>
      <c r="B373" s="445"/>
      <c r="C373" s="446"/>
      <c r="D373" s="437"/>
      <c r="E373" s="438"/>
      <c r="F373" s="438"/>
      <c r="G373" s="439"/>
      <c r="H373" s="429">
        <v>1</v>
      </c>
      <c r="I373" s="429"/>
      <c r="J373" s="429"/>
      <c r="K373" s="429"/>
      <c r="L373" s="429"/>
      <c r="M373" s="429"/>
      <c r="N373" s="429"/>
      <c r="O373" s="437">
        <v>2</v>
      </c>
      <c r="P373" s="438"/>
      <c r="Q373" s="438"/>
      <c r="R373" s="438"/>
      <c r="S373" s="438"/>
      <c r="T373" s="438"/>
      <c r="U373" s="438"/>
      <c r="V373" s="438"/>
      <c r="W373" s="438"/>
      <c r="X373" s="438"/>
      <c r="Y373" s="438"/>
      <c r="Z373" s="438"/>
      <c r="AA373" s="439"/>
      <c r="AB373" s="429">
        <v>3</v>
      </c>
      <c r="AC373" s="429"/>
      <c r="AD373" s="429"/>
      <c r="AE373" s="429"/>
      <c r="AF373" s="429"/>
      <c r="AG373" s="437">
        <v>4</v>
      </c>
      <c r="AH373" s="438"/>
      <c r="AI373" s="438"/>
      <c r="AJ373" s="438"/>
      <c r="AK373" s="438"/>
      <c r="AL373" s="438"/>
      <c r="AM373" s="438"/>
      <c r="AN373" s="438"/>
      <c r="AO373" s="439"/>
      <c r="AP373" s="437">
        <v>5</v>
      </c>
      <c r="AQ373" s="438"/>
      <c r="AR373" s="438"/>
      <c r="AS373" s="438"/>
      <c r="AT373" s="438"/>
      <c r="AU373" s="438"/>
      <c r="AV373" s="438"/>
      <c r="AW373" s="438"/>
      <c r="AX373" s="438"/>
      <c r="AY373" s="438"/>
      <c r="AZ373" s="438"/>
      <c r="BA373" s="438"/>
      <c r="BB373" s="439"/>
      <c r="BC373" s="429">
        <v>6</v>
      </c>
      <c r="BD373" s="429"/>
      <c r="BE373" s="429"/>
      <c r="BF373" s="429"/>
    </row>
    <row r="374" spans="1:58" ht="18.75" customHeight="1">
      <c r="A374" s="191"/>
      <c r="B374" s="447"/>
      <c r="C374" s="448"/>
      <c r="D374" s="445" t="s">
        <v>787</v>
      </c>
      <c r="E374" s="451"/>
      <c r="F374" s="451"/>
      <c r="G374" s="446"/>
      <c r="H374" s="452" t="s">
        <v>257</v>
      </c>
      <c r="I374" s="452"/>
      <c r="J374" s="452"/>
      <c r="K374" s="452"/>
      <c r="L374" s="452"/>
      <c r="M374" s="452"/>
      <c r="N374" s="452"/>
      <c r="O374" s="445" t="s">
        <v>788</v>
      </c>
      <c r="P374" s="451"/>
      <c r="Q374" s="451"/>
      <c r="R374" s="451"/>
      <c r="S374" s="451"/>
      <c r="T374" s="451"/>
      <c r="U374" s="451"/>
      <c r="V374" s="451"/>
      <c r="W374" s="451"/>
      <c r="X374" s="451"/>
      <c r="Y374" s="451"/>
      <c r="Z374" s="451"/>
      <c r="AA374" s="446"/>
      <c r="AB374" s="452" t="s">
        <v>789</v>
      </c>
      <c r="AC374" s="452"/>
      <c r="AD374" s="452"/>
      <c r="AE374" s="452"/>
      <c r="AF374" s="452"/>
      <c r="AG374" s="445" t="s">
        <v>267</v>
      </c>
      <c r="AH374" s="451"/>
      <c r="AI374" s="451"/>
      <c r="AJ374" s="451"/>
      <c r="AK374" s="451"/>
      <c r="AL374" s="451"/>
      <c r="AM374" s="451"/>
      <c r="AN374" s="451"/>
      <c r="AO374" s="446"/>
      <c r="AP374" s="445" t="s">
        <v>790</v>
      </c>
      <c r="AQ374" s="451"/>
      <c r="AR374" s="451"/>
      <c r="AS374" s="451"/>
      <c r="AT374" s="451"/>
      <c r="AU374" s="451"/>
      <c r="AV374" s="451"/>
      <c r="AW374" s="451"/>
      <c r="AX374" s="451"/>
      <c r="AY374" s="451"/>
      <c r="AZ374" s="451"/>
      <c r="BA374" s="451"/>
      <c r="BB374" s="446"/>
      <c r="BC374" s="452" t="s">
        <v>269</v>
      </c>
      <c r="BD374" s="452"/>
      <c r="BE374" s="452"/>
      <c r="BF374" s="452"/>
    </row>
    <row r="375" spans="1:58" ht="18.75" customHeight="1">
      <c r="A375" s="191"/>
      <c r="B375" s="449"/>
      <c r="C375" s="450"/>
      <c r="D375" s="453" t="s">
        <v>444</v>
      </c>
      <c r="E375" s="454"/>
      <c r="F375" s="454"/>
      <c r="G375" s="455"/>
      <c r="H375" s="456" t="s">
        <v>791</v>
      </c>
      <c r="I375" s="456"/>
      <c r="J375" s="456"/>
      <c r="K375" s="456"/>
      <c r="L375" s="456"/>
      <c r="M375" s="456"/>
      <c r="N375" s="456"/>
      <c r="O375" s="457" t="s">
        <v>792</v>
      </c>
      <c r="P375" s="458"/>
      <c r="Q375" s="458"/>
      <c r="R375" s="458"/>
      <c r="S375" s="458"/>
      <c r="T375" s="458"/>
      <c r="U375" s="458"/>
      <c r="V375" s="458"/>
      <c r="W375" s="458"/>
      <c r="X375" s="458"/>
      <c r="Y375" s="458"/>
      <c r="Z375" s="458"/>
      <c r="AA375" s="459"/>
      <c r="AB375" s="456"/>
      <c r="AC375" s="456"/>
      <c r="AD375" s="456"/>
      <c r="AE375" s="456"/>
      <c r="AF375" s="456"/>
      <c r="AG375" s="457" t="s">
        <v>793</v>
      </c>
      <c r="AH375" s="458"/>
      <c r="AI375" s="458"/>
      <c r="AJ375" s="458"/>
      <c r="AK375" s="458"/>
      <c r="AL375" s="458"/>
      <c r="AM375" s="458"/>
      <c r="AN375" s="458"/>
      <c r="AO375" s="459"/>
      <c r="AP375" s="457" t="s">
        <v>794</v>
      </c>
      <c r="AQ375" s="458"/>
      <c r="AR375" s="458"/>
      <c r="AS375" s="458"/>
      <c r="AT375" s="458"/>
      <c r="AU375" s="458"/>
      <c r="AV375" s="458"/>
      <c r="AW375" s="458"/>
      <c r="AX375" s="458"/>
      <c r="AY375" s="458"/>
      <c r="AZ375" s="458"/>
      <c r="BA375" s="458"/>
      <c r="BB375" s="459"/>
      <c r="BC375" s="456"/>
      <c r="BD375" s="456"/>
      <c r="BE375" s="456"/>
      <c r="BF375" s="456"/>
    </row>
    <row r="376" spans="1:58" ht="18.75" customHeight="1">
      <c r="A376" s="191"/>
      <c r="B376" s="429" t="s">
        <v>278</v>
      </c>
      <c r="C376" s="429"/>
      <c r="D376" s="430" t="s">
        <v>795</v>
      </c>
      <c r="E376" s="431"/>
      <c r="F376" s="431"/>
      <c r="G376" s="432"/>
      <c r="H376" s="433" t="e">
        <f ca="1">Calcu!E75</f>
        <v>#N/A</v>
      </c>
      <c r="I376" s="434"/>
      <c r="J376" s="434"/>
      <c r="K376" s="434"/>
      <c r="L376" s="434"/>
      <c r="M376" s="435" t="str">
        <f>Calcu!F75</f>
        <v>mm</v>
      </c>
      <c r="N376" s="436"/>
      <c r="O376" s="443" t="e">
        <f ca="1">Calcu!J75</f>
        <v>#N/A</v>
      </c>
      <c r="P376" s="444"/>
      <c r="Q376" s="444"/>
      <c r="R376" s="444"/>
      <c r="S376" s="444"/>
      <c r="T376" s="444"/>
      <c r="U376" s="444"/>
      <c r="V376" s="427" t="str">
        <f>Calcu!L75</f>
        <v>μm</v>
      </c>
      <c r="W376" s="427"/>
      <c r="X376" s="427"/>
      <c r="Y376" s="427"/>
      <c r="Z376" s="427"/>
      <c r="AA376" s="428"/>
      <c r="AB376" s="429" t="str">
        <f>Calcu!M75</f>
        <v>정규</v>
      </c>
      <c r="AC376" s="429"/>
      <c r="AD376" s="429"/>
      <c r="AE376" s="429"/>
      <c r="AF376" s="429"/>
      <c r="AG376" s="437">
        <f>Calcu!P75</f>
        <v>1</v>
      </c>
      <c r="AH376" s="438"/>
      <c r="AI376" s="438"/>
      <c r="AJ376" s="438"/>
      <c r="AK376" s="438"/>
      <c r="AL376" s="438"/>
      <c r="AM376" s="438"/>
      <c r="AN376" s="438"/>
      <c r="AO376" s="439"/>
      <c r="AP376" s="443" t="e">
        <f ca="1">Calcu!R75</f>
        <v>#N/A</v>
      </c>
      <c r="AQ376" s="444"/>
      <c r="AR376" s="444"/>
      <c r="AS376" s="444"/>
      <c r="AT376" s="444"/>
      <c r="AU376" s="444"/>
      <c r="AV376" s="444"/>
      <c r="AW376" s="427" t="str">
        <f>Calcu!T75</f>
        <v>μm</v>
      </c>
      <c r="AX376" s="427"/>
      <c r="AY376" s="427"/>
      <c r="AZ376" s="427"/>
      <c r="BA376" s="427"/>
      <c r="BB376" s="428"/>
      <c r="BC376" s="429" t="str">
        <f>Calcu!U75</f>
        <v>∞</v>
      </c>
      <c r="BD376" s="429"/>
      <c r="BE376" s="429"/>
      <c r="BF376" s="429"/>
    </row>
    <row r="377" spans="1:58" ht="18.75" customHeight="1">
      <c r="A377" s="191"/>
      <c r="B377" s="429" t="s">
        <v>283</v>
      </c>
      <c r="C377" s="429"/>
      <c r="D377" s="430" t="s">
        <v>796</v>
      </c>
      <c r="E377" s="431"/>
      <c r="F377" s="431"/>
      <c r="G377" s="432"/>
      <c r="H377" s="433" t="e">
        <f ca="1">Calcu!E76</f>
        <v>#N/A</v>
      </c>
      <c r="I377" s="434"/>
      <c r="J377" s="434"/>
      <c r="K377" s="434"/>
      <c r="L377" s="434"/>
      <c r="M377" s="435" t="str">
        <f>Calcu!F76</f>
        <v>mm</v>
      </c>
      <c r="N377" s="436"/>
      <c r="O377" s="440" t="e">
        <f ca="1">Calcu!J76</f>
        <v>#N/A</v>
      </c>
      <c r="P377" s="441"/>
      <c r="Q377" s="441"/>
      <c r="R377" s="274"/>
      <c r="S377" s="442" t="e">
        <f ca="1">Calcu!K76</f>
        <v>#N/A</v>
      </c>
      <c r="T377" s="442"/>
      <c r="U377" s="442"/>
      <c r="V377" s="442"/>
      <c r="W377" s="275"/>
      <c r="X377" s="275"/>
      <c r="Y377" s="275"/>
      <c r="Z377" s="427" t="str">
        <f>Calcu!L76</f>
        <v>μm</v>
      </c>
      <c r="AA377" s="428"/>
      <c r="AB377" s="429" t="str">
        <f>Calcu!M76</f>
        <v>정규</v>
      </c>
      <c r="AC377" s="429"/>
      <c r="AD377" s="429"/>
      <c r="AE377" s="429"/>
      <c r="AF377" s="429"/>
      <c r="AG377" s="437">
        <f>Calcu!P76</f>
        <v>-1</v>
      </c>
      <c r="AH377" s="438"/>
      <c r="AI377" s="438"/>
      <c r="AJ377" s="438"/>
      <c r="AK377" s="438"/>
      <c r="AL377" s="438"/>
      <c r="AM377" s="438"/>
      <c r="AN377" s="438"/>
      <c r="AO377" s="439"/>
      <c r="AP377" s="440" t="e">
        <f ca="1">Calcu!R76</f>
        <v>#N/A</v>
      </c>
      <c r="AQ377" s="441"/>
      <c r="AR377" s="441"/>
      <c r="AS377" s="274"/>
      <c r="AT377" s="435" t="e">
        <f ca="1">Calcu!S76</f>
        <v>#N/A</v>
      </c>
      <c r="AU377" s="435"/>
      <c r="AV377" s="435"/>
      <c r="AW377" s="435"/>
      <c r="AX377" s="275"/>
      <c r="AY377" s="275"/>
      <c r="AZ377" s="275"/>
      <c r="BA377" s="427" t="str">
        <f>Calcu!T76</f>
        <v>μm</v>
      </c>
      <c r="BB377" s="428"/>
      <c r="BC377" s="429" t="str">
        <f>Calcu!U76</f>
        <v>∞</v>
      </c>
      <c r="BD377" s="429"/>
      <c r="BE377" s="429"/>
      <c r="BF377" s="429"/>
    </row>
    <row r="378" spans="1:58" ht="18.75" customHeight="1">
      <c r="A378" s="191"/>
      <c r="B378" s="429" t="s">
        <v>286</v>
      </c>
      <c r="C378" s="429"/>
      <c r="D378" s="430" t="s">
        <v>797</v>
      </c>
      <c r="E378" s="431"/>
      <c r="F378" s="431"/>
      <c r="G378" s="432"/>
      <c r="H378" s="433" t="e">
        <f ca="1">Calcu!E77</f>
        <v>#N/A</v>
      </c>
      <c r="I378" s="434"/>
      <c r="J378" s="434"/>
      <c r="K378" s="434"/>
      <c r="L378" s="434"/>
      <c r="M378" s="435" t="str">
        <f>Calcu!F77</f>
        <v>mm</v>
      </c>
      <c r="N378" s="436"/>
      <c r="O378" s="437"/>
      <c r="P378" s="438"/>
      <c r="Q378" s="438"/>
      <c r="R378" s="438"/>
      <c r="S378" s="438"/>
      <c r="T378" s="438"/>
      <c r="U378" s="438"/>
      <c r="V378" s="438"/>
      <c r="W378" s="438"/>
      <c r="X378" s="438"/>
      <c r="Y378" s="438"/>
      <c r="Z378" s="438"/>
      <c r="AA378" s="439"/>
      <c r="AB378" s="429"/>
      <c r="AC378" s="429"/>
      <c r="AD378" s="429"/>
      <c r="AE378" s="429"/>
      <c r="AF378" s="429"/>
      <c r="AG378" s="437"/>
      <c r="AH378" s="438"/>
      <c r="AI378" s="438"/>
      <c r="AJ378" s="438"/>
      <c r="AK378" s="438"/>
      <c r="AL378" s="438"/>
      <c r="AM378" s="438"/>
      <c r="AN378" s="438"/>
      <c r="AO378" s="439"/>
      <c r="AP378" s="440" t="e">
        <f ca="1">Calcu!R77</f>
        <v>#N/A</v>
      </c>
      <c r="AQ378" s="441"/>
      <c r="AR378" s="441"/>
      <c r="AS378" s="274"/>
      <c r="AT378" s="276"/>
      <c r="AU378" s="434" t="e">
        <f ca="1">Calcu!S77</f>
        <v>#N/A</v>
      </c>
      <c r="AV378" s="434"/>
      <c r="AW378" s="434"/>
      <c r="AX378" s="275"/>
      <c r="AY378" s="275"/>
      <c r="AZ378" s="275"/>
      <c r="BA378" s="427" t="str">
        <f>Calcu!T77</f>
        <v>μm</v>
      </c>
      <c r="BB378" s="428"/>
      <c r="BC378" s="429" t="str">
        <f>Calcu!U77</f>
        <v>∞</v>
      </c>
      <c r="BD378" s="429"/>
      <c r="BE378" s="429"/>
      <c r="BF378" s="429"/>
    </row>
    <row r="379" spans="1:58" ht="18.75" customHeight="1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1"/>
      <c r="AF379" s="191"/>
      <c r="AG379" s="195" t="s">
        <v>798</v>
      </c>
      <c r="AH379" s="191"/>
      <c r="AI379" s="191"/>
      <c r="AJ379" s="195" t="str">
        <f>$B$5&amp;"의 명목값이며, 단위는 mm 이다."</f>
        <v>캘리퍼 검사기의 명목값이며, 단위는 mm 이다.</v>
      </c>
      <c r="AK379" s="191"/>
      <c r="AL379" s="191"/>
      <c r="AM379" s="191"/>
      <c r="AN379" s="191"/>
      <c r="AO379" s="191"/>
      <c r="AP379" s="191"/>
      <c r="AQ379" s="191"/>
      <c r="AR379" s="191"/>
      <c r="AS379" s="191"/>
      <c r="AT379" s="191"/>
    </row>
    <row r="380" spans="1:58" ht="18.75" customHeight="1">
      <c r="A380" s="190" t="s">
        <v>449</v>
      </c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1"/>
      <c r="AT380" s="191"/>
    </row>
    <row r="381" spans="1:58" ht="18.75" customHeight="1">
      <c r="A381" s="191"/>
      <c r="B381" s="196" t="s">
        <v>450</v>
      </c>
      <c r="C381" s="197" t="s">
        <v>799</v>
      </c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P381" s="191"/>
      <c r="Q381" s="191"/>
      <c r="R381" s="198" t="s">
        <v>800</v>
      </c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1"/>
      <c r="AT381" s="191"/>
    </row>
    <row r="382" spans="1:58" ht="18.75" customHeight="1">
      <c r="A382" s="191"/>
      <c r="B382" s="196"/>
      <c r="C382" s="191" t="s">
        <v>801</v>
      </c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P382" s="191"/>
      <c r="Q382" s="191"/>
      <c r="R382" s="198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1"/>
      <c r="AT382" s="191"/>
    </row>
    <row r="383" spans="1:58" ht="18.75" customHeight="1">
      <c r="A383" s="191"/>
      <c r="B383" s="196"/>
      <c r="D383" s="191" t="s">
        <v>802</v>
      </c>
      <c r="E383" s="191"/>
      <c r="F383" s="191"/>
      <c r="G383" s="191"/>
      <c r="H383" s="191"/>
      <c r="I383" s="191"/>
      <c r="J383" s="191"/>
      <c r="K383" s="191"/>
      <c r="L383" s="191"/>
      <c r="M383" s="191"/>
      <c r="P383" s="191"/>
      <c r="Q383" s="191"/>
      <c r="R383" s="198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1"/>
      <c r="AT383" s="191"/>
    </row>
    <row r="384" spans="1:58" ht="18.75" customHeight="1">
      <c r="A384" s="191"/>
      <c r="B384" s="191"/>
      <c r="C384" s="191" t="s">
        <v>451</v>
      </c>
      <c r="D384" s="191"/>
      <c r="E384" s="191"/>
      <c r="F384" s="191"/>
      <c r="G384" s="191"/>
      <c r="H384" s="191"/>
      <c r="I384" s="425" t="e">
        <f ca="1">H376</f>
        <v>#N/A</v>
      </c>
      <c r="J384" s="425"/>
      <c r="K384" s="425"/>
      <c r="L384" s="425"/>
      <c r="M384" s="425"/>
      <c r="N384" s="426" t="str">
        <f>M376</f>
        <v>mm</v>
      </c>
      <c r="O384" s="426"/>
      <c r="P384" s="260"/>
      <c r="Q384" s="191"/>
      <c r="R384" s="191"/>
      <c r="S384" s="191"/>
      <c r="T384" s="191"/>
      <c r="U384" s="191"/>
      <c r="V384" s="191"/>
      <c r="W384" s="191"/>
      <c r="X384" s="191"/>
      <c r="Y384" s="191"/>
      <c r="Z384" s="188"/>
      <c r="AC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1"/>
      <c r="AT384" s="191"/>
    </row>
    <row r="385" spans="1:60" s="188" customFormat="1" ht="18.75" customHeight="1">
      <c r="B385" s="190"/>
      <c r="C385" s="271" t="s">
        <v>803</v>
      </c>
      <c r="D385" s="271"/>
      <c r="E385" s="271"/>
      <c r="F385" s="271"/>
      <c r="G385" s="271"/>
      <c r="H385" s="271"/>
      <c r="I385" s="271"/>
      <c r="J385" s="271"/>
      <c r="K385" s="423" t="s">
        <v>804</v>
      </c>
      <c r="L385" s="423"/>
      <c r="M385" s="423"/>
      <c r="N385" s="270" t="s">
        <v>805</v>
      </c>
      <c r="O385" s="201"/>
      <c r="P385" s="419" t="e">
        <f ca="1">O377</f>
        <v>#N/A</v>
      </c>
      <c r="Q385" s="419"/>
      <c r="R385" s="277"/>
      <c r="T385" s="420" t="e">
        <f ca="1">S377</f>
        <v>#N/A</v>
      </c>
      <c r="U385" s="420"/>
      <c r="V385" s="420"/>
      <c r="W385" s="202"/>
      <c r="X385" s="271"/>
      <c r="Z385" s="421" t="s">
        <v>191</v>
      </c>
      <c r="AA385" s="421"/>
      <c r="AB385" s="278" t="s">
        <v>806</v>
      </c>
      <c r="AC385" s="424" t="e">
        <f ca="1">O376</f>
        <v>#N/A</v>
      </c>
      <c r="AD385" s="424"/>
      <c r="AE385" s="424"/>
      <c r="AF385" s="421" t="s">
        <v>191</v>
      </c>
      <c r="AG385" s="421"/>
      <c r="AP385" s="271"/>
      <c r="AQ385" s="271"/>
      <c r="AR385" s="202"/>
      <c r="AS385" s="203"/>
      <c r="AT385" s="203"/>
      <c r="AU385" s="203"/>
      <c r="AV385" s="203"/>
      <c r="AY385" s="271"/>
      <c r="AZ385" s="271"/>
      <c r="BC385" s="271"/>
      <c r="BD385" s="271"/>
      <c r="BE385" s="271"/>
      <c r="BF385" s="271"/>
      <c r="BG385" s="271"/>
      <c r="BH385" s="271"/>
    </row>
    <row r="386" spans="1:60" s="188" customFormat="1" ht="18.75" customHeight="1">
      <c r="B386" s="190"/>
      <c r="C386" s="271" t="s">
        <v>807</v>
      </c>
      <c r="D386" s="271"/>
      <c r="E386" s="271"/>
      <c r="F386" s="271"/>
      <c r="G386" s="271"/>
      <c r="H386" s="271"/>
      <c r="I386" s="421" t="str">
        <f>AB376</f>
        <v>정규</v>
      </c>
      <c r="J386" s="421"/>
      <c r="K386" s="421"/>
      <c r="L386" s="421"/>
      <c r="M386" s="42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  <c r="AA386" s="271"/>
      <c r="AB386" s="271"/>
      <c r="AC386" s="271"/>
      <c r="AD386" s="271"/>
      <c r="AE386" s="271"/>
      <c r="AF386" s="271"/>
      <c r="AG386" s="271"/>
      <c r="AH386" s="271"/>
      <c r="AI386" s="271"/>
      <c r="AJ386" s="271"/>
      <c r="AK386" s="271"/>
      <c r="AL386" s="271"/>
      <c r="AM386" s="271"/>
      <c r="AN386" s="271"/>
      <c r="AO386" s="271"/>
      <c r="AP386" s="271"/>
      <c r="AQ386" s="271"/>
      <c r="AR386" s="271"/>
      <c r="AS386" s="271"/>
      <c r="AT386" s="271"/>
      <c r="AU386" s="271"/>
      <c r="AV386" s="271"/>
      <c r="AW386" s="271"/>
      <c r="AX386" s="271"/>
      <c r="AY386" s="271"/>
      <c r="AZ386" s="271"/>
      <c r="BA386" s="271"/>
      <c r="BB386" s="271"/>
      <c r="BC386" s="271"/>
      <c r="BD386" s="271"/>
      <c r="BE386" s="271"/>
      <c r="BF386" s="271"/>
      <c r="BG386" s="271"/>
    </row>
    <row r="387" spans="1:60" s="188" customFormat="1" ht="18.75" customHeight="1">
      <c r="B387" s="190"/>
      <c r="C387" s="421" t="s">
        <v>808</v>
      </c>
      <c r="D387" s="421"/>
      <c r="E387" s="421"/>
      <c r="F387" s="421"/>
      <c r="G387" s="421"/>
      <c r="H387" s="421"/>
      <c r="I387" s="250"/>
      <c r="J387" s="250"/>
      <c r="K387" s="191"/>
      <c r="L387" s="191"/>
      <c r="M387" s="55"/>
      <c r="N387" s="409">
        <f>AG376</f>
        <v>1</v>
      </c>
      <c r="O387" s="409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  <c r="AA387" s="271"/>
      <c r="AB387" s="271"/>
      <c r="AC387" s="271"/>
      <c r="AD387" s="271"/>
      <c r="AE387" s="271"/>
      <c r="AF387" s="271"/>
      <c r="AG387" s="271"/>
      <c r="AH387" s="271"/>
      <c r="AI387" s="271"/>
      <c r="AJ387" s="271"/>
      <c r="AK387" s="271"/>
      <c r="AL387" s="271"/>
      <c r="AM387" s="271"/>
      <c r="AN387" s="271"/>
      <c r="AO387" s="271"/>
      <c r="AP387" s="271"/>
      <c r="AQ387" s="271"/>
      <c r="AR387" s="271"/>
      <c r="AS387" s="271"/>
      <c r="AT387" s="271"/>
      <c r="AU387" s="271"/>
      <c r="AV387" s="271"/>
      <c r="AW387" s="271"/>
      <c r="AX387" s="271"/>
      <c r="AY387" s="271"/>
      <c r="AZ387" s="271"/>
      <c r="BA387" s="271"/>
      <c r="BB387" s="271"/>
      <c r="BC387" s="271"/>
      <c r="BD387" s="271"/>
      <c r="BE387" s="271"/>
      <c r="BF387" s="271"/>
      <c r="BG387" s="271"/>
    </row>
    <row r="388" spans="1:60" s="188" customFormat="1" ht="18.75" customHeight="1">
      <c r="B388" s="190"/>
      <c r="C388" s="421"/>
      <c r="D388" s="421"/>
      <c r="E388" s="421"/>
      <c r="F388" s="421"/>
      <c r="G388" s="421"/>
      <c r="H388" s="421"/>
      <c r="I388" s="257"/>
      <c r="J388" s="257"/>
      <c r="K388" s="191"/>
      <c r="L388" s="191"/>
      <c r="M388" s="55"/>
      <c r="N388" s="409"/>
      <c r="O388" s="409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AR388" s="271"/>
      <c r="AS388" s="271"/>
      <c r="AT388" s="271"/>
      <c r="AU388" s="271"/>
      <c r="AV388" s="271"/>
      <c r="AW388" s="271"/>
      <c r="AX388" s="271"/>
      <c r="AY388" s="271"/>
      <c r="AZ388" s="271"/>
      <c r="BA388" s="271"/>
      <c r="BB388" s="271"/>
      <c r="BC388" s="271"/>
      <c r="BD388" s="271"/>
      <c r="BE388" s="271"/>
      <c r="BF388" s="271"/>
      <c r="BG388" s="271"/>
    </row>
    <row r="389" spans="1:60" s="191" customFormat="1" ht="18.75" customHeight="1">
      <c r="C389" s="191" t="s">
        <v>809</v>
      </c>
      <c r="K389" s="253" t="s">
        <v>810</v>
      </c>
      <c r="L389" s="412">
        <f>N387</f>
        <v>1</v>
      </c>
      <c r="M389" s="412"/>
      <c r="N389" s="250" t="s">
        <v>606</v>
      </c>
      <c r="O389" s="424" t="e">
        <f ca="1">AC385</f>
        <v>#N/A</v>
      </c>
      <c r="P389" s="424"/>
      <c r="Q389" s="424"/>
      <c r="R389" s="421" t="str">
        <f>AF385</f>
        <v>μm</v>
      </c>
      <c r="S389" s="421"/>
      <c r="T389" s="253" t="s">
        <v>455</v>
      </c>
      <c r="U389" s="269" t="s">
        <v>806</v>
      </c>
      <c r="V389" s="424" t="e">
        <f ca="1">AP376</f>
        <v>#N/A</v>
      </c>
      <c r="W389" s="424"/>
      <c r="X389" s="424"/>
      <c r="Y389" s="421" t="str">
        <f>AW376</f>
        <v>μm</v>
      </c>
      <c r="Z389" s="421"/>
      <c r="AA389" s="250"/>
      <c r="AB389" s="252"/>
      <c r="AC389" s="252"/>
      <c r="AD389" s="258"/>
      <c r="AE389" s="258"/>
      <c r="AF389" s="258"/>
      <c r="AG389" s="204"/>
      <c r="AH389" s="255"/>
      <c r="AI389" s="255"/>
      <c r="AJ389" s="255"/>
      <c r="AK389" s="255"/>
      <c r="AL389" s="255"/>
      <c r="AO389" s="250"/>
      <c r="AP389" s="250"/>
    </row>
    <row r="390" spans="1:60" ht="18.75" customHeight="1">
      <c r="A390" s="191"/>
      <c r="B390" s="191"/>
      <c r="C390" s="250" t="s">
        <v>811</v>
      </c>
      <c r="D390" s="250"/>
      <c r="E390" s="250"/>
      <c r="F390" s="250"/>
      <c r="G390" s="250"/>
      <c r="I390" s="205" t="s">
        <v>812</v>
      </c>
      <c r="J390" s="191"/>
      <c r="K390" s="191"/>
      <c r="L390" s="191"/>
      <c r="M390" s="191"/>
      <c r="N390" s="191"/>
      <c r="O390" s="191"/>
      <c r="P390" s="191"/>
      <c r="Q390" s="191"/>
      <c r="R390" s="191"/>
      <c r="S390" s="206"/>
      <c r="T390" s="206"/>
      <c r="U390" s="191"/>
      <c r="V390" s="191"/>
      <c r="W390" s="191"/>
      <c r="X390" s="191"/>
      <c r="Y390" s="191"/>
      <c r="Z390" s="191"/>
      <c r="AA390" s="191"/>
      <c r="AB390" s="191"/>
      <c r="AC390" s="191"/>
      <c r="AF390" s="191"/>
      <c r="AG390" s="191"/>
      <c r="AH390" s="191"/>
      <c r="AI390" s="191"/>
      <c r="AJ390" s="191"/>
      <c r="AK390" s="191"/>
      <c r="AL390" s="191"/>
      <c r="AM390" s="191"/>
      <c r="AN390" s="191"/>
      <c r="AO390" s="191"/>
      <c r="AP390" s="191"/>
      <c r="AQ390" s="191"/>
      <c r="AR390" s="191"/>
      <c r="AS390" s="191"/>
    </row>
    <row r="391" spans="1:60" s="191" customFormat="1" ht="18.75" customHeight="1"/>
    <row r="392" spans="1:60" ht="18.75" customHeight="1">
      <c r="A392" s="191"/>
      <c r="B392" s="196" t="s">
        <v>813</v>
      </c>
      <c r="C392" s="197" t="s">
        <v>814</v>
      </c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P392" s="191"/>
      <c r="Q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  <c r="AD392" s="191"/>
      <c r="AF392" s="191"/>
      <c r="AG392" s="198" t="s">
        <v>815</v>
      </c>
      <c r="AH392" s="191"/>
      <c r="AI392" s="191"/>
      <c r="AJ392" s="191"/>
      <c r="AK392" s="191"/>
      <c r="AL392" s="191"/>
      <c r="AM392" s="191"/>
      <c r="AN392" s="191"/>
      <c r="AO392" s="191"/>
      <c r="AP392" s="191"/>
      <c r="AQ392" s="191"/>
      <c r="AR392" s="191"/>
      <c r="AS392" s="191"/>
      <c r="AT392" s="191"/>
    </row>
    <row r="393" spans="1:60" ht="18.75" customHeight="1">
      <c r="A393" s="191"/>
      <c r="B393" s="196"/>
      <c r="C393" s="191" t="s">
        <v>801</v>
      </c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P393" s="191"/>
      <c r="Q393" s="191"/>
      <c r="R393" s="198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91"/>
      <c r="AF393" s="191"/>
      <c r="AG393" s="191"/>
      <c r="AH393" s="191"/>
      <c r="AI393" s="191"/>
      <c r="AJ393" s="191"/>
      <c r="AK393" s="191"/>
      <c r="AL393" s="191"/>
      <c r="AM393" s="191"/>
      <c r="AN393" s="191"/>
      <c r="AO393" s="191"/>
      <c r="AP393" s="191"/>
      <c r="AQ393" s="191"/>
      <c r="AR393" s="191"/>
      <c r="AS393" s="191"/>
      <c r="AT393" s="191"/>
    </row>
    <row r="394" spans="1:60" ht="18.75" customHeight="1">
      <c r="A394" s="191"/>
      <c r="B394" s="196"/>
      <c r="D394" s="191" t="s">
        <v>816</v>
      </c>
      <c r="E394" s="191"/>
      <c r="F394" s="191"/>
      <c r="G394" s="191"/>
      <c r="H394" s="191"/>
      <c r="I394" s="191"/>
      <c r="J394" s="191"/>
      <c r="K394" s="191"/>
      <c r="L394" s="191"/>
      <c r="M394" s="191"/>
      <c r="P394" s="191"/>
      <c r="Q394" s="191"/>
      <c r="R394" s="198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1"/>
      <c r="AF394" s="191"/>
      <c r="AG394" s="191"/>
      <c r="AH394" s="191"/>
      <c r="AI394" s="191"/>
      <c r="AJ394" s="191"/>
      <c r="AK394" s="191"/>
      <c r="AL394" s="191"/>
      <c r="AM394" s="191"/>
      <c r="AN394" s="191"/>
      <c r="AO394" s="191"/>
      <c r="AP394" s="191"/>
      <c r="AQ394" s="191"/>
      <c r="AR394" s="191"/>
      <c r="AS394" s="191"/>
      <c r="AT394" s="191"/>
    </row>
    <row r="395" spans="1:60" ht="18.75" customHeight="1">
      <c r="A395" s="191"/>
      <c r="B395" s="191"/>
      <c r="C395" s="191" t="s">
        <v>817</v>
      </c>
      <c r="D395" s="191"/>
      <c r="E395" s="191"/>
      <c r="F395" s="191"/>
      <c r="G395" s="191"/>
      <c r="H395" s="191"/>
      <c r="I395" s="425" t="e">
        <f ca="1">H377</f>
        <v>#N/A</v>
      </c>
      <c r="J395" s="425"/>
      <c r="K395" s="425"/>
      <c r="L395" s="425"/>
      <c r="M395" s="425"/>
      <c r="N395" s="426" t="str">
        <f>M377</f>
        <v>mm</v>
      </c>
      <c r="O395" s="426"/>
      <c r="P395" s="260"/>
      <c r="Q395" s="191"/>
      <c r="R395" s="191"/>
      <c r="S395" s="191"/>
      <c r="T395" s="191"/>
      <c r="U395" s="191"/>
      <c r="V395" s="191"/>
      <c r="W395" s="191"/>
      <c r="X395" s="191"/>
      <c r="Y395" s="191"/>
      <c r="Z395" s="188"/>
      <c r="AC395" s="191"/>
      <c r="AG395" s="191"/>
      <c r="AH395" s="191"/>
      <c r="AI395" s="191"/>
      <c r="AJ395" s="191"/>
      <c r="AK395" s="191"/>
      <c r="AL395" s="191"/>
      <c r="AM395" s="191"/>
      <c r="AN395" s="191"/>
      <c r="AO395" s="191"/>
      <c r="AP395" s="191"/>
      <c r="AQ395" s="191"/>
      <c r="AR395" s="191"/>
      <c r="AS395" s="191"/>
      <c r="AT395" s="191"/>
    </row>
    <row r="396" spans="1:60" s="188" customFormat="1" ht="18.75" customHeight="1">
      <c r="B396" s="190"/>
      <c r="C396" s="271" t="s">
        <v>601</v>
      </c>
      <c r="D396" s="271"/>
      <c r="E396" s="271"/>
      <c r="F396" s="271"/>
      <c r="G396" s="271"/>
      <c r="H396" s="271"/>
      <c r="I396" s="271"/>
      <c r="J396" s="271"/>
      <c r="K396" s="423" t="s">
        <v>818</v>
      </c>
      <c r="L396" s="423"/>
      <c r="M396" s="423"/>
      <c r="N396" s="270" t="s">
        <v>453</v>
      </c>
      <c r="O396" s="201"/>
      <c r="P396" s="419" t="e">
        <f ca="1">O377</f>
        <v>#N/A</v>
      </c>
      <c r="Q396" s="419"/>
      <c r="R396" s="277"/>
      <c r="T396" s="420" t="e">
        <f ca="1">S377</f>
        <v>#N/A</v>
      </c>
      <c r="U396" s="420"/>
      <c r="V396" s="420"/>
      <c r="W396" s="202"/>
      <c r="X396" s="271"/>
      <c r="Z396" s="421" t="s">
        <v>730</v>
      </c>
      <c r="AA396" s="421"/>
      <c r="AB396" s="278"/>
      <c r="AC396" s="279"/>
      <c r="AD396" s="279"/>
      <c r="AE396" s="279"/>
      <c r="AF396" s="271"/>
      <c r="AG396" s="271"/>
      <c r="AP396" s="271"/>
      <c r="AQ396" s="271"/>
      <c r="AR396" s="202"/>
      <c r="AS396" s="203"/>
      <c r="AT396" s="203"/>
      <c r="AU396" s="203"/>
      <c r="AV396" s="203"/>
      <c r="AY396" s="271"/>
      <c r="AZ396" s="271"/>
      <c r="BC396" s="271"/>
      <c r="BD396" s="271"/>
      <c r="BE396" s="271"/>
      <c r="BF396" s="271"/>
      <c r="BG396" s="271"/>
      <c r="BH396" s="271"/>
    </row>
    <row r="397" spans="1:60" s="188" customFormat="1" ht="18.75" customHeight="1">
      <c r="B397" s="190"/>
      <c r="C397" s="271" t="s">
        <v>819</v>
      </c>
      <c r="D397" s="271"/>
      <c r="E397" s="271"/>
      <c r="F397" s="271"/>
      <c r="G397" s="271"/>
      <c r="H397" s="271"/>
      <c r="I397" s="421" t="str">
        <f>AB377</f>
        <v>정규</v>
      </c>
      <c r="J397" s="421"/>
      <c r="K397" s="421"/>
      <c r="L397" s="421"/>
      <c r="M397" s="42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  <c r="AA397" s="271"/>
      <c r="AB397" s="271"/>
      <c r="AC397" s="271"/>
      <c r="AD397" s="271"/>
      <c r="AE397" s="271"/>
      <c r="AF397" s="271"/>
      <c r="AG397" s="271"/>
      <c r="AH397" s="271"/>
      <c r="AI397" s="271"/>
      <c r="AJ397" s="271"/>
      <c r="AK397" s="271"/>
      <c r="AL397" s="271"/>
      <c r="AM397" s="271"/>
      <c r="AN397" s="271"/>
      <c r="AO397" s="271"/>
      <c r="AP397" s="271"/>
      <c r="AQ397" s="271"/>
      <c r="AR397" s="271"/>
      <c r="AS397" s="271"/>
      <c r="AT397" s="271"/>
      <c r="AU397" s="271"/>
      <c r="AV397" s="271"/>
      <c r="AW397" s="271"/>
      <c r="AX397" s="271"/>
      <c r="AY397" s="271"/>
      <c r="AZ397" s="271"/>
      <c r="BA397" s="271"/>
      <c r="BB397" s="271"/>
      <c r="BC397" s="271"/>
      <c r="BD397" s="271"/>
      <c r="BE397" s="271"/>
      <c r="BF397" s="271"/>
      <c r="BG397" s="271"/>
    </row>
    <row r="398" spans="1:60" s="188" customFormat="1" ht="18.75" customHeight="1">
      <c r="B398" s="190"/>
      <c r="C398" s="421" t="s">
        <v>462</v>
      </c>
      <c r="D398" s="421"/>
      <c r="E398" s="421"/>
      <c r="F398" s="421"/>
      <c r="G398" s="421"/>
      <c r="H398" s="421"/>
      <c r="I398" s="250"/>
      <c r="J398" s="250"/>
      <c r="K398" s="191"/>
      <c r="L398" s="191"/>
      <c r="M398" s="55"/>
      <c r="N398" s="409">
        <f>AG377</f>
        <v>-1</v>
      </c>
      <c r="O398" s="409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  <c r="AA398" s="271"/>
      <c r="AB398" s="271"/>
      <c r="AC398" s="271"/>
      <c r="AD398" s="271"/>
      <c r="AE398" s="271"/>
      <c r="AF398" s="271"/>
      <c r="AG398" s="271"/>
      <c r="AH398" s="271"/>
      <c r="AI398" s="271"/>
      <c r="AJ398" s="271"/>
      <c r="AK398" s="271"/>
      <c r="AL398" s="271"/>
      <c r="AM398" s="271"/>
      <c r="AN398" s="271"/>
      <c r="AO398" s="271"/>
      <c r="AP398" s="271"/>
      <c r="AQ398" s="271"/>
      <c r="AR398" s="271"/>
      <c r="AS398" s="271"/>
      <c r="AT398" s="271"/>
      <c r="AU398" s="271"/>
      <c r="AV398" s="271"/>
      <c r="AW398" s="271"/>
      <c r="AX398" s="271"/>
      <c r="AY398" s="271"/>
      <c r="AZ398" s="271"/>
      <c r="BA398" s="271"/>
      <c r="BB398" s="271"/>
      <c r="BC398" s="271"/>
      <c r="BD398" s="271"/>
      <c r="BE398" s="271"/>
      <c r="BF398" s="271"/>
      <c r="BG398" s="271"/>
    </row>
    <row r="399" spans="1:60" s="188" customFormat="1" ht="18.75" customHeight="1">
      <c r="B399" s="190"/>
      <c r="C399" s="421"/>
      <c r="D399" s="421"/>
      <c r="E399" s="421"/>
      <c r="F399" s="421"/>
      <c r="G399" s="421"/>
      <c r="H399" s="421"/>
      <c r="I399" s="257"/>
      <c r="J399" s="257"/>
      <c r="K399" s="191"/>
      <c r="L399" s="191"/>
      <c r="M399" s="55"/>
      <c r="N399" s="409"/>
      <c r="O399" s="409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AR399" s="271"/>
      <c r="AS399" s="271"/>
      <c r="AT399" s="271"/>
      <c r="AU399" s="271"/>
      <c r="AV399" s="271"/>
      <c r="AW399" s="271"/>
      <c r="AX399" s="271"/>
      <c r="AY399" s="271"/>
      <c r="AZ399" s="271"/>
      <c r="BA399" s="271"/>
      <c r="BB399" s="271"/>
      <c r="BC399" s="271"/>
      <c r="BD399" s="271"/>
      <c r="BE399" s="271"/>
      <c r="BF399" s="271"/>
      <c r="BG399" s="271"/>
    </row>
    <row r="400" spans="1:60" s="191" customFormat="1" ht="18.75" customHeight="1">
      <c r="C400" s="191" t="s">
        <v>820</v>
      </c>
      <c r="K400" s="253" t="s">
        <v>455</v>
      </c>
      <c r="L400" s="412">
        <f>N398</f>
        <v>-1</v>
      </c>
      <c r="M400" s="412"/>
      <c r="N400" s="250" t="s">
        <v>606</v>
      </c>
      <c r="O400" s="201"/>
      <c r="P400" s="419" t="e">
        <f ca="1">P396</f>
        <v>#N/A</v>
      </c>
      <c r="Q400" s="419"/>
      <c r="R400" s="277"/>
      <c r="S400" s="188"/>
      <c r="T400" s="420" t="e">
        <f ca="1">T396</f>
        <v>#N/A</v>
      </c>
      <c r="U400" s="420"/>
      <c r="V400" s="420"/>
      <c r="W400" s="202"/>
      <c r="X400" s="271"/>
      <c r="Y400" s="188"/>
      <c r="Z400" s="421" t="s">
        <v>730</v>
      </c>
      <c r="AA400" s="421"/>
      <c r="AB400" s="253" t="s">
        <v>455</v>
      </c>
      <c r="AC400" s="269" t="s">
        <v>806</v>
      </c>
      <c r="AD400" s="201"/>
      <c r="AE400" s="419" t="e">
        <f ca="1">AP377</f>
        <v>#N/A</v>
      </c>
      <c r="AF400" s="419"/>
      <c r="AG400" s="277"/>
      <c r="AH400" s="188"/>
      <c r="AI400" s="420" t="e">
        <f ca="1">AT377</f>
        <v>#N/A</v>
      </c>
      <c r="AJ400" s="420"/>
      <c r="AK400" s="420"/>
      <c r="AL400" s="202"/>
      <c r="AM400" s="271"/>
      <c r="AN400" s="188"/>
      <c r="AO400" s="421" t="s">
        <v>191</v>
      </c>
      <c r="AP400" s="421"/>
    </row>
    <row r="401" spans="1:60" ht="18.75" customHeight="1">
      <c r="A401" s="191"/>
      <c r="B401" s="191"/>
      <c r="C401" s="250" t="s">
        <v>463</v>
      </c>
      <c r="D401" s="250"/>
      <c r="E401" s="250"/>
      <c r="F401" s="250"/>
      <c r="G401" s="250"/>
      <c r="I401" s="205" t="s">
        <v>821</v>
      </c>
      <c r="J401" s="191"/>
      <c r="K401" s="191"/>
      <c r="L401" s="191"/>
      <c r="M401" s="191"/>
      <c r="N401" s="191"/>
      <c r="O401" s="191"/>
      <c r="P401" s="191"/>
      <c r="Q401" s="191"/>
      <c r="R401" s="191"/>
      <c r="S401" s="206"/>
      <c r="T401" s="206"/>
      <c r="U401" s="191"/>
      <c r="V401" s="191"/>
      <c r="W401" s="191"/>
      <c r="X401" s="191"/>
      <c r="Y401" s="191"/>
      <c r="Z401" s="191"/>
      <c r="AA401" s="191"/>
      <c r="AB401" s="191"/>
      <c r="AC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1"/>
    </row>
    <row r="403" spans="1:60" s="214" customFormat="1" ht="18.75" customHeight="1">
      <c r="A403" s="190" t="s">
        <v>495</v>
      </c>
      <c r="B403" s="252"/>
      <c r="C403" s="252"/>
      <c r="D403" s="252"/>
      <c r="E403" s="252"/>
      <c r="F403" s="252"/>
      <c r="G403" s="252"/>
      <c r="H403" s="252"/>
      <c r="I403" s="252"/>
      <c r="J403" s="252"/>
      <c r="K403" s="252"/>
      <c r="L403" s="252"/>
      <c r="M403" s="252"/>
      <c r="N403" s="252"/>
      <c r="O403" s="252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  <c r="AA403" s="252"/>
      <c r="AB403" s="252"/>
      <c r="AC403" s="252"/>
      <c r="AD403" s="252"/>
      <c r="AE403" s="252"/>
      <c r="AF403" s="252"/>
      <c r="AG403" s="252"/>
      <c r="AH403" s="252"/>
      <c r="AI403" s="252"/>
      <c r="AJ403" s="252"/>
      <c r="AK403" s="252"/>
      <c r="AL403" s="252"/>
      <c r="AM403" s="252"/>
      <c r="AN403" s="252"/>
      <c r="AO403" s="252"/>
      <c r="AP403" s="252"/>
      <c r="AQ403" s="252"/>
      <c r="AR403" s="252"/>
      <c r="AS403" s="252"/>
      <c r="AT403" s="252"/>
      <c r="AU403" s="252"/>
      <c r="AV403" s="252"/>
      <c r="AW403" s="252"/>
      <c r="AX403" s="252"/>
      <c r="AY403" s="252"/>
      <c r="AZ403" s="252"/>
      <c r="BA403" s="252"/>
      <c r="BB403" s="252"/>
      <c r="BC403" s="252"/>
      <c r="BD403" s="252"/>
      <c r="BE403" s="252"/>
      <c r="BF403" s="252"/>
    </row>
    <row r="404" spans="1:60" s="214" customFormat="1" ht="18.75" customHeight="1">
      <c r="A404" s="252"/>
      <c r="B404" s="252"/>
      <c r="C404" s="252"/>
      <c r="D404" s="252"/>
      <c r="E404" s="252"/>
      <c r="F404" s="252"/>
      <c r="G404" s="252"/>
      <c r="H404" s="252"/>
      <c r="I404" s="252"/>
      <c r="J404" s="252"/>
      <c r="K404" s="252"/>
      <c r="L404" s="252"/>
      <c r="M404" s="252"/>
      <c r="N404" s="252"/>
      <c r="O404" s="252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  <c r="AA404" s="252"/>
      <c r="AB404" s="252"/>
      <c r="AC404" s="252"/>
      <c r="AD404" s="252"/>
      <c r="AE404" s="250"/>
      <c r="AF404" s="252"/>
      <c r="AG404" s="252"/>
      <c r="AH404" s="252"/>
      <c r="AI404" s="252"/>
      <c r="AJ404" s="252"/>
      <c r="AK404" s="250"/>
      <c r="AL404" s="250"/>
      <c r="AM404" s="255"/>
      <c r="AN404" s="255"/>
      <c r="AO404" s="255"/>
      <c r="AP404" s="255"/>
      <c r="AQ404" s="250"/>
      <c r="AR404" s="252"/>
      <c r="AT404" s="237"/>
      <c r="AU404" s="237"/>
      <c r="AV404" s="237"/>
      <c r="AW404" s="250"/>
      <c r="AX404" s="250"/>
      <c r="AY404" s="252"/>
      <c r="BA404" s="252"/>
      <c r="BB404" s="252"/>
      <c r="BC404" s="252"/>
      <c r="BD404" s="252"/>
      <c r="BE404" s="252"/>
      <c r="BF404" s="252"/>
    </row>
    <row r="405" spans="1:60" s="214" customFormat="1" ht="18.75" customHeight="1">
      <c r="A405" s="252"/>
      <c r="B405" s="252"/>
      <c r="C405" s="252"/>
      <c r="D405" s="252"/>
      <c r="E405" s="252" t="s">
        <v>589</v>
      </c>
      <c r="F405" s="410" t="e">
        <f ca="1">AP376</f>
        <v>#N/A</v>
      </c>
      <c r="G405" s="410"/>
      <c r="H405" s="410"/>
      <c r="I405" s="250" t="s">
        <v>730</v>
      </c>
      <c r="J405" s="250"/>
      <c r="K405" s="409" t="s">
        <v>666</v>
      </c>
      <c r="L405" s="409"/>
      <c r="M405" s="415" t="e">
        <f ca="1">AP377</f>
        <v>#N/A</v>
      </c>
      <c r="N405" s="415"/>
      <c r="O405" s="415"/>
      <c r="P405" s="250" t="s">
        <v>730</v>
      </c>
      <c r="Q405" s="250"/>
      <c r="R405" s="409" t="s">
        <v>756</v>
      </c>
      <c r="S405" s="409"/>
      <c r="T405" s="410" t="e">
        <f ca="1">AT377</f>
        <v>#N/A</v>
      </c>
      <c r="U405" s="410"/>
      <c r="V405" s="410"/>
      <c r="W405" s="410"/>
      <c r="X405" s="250" t="s">
        <v>822</v>
      </c>
      <c r="Y405" s="250"/>
      <c r="Z405" s="252"/>
      <c r="AB405" s="250"/>
      <c r="AC405" s="250"/>
      <c r="AD405" s="255"/>
      <c r="AE405" s="255"/>
      <c r="AF405" s="255"/>
      <c r="AG405" s="255"/>
      <c r="AH405" s="250"/>
      <c r="AI405" s="252"/>
      <c r="AL405" s="250"/>
      <c r="AM405" s="250"/>
      <c r="AN405" s="255"/>
      <c r="AO405" s="255"/>
      <c r="AP405" s="255"/>
      <c r="AQ405" s="255"/>
      <c r="AR405" s="250"/>
      <c r="AS405" s="252"/>
    </row>
    <row r="406" spans="1:60" s="267" customFormat="1" ht="18.75" customHeight="1">
      <c r="A406" s="250"/>
      <c r="B406" s="250"/>
      <c r="C406" s="250"/>
      <c r="D406" s="250"/>
      <c r="E406" s="252" t="s">
        <v>823</v>
      </c>
      <c r="F406" s="415" t="e">
        <f ca="1">AP378</f>
        <v>#N/A</v>
      </c>
      <c r="G406" s="415"/>
      <c r="H406" s="415"/>
      <c r="I406" s="250" t="s">
        <v>191</v>
      </c>
      <c r="J406" s="250"/>
      <c r="K406" s="409" t="s">
        <v>476</v>
      </c>
      <c r="L406" s="409"/>
      <c r="M406" s="422" t="e">
        <f ca="1">AU378</f>
        <v>#N/A</v>
      </c>
      <c r="N406" s="422"/>
      <c r="O406" s="422"/>
      <c r="P406" s="250" t="s">
        <v>626</v>
      </c>
      <c r="Q406" s="250"/>
      <c r="R406" s="252"/>
      <c r="S406" s="214"/>
      <c r="T406" s="250"/>
      <c r="U406" s="250"/>
      <c r="V406" s="250"/>
      <c r="W406" s="250"/>
      <c r="X406" s="250"/>
      <c r="Y406" s="250"/>
      <c r="Z406" s="250"/>
      <c r="AA406" s="250"/>
      <c r="AB406" s="250"/>
      <c r="AC406" s="250"/>
      <c r="AD406" s="250"/>
      <c r="AE406" s="250"/>
      <c r="AF406" s="250"/>
      <c r="AG406" s="252"/>
      <c r="AH406" s="250"/>
      <c r="AI406" s="250"/>
      <c r="AJ406" s="250"/>
      <c r="AK406" s="250"/>
      <c r="AL406" s="250"/>
      <c r="AM406" s="250"/>
      <c r="AN406" s="250"/>
      <c r="AO406" s="250"/>
      <c r="AW406" s="252"/>
      <c r="AX406" s="250"/>
      <c r="AY406" s="250"/>
      <c r="AZ406" s="250"/>
      <c r="BA406" s="250"/>
      <c r="BB406" s="250"/>
      <c r="BC406" s="250"/>
      <c r="BD406" s="250"/>
      <c r="BE406" s="250"/>
      <c r="BF406" s="250"/>
      <c r="BG406" s="250"/>
      <c r="BH406" s="250"/>
    </row>
    <row r="407" spans="1:60" s="267" customFormat="1" ht="18.75" customHeight="1">
      <c r="A407" s="250"/>
      <c r="B407" s="250"/>
      <c r="C407" s="250"/>
      <c r="D407" s="251"/>
      <c r="E407" s="251"/>
      <c r="F407" s="251"/>
      <c r="G407" s="250"/>
      <c r="H407" s="250"/>
      <c r="I407" s="252"/>
      <c r="J407" s="252"/>
      <c r="K407" s="238"/>
      <c r="L407" s="238"/>
      <c r="M407" s="238"/>
      <c r="N407" s="238"/>
      <c r="O407" s="250"/>
      <c r="P407" s="250"/>
      <c r="Q407" s="250"/>
      <c r="R407" s="250"/>
      <c r="S407" s="250"/>
      <c r="T407" s="250"/>
      <c r="U407" s="250"/>
      <c r="V407" s="250"/>
      <c r="W407" s="250"/>
      <c r="X407" s="250"/>
      <c r="Y407" s="250"/>
      <c r="Z407" s="250"/>
      <c r="AA407" s="250"/>
      <c r="AB407" s="250"/>
      <c r="AC407" s="250"/>
      <c r="AD407" s="250"/>
      <c r="AE407" s="250"/>
      <c r="AF407" s="250"/>
      <c r="AG407" s="250"/>
      <c r="AH407" s="250"/>
      <c r="AI407" s="250"/>
      <c r="AJ407" s="250"/>
      <c r="AK407" s="250"/>
      <c r="AL407" s="250"/>
      <c r="AM407" s="250"/>
      <c r="AN407" s="250"/>
      <c r="AO407" s="250"/>
      <c r="AP407" s="250"/>
      <c r="AQ407" s="250"/>
      <c r="AR407" s="250"/>
      <c r="AS407" s="250"/>
      <c r="AT407" s="250"/>
      <c r="AU407" s="250"/>
      <c r="AV407" s="250"/>
      <c r="AW407" s="250"/>
      <c r="AX407" s="250"/>
      <c r="AY407" s="250"/>
      <c r="AZ407" s="250"/>
      <c r="BA407" s="250"/>
      <c r="BB407" s="250"/>
      <c r="BC407" s="250"/>
      <c r="BD407" s="250"/>
      <c r="BE407" s="250"/>
      <c r="BF407" s="250"/>
    </row>
    <row r="408" spans="1:60" s="214" customFormat="1" ht="18.75" customHeight="1">
      <c r="A408" s="252"/>
      <c r="B408" s="252"/>
      <c r="C408" s="252"/>
      <c r="D408" s="259" t="s">
        <v>753</v>
      </c>
      <c r="E408" s="252" t="s">
        <v>589</v>
      </c>
      <c r="F408" s="415" t="e">
        <f ca="1">F406</f>
        <v>#N/A</v>
      </c>
      <c r="G408" s="415"/>
      <c r="H408" s="415"/>
      <c r="I408" s="204"/>
      <c r="J408" s="260"/>
      <c r="K408" s="413" t="e">
        <f ca="1">M406</f>
        <v>#N/A</v>
      </c>
      <c r="L408" s="413"/>
      <c r="M408" s="413"/>
      <c r="N408" s="191"/>
      <c r="O408" s="191"/>
      <c r="P408" s="191"/>
      <c r="Q408" s="408" t="str">
        <f>BA378</f>
        <v>μm</v>
      </c>
      <c r="R408" s="408"/>
      <c r="T408" s="250"/>
      <c r="U408" s="250"/>
      <c r="V408" s="250"/>
      <c r="W408" s="250"/>
      <c r="X408" s="250"/>
      <c r="Y408" s="252"/>
      <c r="Z408" s="252"/>
      <c r="AA408" s="252"/>
      <c r="AB408" s="252"/>
      <c r="AC408" s="252"/>
      <c r="AD408" s="252"/>
      <c r="AE408" s="250"/>
      <c r="AF408" s="252"/>
      <c r="AG408" s="252"/>
      <c r="AH408" s="252"/>
      <c r="AI408" s="252"/>
      <c r="AJ408" s="252"/>
      <c r="AK408" s="252"/>
      <c r="AL408" s="252"/>
      <c r="AM408" s="252"/>
      <c r="AN408" s="252"/>
      <c r="AO408" s="252"/>
      <c r="AP408" s="252"/>
      <c r="AQ408" s="252"/>
      <c r="AR408" s="252"/>
      <c r="AS408" s="252"/>
      <c r="AT408" s="252"/>
      <c r="AU408" s="252"/>
      <c r="AV408" s="252"/>
      <c r="AW408" s="252"/>
      <c r="AX408" s="252"/>
      <c r="AY408" s="252"/>
      <c r="AZ408" s="252"/>
      <c r="BA408" s="252"/>
      <c r="BB408" s="252"/>
      <c r="BC408" s="252"/>
      <c r="BD408" s="252"/>
      <c r="BE408" s="252"/>
      <c r="BF408" s="252"/>
    </row>
    <row r="409" spans="1:60" s="250" customFormat="1" ht="18.75" customHeight="1"/>
    <row r="410" spans="1:60" ht="18.75" customHeight="1">
      <c r="A410" s="190" t="s">
        <v>824</v>
      </c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91"/>
      <c r="AF410" s="191"/>
      <c r="AG410" s="191"/>
      <c r="AH410" s="191"/>
      <c r="AI410" s="191"/>
      <c r="AJ410" s="191"/>
      <c r="AK410" s="191"/>
      <c r="AL410" s="191"/>
      <c r="AM410" s="191"/>
      <c r="AN410" s="191"/>
      <c r="AO410" s="191"/>
      <c r="AP410" s="191"/>
      <c r="AQ410" s="191"/>
      <c r="AR410" s="191"/>
      <c r="AS410" s="191"/>
      <c r="AT410" s="191"/>
      <c r="AU410" s="191"/>
      <c r="AV410" s="191"/>
      <c r="AW410" s="191"/>
      <c r="AX410" s="191"/>
      <c r="AY410" s="191"/>
      <c r="AZ410" s="191"/>
      <c r="BA410" s="191"/>
      <c r="BB410" s="191"/>
      <c r="BC410" s="191"/>
      <c r="BD410" s="191"/>
      <c r="BE410" s="191"/>
      <c r="BF410" s="191"/>
    </row>
    <row r="411" spans="1:60" ht="18.75" customHeight="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416" t="e">
        <f ca="1">Calcu!V77</f>
        <v>#N/A</v>
      </c>
      <c r="M411" s="416"/>
      <c r="N411" s="416"/>
      <c r="O411" s="416"/>
      <c r="P411" s="416"/>
      <c r="Q411" s="416"/>
      <c r="R411" s="416"/>
      <c r="S411" s="416"/>
      <c r="T411" s="416"/>
      <c r="U411" s="416"/>
      <c r="V411" s="409" t="s">
        <v>825</v>
      </c>
      <c r="W411" s="417" t="str">
        <f>Calcu!U77</f>
        <v>∞</v>
      </c>
      <c r="X411" s="417"/>
      <c r="Y411" s="417"/>
      <c r="Z411" s="417"/>
      <c r="AA411" s="417"/>
      <c r="AB411" s="191"/>
      <c r="AC411" s="191"/>
      <c r="AD411" s="191"/>
      <c r="AJ411" s="191"/>
      <c r="AK411" s="191"/>
      <c r="AL411" s="250"/>
      <c r="AM411" s="250"/>
      <c r="AP411" s="239"/>
      <c r="AQ411" s="239"/>
      <c r="AR411" s="239"/>
      <c r="AS411" s="239"/>
      <c r="AT411" s="239"/>
      <c r="AU411" s="267"/>
      <c r="AV411" s="267"/>
      <c r="AW411" s="267"/>
      <c r="AX411" s="267"/>
      <c r="AY411" s="267"/>
      <c r="AZ411" s="267"/>
      <c r="BA411" s="267"/>
      <c r="BB411" s="267"/>
      <c r="BC411" s="267"/>
      <c r="BD411" s="267"/>
      <c r="BE411" s="267"/>
      <c r="BF411" s="267"/>
      <c r="BG411" s="267"/>
    </row>
    <row r="412" spans="1:60" ht="18.75" customHeight="1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418" t="e">
        <f ca="1">Calcu!V75</f>
        <v>#N/A</v>
      </c>
      <c r="N412" s="418"/>
      <c r="O412" s="418"/>
      <c r="P412" s="418"/>
      <c r="Q412" s="409" t="s">
        <v>826</v>
      </c>
      <c r="R412" s="418" t="e">
        <f ca="1">Calcu!V76</f>
        <v>#N/A</v>
      </c>
      <c r="S412" s="418"/>
      <c r="T412" s="418"/>
      <c r="U412" s="418"/>
      <c r="V412" s="409"/>
      <c r="W412" s="417"/>
      <c r="X412" s="417"/>
      <c r="Y412" s="417"/>
      <c r="Z412" s="417"/>
      <c r="AA412" s="417"/>
      <c r="AB412" s="191"/>
      <c r="AC412" s="191"/>
      <c r="AD412" s="191"/>
      <c r="AJ412" s="191"/>
      <c r="AK412" s="191"/>
      <c r="AL412" s="191"/>
      <c r="AM412" s="191"/>
      <c r="AP412" s="239"/>
      <c r="AQ412" s="239"/>
      <c r="AR412" s="239"/>
      <c r="AS412" s="239"/>
      <c r="AT412" s="239"/>
    </row>
    <row r="413" spans="1:60" ht="18.75" customHeight="1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409" t="str">
        <f>Calcu!U75</f>
        <v>∞</v>
      </c>
      <c r="N413" s="409"/>
      <c r="O413" s="409"/>
      <c r="P413" s="409"/>
      <c r="Q413" s="409"/>
      <c r="R413" s="409" t="str">
        <f>Calcu!U76</f>
        <v>∞</v>
      </c>
      <c r="S413" s="409"/>
      <c r="T413" s="409"/>
      <c r="U413" s="409"/>
      <c r="AB413" s="191"/>
      <c r="AC413" s="191"/>
      <c r="AD413" s="191"/>
      <c r="AE413" s="191"/>
      <c r="AF413" s="191"/>
      <c r="AG413" s="191"/>
      <c r="AH413" s="191"/>
      <c r="AI413" s="191"/>
      <c r="AJ413" s="191"/>
      <c r="AK413" s="191"/>
      <c r="AL413" s="191"/>
      <c r="AM413" s="191"/>
    </row>
    <row r="414" spans="1:60" ht="18.75" customHeight="1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91"/>
      <c r="AF414" s="191"/>
      <c r="AG414" s="191"/>
      <c r="AH414" s="191"/>
      <c r="AI414" s="191"/>
      <c r="AJ414" s="191"/>
      <c r="AK414" s="191"/>
      <c r="AL414" s="191"/>
      <c r="AM414" s="191"/>
      <c r="AN414" s="191"/>
      <c r="AO414" s="191"/>
      <c r="AP414" s="191"/>
      <c r="AQ414" s="191"/>
      <c r="AR414" s="191"/>
      <c r="AS414" s="191"/>
      <c r="AT414" s="191"/>
      <c r="AU414" s="191"/>
      <c r="AV414" s="191"/>
      <c r="AW414" s="191"/>
      <c r="AX414" s="191"/>
      <c r="AY414" s="191"/>
      <c r="AZ414" s="191"/>
      <c r="BA414" s="191"/>
      <c r="BB414" s="191"/>
      <c r="BC414" s="191"/>
      <c r="BD414" s="191"/>
      <c r="BE414" s="191"/>
      <c r="BF414" s="191"/>
      <c r="BG414" s="191"/>
      <c r="BH414" s="191"/>
    </row>
    <row r="415" spans="1:60" ht="18.75" customHeight="1">
      <c r="A415" s="190" t="s">
        <v>496</v>
      </c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91"/>
      <c r="AF415" s="191"/>
      <c r="AG415" s="191"/>
      <c r="AH415" s="191"/>
      <c r="AI415" s="191"/>
      <c r="AJ415" s="191"/>
      <c r="AK415" s="191"/>
      <c r="AL415" s="191"/>
      <c r="AM415" s="191"/>
      <c r="AN415" s="191"/>
      <c r="AO415" s="191"/>
      <c r="AP415" s="191"/>
      <c r="AQ415" s="191"/>
      <c r="AR415" s="191"/>
      <c r="AS415" s="191"/>
      <c r="AT415" s="191"/>
      <c r="AU415" s="191"/>
      <c r="AV415" s="191"/>
      <c r="AW415" s="191"/>
      <c r="AX415" s="191"/>
      <c r="AY415" s="191"/>
      <c r="AZ415" s="191"/>
      <c r="BA415" s="191"/>
      <c r="BB415" s="191"/>
      <c r="BC415" s="191"/>
      <c r="BD415" s="191"/>
    </row>
    <row r="416" spans="1:60" ht="18.75" customHeight="1">
      <c r="A416" s="190"/>
      <c r="B416" s="191" t="s">
        <v>827</v>
      </c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91"/>
      <c r="AF416" s="191"/>
      <c r="AG416" s="191"/>
      <c r="AH416" s="191"/>
      <c r="AI416" s="191"/>
      <c r="AJ416" s="191"/>
      <c r="AK416" s="191"/>
      <c r="AL416" s="191"/>
      <c r="AM416" s="191"/>
      <c r="AN416" s="191"/>
      <c r="AO416" s="191"/>
      <c r="AP416" s="191"/>
      <c r="AQ416" s="191"/>
      <c r="AR416" s="191"/>
      <c r="AS416" s="191"/>
      <c r="AT416" s="191"/>
      <c r="AU416" s="191"/>
      <c r="AV416" s="191"/>
      <c r="AW416" s="191"/>
      <c r="AX416" s="191"/>
      <c r="AY416" s="191"/>
    </row>
    <row r="417" spans="1:54" ht="18.75" customHeight="1">
      <c r="A417" s="191"/>
      <c r="B417" s="191"/>
      <c r="AL417" s="191"/>
      <c r="AM417" s="191"/>
      <c r="AN417" s="191"/>
      <c r="AO417" s="191"/>
      <c r="AP417" s="191"/>
      <c r="AQ417" s="191"/>
      <c r="AR417" s="191"/>
      <c r="AS417" s="191"/>
      <c r="AT417" s="191"/>
      <c r="AU417" s="191"/>
      <c r="AV417" s="191"/>
      <c r="AW417" s="191"/>
      <c r="AX417" s="191"/>
      <c r="AY417" s="191"/>
      <c r="AZ417" s="191"/>
      <c r="BA417" s="191"/>
      <c r="BB417" s="191"/>
    </row>
    <row r="418" spans="1:54" ht="18.75" customHeight="1">
      <c r="A418" s="191"/>
      <c r="B418" s="191"/>
      <c r="C418" s="191"/>
      <c r="D418" s="191"/>
      <c r="E418" s="193"/>
      <c r="F418" s="191"/>
      <c r="G418" s="191"/>
      <c r="H418" s="210" t="s">
        <v>499</v>
      </c>
      <c r="I418" s="409">
        <f>Calcu!C83</f>
        <v>2</v>
      </c>
      <c r="J418" s="409"/>
      <c r="K418" s="409"/>
      <c r="L418" s="241" t="s">
        <v>456</v>
      </c>
      <c r="M418" s="410" t="e">
        <f ca="1">F408</f>
        <v>#N/A</v>
      </c>
      <c r="N418" s="410"/>
      <c r="O418" s="410"/>
      <c r="P418" s="204"/>
      <c r="Q418" s="260"/>
      <c r="R418" s="411" t="e">
        <f ca="1">K408</f>
        <v>#N/A</v>
      </c>
      <c r="S418" s="412"/>
      <c r="T418" s="412"/>
      <c r="U418" s="191"/>
      <c r="V418" s="191"/>
      <c r="W418" s="191"/>
      <c r="X418" s="408" t="str">
        <f>Q408</f>
        <v>μm</v>
      </c>
      <c r="Y418" s="408"/>
      <c r="Z418" s="241" t="s">
        <v>828</v>
      </c>
      <c r="AA418" s="410" t="e">
        <f ca="1">Calcu!C81</f>
        <v>#N/A</v>
      </c>
      <c r="AB418" s="410"/>
      <c r="AC418" s="410"/>
      <c r="AD418" s="204"/>
      <c r="AE418" s="260"/>
      <c r="AF418" s="413" t="e">
        <f ca="1">Calcu!D81</f>
        <v>#N/A</v>
      </c>
      <c r="AG418" s="413"/>
      <c r="AH418" s="413"/>
      <c r="AI418" s="191"/>
      <c r="AJ418" s="191"/>
      <c r="AK418" s="191"/>
      <c r="AL418" s="408" t="str">
        <f>X418</f>
        <v>μm</v>
      </c>
      <c r="AM418" s="408"/>
      <c r="AN418" s="252" t="s">
        <v>500</v>
      </c>
      <c r="AO418" s="414" t="e">
        <f ca="1">Calcu!T81</f>
        <v>#N/A</v>
      </c>
      <c r="AP418" s="414"/>
      <c r="AQ418" s="414"/>
      <c r="AR418" s="204"/>
      <c r="AS418" s="413" t="e">
        <f ca="1">Calcu!U81</f>
        <v>#N/A</v>
      </c>
      <c r="AT418" s="413"/>
      <c r="AU418" s="413"/>
      <c r="AV418" s="258"/>
      <c r="AW418" s="191"/>
      <c r="AX418" s="191"/>
      <c r="AY418" s="191"/>
      <c r="AZ418" s="408" t="str">
        <f>AL418</f>
        <v>μm</v>
      </c>
      <c r="BA418" s="408"/>
    </row>
  </sheetData>
  <mergeCells count="1115">
    <mergeCell ref="B4:G4"/>
    <mergeCell ref="H4:M4"/>
    <mergeCell ref="N4:S4"/>
    <mergeCell ref="B5:G5"/>
    <mergeCell ref="H5:M5"/>
    <mergeCell ref="N5:S5"/>
    <mergeCell ref="AA10:AE10"/>
    <mergeCell ref="AF10:AJ10"/>
    <mergeCell ref="AK10:AO10"/>
    <mergeCell ref="AP10:AT10"/>
    <mergeCell ref="AU10:AY10"/>
    <mergeCell ref="AZ10:BD10"/>
    <mergeCell ref="AA9:AE9"/>
    <mergeCell ref="AF8:AJ9"/>
    <mergeCell ref="AK8:AO9"/>
    <mergeCell ref="AP8:AT9"/>
    <mergeCell ref="AU8:AY9"/>
    <mergeCell ref="AZ8:BD9"/>
    <mergeCell ref="B10:F10"/>
    <mergeCell ref="G10:K10"/>
    <mergeCell ref="L10:P10"/>
    <mergeCell ref="Q10:U10"/>
    <mergeCell ref="V10:Z10"/>
    <mergeCell ref="G9:K9"/>
    <mergeCell ref="L9:P9"/>
    <mergeCell ref="Q9:U9"/>
    <mergeCell ref="V9:Z9"/>
    <mergeCell ref="B8:F9"/>
    <mergeCell ref="G8:AE8"/>
    <mergeCell ref="AA12:AE12"/>
    <mergeCell ref="AF12:AJ12"/>
    <mergeCell ref="AK12:AO12"/>
    <mergeCell ref="AP12:AT12"/>
    <mergeCell ref="AU12:AY12"/>
    <mergeCell ref="AZ12:BD12"/>
    <mergeCell ref="AF11:AJ11"/>
    <mergeCell ref="AK11:AO11"/>
    <mergeCell ref="AP11:AT11"/>
    <mergeCell ref="AU11:AY11"/>
    <mergeCell ref="AZ11:BD11"/>
    <mergeCell ref="AA11:AE11"/>
    <mergeCell ref="B12:F12"/>
    <mergeCell ref="G12:K12"/>
    <mergeCell ref="L12:P12"/>
    <mergeCell ref="Q12:U12"/>
    <mergeCell ref="V12:Z12"/>
    <mergeCell ref="B11:F11"/>
    <mergeCell ref="G11:K11"/>
    <mergeCell ref="L11:P11"/>
    <mergeCell ref="Q11:U11"/>
    <mergeCell ref="V11:Z11"/>
    <mergeCell ref="AA14:AE14"/>
    <mergeCell ref="AF14:AJ14"/>
    <mergeCell ref="AK14:AO14"/>
    <mergeCell ref="AP14:AT14"/>
    <mergeCell ref="AU14:AY14"/>
    <mergeCell ref="AZ14:BD14"/>
    <mergeCell ref="AF13:AJ13"/>
    <mergeCell ref="AK13:AO13"/>
    <mergeCell ref="AP13:AT13"/>
    <mergeCell ref="AU13:AY13"/>
    <mergeCell ref="AZ13:BD13"/>
    <mergeCell ref="AA13:AE13"/>
    <mergeCell ref="B14:F14"/>
    <mergeCell ref="G14:K14"/>
    <mergeCell ref="L14:P14"/>
    <mergeCell ref="Q14:U14"/>
    <mergeCell ref="V14:Z14"/>
    <mergeCell ref="B13:F13"/>
    <mergeCell ref="G13:K13"/>
    <mergeCell ref="L13:P13"/>
    <mergeCell ref="Q13:U13"/>
    <mergeCell ref="V13:Z13"/>
    <mergeCell ref="AA16:AE16"/>
    <mergeCell ref="AF16:AJ16"/>
    <mergeCell ref="AK16:AO16"/>
    <mergeCell ref="AP16:AT16"/>
    <mergeCell ref="AU16:AY16"/>
    <mergeCell ref="AZ16:BD16"/>
    <mergeCell ref="AF15:AJ15"/>
    <mergeCell ref="AK15:AO15"/>
    <mergeCell ref="AP15:AT15"/>
    <mergeCell ref="AU15:AY15"/>
    <mergeCell ref="AZ15:BD15"/>
    <mergeCell ref="AA15:AE15"/>
    <mergeCell ref="B16:F16"/>
    <mergeCell ref="G16:K16"/>
    <mergeCell ref="L16:P16"/>
    <mergeCell ref="Q16:U16"/>
    <mergeCell ref="V16:Z16"/>
    <mergeCell ref="B15:F15"/>
    <mergeCell ref="G15:K15"/>
    <mergeCell ref="L15:P15"/>
    <mergeCell ref="Q15:U15"/>
    <mergeCell ref="V15:Z15"/>
    <mergeCell ref="AA18:AE18"/>
    <mergeCell ref="AF18:AJ18"/>
    <mergeCell ref="AK18:AO18"/>
    <mergeCell ref="AP18:AT18"/>
    <mergeCell ref="AU18:AY18"/>
    <mergeCell ref="AZ18:BD18"/>
    <mergeCell ref="AF17:AJ17"/>
    <mergeCell ref="AK17:AO17"/>
    <mergeCell ref="AP17:AT17"/>
    <mergeCell ref="AU17:AY17"/>
    <mergeCell ref="AZ17:BD17"/>
    <mergeCell ref="AA17:AE17"/>
    <mergeCell ref="B18:F18"/>
    <mergeCell ref="G18:K18"/>
    <mergeCell ref="L18:P18"/>
    <mergeCell ref="Q18:U18"/>
    <mergeCell ref="V18:Z18"/>
    <mergeCell ref="B17:F17"/>
    <mergeCell ref="G17:K17"/>
    <mergeCell ref="L17:P17"/>
    <mergeCell ref="Q17:U17"/>
    <mergeCell ref="V17:Z17"/>
    <mergeCell ref="AA20:AE20"/>
    <mergeCell ref="AF20:AJ20"/>
    <mergeCell ref="AK20:AO20"/>
    <mergeCell ref="AP20:AT20"/>
    <mergeCell ref="AU20:AY20"/>
    <mergeCell ref="AZ20:BD20"/>
    <mergeCell ref="AF19:AJ19"/>
    <mergeCell ref="AK19:AO19"/>
    <mergeCell ref="AP19:AT19"/>
    <mergeCell ref="AU19:AY19"/>
    <mergeCell ref="AZ19:BD19"/>
    <mergeCell ref="AA19:AE19"/>
    <mergeCell ref="B20:F20"/>
    <mergeCell ref="G20:K20"/>
    <mergeCell ref="L20:P20"/>
    <mergeCell ref="Q20:U20"/>
    <mergeCell ref="V20:Z20"/>
    <mergeCell ref="B19:F19"/>
    <mergeCell ref="G19:K19"/>
    <mergeCell ref="L19:P19"/>
    <mergeCell ref="Q19:U19"/>
    <mergeCell ref="V19:Z19"/>
    <mergeCell ref="AA22:AE22"/>
    <mergeCell ref="AF22:AJ22"/>
    <mergeCell ref="AK22:AO22"/>
    <mergeCell ref="AP22:AT22"/>
    <mergeCell ref="AU22:AY22"/>
    <mergeCell ref="AZ22:BD22"/>
    <mergeCell ref="AF21:AJ21"/>
    <mergeCell ref="AK21:AO21"/>
    <mergeCell ref="AP21:AT21"/>
    <mergeCell ref="AU21:AY21"/>
    <mergeCell ref="AZ21:BD21"/>
    <mergeCell ref="AA21:AE21"/>
    <mergeCell ref="B22:F22"/>
    <mergeCell ref="G22:K22"/>
    <mergeCell ref="L22:P22"/>
    <mergeCell ref="Q22:U22"/>
    <mergeCell ref="V22:Z22"/>
    <mergeCell ref="B21:F21"/>
    <mergeCell ref="G21:K21"/>
    <mergeCell ref="L21:P21"/>
    <mergeCell ref="Q21:U21"/>
    <mergeCell ref="V21:Z21"/>
    <mergeCell ref="AA24:AE24"/>
    <mergeCell ref="AF24:AJ24"/>
    <mergeCell ref="AK24:AO24"/>
    <mergeCell ref="AP24:AT24"/>
    <mergeCell ref="AU24:AY24"/>
    <mergeCell ref="AZ24:BD24"/>
    <mergeCell ref="AF23:AJ23"/>
    <mergeCell ref="AK23:AO23"/>
    <mergeCell ref="AP23:AT23"/>
    <mergeCell ref="AU23:AY23"/>
    <mergeCell ref="AZ23:BD23"/>
    <mergeCell ref="AA23:AE23"/>
    <mergeCell ref="B24:F24"/>
    <mergeCell ref="G24:K24"/>
    <mergeCell ref="L24:P24"/>
    <mergeCell ref="Q24:U24"/>
    <mergeCell ref="V24:Z24"/>
    <mergeCell ref="B23:F23"/>
    <mergeCell ref="G23:K23"/>
    <mergeCell ref="L23:P23"/>
    <mergeCell ref="Q23:U23"/>
    <mergeCell ref="V23:Z23"/>
    <mergeCell ref="AA26:AE26"/>
    <mergeCell ref="AF26:AJ26"/>
    <mergeCell ref="AK26:AO26"/>
    <mergeCell ref="AP26:AT26"/>
    <mergeCell ref="AU26:AY26"/>
    <mergeCell ref="AZ26:BD26"/>
    <mergeCell ref="AF25:AJ25"/>
    <mergeCell ref="AK25:AO25"/>
    <mergeCell ref="AP25:AT25"/>
    <mergeCell ref="AU25:AY25"/>
    <mergeCell ref="AZ25:BD25"/>
    <mergeCell ref="AA25:AE25"/>
    <mergeCell ref="B26:F26"/>
    <mergeCell ref="G26:K26"/>
    <mergeCell ref="L26:P26"/>
    <mergeCell ref="Q26:U26"/>
    <mergeCell ref="V26:Z26"/>
    <mergeCell ref="B25:F25"/>
    <mergeCell ref="G25:K25"/>
    <mergeCell ref="L25:P25"/>
    <mergeCell ref="Q25:U25"/>
    <mergeCell ref="V25:Z25"/>
    <mergeCell ref="B34:F34"/>
    <mergeCell ref="G34:M34"/>
    <mergeCell ref="N34:T34"/>
    <mergeCell ref="U34:Z34"/>
    <mergeCell ref="B35:F35"/>
    <mergeCell ref="G35:M35"/>
    <mergeCell ref="N35:T35"/>
    <mergeCell ref="U35:Z35"/>
    <mergeCell ref="G33:M33"/>
    <mergeCell ref="N33:T33"/>
    <mergeCell ref="AA28:AE28"/>
    <mergeCell ref="AF28:AJ28"/>
    <mergeCell ref="AK28:AO28"/>
    <mergeCell ref="AP28:AT28"/>
    <mergeCell ref="AU28:AY28"/>
    <mergeCell ref="AZ28:BD28"/>
    <mergeCell ref="AF27:AJ27"/>
    <mergeCell ref="AK27:AO27"/>
    <mergeCell ref="AP27:AT27"/>
    <mergeCell ref="AU27:AY27"/>
    <mergeCell ref="AZ27:BD27"/>
    <mergeCell ref="AA27:AE27"/>
    <mergeCell ref="B28:F28"/>
    <mergeCell ref="G28:K28"/>
    <mergeCell ref="L28:P28"/>
    <mergeCell ref="Q28:U28"/>
    <mergeCell ref="V28:Z28"/>
    <mergeCell ref="B27:F27"/>
    <mergeCell ref="G27:K27"/>
    <mergeCell ref="L27:P27"/>
    <mergeCell ref="Q27:U27"/>
    <mergeCell ref="V27:Z27"/>
    <mergeCell ref="B40:F40"/>
    <mergeCell ref="G40:M40"/>
    <mergeCell ref="N40:T40"/>
    <mergeCell ref="U40:Z40"/>
    <mergeCell ref="B41:F41"/>
    <mergeCell ref="G41:M41"/>
    <mergeCell ref="N41:T41"/>
    <mergeCell ref="U41:Z41"/>
    <mergeCell ref="B38:F38"/>
    <mergeCell ref="G38:M38"/>
    <mergeCell ref="N38:T38"/>
    <mergeCell ref="U38:Z38"/>
    <mergeCell ref="B39:F39"/>
    <mergeCell ref="G39:M39"/>
    <mergeCell ref="N39:T39"/>
    <mergeCell ref="U39:Z39"/>
    <mergeCell ref="B36:F36"/>
    <mergeCell ref="G36:M36"/>
    <mergeCell ref="N36:T36"/>
    <mergeCell ref="U36:Z36"/>
    <mergeCell ref="B37:F37"/>
    <mergeCell ref="G37:M37"/>
    <mergeCell ref="N37:T37"/>
    <mergeCell ref="U37:Z37"/>
    <mergeCell ref="N47:T47"/>
    <mergeCell ref="U47:Z47"/>
    <mergeCell ref="B44:F44"/>
    <mergeCell ref="G44:M44"/>
    <mergeCell ref="N44:T44"/>
    <mergeCell ref="U44:Z44"/>
    <mergeCell ref="B45:F45"/>
    <mergeCell ref="G45:M45"/>
    <mergeCell ref="N45:T45"/>
    <mergeCell ref="U45:Z45"/>
    <mergeCell ref="B42:F42"/>
    <mergeCell ref="G42:M42"/>
    <mergeCell ref="N42:T42"/>
    <mergeCell ref="U42:Z42"/>
    <mergeCell ref="B43:F43"/>
    <mergeCell ref="G43:M43"/>
    <mergeCell ref="N43:T43"/>
    <mergeCell ref="U43:Z43"/>
    <mergeCell ref="C59:E59"/>
    <mergeCell ref="C60:E60"/>
    <mergeCell ref="C61:E61"/>
    <mergeCell ref="C62:E62"/>
    <mergeCell ref="C63:E63"/>
    <mergeCell ref="C64:E64"/>
    <mergeCell ref="B52:F52"/>
    <mergeCell ref="G52:M52"/>
    <mergeCell ref="N52:T52"/>
    <mergeCell ref="U52:Z52"/>
    <mergeCell ref="C58:E58"/>
    <mergeCell ref="B50:F50"/>
    <mergeCell ref="G50:M50"/>
    <mergeCell ref="N50:T50"/>
    <mergeCell ref="U50:Z50"/>
    <mergeCell ref="B51:F51"/>
    <mergeCell ref="G51:M51"/>
    <mergeCell ref="N51:T51"/>
    <mergeCell ref="U51:Z51"/>
    <mergeCell ref="BC80:BF80"/>
    <mergeCell ref="BC82:BF82"/>
    <mergeCell ref="B83:C83"/>
    <mergeCell ref="D83:G83"/>
    <mergeCell ref="H83:L83"/>
    <mergeCell ref="M83:N83"/>
    <mergeCell ref="AB83:AF83"/>
    <mergeCell ref="AG83:AO83"/>
    <mergeCell ref="AB82:AF82"/>
    <mergeCell ref="AG82:AO82"/>
    <mergeCell ref="D82:G82"/>
    <mergeCell ref="C65:E65"/>
    <mergeCell ref="C66:E66"/>
    <mergeCell ref="C67:E67"/>
    <mergeCell ref="C68:E68"/>
    <mergeCell ref="C69:E69"/>
    <mergeCell ref="D80:G80"/>
    <mergeCell ref="D81:G81"/>
    <mergeCell ref="H81:N81"/>
    <mergeCell ref="O81:AA81"/>
    <mergeCell ref="AB81:AF81"/>
    <mergeCell ref="AG81:AO81"/>
    <mergeCell ref="AP81:BB81"/>
    <mergeCell ref="BC81:BF81"/>
    <mergeCell ref="H80:N80"/>
    <mergeCell ref="O80:AA80"/>
    <mergeCell ref="AB80:AF80"/>
    <mergeCell ref="BC84:BF84"/>
    <mergeCell ref="AB86:AF86"/>
    <mergeCell ref="AG86:AJ86"/>
    <mergeCell ref="AK86:AO86"/>
    <mergeCell ref="AP86:AV86"/>
    <mergeCell ref="AW86:BB86"/>
    <mergeCell ref="BC86:BF86"/>
    <mergeCell ref="AG84:AO84"/>
    <mergeCell ref="B85:C85"/>
    <mergeCell ref="D85:G85"/>
    <mergeCell ref="H85:L85"/>
    <mergeCell ref="M85:N85"/>
    <mergeCell ref="O85:U85"/>
    <mergeCell ref="V85:AA85"/>
    <mergeCell ref="BC83:BF83"/>
    <mergeCell ref="B84:C84"/>
    <mergeCell ref="D84:G84"/>
    <mergeCell ref="H84:L84"/>
    <mergeCell ref="M84:N84"/>
    <mergeCell ref="O84:U84"/>
    <mergeCell ref="V84:AA84"/>
    <mergeCell ref="AB84:AF84"/>
    <mergeCell ref="AB85:AF85"/>
    <mergeCell ref="AG85:AJ85"/>
    <mergeCell ref="AK85:AO85"/>
    <mergeCell ref="AP85:AV85"/>
    <mergeCell ref="AW85:BB85"/>
    <mergeCell ref="BC85:BF85"/>
    <mergeCell ref="BC87:BF87"/>
    <mergeCell ref="B87:C87"/>
    <mergeCell ref="D87:G87"/>
    <mergeCell ref="H87:L87"/>
    <mergeCell ref="M87:N87"/>
    <mergeCell ref="O87:U87"/>
    <mergeCell ref="V87:AA87"/>
    <mergeCell ref="B86:C86"/>
    <mergeCell ref="D86:G86"/>
    <mergeCell ref="H86:L86"/>
    <mergeCell ref="M86:N86"/>
    <mergeCell ref="O86:U86"/>
    <mergeCell ref="V86:AA86"/>
    <mergeCell ref="AB87:AF87"/>
    <mergeCell ref="AG87:AJ87"/>
    <mergeCell ref="AK87:AO87"/>
    <mergeCell ref="AG88:AJ88"/>
    <mergeCell ref="AK88:AO88"/>
    <mergeCell ref="AP88:AV88"/>
    <mergeCell ref="AW88:BB88"/>
    <mergeCell ref="BC88:BF88"/>
    <mergeCell ref="B89:C89"/>
    <mergeCell ref="D89:G89"/>
    <mergeCell ref="H89:N89"/>
    <mergeCell ref="O89:X89"/>
    <mergeCell ref="Y89:AA89"/>
    <mergeCell ref="AB89:AF89"/>
    <mergeCell ref="B88:C88"/>
    <mergeCell ref="D88:G88"/>
    <mergeCell ref="AB88:AF88"/>
    <mergeCell ref="AG89:AO89"/>
    <mergeCell ref="AP89:AY89"/>
    <mergeCell ref="AZ89:BB89"/>
    <mergeCell ref="BC89:BF89"/>
    <mergeCell ref="H88:L88"/>
    <mergeCell ref="M88:N88"/>
    <mergeCell ref="O88:U88"/>
    <mergeCell ref="V88:AA88"/>
    <mergeCell ref="BC94:BF94"/>
    <mergeCell ref="B95:C95"/>
    <mergeCell ref="BC90:BF90"/>
    <mergeCell ref="B91:C91"/>
    <mergeCell ref="D91:G91"/>
    <mergeCell ref="H91:N91"/>
    <mergeCell ref="AB91:AF91"/>
    <mergeCell ref="AG91:AO91"/>
    <mergeCell ref="BC91:BF91"/>
    <mergeCell ref="B90:C90"/>
    <mergeCell ref="D90:G90"/>
    <mergeCell ref="H90:N90"/>
    <mergeCell ref="O90:X90"/>
    <mergeCell ref="Y90:AA90"/>
    <mergeCell ref="AB90:AF90"/>
    <mergeCell ref="AG90:AO90"/>
    <mergeCell ref="AP90:AY90"/>
    <mergeCell ref="AZ90:BB90"/>
    <mergeCell ref="BC92:BF92"/>
    <mergeCell ref="B93:C93"/>
    <mergeCell ref="D93:G93"/>
    <mergeCell ref="H93:N93"/>
    <mergeCell ref="O93:U93"/>
    <mergeCell ref="V93:AA93"/>
    <mergeCell ref="AB93:AF93"/>
    <mergeCell ref="AG93:AO93"/>
    <mergeCell ref="AP93:AV93"/>
    <mergeCell ref="AW93:BB93"/>
    <mergeCell ref="BC93:BF93"/>
    <mergeCell ref="B92:C92"/>
    <mergeCell ref="D92:G92"/>
    <mergeCell ref="H92:N92"/>
    <mergeCell ref="O92:U92"/>
    <mergeCell ref="V92:AA92"/>
    <mergeCell ref="AB92:AF92"/>
    <mergeCell ref="AG92:AO92"/>
    <mergeCell ref="AP92:AV92"/>
    <mergeCell ref="AW92:BB92"/>
    <mergeCell ref="N121:N122"/>
    <mergeCell ref="Q121:Q122"/>
    <mergeCell ref="R121:T121"/>
    <mergeCell ref="U121:V121"/>
    <mergeCell ref="W121:W122"/>
    <mergeCell ref="X121:Z122"/>
    <mergeCell ref="D95:G95"/>
    <mergeCell ref="H95:N95"/>
    <mergeCell ref="O95:U95"/>
    <mergeCell ref="V95:AA95"/>
    <mergeCell ref="AB95:AF95"/>
    <mergeCell ref="AA121:AB122"/>
    <mergeCell ref="O122:P122"/>
    <mergeCell ref="R122:V122"/>
    <mergeCell ref="Q117:S117"/>
    <mergeCell ref="T117:U117"/>
    <mergeCell ref="K118:M119"/>
    <mergeCell ref="N118:N119"/>
    <mergeCell ref="Q118:Q119"/>
    <mergeCell ref="R118:T118"/>
    <mergeCell ref="U118:V118"/>
    <mergeCell ref="W118:W119"/>
    <mergeCell ref="X118:Z119"/>
    <mergeCell ref="O121:P121"/>
    <mergeCell ref="O118:P118"/>
    <mergeCell ref="D94:G94"/>
    <mergeCell ref="H94:N94"/>
    <mergeCell ref="O94:U94"/>
    <mergeCell ref="V94:AA94"/>
    <mergeCell ref="AB94:AF94"/>
    <mergeCell ref="I116:M116"/>
    <mergeCell ref="N116:O116"/>
    <mergeCell ref="Y103:Z103"/>
    <mergeCell ref="AB103:AD103"/>
    <mergeCell ref="K105:M106"/>
    <mergeCell ref="N105:N106"/>
    <mergeCell ref="P105:Q105"/>
    <mergeCell ref="S105:U105"/>
    <mergeCell ref="Y105:Z105"/>
    <mergeCell ref="AA105:AA106"/>
    <mergeCell ref="AC105:AE106"/>
    <mergeCell ref="B96:C96"/>
    <mergeCell ref="D96:G96"/>
    <mergeCell ref="H96:N96"/>
    <mergeCell ref="O96:U96"/>
    <mergeCell ref="C124:H125"/>
    <mergeCell ref="N124:O125"/>
    <mergeCell ref="L126:M126"/>
    <mergeCell ref="O126:Q126"/>
    <mergeCell ref="R126:S126"/>
    <mergeCell ref="V126:X126"/>
    <mergeCell ref="Y126:Z126"/>
    <mergeCell ref="H131:J131"/>
    <mergeCell ref="H152:O152"/>
    <mergeCell ref="C153:I154"/>
    <mergeCell ref="J153:L154"/>
    <mergeCell ref="M153:M154"/>
    <mergeCell ref="N153:O153"/>
    <mergeCell ref="R153:R154"/>
    <mergeCell ref="S153:U154"/>
    <mergeCell ref="V153:W154"/>
    <mergeCell ref="BC97:BF97"/>
    <mergeCell ref="B97:C97"/>
    <mergeCell ref="D97:G97"/>
    <mergeCell ref="AB97:AF97"/>
    <mergeCell ref="H97:N97"/>
    <mergeCell ref="O97:U97"/>
    <mergeCell ref="V97:AA97"/>
    <mergeCell ref="AG97:AJ97"/>
    <mergeCell ref="AK97:AO97"/>
    <mergeCell ref="AP97:AV97"/>
    <mergeCell ref="AW97:BB97"/>
    <mergeCell ref="B98:C98"/>
    <mergeCell ref="D98:G98"/>
    <mergeCell ref="H98:L98"/>
    <mergeCell ref="M98:N98"/>
    <mergeCell ref="C132:I133"/>
    <mergeCell ref="C140:H141"/>
    <mergeCell ref="R140:S141"/>
    <mergeCell ref="T140:Y141"/>
    <mergeCell ref="Z140:Z141"/>
    <mergeCell ref="AA140:AB141"/>
    <mergeCell ref="AC140:AG141"/>
    <mergeCell ref="L142:M142"/>
    <mergeCell ref="AA142:AD142"/>
    <mergeCell ref="C143:G144"/>
    <mergeCell ref="AB145:AC146"/>
    <mergeCell ref="I169:P169"/>
    <mergeCell ref="C170:H171"/>
    <mergeCell ref="S170:T171"/>
    <mergeCell ref="U170:Z171"/>
    <mergeCell ref="AA170:AA171"/>
    <mergeCell ref="AB170:AD171"/>
    <mergeCell ref="AE170:AI171"/>
    <mergeCell ref="D226:I227"/>
    <mergeCell ref="O226:P227"/>
    <mergeCell ref="L172:N172"/>
    <mergeCell ref="AB172:AE172"/>
    <mergeCell ref="C173:G174"/>
    <mergeCell ref="Z175:AA176"/>
    <mergeCell ref="H186:O186"/>
    <mergeCell ref="I155:P155"/>
    <mergeCell ref="C156:H157"/>
    <mergeCell ref="R156:T157"/>
    <mergeCell ref="U156:AB157"/>
    <mergeCell ref="AC156:AC157"/>
    <mergeCell ref="AD156:AG157"/>
    <mergeCell ref="L158:O158"/>
    <mergeCell ref="P158:T158"/>
    <mergeCell ref="U158:X158"/>
    <mergeCell ref="AA158:AD158"/>
    <mergeCell ref="C159:G160"/>
    <mergeCell ref="H164:J164"/>
    <mergeCell ref="C192:G193"/>
    <mergeCell ref="R192:AE192"/>
    <mergeCell ref="AF192:AF193"/>
    <mergeCell ref="AG192:AJ193"/>
    <mergeCell ref="V193:V194"/>
    <mergeCell ref="AA193:AA194"/>
    <mergeCell ref="R194:U194"/>
    <mergeCell ref="W194:Z194"/>
    <mergeCell ref="AB194:AE194"/>
    <mergeCell ref="C189:H190"/>
    <mergeCell ref="R193:U193"/>
    <mergeCell ref="W193:Z193"/>
    <mergeCell ref="AB193:AE193"/>
    <mergeCell ref="Z247:Z248"/>
    <mergeCell ref="AA247:AC248"/>
    <mergeCell ref="AD247:AE248"/>
    <mergeCell ref="AF247:AF248"/>
    <mergeCell ref="AG247:AI248"/>
    <mergeCell ref="AJ247:AK248"/>
    <mergeCell ref="O235:R235"/>
    <mergeCell ref="D223:J224"/>
    <mergeCell ref="K223:M224"/>
    <mergeCell ref="N223:N224"/>
    <mergeCell ref="O223:P223"/>
    <mergeCell ref="S223:S224"/>
    <mergeCell ref="T223:V224"/>
    <mergeCell ref="W223:X224"/>
    <mergeCell ref="J225:Q225"/>
    <mergeCell ref="D214:I215"/>
    <mergeCell ref="O214:P215"/>
    <mergeCell ref="M216:N216"/>
    <mergeCell ref="P216:R216"/>
    <mergeCell ref="S216:T216"/>
    <mergeCell ref="W216:Y216"/>
    <mergeCell ref="D217:H218"/>
    <mergeCell ref="AB235:AC236"/>
    <mergeCell ref="O236:R236"/>
    <mergeCell ref="T236:W236"/>
    <mergeCell ref="I237:P237"/>
    <mergeCell ref="C238:H239"/>
    <mergeCell ref="N238:O239"/>
    <mergeCell ref="L240:M240"/>
    <mergeCell ref="O240:Q240"/>
    <mergeCell ref="R240:S240"/>
    <mergeCell ref="V240:X240"/>
    <mergeCell ref="AR304:AT304"/>
    <mergeCell ref="S290:U290"/>
    <mergeCell ref="V290:W290"/>
    <mergeCell ref="AE290:AH290"/>
    <mergeCell ref="AI290:AN290"/>
    <mergeCell ref="Y294:AA294"/>
    <mergeCell ref="AB294:AC294"/>
    <mergeCell ref="J295:Q295"/>
    <mergeCell ref="K274:M275"/>
    <mergeCell ref="N274:N275"/>
    <mergeCell ref="Q274:Q275"/>
    <mergeCell ref="R274:S274"/>
    <mergeCell ref="V274:V275"/>
    <mergeCell ref="W274:Y275"/>
    <mergeCell ref="Z274:AA275"/>
    <mergeCell ref="O275:P275"/>
    <mergeCell ref="R275:U275"/>
    <mergeCell ref="I276:P276"/>
    <mergeCell ref="O274:P274"/>
    <mergeCell ref="AC314:AF314"/>
    <mergeCell ref="AH314:AK314"/>
    <mergeCell ref="AM314:AP314"/>
    <mergeCell ref="AB314:AB315"/>
    <mergeCell ref="AG314:AG315"/>
    <mergeCell ref="AL314:AL315"/>
    <mergeCell ref="AC315:AF315"/>
    <mergeCell ref="AH315:AK315"/>
    <mergeCell ref="AM315:AP315"/>
    <mergeCell ref="N314:Q314"/>
    <mergeCell ref="S314:V314"/>
    <mergeCell ref="X314:AA314"/>
    <mergeCell ref="M314:M315"/>
    <mergeCell ref="R314:R315"/>
    <mergeCell ref="W314:W315"/>
    <mergeCell ref="N315:Q315"/>
    <mergeCell ref="S315:V315"/>
    <mergeCell ref="X315:AA315"/>
    <mergeCell ref="AU29:AY29"/>
    <mergeCell ref="AZ29:BD29"/>
    <mergeCell ref="B32:F33"/>
    <mergeCell ref="G32:T32"/>
    <mergeCell ref="U32:Z33"/>
    <mergeCell ref="B53:F53"/>
    <mergeCell ref="G53:M53"/>
    <mergeCell ref="N53:T53"/>
    <mergeCell ref="U53:Z53"/>
    <mergeCell ref="B29:F29"/>
    <mergeCell ref="G29:K29"/>
    <mergeCell ref="L29:P29"/>
    <mergeCell ref="Q29:U29"/>
    <mergeCell ref="V29:Z29"/>
    <mergeCell ref="AA29:AE29"/>
    <mergeCell ref="AF29:AJ29"/>
    <mergeCell ref="AK29:AO29"/>
    <mergeCell ref="AP29:AT29"/>
    <mergeCell ref="B48:F48"/>
    <mergeCell ref="G48:M48"/>
    <mergeCell ref="N48:T48"/>
    <mergeCell ref="U48:Z48"/>
    <mergeCell ref="B49:F49"/>
    <mergeCell ref="G49:M49"/>
    <mergeCell ref="N49:T49"/>
    <mergeCell ref="U49:Z49"/>
    <mergeCell ref="B46:F46"/>
    <mergeCell ref="G46:M46"/>
    <mergeCell ref="N46:T46"/>
    <mergeCell ref="U46:Z46"/>
    <mergeCell ref="B47:F47"/>
    <mergeCell ref="G47:M47"/>
    <mergeCell ref="O91:X91"/>
    <mergeCell ref="Y91:AA91"/>
    <mergeCell ref="AP91:AY91"/>
    <mergeCell ref="AZ91:BB91"/>
    <mergeCell ref="AG95:AO95"/>
    <mergeCell ref="C70:E70"/>
    <mergeCell ref="B80:C82"/>
    <mergeCell ref="H82:N82"/>
    <mergeCell ref="O82:AA82"/>
    <mergeCell ref="AP82:BB82"/>
    <mergeCell ref="O83:Q83"/>
    <mergeCell ref="S83:V83"/>
    <mergeCell ref="Z83:AA83"/>
    <mergeCell ref="AP83:AR83"/>
    <mergeCell ref="AT83:AW83"/>
    <mergeCell ref="BA83:BB83"/>
    <mergeCell ref="AG96:AJ96"/>
    <mergeCell ref="AK96:AO96"/>
    <mergeCell ref="AP96:AV96"/>
    <mergeCell ref="AW96:BB96"/>
    <mergeCell ref="V96:AA96"/>
    <mergeCell ref="AB96:AF96"/>
    <mergeCell ref="AG94:AO94"/>
    <mergeCell ref="AP94:AV94"/>
    <mergeCell ref="AW94:BB94"/>
    <mergeCell ref="AP87:AV87"/>
    <mergeCell ref="AW87:BB87"/>
    <mergeCell ref="AP84:AV84"/>
    <mergeCell ref="AW84:BB84"/>
    <mergeCell ref="AG80:AO80"/>
    <mergeCell ref="AP80:BB80"/>
    <mergeCell ref="B94:C94"/>
    <mergeCell ref="BC96:BF96"/>
    <mergeCell ref="AP95:AV95"/>
    <mergeCell ref="AW95:BB95"/>
    <mergeCell ref="AG105:AJ106"/>
    <mergeCell ref="AN105:AO106"/>
    <mergeCell ref="P106:Z106"/>
    <mergeCell ref="I107:M107"/>
    <mergeCell ref="C108:H109"/>
    <mergeCell ref="N108:O109"/>
    <mergeCell ref="L110:M110"/>
    <mergeCell ref="O110:Q110"/>
    <mergeCell ref="S110:W110"/>
    <mergeCell ref="Z110:AA110"/>
    <mergeCell ref="AD110:AF110"/>
    <mergeCell ref="AH110:AL110"/>
    <mergeCell ref="AO110:AP110"/>
    <mergeCell ref="O98:AA98"/>
    <mergeCell ref="AB98:AF98"/>
    <mergeCell ref="AG98:AO98"/>
    <mergeCell ref="AP98:AR98"/>
    <mergeCell ref="AU98:AW98"/>
    <mergeCell ref="BA98:BB98"/>
    <mergeCell ref="BC98:BF98"/>
    <mergeCell ref="I102:M102"/>
    <mergeCell ref="N102:O102"/>
    <mergeCell ref="BC95:BF95"/>
    <mergeCell ref="AI189:AO190"/>
    <mergeCell ref="L191:N191"/>
    <mergeCell ref="O191:S191"/>
    <mergeCell ref="T191:W191"/>
    <mergeCell ref="Z191:AC191"/>
    <mergeCell ref="AH156:AN157"/>
    <mergeCell ref="J134:Z135"/>
    <mergeCell ref="AA134:AE134"/>
    <mergeCell ref="AF134:AF135"/>
    <mergeCell ref="AG134:AL135"/>
    <mergeCell ref="AG137:AK138"/>
    <mergeCell ref="I139:P139"/>
    <mergeCell ref="I123:P123"/>
    <mergeCell ref="J132:W133"/>
    <mergeCell ref="AA118:AB119"/>
    <mergeCell ref="O119:P119"/>
    <mergeCell ref="R119:V119"/>
    <mergeCell ref="K121:M122"/>
    <mergeCell ref="O187:Q187"/>
    <mergeCell ref="T187:V187"/>
    <mergeCell ref="Y187:AA187"/>
    <mergeCell ref="AD187:AF187"/>
    <mergeCell ref="AG187:AH187"/>
    <mergeCell ref="I188:P188"/>
    <mergeCell ref="S189:U190"/>
    <mergeCell ref="V189:AC190"/>
    <mergeCell ref="AD189:AD190"/>
    <mergeCell ref="AE189:AH190"/>
    <mergeCell ref="D205:H206"/>
    <mergeCell ref="D211:J212"/>
    <mergeCell ref="K211:M212"/>
    <mergeCell ref="N211:N212"/>
    <mergeCell ref="O211:P211"/>
    <mergeCell ref="S211:S212"/>
    <mergeCell ref="T211:V212"/>
    <mergeCell ref="W211:X212"/>
    <mergeCell ref="J213:Q213"/>
    <mergeCell ref="S199:S200"/>
    <mergeCell ref="T199:V200"/>
    <mergeCell ref="W199:X200"/>
    <mergeCell ref="J201:Q201"/>
    <mergeCell ref="D202:I203"/>
    <mergeCell ref="O202:P203"/>
    <mergeCell ref="M204:N204"/>
    <mergeCell ref="P204:R204"/>
    <mergeCell ref="S204:T204"/>
    <mergeCell ref="W204:Y204"/>
    <mergeCell ref="D199:J200"/>
    <mergeCell ref="K199:M200"/>
    <mergeCell ref="N199:N200"/>
    <mergeCell ref="O199:P199"/>
    <mergeCell ref="M228:N228"/>
    <mergeCell ref="P228:R228"/>
    <mergeCell ref="S228:T228"/>
    <mergeCell ref="W228:Y228"/>
    <mergeCell ref="D229:H230"/>
    <mergeCell ref="P234:R234"/>
    <mergeCell ref="K235:M236"/>
    <mergeCell ref="N235:N236"/>
    <mergeCell ref="S235:S236"/>
    <mergeCell ref="T235:U235"/>
    <mergeCell ref="X235:X236"/>
    <mergeCell ref="Y235:AA236"/>
    <mergeCell ref="N277:O278"/>
    <mergeCell ref="L279:M279"/>
    <mergeCell ref="O279:Q279"/>
    <mergeCell ref="R279:S279"/>
    <mergeCell ref="V279:X279"/>
    <mergeCell ref="I261:P261"/>
    <mergeCell ref="C262:H263"/>
    <mergeCell ref="N262:O263"/>
    <mergeCell ref="J247:L248"/>
    <mergeCell ref="M247:M248"/>
    <mergeCell ref="P247:P248"/>
    <mergeCell ref="Q247:S248"/>
    <mergeCell ref="T247:T248"/>
    <mergeCell ref="U247:W247"/>
    <mergeCell ref="N248:O248"/>
    <mergeCell ref="U248:Y248"/>
    <mergeCell ref="I249:P249"/>
    <mergeCell ref="C250:H251"/>
    <mergeCell ref="N247:O247"/>
    <mergeCell ref="C241:G242"/>
    <mergeCell ref="C280:G281"/>
    <mergeCell ref="X286:Z286"/>
    <mergeCell ref="AA286:AB286"/>
    <mergeCell ref="J287:Q287"/>
    <mergeCell ref="N250:O251"/>
    <mergeCell ref="L252:M252"/>
    <mergeCell ref="O252:Q252"/>
    <mergeCell ref="R252:S252"/>
    <mergeCell ref="V252:X252"/>
    <mergeCell ref="O258:Q258"/>
    <mergeCell ref="K259:M260"/>
    <mergeCell ref="N259:N260"/>
    <mergeCell ref="S259:S260"/>
    <mergeCell ref="T259:U259"/>
    <mergeCell ref="X259:X260"/>
    <mergeCell ref="O260:R260"/>
    <mergeCell ref="T260:W260"/>
    <mergeCell ref="C277:H278"/>
    <mergeCell ref="O273:P273"/>
    <mergeCell ref="L264:M264"/>
    <mergeCell ref="O264:Q264"/>
    <mergeCell ref="R264:S264"/>
    <mergeCell ref="V264:X264"/>
    <mergeCell ref="C265:G266"/>
    <mergeCell ref="O259:R259"/>
    <mergeCell ref="Y259:AA260"/>
    <mergeCell ref="AB259:AC260"/>
    <mergeCell ref="F305:G305"/>
    <mergeCell ref="H305:J305"/>
    <mergeCell ref="M305:N305"/>
    <mergeCell ref="O305:R305"/>
    <mergeCell ref="W305:X305"/>
    <mergeCell ref="Y305:AB305"/>
    <mergeCell ref="F306:H306"/>
    <mergeCell ref="K306:L306"/>
    <mergeCell ref="M306:O306"/>
    <mergeCell ref="S298:U298"/>
    <mergeCell ref="V298:W298"/>
    <mergeCell ref="AE298:AH298"/>
    <mergeCell ref="AI298:AN298"/>
    <mergeCell ref="F303:H303"/>
    <mergeCell ref="K303:L303"/>
    <mergeCell ref="M303:P303"/>
    <mergeCell ref="U303:V303"/>
    <mergeCell ref="W303:Y303"/>
    <mergeCell ref="AB303:AC303"/>
    <mergeCell ref="AD303:AG303"/>
    <mergeCell ref="AL303:AM303"/>
    <mergeCell ref="AN303:AQ303"/>
    <mergeCell ref="F304:G304"/>
    <mergeCell ref="H304:K304"/>
    <mergeCell ref="P304:Q304"/>
    <mergeCell ref="R304:U304"/>
    <mergeCell ref="Z304:AA304"/>
    <mergeCell ref="AB304:AD304"/>
    <mergeCell ref="AH304:AI304"/>
    <mergeCell ref="AJ304:AL304"/>
    <mergeCell ref="AP304:AQ304"/>
    <mergeCell ref="F308:H308"/>
    <mergeCell ref="K308:M308"/>
    <mergeCell ref="Q308:R308"/>
    <mergeCell ref="L311:AQ311"/>
    <mergeCell ref="AR311:AR312"/>
    <mergeCell ref="AS311:AW312"/>
    <mergeCell ref="Q312:Q313"/>
    <mergeCell ref="V312:V313"/>
    <mergeCell ref="AA312:AA313"/>
    <mergeCell ref="AF312:AF313"/>
    <mergeCell ref="AK312:AK313"/>
    <mergeCell ref="M313:P313"/>
    <mergeCell ref="R313:U313"/>
    <mergeCell ref="W313:Z313"/>
    <mergeCell ref="AB313:AE313"/>
    <mergeCell ref="AG313:AJ313"/>
    <mergeCell ref="AL313:AO313"/>
    <mergeCell ref="M312:P312"/>
    <mergeCell ref="R312:U312"/>
    <mergeCell ref="W312:Z312"/>
    <mergeCell ref="AB312:AE312"/>
    <mergeCell ref="AG312:AJ312"/>
    <mergeCell ref="AL312:AO312"/>
    <mergeCell ref="AZ328:BA328"/>
    <mergeCell ref="B336:F337"/>
    <mergeCell ref="G336:P337"/>
    <mergeCell ref="Q336:Z337"/>
    <mergeCell ref="AA336:AJ337"/>
    <mergeCell ref="AK336:AT337"/>
    <mergeCell ref="B338:F338"/>
    <mergeCell ref="G338:P338"/>
    <mergeCell ref="Q338:Z338"/>
    <mergeCell ref="AA338:AJ338"/>
    <mergeCell ref="AK338:AT338"/>
    <mergeCell ref="I328:K328"/>
    <mergeCell ref="M328:O328"/>
    <mergeCell ref="R328:T328"/>
    <mergeCell ref="X328:Y328"/>
    <mergeCell ref="AA328:AC328"/>
    <mergeCell ref="AF328:AH328"/>
    <mergeCell ref="AL328:AM328"/>
    <mergeCell ref="AO328:AQ328"/>
    <mergeCell ref="AS328:AU328"/>
    <mergeCell ref="B341:F341"/>
    <mergeCell ref="G341:P341"/>
    <mergeCell ref="Q341:Z341"/>
    <mergeCell ref="AA341:AJ341"/>
    <mergeCell ref="AK341:AT341"/>
    <mergeCell ref="B342:F342"/>
    <mergeCell ref="G342:P342"/>
    <mergeCell ref="Q342:Z342"/>
    <mergeCell ref="AA342:AJ342"/>
    <mergeCell ref="AK342:AT342"/>
    <mergeCell ref="B339:F339"/>
    <mergeCell ref="G339:P339"/>
    <mergeCell ref="Q339:Z339"/>
    <mergeCell ref="AA339:AJ339"/>
    <mergeCell ref="AK339:AT339"/>
    <mergeCell ref="B340:F340"/>
    <mergeCell ref="G340:P340"/>
    <mergeCell ref="Q340:Z340"/>
    <mergeCell ref="AA340:AJ340"/>
    <mergeCell ref="AK340:AT340"/>
    <mergeCell ref="B345:F345"/>
    <mergeCell ref="G345:P345"/>
    <mergeCell ref="Q345:Z345"/>
    <mergeCell ref="AA345:AJ345"/>
    <mergeCell ref="AK345:AT345"/>
    <mergeCell ref="B346:F346"/>
    <mergeCell ref="G346:P346"/>
    <mergeCell ref="Q346:Z346"/>
    <mergeCell ref="AA346:AJ346"/>
    <mergeCell ref="AK346:AT346"/>
    <mergeCell ref="B343:F343"/>
    <mergeCell ref="G343:P343"/>
    <mergeCell ref="Q343:Z343"/>
    <mergeCell ref="AA343:AJ343"/>
    <mergeCell ref="AK343:AT343"/>
    <mergeCell ref="B344:F344"/>
    <mergeCell ref="G344:P344"/>
    <mergeCell ref="Q344:Z344"/>
    <mergeCell ref="AA344:AJ344"/>
    <mergeCell ref="AK344:AT344"/>
    <mergeCell ref="B349:F349"/>
    <mergeCell ref="G349:P349"/>
    <mergeCell ref="Q349:Z349"/>
    <mergeCell ref="AA349:AJ349"/>
    <mergeCell ref="AK349:AT349"/>
    <mergeCell ref="B350:F350"/>
    <mergeCell ref="G350:P350"/>
    <mergeCell ref="Q350:Z350"/>
    <mergeCell ref="AA350:AJ350"/>
    <mergeCell ref="AK350:AT350"/>
    <mergeCell ref="B347:F347"/>
    <mergeCell ref="G347:P347"/>
    <mergeCell ref="Q347:Z347"/>
    <mergeCell ref="AA347:AJ347"/>
    <mergeCell ref="AK347:AT347"/>
    <mergeCell ref="B348:F348"/>
    <mergeCell ref="G348:P348"/>
    <mergeCell ref="Q348:Z348"/>
    <mergeCell ref="AA348:AJ348"/>
    <mergeCell ref="AK348:AT348"/>
    <mergeCell ref="B353:F353"/>
    <mergeCell ref="G353:P353"/>
    <mergeCell ref="Q353:Z353"/>
    <mergeCell ref="AA353:AJ353"/>
    <mergeCell ref="AK353:AT353"/>
    <mergeCell ref="B354:F354"/>
    <mergeCell ref="G354:P354"/>
    <mergeCell ref="Q354:Z354"/>
    <mergeCell ref="AA354:AJ354"/>
    <mergeCell ref="AK354:AT354"/>
    <mergeCell ref="B351:F351"/>
    <mergeCell ref="G351:P351"/>
    <mergeCell ref="Q351:Z351"/>
    <mergeCell ref="AA351:AJ351"/>
    <mergeCell ref="AK351:AT351"/>
    <mergeCell ref="B352:F352"/>
    <mergeCell ref="G352:P352"/>
    <mergeCell ref="Q352:Z352"/>
    <mergeCell ref="AA352:AJ352"/>
    <mergeCell ref="AK352:AT352"/>
    <mergeCell ref="B357:F357"/>
    <mergeCell ref="G357:P357"/>
    <mergeCell ref="Q357:Z357"/>
    <mergeCell ref="AA357:AJ357"/>
    <mergeCell ref="AK357:AT357"/>
    <mergeCell ref="C362:E362"/>
    <mergeCell ref="C363:E363"/>
    <mergeCell ref="C364:E364"/>
    <mergeCell ref="C365:E365"/>
    <mergeCell ref="B355:F355"/>
    <mergeCell ref="G355:P355"/>
    <mergeCell ref="Q355:Z355"/>
    <mergeCell ref="AA355:AJ355"/>
    <mergeCell ref="AK355:AT355"/>
    <mergeCell ref="B356:F356"/>
    <mergeCell ref="G356:P356"/>
    <mergeCell ref="Q356:Z356"/>
    <mergeCell ref="AA356:AJ356"/>
    <mergeCell ref="AK356:AT356"/>
    <mergeCell ref="B373:C375"/>
    <mergeCell ref="D373:G373"/>
    <mergeCell ref="H373:N373"/>
    <mergeCell ref="O373:AA373"/>
    <mergeCell ref="AB373:AF373"/>
    <mergeCell ref="AG373:AO373"/>
    <mergeCell ref="AP373:BB373"/>
    <mergeCell ref="BC373:BF373"/>
    <mergeCell ref="D374:G374"/>
    <mergeCell ref="H374:N374"/>
    <mergeCell ref="O374:AA374"/>
    <mergeCell ref="AB374:AF374"/>
    <mergeCell ref="AG374:AO374"/>
    <mergeCell ref="AP374:BB374"/>
    <mergeCell ref="BC374:BF374"/>
    <mergeCell ref="D375:G375"/>
    <mergeCell ref="H375:N375"/>
    <mergeCell ref="O375:AA375"/>
    <mergeCell ref="AB375:AF375"/>
    <mergeCell ref="AG375:AO375"/>
    <mergeCell ref="AP375:BB375"/>
    <mergeCell ref="BC375:BF375"/>
    <mergeCell ref="AW376:BB376"/>
    <mergeCell ref="BC376:BF376"/>
    <mergeCell ref="B377:C377"/>
    <mergeCell ref="D377:G377"/>
    <mergeCell ref="H377:L377"/>
    <mergeCell ref="M377:N377"/>
    <mergeCell ref="O377:Q377"/>
    <mergeCell ref="S377:V377"/>
    <mergeCell ref="Z377:AA377"/>
    <mergeCell ref="AB377:AF377"/>
    <mergeCell ref="AG377:AO377"/>
    <mergeCell ref="AP377:AR377"/>
    <mergeCell ref="AT377:AW377"/>
    <mergeCell ref="BA377:BB377"/>
    <mergeCell ref="BC377:BF377"/>
    <mergeCell ref="B376:C376"/>
    <mergeCell ref="D376:G376"/>
    <mergeCell ref="H376:L376"/>
    <mergeCell ref="M376:N376"/>
    <mergeCell ref="O376:U376"/>
    <mergeCell ref="V376:AA376"/>
    <mergeCell ref="AB376:AF376"/>
    <mergeCell ref="AG376:AO376"/>
    <mergeCell ref="AP376:AV376"/>
    <mergeCell ref="I386:M386"/>
    <mergeCell ref="C387:H388"/>
    <mergeCell ref="N387:O388"/>
    <mergeCell ref="L389:M389"/>
    <mergeCell ref="O389:Q389"/>
    <mergeCell ref="R389:S389"/>
    <mergeCell ref="V389:X389"/>
    <mergeCell ref="Y389:Z389"/>
    <mergeCell ref="I395:M395"/>
    <mergeCell ref="N395:O395"/>
    <mergeCell ref="BA378:BB378"/>
    <mergeCell ref="BC378:BF378"/>
    <mergeCell ref="I384:M384"/>
    <mergeCell ref="N384:O384"/>
    <mergeCell ref="K385:M385"/>
    <mergeCell ref="P385:Q385"/>
    <mergeCell ref="T385:V385"/>
    <mergeCell ref="Z385:AA385"/>
    <mergeCell ref="AC385:AE385"/>
    <mergeCell ref="AF385:AG385"/>
    <mergeCell ref="B378:C378"/>
    <mergeCell ref="D378:G378"/>
    <mergeCell ref="H378:L378"/>
    <mergeCell ref="M378:N378"/>
    <mergeCell ref="O378:AA378"/>
    <mergeCell ref="AB378:AF378"/>
    <mergeCell ref="AG378:AO378"/>
    <mergeCell ref="AP378:AR378"/>
    <mergeCell ref="AU378:AW378"/>
    <mergeCell ref="AE400:AF400"/>
    <mergeCell ref="AI400:AK400"/>
    <mergeCell ref="AO400:AP400"/>
    <mergeCell ref="F405:H405"/>
    <mergeCell ref="K405:L405"/>
    <mergeCell ref="M405:O405"/>
    <mergeCell ref="R405:S405"/>
    <mergeCell ref="T405:W405"/>
    <mergeCell ref="F406:H406"/>
    <mergeCell ref="K406:L406"/>
    <mergeCell ref="M406:O406"/>
    <mergeCell ref="K396:M396"/>
    <mergeCell ref="P396:Q396"/>
    <mergeCell ref="T396:V396"/>
    <mergeCell ref="Z396:AA396"/>
    <mergeCell ref="I397:M397"/>
    <mergeCell ref="C398:H399"/>
    <mergeCell ref="N398:O399"/>
    <mergeCell ref="L400:M400"/>
    <mergeCell ref="P400:Q400"/>
    <mergeCell ref="T400:V400"/>
    <mergeCell ref="Z400:AA400"/>
    <mergeCell ref="AZ418:BA418"/>
    <mergeCell ref="I418:K418"/>
    <mergeCell ref="M418:O418"/>
    <mergeCell ref="R418:T418"/>
    <mergeCell ref="X418:Y418"/>
    <mergeCell ref="AA418:AC418"/>
    <mergeCell ref="AF418:AH418"/>
    <mergeCell ref="AL418:AM418"/>
    <mergeCell ref="AO418:AQ418"/>
    <mergeCell ref="AS418:AU418"/>
    <mergeCell ref="F408:H408"/>
    <mergeCell ref="K408:M408"/>
    <mergeCell ref="Q408:R408"/>
    <mergeCell ref="L411:U411"/>
    <mergeCell ref="V411:V412"/>
    <mergeCell ref="W411:AA412"/>
    <mergeCell ref="M412:P412"/>
    <mergeCell ref="Q412:Q413"/>
    <mergeCell ref="R412:U412"/>
    <mergeCell ref="M413:P413"/>
    <mergeCell ref="R413:U4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12"/>
  <sheetViews>
    <sheetView showGridLines="0" zoomScaleNormal="100" workbookViewId="0"/>
  </sheetViews>
  <sheetFormatPr defaultColWidth="8.77734375" defaultRowHeight="18" customHeight="1"/>
  <cols>
    <col min="1" max="1" width="3.77734375" style="102" customWidth="1"/>
    <col min="2" max="2" width="8.77734375" style="104"/>
    <col min="3" max="3" width="8.77734375" style="104" customWidth="1"/>
    <col min="4" max="4" width="8.77734375" style="104"/>
    <col min="5" max="5" width="8.77734375" style="103" customWidth="1"/>
    <col min="6" max="9" width="8.77734375" style="103"/>
    <col min="10" max="10" width="8.77734375" style="103" customWidth="1"/>
    <col min="11" max="21" width="8.77734375" style="103"/>
    <col min="22" max="16384" width="8.77734375" style="102"/>
  </cols>
  <sheetData>
    <row r="1" spans="1:38" ht="15" customHeight="1">
      <c r="A1" s="99" t="s">
        <v>195</v>
      </c>
      <c r="B1" s="100"/>
      <c r="C1" s="100"/>
      <c r="D1" s="100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</row>
    <row r="2" spans="1:38" ht="13.5">
      <c r="B2" s="245" t="s">
        <v>196</v>
      </c>
      <c r="C2" s="245" t="s">
        <v>185</v>
      </c>
      <c r="D2" s="245" t="s">
        <v>197</v>
      </c>
      <c r="E2" s="245" t="s">
        <v>198</v>
      </c>
      <c r="F2" s="245" t="s">
        <v>56</v>
      </c>
      <c r="G2" s="245" t="s">
        <v>199</v>
      </c>
      <c r="H2" s="245" t="s">
        <v>183</v>
      </c>
      <c r="I2" s="245" t="s">
        <v>56</v>
      </c>
      <c r="J2" s="245" t="s">
        <v>130</v>
      </c>
      <c r="K2" s="245" t="s">
        <v>200</v>
      </c>
      <c r="L2" s="119" t="s">
        <v>81</v>
      </c>
      <c r="M2" s="119" t="s">
        <v>82</v>
      </c>
      <c r="O2" s="101"/>
      <c r="P2" s="101"/>
      <c r="Q2" s="101"/>
      <c r="R2" s="101"/>
      <c r="T2" s="102"/>
      <c r="U2" s="102"/>
    </row>
    <row r="3" spans="1:38" ht="15" customHeight="1">
      <c r="B3" s="137" t="e">
        <f>C3</f>
        <v>#DIV/0!</v>
      </c>
      <c r="C3" s="137" t="e">
        <f>AVERAGE(기본정보!B12:B13)</f>
        <v>#DIV/0!</v>
      </c>
      <c r="D3" s="137" t="e">
        <f>MATCH("내측",C9:C28,0)</f>
        <v>#N/A</v>
      </c>
      <c r="E3" s="137" t="e">
        <f ca="1">OFFSET(D8,D3,0)</f>
        <v>#N/A</v>
      </c>
      <c r="F3" s="137" t="str">
        <f>I3</f>
        <v/>
      </c>
      <c r="G3" s="137" t="e">
        <f ca="1">OFFSET(Y8,D3,0)</f>
        <v>#N/A</v>
      </c>
      <c r="H3" s="137" t="e">
        <f ca="1">OFFSET(D8,D3-2,0)</f>
        <v>#N/A</v>
      </c>
      <c r="I3" s="137" t="str">
        <f>E9</f>
        <v/>
      </c>
      <c r="J3" s="137">
        <f>Length_7!I4</f>
        <v>0</v>
      </c>
      <c r="K3" s="137">
        <f>Length_7!J4</f>
        <v>0</v>
      </c>
      <c r="L3" s="107" t="e">
        <f ca="1">IF(SUM(R53,R81)=0,"","초과")</f>
        <v>#N/A</v>
      </c>
      <c r="M3" s="284" t="str">
        <f ca="1">IF(SUM(AK34,AK59)=0,"PASS","FAIL")</f>
        <v>PASS</v>
      </c>
      <c r="O3" s="101"/>
      <c r="P3" s="101"/>
      <c r="Q3" s="101"/>
      <c r="R3" s="101"/>
      <c r="T3" s="102"/>
      <c r="U3" s="102"/>
    </row>
    <row r="4" spans="1:38" ht="15" customHeight="1">
      <c r="B4" s="100"/>
      <c r="C4" s="100"/>
      <c r="D4" s="100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38" ht="15" customHeight="1">
      <c r="A5" s="99" t="s">
        <v>201</v>
      </c>
      <c r="E5" s="100"/>
      <c r="F5" s="100"/>
      <c r="G5" s="105"/>
      <c r="H5" s="105"/>
      <c r="I5" s="105"/>
      <c r="J5" s="105"/>
      <c r="K5" s="105"/>
      <c r="L5" s="100"/>
      <c r="M5" s="105"/>
      <c r="N5" s="105"/>
      <c r="O5" s="105"/>
      <c r="P5" s="105"/>
      <c r="Q5" s="105"/>
      <c r="R5" s="105"/>
      <c r="S5" s="105"/>
      <c r="T5" s="105"/>
      <c r="U5" s="105"/>
      <c r="V5" s="103"/>
      <c r="W5" s="103"/>
      <c r="X5" s="103"/>
      <c r="Y5" s="103"/>
      <c r="Z5" s="103"/>
      <c r="AA5" s="103"/>
      <c r="AD5" s="108" t="s">
        <v>202</v>
      </c>
    </row>
    <row r="6" spans="1:38" ht="15" customHeight="1">
      <c r="B6" s="561" t="s">
        <v>203</v>
      </c>
      <c r="C6" s="559" t="s">
        <v>194</v>
      </c>
      <c r="D6" s="559" t="s">
        <v>90</v>
      </c>
      <c r="E6" s="559" t="s">
        <v>204</v>
      </c>
      <c r="F6" s="549" t="s">
        <v>205</v>
      </c>
      <c r="G6" s="573"/>
      <c r="H6" s="573"/>
      <c r="I6" s="573"/>
      <c r="J6" s="573"/>
      <c r="K6" s="550"/>
      <c r="L6" s="549" t="s">
        <v>206</v>
      </c>
      <c r="M6" s="573"/>
      <c r="N6" s="550"/>
      <c r="O6" s="566" t="s">
        <v>207</v>
      </c>
      <c r="P6" s="245" t="s">
        <v>208</v>
      </c>
      <c r="Q6" s="245" t="s">
        <v>209</v>
      </c>
      <c r="R6" s="546" t="s">
        <v>210</v>
      </c>
      <c r="S6" s="547"/>
      <c r="T6" s="548"/>
      <c r="U6" s="245" t="s">
        <v>211</v>
      </c>
      <c r="V6" s="152" t="s">
        <v>212</v>
      </c>
      <c r="W6" s="245" t="s">
        <v>213</v>
      </c>
      <c r="X6" s="245" t="s">
        <v>214</v>
      </c>
      <c r="Y6" s="245" t="s">
        <v>68</v>
      </c>
      <c r="Z6" s="245" t="s">
        <v>215</v>
      </c>
      <c r="AA6" s="546" t="s">
        <v>216</v>
      </c>
      <c r="AB6" s="547"/>
      <c r="AC6" s="103"/>
      <c r="AD6" s="561" t="s">
        <v>217</v>
      </c>
      <c r="AE6" s="561" t="s">
        <v>186</v>
      </c>
      <c r="AF6" s="568" t="s">
        <v>875</v>
      </c>
      <c r="AG6" s="153" t="s">
        <v>218</v>
      </c>
      <c r="AH6" s="148" t="s">
        <v>219</v>
      </c>
      <c r="AI6" s="153" t="s">
        <v>220</v>
      </c>
      <c r="AJ6" s="245" t="s">
        <v>221</v>
      </c>
      <c r="AK6" s="546" t="s">
        <v>222</v>
      </c>
      <c r="AL6" s="547"/>
    </row>
    <row r="7" spans="1:38" ht="15" customHeight="1">
      <c r="B7" s="561"/>
      <c r="C7" s="572"/>
      <c r="D7" s="560"/>
      <c r="E7" s="572"/>
      <c r="F7" s="153" t="s">
        <v>223</v>
      </c>
      <c r="G7" s="148" t="s">
        <v>224</v>
      </c>
      <c r="H7" s="153" t="s">
        <v>78</v>
      </c>
      <c r="I7" s="148" t="s">
        <v>79</v>
      </c>
      <c r="J7" s="153" t="s">
        <v>80</v>
      </c>
      <c r="K7" s="153" t="s">
        <v>225</v>
      </c>
      <c r="L7" s="153" t="s">
        <v>226</v>
      </c>
      <c r="M7" s="148" t="s">
        <v>227</v>
      </c>
      <c r="N7" s="153" t="s">
        <v>228</v>
      </c>
      <c r="O7" s="567"/>
      <c r="P7" s="245" t="s">
        <v>229</v>
      </c>
      <c r="Q7" s="245" t="s">
        <v>230</v>
      </c>
      <c r="R7" s="245" t="s">
        <v>231</v>
      </c>
      <c r="S7" s="245" t="s">
        <v>232</v>
      </c>
      <c r="T7" s="245" t="s">
        <v>233</v>
      </c>
      <c r="U7" s="245" t="s">
        <v>133</v>
      </c>
      <c r="V7" s="245" t="s">
        <v>134</v>
      </c>
      <c r="W7" s="245" t="s">
        <v>234</v>
      </c>
      <c r="X7" s="245" t="s">
        <v>235</v>
      </c>
      <c r="Y7" s="245" t="s">
        <v>236</v>
      </c>
      <c r="Z7" s="245" t="s">
        <v>237</v>
      </c>
      <c r="AA7" s="245" t="s">
        <v>68</v>
      </c>
      <c r="AB7" s="245" t="s">
        <v>221</v>
      </c>
      <c r="AC7" s="103"/>
      <c r="AD7" s="561"/>
      <c r="AE7" s="561"/>
      <c r="AF7" s="569"/>
      <c r="AG7" s="245" t="s">
        <v>238</v>
      </c>
      <c r="AH7" s="245" t="s">
        <v>239</v>
      </c>
      <c r="AI7" s="245" t="s">
        <v>240</v>
      </c>
      <c r="AJ7" s="245" t="s">
        <v>237</v>
      </c>
      <c r="AK7" s="245" t="s">
        <v>68</v>
      </c>
      <c r="AL7" s="245" t="s">
        <v>221</v>
      </c>
    </row>
    <row r="8" spans="1:38" ht="15" customHeight="1">
      <c r="B8" s="561"/>
      <c r="C8" s="560"/>
      <c r="D8" s="245" t="s">
        <v>241</v>
      </c>
      <c r="E8" s="560"/>
      <c r="F8" s="153" t="s">
        <v>242</v>
      </c>
      <c r="G8" s="153" t="str">
        <f t="shared" ref="G8:K8" si="0">F8</f>
        <v>μm</v>
      </c>
      <c r="H8" s="153" t="str">
        <f t="shared" si="0"/>
        <v>μm</v>
      </c>
      <c r="I8" s="153" t="str">
        <f t="shared" si="0"/>
        <v>μm</v>
      </c>
      <c r="J8" s="153" t="str">
        <f t="shared" si="0"/>
        <v>μm</v>
      </c>
      <c r="K8" s="153" t="str">
        <f t="shared" si="0"/>
        <v>μm</v>
      </c>
      <c r="L8" s="153" t="s">
        <v>242</v>
      </c>
      <c r="M8" s="153" t="str">
        <f t="shared" ref="M8:N8" si="1">L8</f>
        <v>μm</v>
      </c>
      <c r="N8" s="153" t="str">
        <f t="shared" si="1"/>
        <v>μm</v>
      </c>
      <c r="O8" s="153" t="str">
        <f>K8</f>
        <v>μm</v>
      </c>
      <c r="P8" s="245" t="s">
        <v>243</v>
      </c>
      <c r="Q8" s="245" t="s">
        <v>243</v>
      </c>
      <c r="R8" s="155" t="s">
        <v>244</v>
      </c>
      <c r="S8" s="155" t="s">
        <v>244</v>
      </c>
      <c r="T8" s="155" t="s">
        <v>244</v>
      </c>
      <c r="U8" s="245" t="s">
        <v>245</v>
      </c>
      <c r="V8" s="155" t="s">
        <v>244</v>
      </c>
      <c r="W8" s="245" t="s">
        <v>246</v>
      </c>
      <c r="X8" s="245" t="s">
        <v>243</v>
      </c>
      <c r="Y8" s="245" t="s">
        <v>243</v>
      </c>
      <c r="Z8" s="153" t="s">
        <v>247</v>
      </c>
      <c r="AA8" s="245" t="s">
        <v>248</v>
      </c>
      <c r="AB8" s="153" t="s">
        <v>249</v>
      </c>
      <c r="AC8" s="103"/>
      <c r="AD8" s="561"/>
      <c r="AE8" s="561"/>
      <c r="AF8" s="300" t="s">
        <v>241</v>
      </c>
      <c r="AG8" s="153" t="s">
        <v>248</v>
      </c>
      <c r="AH8" s="153" t="str">
        <f t="shared" ref="AH8:AI8" si="2">AG8</f>
        <v>mm</v>
      </c>
      <c r="AI8" s="153" t="str">
        <f t="shared" si="2"/>
        <v>mm</v>
      </c>
      <c r="AJ8" s="153" t="s">
        <v>247</v>
      </c>
      <c r="AK8" s="245" t="s">
        <v>250</v>
      </c>
      <c r="AL8" s="153" t="s">
        <v>251</v>
      </c>
    </row>
    <row r="9" spans="1:38" ht="15" customHeight="1">
      <c r="B9" s="156" t="b">
        <f>IF(TRIM(Length_7!B4)="",FALSE,TRUE)</f>
        <v>0</v>
      </c>
      <c r="C9" s="137" t="str">
        <f>IF($B9=FALSE,"",Length_7!A4)</f>
        <v/>
      </c>
      <c r="D9" s="157" t="str">
        <f>IF($B9=FALSE,"",VALUE(Length_7!B4))</f>
        <v/>
      </c>
      <c r="E9" s="137" t="str">
        <f>IF($B9=FALSE,"",Length_7!C4)</f>
        <v/>
      </c>
      <c r="F9" s="156" t="str">
        <f>IF($B9=FALSE,"",Length_7!N4)</f>
        <v/>
      </c>
      <c r="G9" s="156" t="str">
        <f>IF($B9=FALSE,"",Length_7!O4)</f>
        <v/>
      </c>
      <c r="H9" s="156" t="str">
        <f>IF($B9=FALSE,"",Length_7!P4)</f>
        <v/>
      </c>
      <c r="I9" s="156" t="str">
        <f>IF($B9=FALSE,"",Length_7!Q4)</f>
        <v/>
      </c>
      <c r="J9" s="156" t="str">
        <f>IF($B9=FALSE,"",Length_7!R4)</f>
        <v/>
      </c>
      <c r="K9" s="156" t="str">
        <f t="shared" ref="K9:K28" si="3">IF($B9=FALSE,"",AVERAGE(F9:J9))</f>
        <v/>
      </c>
      <c r="L9" s="156" t="str">
        <f>IF($B9=FALSE,"",Length_7!S4)</f>
        <v/>
      </c>
      <c r="M9" s="156" t="str">
        <f>IF($B9=FALSE,"",Length_7!T4)</f>
        <v/>
      </c>
      <c r="N9" s="156" t="str">
        <f t="shared" ref="N9:N28" si="4">IF($B9=FALSE,"",ABS(MAX(L9:M9)-MIN(L9:M9)))</f>
        <v/>
      </c>
      <c r="O9" s="244" t="str">
        <f t="shared" ref="O9:O28" si="5">IF(B9=FALSE,"",STDEV(F9:J9))</f>
        <v/>
      </c>
      <c r="P9" s="158" t="str">
        <f>IF($B9=FALSE,"",Length_7!D27)</f>
        <v/>
      </c>
      <c r="Q9" s="159" t="str">
        <f t="shared" ref="Q9:Q28" si="6">IF($B9=FALSE,"",K9/1000)</f>
        <v/>
      </c>
      <c r="R9" s="138" t="str">
        <f t="shared" ref="R9:R28" si="7">IF(B9=FALSE,"",11.5*10^-6)</f>
        <v/>
      </c>
      <c r="S9" s="138" t="str">
        <f>IF(B9=FALSE,"",Length_7!F27)</f>
        <v/>
      </c>
      <c r="T9" s="138" t="str">
        <f t="shared" ref="T9:T28" si="8">IF(B9=FALSE,"",AVERAGE(R9:S9))</f>
        <v/>
      </c>
      <c r="U9" s="137" t="str">
        <f t="shared" ref="U9:U28" si="9">IF(B9=FALSE,"",B$3-C$3)</f>
        <v/>
      </c>
      <c r="V9" s="137" t="str">
        <f t="shared" ref="V9:V28" si="10">IF(B9=FALSE,"",R9-S9)</f>
        <v/>
      </c>
      <c r="W9" s="137" t="str">
        <f t="shared" ref="W9:W28" si="11">IF(B9=FALSE,"",AVERAGE(B$3:C$3)-20)</f>
        <v/>
      </c>
      <c r="X9" s="160" t="str">
        <f t="shared" ref="X9:X28" si="12">IF(B9=FALSE,"",(T9*U9+V9*W9)*D9)</f>
        <v/>
      </c>
      <c r="Y9" s="161" t="str">
        <f t="shared" ref="Y9:Y28" si="13">IF(B9=FALSE,"",Q9+P9-X9)</f>
        <v/>
      </c>
      <c r="Z9" s="168" t="str">
        <f t="shared" ref="Z9:Z28" si="14">IF(B9=FALSE,"",(Y9-D9)*1000)</f>
        <v/>
      </c>
      <c r="AA9" s="137" t="str">
        <f t="shared" ref="AA9:AA28" si="15">IF($B9=FALSE,"",ROUND(Y9,$K$53))</f>
        <v/>
      </c>
      <c r="AB9" s="137" t="str">
        <f t="shared" ref="AB9:AB28" si="16">IF($B9=FALSE,"",ROUND(Z9,$J$53))</f>
        <v/>
      </c>
      <c r="AC9" s="103"/>
      <c r="AD9" s="156">
        <v>1</v>
      </c>
      <c r="AE9" s="156" t="e">
        <f ca="1">AND(B9,H$3&gt;=D9)</f>
        <v>#N/A</v>
      </c>
      <c r="AF9" s="301" t="e">
        <f ca="1">IF($AE9=FALSE,"",E$3-OFFSET($D$8,$D$3-AD9,0))</f>
        <v>#N/A</v>
      </c>
      <c r="AG9" s="156" t="e">
        <f ca="1">IF($AE9=FALSE,"",$G$3)</f>
        <v>#N/A</v>
      </c>
      <c r="AH9" s="156" t="e">
        <f t="shared" ref="AH9:AH28" ca="1" si="17">IF($AE9=FALSE,"",OFFSET($Y$8,$D$3-AD9,0))</f>
        <v>#N/A</v>
      </c>
      <c r="AI9" s="161" t="e">
        <f t="shared" ref="AI9:AI28" ca="1" si="18">IF($AE9=FALSE,"",AG9-AH9)</f>
        <v>#N/A</v>
      </c>
      <c r="AJ9" s="168" t="e">
        <f ca="1">IF($AE9=FALSE,"",(AI9-AF9)*1000)</f>
        <v>#N/A</v>
      </c>
      <c r="AK9" s="137" t="e">
        <f ca="1">IF($AE9=FALSE,"",ROUND(AI9,$K$53))</f>
        <v>#N/A</v>
      </c>
      <c r="AL9" s="137" t="e">
        <f ca="1">IF($AE9=FALSE,"",ROUND(AJ9,$J$53))</f>
        <v>#N/A</v>
      </c>
    </row>
    <row r="10" spans="1:38" ht="15" customHeight="1">
      <c r="B10" s="156" t="b">
        <f>IF(TRIM(Length_7!B5)="",FALSE,TRUE)</f>
        <v>0</v>
      </c>
      <c r="C10" s="137" t="str">
        <f>IF($B10=FALSE,"",Length_7!A5)</f>
        <v/>
      </c>
      <c r="D10" s="157" t="str">
        <f>IF($B10=FALSE,"",VALUE(Length_7!B5))</f>
        <v/>
      </c>
      <c r="E10" s="137" t="str">
        <f>IF($B10=FALSE,"",Length_7!C5)</f>
        <v/>
      </c>
      <c r="F10" s="156" t="str">
        <f>IF($B10=FALSE,"",Length_7!N5)</f>
        <v/>
      </c>
      <c r="G10" s="156" t="str">
        <f>IF($B10=FALSE,"",Length_7!O5)</f>
        <v/>
      </c>
      <c r="H10" s="156" t="str">
        <f>IF($B10=FALSE,"",Length_7!P5)</f>
        <v/>
      </c>
      <c r="I10" s="156" t="str">
        <f>IF($B10=FALSE,"",Length_7!Q5)</f>
        <v/>
      </c>
      <c r="J10" s="156" t="str">
        <f>IF($B10=FALSE,"",Length_7!R5)</f>
        <v/>
      </c>
      <c r="K10" s="156" t="str">
        <f t="shared" si="3"/>
        <v/>
      </c>
      <c r="L10" s="156" t="str">
        <f>IF($B10=FALSE,"",Length_7!S5)</f>
        <v/>
      </c>
      <c r="M10" s="156" t="str">
        <f>IF($B10=FALSE,"",Length_7!T5)</f>
        <v/>
      </c>
      <c r="N10" s="156" t="str">
        <f t="shared" si="4"/>
        <v/>
      </c>
      <c r="O10" s="244" t="str">
        <f t="shared" si="5"/>
        <v/>
      </c>
      <c r="P10" s="158" t="str">
        <f>IF($B10=FALSE,"",Length_7!D28)</f>
        <v/>
      </c>
      <c r="Q10" s="159" t="str">
        <f t="shared" si="6"/>
        <v/>
      </c>
      <c r="R10" s="138" t="str">
        <f t="shared" si="7"/>
        <v/>
      </c>
      <c r="S10" s="138" t="str">
        <f>IF(B10=FALSE,"",Length_7!F28)</f>
        <v/>
      </c>
      <c r="T10" s="138" t="str">
        <f t="shared" si="8"/>
        <v/>
      </c>
      <c r="U10" s="137" t="str">
        <f t="shared" si="9"/>
        <v/>
      </c>
      <c r="V10" s="137" t="str">
        <f t="shared" si="10"/>
        <v/>
      </c>
      <c r="W10" s="137" t="str">
        <f t="shared" si="11"/>
        <v/>
      </c>
      <c r="X10" s="160" t="str">
        <f t="shared" si="12"/>
        <v/>
      </c>
      <c r="Y10" s="161" t="str">
        <f t="shared" si="13"/>
        <v/>
      </c>
      <c r="Z10" s="168" t="str">
        <f t="shared" si="14"/>
        <v/>
      </c>
      <c r="AA10" s="137" t="str">
        <f t="shared" si="15"/>
        <v/>
      </c>
      <c r="AB10" s="137" t="str">
        <f t="shared" si="16"/>
        <v/>
      </c>
      <c r="AC10" s="103"/>
      <c r="AD10" s="156">
        <v>2</v>
      </c>
      <c r="AE10" s="156" t="e">
        <f t="shared" ref="AE10:AE28" ca="1" si="19">AND(B10,H$3&gt;=D10)</f>
        <v>#N/A</v>
      </c>
      <c r="AF10" s="301" t="e">
        <f t="shared" ref="AF10:AF28" ca="1" si="20">IF($AE10=FALSE,"",E$3-OFFSET($D$8,$D$3-AD10,0))</f>
        <v>#N/A</v>
      </c>
      <c r="AG10" s="156" t="e">
        <f t="shared" ref="AG10:AG28" ca="1" si="21">IF($AE10=FALSE,"",$G$3)</f>
        <v>#N/A</v>
      </c>
      <c r="AH10" s="156" t="e">
        <f t="shared" ca="1" si="17"/>
        <v>#N/A</v>
      </c>
      <c r="AI10" s="161" t="e">
        <f t="shared" ca="1" si="18"/>
        <v>#N/A</v>
      </c>
      <c r="AJ10" s="168" t="e">
        <f t="shared" ref="AJ10:AJ28" ca="1" si="22">IF($AE10=FALSE,"",(AI10-AF10)*1000)</f>
        <v>#N/A</v>
      </c>
      <c r="AK10" s="137" t="e">
        <f t="shared" ref="AK10:AK28" ca="1" si="23">IF($AE10=FALSE,"",ROUND(AI10,$K$53))</f>
        <v>#N/A</v>
      </c>
      <c r="AL10" s="137" t="e">
        <f t="shared" ref="AL10:AL28" ca="1" si="24">IF($AE10=FALSE,"",ROUND(AJ10,$J$53))</f>
        <v>#N/A</v>
      </c>
    </row>
    <row r="11" spans="1:38" ht="15" customHeight="1">
      <c r="B11" s="156" t="b">
        <f>IF(TRIM(Length_7!B6)="",FALSE,TRUE)</f>
        <v>0</v>
      </c>
      <c r="C11" s="137" t="str">
        <f>IF($B11=FALSE,"",Length_7!A6)</f>
        <v/>
      </c>
      <c r="D11" s="157" t="str">
        <f>IF($B11=FALSE,"",VALUE(Length_7!B6))</f>
        <v/>
      </c>
      <c r="E11" s="137" t="str">
        <f>IF($B11=FALSE,"",Length_7!C6)</f>
        <v/>
      </c>
      <c r="F11" s="156" t="str">
        <f>IF($B11=FALSE,"",Length_7!N6)</f>
        <v/>
      </c>
      <c r="G11" s="156" t="str">
        <f>IF($B11=FALSE,"",Length_7!O6)</f>
        <v/>
      </c>
      <c r="H11" s="156" t="str">
        <f>IF($B11=FALSE,"",Length_7!P6)</f>
        <v/>
      </c>
      <c r="I11" s="156" t="str">
        <f>IF($B11=FALSE,"",Length_7!Q6)</f>
        <v/>
      </c>
      <c r="J11" s="156" t="str">
        <f>IF($B11=FALSE,"",Length_7!R6)</f>
        <v/>
      </c>
      <c r="K11" s="156" t="str">
        <f t="shared" si="3"/>
        <v/>
      </c>
      <c r="L11" s="156" t="str">
        <f>IF($B11=FALSE,"",Length_7!S6)</f>
        <v/>
      </c>
      <c r="M11" s="156" t="str">
        <f>IF($B11=FALSE,"",Length_7!T6)</f>
        <v/>
      </c>
      <c r="N11" s="156" t="str">
        <f t="shared" si="4"/>
        <v/>
      </c>
      <c r="O11" s="244" t="str">
        <f t="shared" si="5"/>
        <v/>
      </c>
      <c r="P11" s="158" t="str">
        <f>IF($B11=FALSE,"",Length_7!D29)</f>
        <v/>
      </c>
      <c r="Q11" s="159" t="str">
        <f t="shared" si="6"/>
        <v/>
      </c>
      <c r="R11" s="138" t="str">
        <f t="shared" si="7"/>
        <v/>
      </c>
      <c r="S11" s="138" t="str">
        <f>IF(B11=FALSE,"",Length_7!F29)</f>
        <v/>
      </c>
      <c r="T11" s="138" t="str">
        <f t="shared" si="8"/>
        <v/>
      </c>
      <c r="U11" s="137" t="str">
        <f t="shared" si="9"/>
        <v/>
      </c>
      <c r="V11" s="137" t="str">
        <f t="shared" si="10"/>
        <v/>
      </c>
      <c r="W11" s="137" t="str">
        <f t="shared" si="11"/>
        <v/>
      </c>
      <c r="X11" s="160" t="str">
        <f t="shared" si="12"/>
        <v/>
      </c>
      <c r="Y11" s="161" t="str">
        <f t="shared" si="13"/>
        <v/>
      </c>
      <c r="Z11" s="168" t="str">
        <f t="shared" si="14"/>
        <v/>
      </c>
      <c r="AA11" s="137" t="str">
        <f t="shared" si="15"/>
        <v/>
      </c>
      <c r="AB11" s="137" t="str">
        <f t="shared" si="16"/>
        <v/>
      </c>
      <c r="AC11" s="103"/>
      <c r="AD11" s="156">
        <v>3</v>
      </c>
      <c r="AE11" s="156" t="e">
        <f t="shared" ca="1" si="19"/>
        <v>#N/A</v>
      </c>
      <c r="AF11" s="301" t="e">
        <f t="shared" ca="1" si="20"/>
        <v>#N/A</v>
      </c>
      <c r="AG11" s="156" t="e">
        <f t="shared" ca="1" si="21"/>
        <v>#N/A</v>
      </c>
      <c r="AH11" s="156" t="e">
        <f t="shared" ca="1" si="17"/>
        <v>#N/A</v>
      </c>
      <c r="AI11" s="161" t="e">
        <f t="shared" ca="1" si="18"/>
        <v>#N/A</v>
      </c>
      <c r="AJ11" s="168" t="e">
        <f t="shared" ca="1" si="22"/>
        <v>#N/A</v>
      </c>
      <c r="AK11" s="137" t="e">
        <f t="shared" ca="1" si="23"/>
        <v>#N/A</v>
      </c>
      <c r="AL11" s="137" t="e">
        <f t="shared" ca="1" si="24"/>
        <v>#N/A</v>
      </c>
    </row>
    <row r="12" spans="1:38" ht="15" customHeight="1">
      <c r="B12" s="156" t="b">
        <f>IF(TRIM(Length_7!B7)="",FALSE,TRUE)</f>
        <v>0</v>
      </c>
      <c r="C12" s="137" t="str">
        <f>IF($B12=FALSE,"",Length_7!A7)</f>
        <v/>
      </c>
      <c r="D12" s="157" t="str">
        <f>IF($B12=FALSE,"",VALUE(Length_7!B7))</f>
        <v/>
      </c>
      <c r="E12" s="137" t="str">
        <f>IF($B12=FALSE,"",Length_7!C7)</f>
        <v/>
      </c>
      <c r="F12" s="156" t="str">
        <f>IF($B12=FALSE,"",Length_7!N7)</f>
        <v/>
      </c>
      <c r="G12" s="156" t="str">
        <f>IF($B12=FALSE,"",Length_7!O7)</f>
        <v/>
      </c>
      <c r="H12" s="156" t="str">
        <f>IF($B12=FALSE,"",Length_7!P7)</f>
        <v/>
      </c>
      <c r="I12" s="156" t="str">
        <f>IF($B12=FALSE,"",Length_7!Q7)</f>
        <v/>
      </c>
      <c r="J12" s="156" t="str">
        <f>IF($B12=FALSE,"",Length_7!R7)</f>
        <v/>
      </c>
      <c r="K12" s="156" t="str">
        <f t="shared" si="3"/>
        <v/>
      </c>
      <c r="L12" s="156" t="str">
        <f>IF($B12=FALSE,"",Length_7!S7)</f>
        <v/>
      </c>
      <c r="M12" s="156" t="str">
        <f>IF($B12=FALSE,"",Length_7!T7)</f>
        <v/>
      </c>
      <c r="N12" s="156" t="str">
        <f t="shared" si="4"/>
        <v/>
      </c>
      <c r="O12" s="244" t="str">
        <f t="shared" si="5"/>
        <v/>
      </c>
      <c r="P12" s="158" t="str">
        <f>IF($B12=FALSE,"",Length_7!D30)</f>
        <v/>
      </c>
      <c r="Q12" s="159" t="str">
        <f t="shared" si="6"/>
        <v/>
      </c>
      <c r="R12" s="138" t="str">
        <f t="shared" si="7"/>
        <v/>
      </c>
      <c r="S12" s="138" t="str">
        <f>IF(B12=FALSE,"",Length_7!F30)</f>
        <v/>
      </c>
      <c r="T12" s="138" t="str">
        <f t="shared" si="8"/>
        <v/>
      </c>
      <c r="U12" s="137" t="str">
        <f t="shared" si="9"/>
        <v/>
      </c>
      <c r="V12" s="137" t="str">
        <f t="shared" si="10"/>
        <v/>
      </c>
      <c r="W12" s="137" t="str">
        <f t="shared" si="11"/>
        <v/>
      </c>
      <c r="X12" s="160" t="str">
        <f t="shared" si="12"/>
        <v/>
      </c>
      <c r="Y12" s="161" t="str">
        <f t="shared" si="13"/>
        <v/>
      </c>
      <c r="Z12" s="168" t="str">
        <f t="shared" si="14"/>
        <v/>
      </c>
      <c r="AA12" s="137" t="str">
        <f t="shared" si="15"/>
        <v/>
      </c>
      <c r="AB12" s="137" t="str">
        <f t="shared" si="16"/>
        <v/>
      </c>
      <c r="AC12" s="103"/>
      <c r="AD12" s="156">
        <v>4</v>
      </c>
      <c r="AE12" s="156" t="e">
        <f t="shared" ca="1" si="19"/>
        <v>#N/A</v>
      </c>
      <c r="AF12" s="301" t="e">
        <f t="shared" ca="1" si="20"/>
        <v>#N/A</v>
      </c>
      <c r="AG12" s="156" t="e">
        <f t="shared" ca="1" si="21"/>
        <v>#N/A</v>
      </c>
      <c r="AH12" s="156" t="e">
        <f t="shared" ca="1" si="17"/>
        <v>#N/A</v>
      </c>
      <c r="AI12" s="161" t="e">
        <f t="shared" ca="1" si="18"/>
        <v>#N/A</v>
      </c>
      <c r="AJ12" s="168" t="e">
        <f t="shared" ca="1" si="22"/>
        <v>#N/A</v>
      </c>
      <c r="AK12" s="137" t="e">
        <f t="shared" ca="1" si="23"/>
        <v>#N/A</v>
      </c>
      <c r="AL12" s="137" t="e">
        <f t="shared" ca="1" si="24"/>
        <v>#N/A</v>
      </c>
    </row>
    <row r="13" spans="1:38" ht="15" customHeight="1">
      <c r="B13" s="156" t="b">
        <f>IF(TRIM(Length_7!B8)="",FALSE,TRUE)</f>
        <v>0</v>
      </c>
      <c r="C13" s="137" t="str">
        <f>IF($B13=FALSE,"",Length_7!A8)</f>
        <v/>
      </c>
      <c r="D13" s="157" t="str">
        <f>IF($B13=FALSE,"",VALUE(Length_7!B8))</f>
        <v/>
      </c>
      <c r="E13" s="137" t="str">
        <f>IF($B13=FALSE,"",Length_7!C8)</f>
        <v/>
      </c>
      <c r="F13" s="156" t="str">
        <f>IF($B13=FALSE,"",Length_7!N8)</f>
        <v/>
      </c>
      <c r="G13" s="156" t="str">
        <f>IF($B13=FALSE,"",Length_7!O8)</f>
        <v/>
      </c>
      <c r="H13" s="156" t="str">
        <f>IF($B13=FALSE,"",Length_7!P8)</f>
        <v/>
      </c>
      <c r="I13" s="156" t="str">
        <f>IF($B13=FALSE,"",Length_7!Q8)</f>
        <v/>
      </c>
      <c r="J13" s="156" t="str">
        <f>IF($B13=FALSE,"",Length_7!R8)</f>
        <v/>
      </c>
      <c r="K13" s="156" t="str">
        <f t="shared" si="3"/>
        <v/>
      </c>
      <c r="L13" s="156" t="str">
        <f>IF($B13=FALSE,"",Length_7!S8)</f>
        <v/>
      </c>
      <c r="M13" s="156" t="str">
        <f>IF($B13=FALSE,"",Length_7!T8)</f>
        <v/>
      </c>
      <c r="N13" s="156" t="str">
        <f t="shared" si="4"/>
        <v/>
      </c>
      <c r="O13" s="244" t="str">
        <f t="shared" si="5"/>
        <v/>
      </c>
      <c r="P13" s="158" t="str">
        <f>IF($B13=FALSE,"",Length_7!D31)</f>
        <v/>
      </c>
      <c r="Q13" s="159" t="str">
        <f t="shared" si="6"/>
        <v/>
      </c>
      <c r="R13" s="138" t="str">
        <f t="shared" si="7"/>
        <v/>
      </c>
      <c r="S13" s="138" t="str">
        <f>IF(B13=FALSE,"",Length_7!F31)</f>
        <v/>
      </c>
      <c r="T13" s="138" t="str">
        <f t="shared" si="8"/>
        <v/>
      </c>
      <c r="U13" s="137" t="str">
        <f t="shared" si="9"/>
        <v/>
      </c>
      <c r="V13" s="137" t="str">
        <f t="shared" si="10"/>
        <v/>
      </c>
      <c r="W13" s="137" t="str">
        <f t="shared" si="11"/>
        <v/>
      </c>
      <c r="X13" s="160" t="str">
        <f t="shared" si="12"/>
        <v/>
      </c>
      <c r="Y13" s="161" t="str">
        <f t="shared" si="13"/>
        <v/>
      </c>
      <c r="Z13" s="168" t="str">
        <f t="shared" si="14"/>
        <v/>
      </c>
      <c r="AA13" s="137" t="str">
        <f t="shared" si="15"/>
        <v/>
      </c>
      <c r="AB13" s="137" t="str">
        <f t="shared" si="16"/>
        <v/>
      </c>
      <c r="AC13" s="103"/>
      <c r="AD13" s="156">
        <v>5</v>
      </c>
      <c r="AE13" s="156" t="e">
        <f t="shared" ca="1" si="19"/>
        <v>#N/A</v>
      </c>
      <c r="AF13" s="301" t="e">
        <f t="shared" ca="1" si="20"/>
        <v>#N/A</v>
      </c>
      <c r="AG13" s="156" t="e">
        <f t="shared" ca="1" si="21"/>
        <v>#N/A</v>
      </c>
      <c r="AH13" s="156" t="e">
        <f t="shared" ca="1" si="17"/>
        <v>#N/A</v>
      </c>
      <c r="AI13" s="161" t="e">
        <f t="shared" ca="1" si="18"/>
        <v>#N/A</v>
      </c>
      <c r="AJ13" s="168" t="e">
        <f t="shared" ca="1" si="22"/>
        <v>#N/A</v>
      </c>
      <c r="AK13" s="137" t="e">
        <f t="shared" ca="1" si="23"/>
        <v>#N/A</v>
      </c>
      <c r="AL13" s="137" t="e">
        <f t="shared" ca="1" si="24"/>
        <v>#N/A</v>
      </c>
    </row>
    <row r="14" spans="1:38" ht="15" customHeight="1">
      <c r="B14" s="156" t="b">
        <f>IF(TRIM(Length_7!B9)="",FALSE,TRUE)</f>
        <v>0</v>
      </c>
      <c r="C14" s="137" t="str">
        <f>IF($B14=FALSE,"",Length_7!A9)</f>
        <v/>
      </c>
      <c r="D14" s="157" t="str">
        <f>IF($B14=FALSE,"",VALUE(Length_7!B9))</f>
        <v/>
      </c>
      <c r="E14" s="137" t="str">
        <f>IF($B14=FALSE,"",Length_7!C9)</f>
        <v/>
      </c>
      <c r="F14" s="156" t="str">
        <f>IF($B14=FALSE,"",Length_7!N9)</f>
        <v/>
      </c>
      <c r="G14" s="156" t="str">
        <f>IF($B14=FALSE,"",Length_7!O9)</f>
        <v/>
      </c>
      <c r="H14" s="156" t="str">
        <f>IF($B14=FALSE,"",Length_7!P9)</f>
        <v/>
      </c>
      <c r="I14" s="156" t="str">
        <f>IF($B14=FALSE,"",Length_7!Q9)</f>
        <v/>
      </c>
      <c r="J14" s="156" t="str">
        <f>IF($B14=FALSE,"",Length_7!R9)</f>
        <v/>
      </c>
      <c r="K14" s="156" t="str">
        <f t="shared" si="3"/>
        <v/>
      </c>
      <c r="L14" s="156" t="str">
        <f>IF($B14=FALSE,"",Length_7!S9)</f>
        <v/>
      </c>
      <c r="M14" s="156" t="str">
        <f>IF($B14=FALSE,"",Length_7!T9)</f>
        <v/>
      </c>
      <c r="N14" s="156" t="str">
        <f t="shared" si="4"/>
        <v/>
      </c>
      <c r="O14" s="244" t="str">
        <f t="shared" si="5"/>
        <v/>
      </c>
      <c r="P14" s="158" t="str">
        <f>IF($B14=FALSE,"",Length_7!D32)</f>
        <v/>
      </c>
      <c r="Q14" s="159" t="str">
        <f t="shared" si="6"/>
        <v/>
      </c>
      <c r="R14" s="138" t="str">
        <f t="shared" si="7"/>
        <v/>
      </c>
      <c r="S14" s="138" t="str">
        <f>IF(B14=FALSE,"",Length_7!F32)</f>
        <v/>
      </c>
      <c r="T14" s="138" t="str">
        <f t="shared" si="8"/>
        <v/>
      </c>
      <c r="U14" s="137" t="str">
        <f t="shared" si="9"/>
        <v/>
      </c>
      <c r="V14" s="137" t="str">
        <f t="shared" si="10"/>
        <v/>
      </c>
      <c r="W14" s="137" t="str">
        <f t="shared" si="11"/>
        <v/>
      </c>
      <c r="X14" s="160" t="str">
        <f t="shared" si="12"/>
        <v/>
      </c>
      <c r="Y14" s="161" t="str">
        <f t="shared" si="13"/>
        <v/>
      </c>
      <c r="Z14" s="168" t="str">
        <f t="shared" si="14"/>
        <v/>
      </c>
      <c r="AA14" s="137" t="str">
        <f t="shared" si="15"/>
        <v/>
      </c>
      <c r="AB14" s="137" t="str">
        <f t="shared" si="16"/>
        <v/>
      </c>
      <c r="AC14" s="103"/>
      <c r="AD14" s="156">
        <v>6</v>
      </c>
      <c r="AE14" s="156" t="e">
        <f t="shared" ca="1" si="19"/>
        <v>#N/A</v>
      </c>
      <c r="AF14" s="301" t="e">
        <f t="shared" ca="1" si="20"/>
        <v>#N/A</v>
      </c>
      <c r="AG14" s="156" t="e">
        <f t="shared" ca="1" si="21"/>
        <v>#N/A</v>
      </c>
      <c r="AH14" s="156" t="e">
        <f t="shared" ca="1" si="17"/>
        <v>#N/A</v>
      </c>
      <c r="AI14" s="161" t="e">
        <f t="shared" ca="1" si="18"/>
        <v>#N/A</v>
      </c>
      <c r="AJ14" s="168" t="e">
        <f t="shared" ca="1" si="22"/>
        <v>#N/A</v>
      </c>
      <c r="AK14" s="137" t="e">
        <f t="shared" ca="1" si="23"/>
        <v>#N/A</v>
      </c>
      <c r="AL14" s="137" t="e">
        <f t="shared" ca="1" si="24"/>
        <v>#N/A</v>
      </c>
    </row>
    <row r="15" spans="1:38" ht="15" customHeight="1">
      <c r="B15" s="156" t="b">
        <f>IF(TRIM(Length_7!B10)="",FALSE,TRUE)</f>
        <v>0</v>
      </c>
      <c r="C15" s="137" t="str">
        <f>IF($B15=FALSE,"",Length_7!A10)</f>
        <v/>
      </c>
      <c r="D15" s="157" t="str">
        <f>IF($B15=FALSE,"",VALUE(Length_7!B10))</f>
        <v/>
      </c>
      <c r="E15" s="137" t="str">
        <f>IF($B15=FALSE,"",Length_7!C10)</f>
        <v/>
      </c>
      <c r="F15" s="156" t="str">
        <f>IF($B15=FALSE,"",Length_7!N10)</f>
        <v/>
      </c>
      <c r="G15" s="156" t="str">
        <f>IF($B15=FALSE,"",Length_7!O10)</f>
        <v/>
      </c>
      <c r="H15" s="156" t="str">
        <f>IF($B15=FALSE,"",Length_7!P10)</f>
        <v/>
      </c>
      <c r="I15" s="156" t="str">
        <f>IF($B15=FALSE,"",Length_7!Q10)</f>
        <v/>
      </c>
      <c r="J15" s="156" t="str">
        <f>IF($B15=FALSE,"",Length_7!R10)</f>
        <v/>
      </c>
      <c r="K15" s="156" t="str">
        <f t="shared" si="3"/>
        <v/>
      </c>
      <c r="L15" s="156" t="str">
        <f>IF($B15=FALSE,"",Length_7!S10)</f>
        <v/>
      </c>
      <c r="M15" s="156" t="str">
        <f>IF($B15=FALSE,"",Length_7!T10)</f>
        <v/>
      </c>
      <c r="N15" s="156" t="str">
        <f t="shared" si="4"/>
        <v/>
      </c>
      <c r="O15" s="244" t="str">
        <f t="shared" si="5"/>
        <v/>
      </c>
      <c r="P15" s="158" t="str">
        <f>IF($B15=FALSE,"",Length_7!D33)</f>
        <v/>
      </c>
      <c r="Q15" s="159" t="str">
        <f t="shared" si="6"/>
        <v/>
      </c>
      <c r="R15" s="138" t="str">
        <f t="shared" si="7"/>
        <v/>
      </c>
      <c r="S15" s="138" t="str">
        <f>IF(B15=FALSE,"",Length_7!F33)</f>
        <v/>
      </c>
      <c r="T15" s="138" t="str">
        <f t="shared" si="8"/>
        <v/>
      </c>
      <c r="U15" s="137" t="str">
        <f t="shared" si="9"/>
        <v/>
      </c>
      <c r="V15" s="137" t="str">
        <f t="shared" si="10"/>
        <v/>
      </c>
      <c r="W15" s="137" t="str">
        <f t="shared" si="11"/>
        <v/>
      </c>
      <c r="X15" s="160" t="str">
        <f t="shared" si="12"/>
        <v/>
      </c>
      <c r="Y15" s="161" t="str">
        <f t="shared" si="13"/>
        <v/>
      </c>
      <c r="Z15" s="168" t="str">
        <f t="shared" si="14"/>
        <v/>
      </c>
      <c r="AA15" s="137" t="str">
        <f t="shared" si="15"/>
        <v/>
      </c>
      <c r="AB15" s="137" t="str">
        <f t="shared" si="16"/>
        <v/>
      </c>
      <c r="AC15" s="103"/>
      <c r="AD15" s="156">
        <v>7</v>
      </c>
      <c r="AE15" s="156" t="e">
        <f t="shared" ca="1" si="19"/>
        <v>#N/A</v>
      </c>
      <c r="AF15" s="301" t="e">
        <f t="shared" ca="1" si="20"/>
        <v>#N/A</v>
      </c>
      <c r="AG15" s="156" t="e">
        <f t="shared" ca="1" si="21"/>
        <v>#N/A</v>
      </c>
      <c r="AH15" s="156" t="e">
        <f t="shared" ca="1" si="17"/>
        <v>#N/A</v>
      </c>
      <c r="AI15" s="161" t="e">
        <f t="shared" ca="1" si="18"/>
        <v>#N/A</v>
      </c>
      <c r="AJ15" s="168" t="e">
        <f t="shared" ca="1" si="22"/>
        <v>#N/A</v>
      </c>
      <c r="AK15" s="137" t="e">
        <f t="shared" ca="1" si="23"/>
        <v>#N/A</v>
      </c>
      <c r="AL15" s="137" t="e">
        <f t="shared" ca="1" si="24"/>
        <v>#N/A</v>
      </c>
    </row>
    <row r="16" spans="1:38" ht="15" customHeight="1">
      <c r="B16" s="156" t="b">
        <f>IF(TRIM(Length_7!B11)="",FALSE,TRUE)</f>
        <v>0</v>
      </c>
      <c r="C16" s="137" t="str">
        <f>IF($B16=FALSE,"",Length_7!A11)</f>
        <v/>
      </c>
      <c r="D16" s="157" t="str">
        <f>IF($B16=FALSE,"",VALUE(Length_7!B11))</f>
        <v/>
      </c>
      <c r="E16" s="137" t="str">
        <f>IF($B16=FALSE,"",Length_7!C11)</f>
        <v/>
      </c>
      <c r="F16" s="156" t="str">
        <f>IF($B16=FALSE,"",Length_7!N11)</f>
        <v/>
      </c>
      <c r="G16" s="156" t="str">
        <f>IF($B16=FALSE,"",Length_7!O11)</f>
        <v/>
      </c>
      <c r="H16" s="156" t="str">
        <f>IF($B16=FALSE,"",Length_7!P11)</f>
        <v/>
      </c>
      <c r="I16" s="156" t="str">
        <f>IF($B16=FALSE,"",Length_7!Q11)</f>
        <v/>
      </c>
      <c r="J16" s="156" t="str">
        <f>IF($B16=FALSE,"",Length_7!R11)</f>
        <v/>
      </c>
      <c r="K16" s="156" t="str">
        <f t="shared" si="3"/>
        <v/>
      </c>
      <c r="L16" s="156" t="str">
        <f>IF($B16=FALSE,"",Length_7!S11)</f>
        <v/>
      </c>
      <c r="M16" s="156" t="str">
        <f>IF($B16=FALSE,"",Length_7!T11)</f>
        <v/>
      </c>
      <c r="N16" s="156" t="str">
        <f t="shared" si="4"/>
        <v/>
      </c>
      <c r="O16" s="244" t="str">
        <f t="shared" si="5"/>
        <v/>
      </c>
      <c r="P16" s="158" t="str">
        <f>IF($B16=FALSE,"",Length_7!D34)</f>
        <v/>
      </c>
      <c r="Q16" s="159" t="str">
        <f t="shared" si="6"/>
        <v/>
      </c>
      <c r="R16" s="138" t="str">
        <f t="shared" si="7"/>
        <v/>
      </c>
      <c r="S16" s="138" t="str">
        <f>IF(B16=FALSE,"",Length_7!F34)</f>
        <v/>
      </c>
      <c r="T16" s="138" t="str">
        <f t="shared" si="8"/>
        <v/>
      </c>
      <c r="U16" s="137" t="str">
        <f t="shared" si="9"/>
        <v/>
      </c>
      <c r="V16" s="137" t="str">
        <f t="shared" si="10"/>
        <v/>
      </c>
      <c r="W16" s="137" t="str">
        <f t="shared" si="11"/>
        <v/>
      </c>
      <c r="X16" s="160" t="str">
        <f t="shared" si="12"/>
        <v/>
      </c>
      <c r="Y16" s="161" t="str">
        <f t="shared" si="13"/>
        <v/>
      </c>
      <c r="Z16" s="168" t="str">
        <f t="shared" si="14"/>
        <v/>
      </c>
      <c r="AA16" s="137" t="str">
        <f t="shared" si="15"/>
        <v/>
      </c>
      <c r="AB16" s="137" t="str">
        <f t="shared" si="16"/>
        <v/>
      </c>
      <c r="AC16" s="103"/>
      <c r="AD16" s="156">
        <v>8</v>
      </c>
      <c r="AE16" s="156" t="e">
        <f t="shared" ca="1" si="19"/>
        <v>#N/A</v>
      </c>
      <c r="AF16" s="301" t="e">
        <f t="shared" ca="1" si="20"/>
        <v>#N/A</v>
      </c>
      <c r="AG16" s="156" t="e">
        <f t="shared" ca="1" si="21"/>
        <v>#N/A</v>
      </c>
      <c r="AH16" s="156" t="e">
        <f t="shared" ca="1" si="17"/>
        <v>#N/A</v>
      </c>
      <c r="AI16" s="161" t="e">
        <f t="shared" ca="1" si="18"/>
        <v>#N/A</v>
      </c>
      <c r="AJ16" s="168" t="e">
        <f t="shared" ca="1" si="22"/>
        <v>#N/A</v>
      </c>
      <c r="AK16" s="137" t="e">
        <f t="shared" ca="1" si="23"/>
        <v>#N/A</v>
      </c>
      <c r="AL16" s="137" t="e">
        <f t="shared" ca="1" si="24"/>
        <v>#N/A</v>
      </c>
    </row>
    <row r="17" spans="1:38" ht="15" customHeight="1">
      <c r="B17" s="156" t="b">
        <f>IF(TRIM(Length_7!B12)="",FALSE,TRUE)</f>
        <v>0</v>
      </c>
      <c r="C17" s="137" t="str">
        <f>IF($B17=FALSE,"",Length_7!A12)</f>
        <v/>
      </c>
      <c r="D17" s="157" t="str">
        <f>IF($B17=FALSE,"",VALUE(Length_7!B12))</f>
        <v/>
      </c>
      <c r="E17" s="137" t="str">
        <f>IF($B17=FALSE,"",Length_7!C12)</f>
        <v/>
      </c>
      <c r="F17" s="156" t="str">
        <f>IF($B17=FALSE,"",Length_7!N12)</f>
        <v/>
      </c>
      <c r="G17" s="156" t="str">
        <f>IF($B17=FALSE,"",Length_7!O12)</f>
        <v/>
      </c>
      <c r="H17" s="156" t="str">
        <f>IF($B17=FALSE,"",Length_7!P12)</f>
        <v/>
      </c>
      <c r="I17" s="156" t="str">
        <f>IF($B17=FALSE,"",Length_7!Q12)</f>
        <v/>
      </c>
      <c r="J17" s="156" t="str">
        <f>IF($B17=FALSE,"",Length_7!R12)</f>
        <v/>
      </c>
      <c r="K17" s="156" t="str">
        <f t="shared" si="3"/>
        <v/>
      </c>
      <c r="L17" s="156" t="str">
        <f>IF($B17=FALSE,"",Length_7!S12)</f>
        <v/>
      </c>
      <c r="M17" s="156" t="str">
        <f>IF($B17=FALSE,"",Length_7!T12)</f>
        <v/>
      </c>
      <c r="N17" s="156" t="str">
        <f t="shared" si="4"/>
        <v/>
      </c>
      <c r="O17" s="244" t="str">
        <f t="shared" si="5"/>
        <v/>
      </c>
      <c r="P17" s="158" t="str">
        <f>IF($B17=FALSE,"",Length_7!D35)</f>
        <v/>
      </c>
      <c r="Q17" s="159" t="str">
        <f t="shared" si="6"/>
        <v/>
      </c>
      <c r="R17" s="138" t="str">
        <f t="shared" si="7"/>
        <v/>
      </c>
      <c r="S17" s="138" t="str">
        <f>IF(B17=FALSE,"",Length_7!F35)</f>
        <v/>
      </c>
      <c r="T17" s="138" t="str">
        <f t="shared" si="8"/>
        <v/>
      </c>
      <c r="U17" s="137" t="str">
        <f t="shared" si="9"/>
        <v/>
      </c>
      <c r="V17" s="137" t="str">
        <f t="shared" si="10"/>
        <v/>
      </c>
      <c r="W17" s="137" t="str">
        <f t="shared" si="11"/>
        <v/>
      </c>
      <c r="X17" s="160" t="str">
        <f t="shared" si="12"/>
        <v/>
      </c>
      <c r="Y17" s="161" t="str">
        <f t="shared" si="13"/>
        <v/>
      </c>
      <c r="Z17" s="168" t="str">
        <f t="shared" si="14"/>
        <v/>
      </c>
      <c r="AA17" s="137" t="str">
        <f t="shared" si="15"/>
        <v/>
      </c>
      <c r="AB17" s="137" t="str">
        <f t="shared" si="16"/>
        <v/>
      </c>
      <c r="AC17" s="103"/>
      <c r="AD17" s="156">
        <v>9</v>
      </c>
      <c r="AE17" s="156" t="e">
        <f t="shared" ca="1" si="19"/>
        <v>#N/A</v>
      </c>
      <c r="AF17" s="301" t="e">
        <f t="shared" ca="1" si="20"/>
        <v>#N/A</v>
      </c>
      <c r="AG17" s="156" t="e">
        <f t="shared" ca="1" si="21"/>
        <v>#N/A</v>
      </c>
      <c r="AH17" s="156" t="e">
        <f t="shared" ca="1" si="17"/>
        <v>#N/A</v>
      </c>
      <c r="AI17" s="161" t="e">
        <f t="shared" ca="1" si="18"/>
        <v>#N/A</v>
      </c>
      <c r="AJ17" s="168" t="e">
        <f t="shared" ca="1" si="22"/>
        <v>#N/A</v>
      </c>
      <c r="AK17" s="137" t="e">
        <f t="shared" ca="1" si="23"/>
        <v>#N/A</v>
      </c>
      <c r="AL17" s="137" t="e">
        <f t="shared" ca="1" si="24"/>
        <v>#N/A</v>
      </c>
    </row>
    <row r="18" spans="1:38" ht="15" customHeight="1">
      <c r="B18" s="156" t="b">
        <f>IF(TRIM(Length_7!B13)="",FALSE,TRUE)</f>
        <v>0</v>
      </c>
      <c r="C18" s="137" t="str">
        <f>IF($B18=FALSE,"",Length_7!A13)</f>
        <v/>
      </c>
      <c r="D18" s="157" t="str">
        <f>IF($B18=FALSE,"",VALUE(Length_7!B13))</f>
        <v/>
      </c>
      <c r="E18" s="137" t="str">
        <f>IF($B18=FALSE,"",Length_7!C13)</f>
        <v/>
      </c>
      <c r="F18" s="156" t="str">
        <f>IF($B18=FALSE,"",Length_7!N13)</f>
        <v/>
      </c>
      <c r="G18" s="156" t="str">
        <f>IF($B18=FALSE,"",Length_7!O13)</f>
        <v/>
      </c>
      <c r="H18" s="156" t="str">
        <f>IF($B18=FALSE,"",Length_7!P13)</f>
        <v/>
      </c>
      <c r="I18" s="156" t="str">
        <f>IF($B18=FALSE,"",Length_7!Q13)</f>
        <v/>
      </c>
      <c r="J18" s="156" t="str">
        <f>IF($B18=FALSE,"",Length_7!R13)</f>
        <v/>
      </c>
      <c r="K18" s="156" t="str">
        <f t="shared" si="3"/>
        <v/>
      </c>
      <c r="L18" s="156" t="str">
        <f>IF($B18=FALSE,"",Length_7!S13)</f>
        <v/>
      </c>
      <c r="M18" s="156" t="str">
        <f>IF($B18=FALSE,"",Length_7!T13)</f>
        <v/>
      </c>
      <c r="N18" s="156" t="str">
        <f t="shared" si="4"/>
        <v/>
      </c>
      <c r="O18" s="244" t="str">
        <f t="shared" si="5"/>
        <v/>
      </c>
      <c r="P18" s="158" t="str">
        <f>IF($B18=FALSE,"",Length_7!D36)</f>
        <v/>
      </c>
      <c r="Q18" s="159" t="str">
        <f t="shared" si="6"/>
        <v/>
      </c>
      <c r="R18" s="138" t="str">
        <f t="shared" si="7"/>
        <v/>
      </c>
      <c r="S18" s="138" t="str">
        <f>IF(B18=FALSE,"",Length_7!F36)</f>
        <v/>
      </c>
      <c r="T18" s="138" t="str">
        <f t="shared" si="8"/>
        <v/>
      </c>
      <c r="U18" s="137" t="str">
        <f t="shared" si="9"/>
        <v/>
      </c>
      <c r="V18" s="137" t="str">
        <f t="shared" si="10"/>
        <v/>
      </c>
      <c r="W18" s="137" t="str">
        <f t="shared" si="11"/>
        <v/>
      </c>
      <c r="X18" s="160" t="str">
        <f t="shared" si="12"/>
        <v/>
      </c>
      <c r="Y18" s="161" t="str">
        <f t="shared" si="13"/>
        <v/>
      </c>
      <c r="Z18" s="168" t="str">
        <f t="shared" si="14"/>
        <v/>
      </c>
      <c r="AA18" s="137" t="str">
        <f t="shared" si="15"/>
        <v/>
      </c>
      <c r="AB18" s="137" t="str">
        <f t="shared" si="16"/>
        <v/>
      </c>
      <c r="AC18" s="103"/>
      <c r="AD18" s="156">
        <v>10</v>
      </c>
      <c r="AE18" s="156" t="e">
        <f t="shared" ca="1" si="19"/>
        <v>#N/A</v>
      </c>
      <c r="AF18" s="301" t="e">
        <f t="shared" ca="1" si="20"/>
        <v>#N/A</v>
      </c>
      <c r="AG18" s="156" t="e">
        <f t="shared" ca="1" si="21"/>
        <v>#N/A</v>
      </c>
      <c r="AH18" s="156" t="e">
        <f t="shared" ca="1" si="17"/>
        <v>#N/A</v>
      </c>
      <c r="AI18" s="161" t="e">
        <f t="shared" ca="1" si="18"/>
        <v>#N/A</v>
      </c>
      <c r="AJ18" s="168" t="e">
        <f t="shared" ca="1" si="22"/>
        <v>#N/A</v>
      </c>
      <c r="AK18" s="137" t="e">
        <f t="shared" ca="1" si="23"/>
        <v>#N/A</v>
      </c>
      <c r="AL18" s="137" t="e">
        <f t="shared" ca="1" si="24"/>
        <v>#N/A</v>
      </c>
    </row>
    <row r="19" spans="1:38" ht="15" customHeight="1">
      <c r="B19" s="156" t="b">
        <f>IF(TRIM(Length_7!B14)="",FALSE,TRUE)</f>
        <v>0</v>
      </c>
      <c r="C19" s="137" t="str">
        <f>IF($B19=FALSE,"",Length_7!A14)</f>
        <v/>
      </c>
      <c r="D19" s="157" t="str">
        <f>IF($B19=FALSE,"",VALUE(Length_7!B14))</f>
        <v/>
      </c>
      <c r="E19" s="137" t="str">
        <f>IF($B19=FALSE,"",Length_7!C14)</f>
        <v/>
      </c>
      <c r="F19" s="156" t="str">
        <f>IF($B19=FALSE,"",Length_7!N14)</f>
        <v/>
      </c>
      <c r="G19" s="156" t="str">
        <f>IF($B19=FALSE,"",Length_7!O14)</f>
        <v/>
      </c>
      <c r="H19" s="156" t="str">
        <f>IF($B19=FALSE,"",Length_7!P14)</f>
        <v/>
      </c>
      <c r="I19" s="156" t="str">
        <f>IF($B19=FALSE,"",Length_7!Q14)</f>
        <v/>
      </c>
      <c r="J19" s="156" t="str">
        <f>IF($B19=FALSE,"",Length_7!R14)</f>
        <v/>
      </c>
      <c r="K19" s="156" t="str">
        <f t="shared" si="3"/>
        <v/>
      </c>
      <c r="L19" s="156" t="str">
        <f>IF($B19=FALSE,"",Length_7!S14)</f>
        <v/>
      </c>
      <c r="M19" s="156" t="str">
        <f>IF($B19=FALSE,"",Length_7!T14)</f>
        <v/>
      </c>
      <c r="N19" s="156" t="str">
        <f t="shared" si="4"/>
        <v/>
      </c>
      <c r="O19" s="244" t="str">
        <f t="shared" si="5"/>
        <v/>
      </c>
      <c r="P19" s="158" t="str">
        <f>IF($B19=FALSE,"",Length_7!D37)</f>
        <v/>
      </c>
      <c r="Q19" s="159" t="str">
        <f t="shared" si="6"/>
        <v/>
      </c>
      <c r="R19" s="138" t="str">
        <f t="shared" si="7"/>
        <v/>
      </c>
      <c r="S19" s="138" t="str">
        <f>IF(B19=FALSE,"",Length_7!F37)</f>
        <v/>
      </c>
      <c r="T19" s="138" t="str">
        <f t="shared" si="8"/>
        <v/>
      </c>
      <c r="U19" s="137" t="str">
        <f t="shared" si="9"/>
        <v/>
      </c>
      <c r="V19" s="137" t="str">
        <f t="shared" si="10"/>
        <v/>
      </c>
      <c r="W19" s="137" t="str">
        <f t="shared" si="11"/>
        <v/>
      </c>
      <c r="X19" s="160" t="str">
        <f t="shared" si="12"/>
        <v/>
      </c>
      <c r="Y19" s="161" t="str">
        <f t="shared" si="13"/>
        <v/>
      </c>
      <c r="Z19" s="168" t="str">
        <f t="shared" si="14"/>
        <v/>
      </c>
      <c r="AA19" s="137" t="str">
        <f t="shared" si="15"/>
        <v/>
      </c>
      <c r="AB19" s="137" t="str">
        <f t="shared" si="16"/>
        <v/>
      </c>
      <c r="AC19" s="103"/>
      <c r="AD19" s="156">
        <v>11</v>
      </c>
      <c r="AE19" s="156" t="e">
        <f t="shared" ca="1" si="19"/>
        <v>#N/A</v>
      </c>
      <c r="AF19" s="301" t="e">
        <f t="shared" ca="1" si="20"/>
        <v>#N/A</v>
      </c>
      <c r="AG19" s="156" t="e">
        <f t="shared" ca="1" si="21"/>
        <v>#N/A</v>
      </c>
      <c r="AH19" s="156" t="e">
        <f t="shared" ca="1" si="17"/>
        <v>#N/A</v>
      </c>
      <c r="AI19" s="161" t="e">
        <f t="shared" ca="1" si="18"/>
        <v>#N/A</v>
      </c>
      <c r="AJ19" s="168" t="e">
        <f t="shared" ca="1" si="22"/>
        <v>#N/A</v>
      </c>
      <c r="AK19" s="137" t="e">
        <f t="shared" ca="1" si="23"/>
        <v>#N/A</v>
      </c>
      <c r="AL19" s="137" t="e">
        <f t="shared" ca="1" si="24"/>
        <v>#N/A</v>
      </c>
    </row>
    <row r="20" spans="1:38" ht="15" customHeight="1">
      <c r="B20" s="156" t="b">
        <f>IF(TRIM(Length_7!B15)="",FALSE,TRUE)</f>
        <v>0</v>
      </c>
      <c r="C20" s="137" t="str">
        <f>IF($B20=FALSE,"",Length_7!A15)</f>
        <v/>
      </c>
      <c r="D20" s="157" t="str">
        <f>IF($B20=FALSE,"",VALUE(Length_7!B15))</f>
        <v/>
      </c>
      <c r="E20" s="137" t="str">
        <f>IF($B20=FALSE,"",Length_7!C15)</f>
        <v/>
      </c>
      <c r="F20" s="156" t="str">
        <f>IF($B20=FALSE,"",Length_7!N15)</f>
        <v/>
      </c>
      <c r="G20" s="156" t="str">
        <f>IF($B20=FALSE,"",Length_7!O15)</f>
        <v/>
      </c>
      <c r="H20" s="156" t="str">
        <f>IF($B20=FALSE,"",Length_7!P15)</f>
        <v/>
      </c>
      <c r="I20" s="156" t="str">
        <f>IF($B20=FALSE,"",Length_7!Q15)</f>
        <v/>
      </c>
      <c r="J20" s="156" t="str">
        <f>IF($B20=FALSE,"",Length_7!R15)</f>
        <v/>
      </c>
      <c r="K20" s="156" t="str">
        <f t="shared" si="3"/>
        <v/>
      </c>
      <c r="L20" s="156" t="str">
        <f>IF($B20=FALSE,"",Length_7!S15)</f>
        <v/>
      </c>
      <c r="M20" s="156" t="str">
        <f>IF($B20=FALSE,"",Length_7!T15)</f>
        <v/>
      </c>
      <c r="N20" s="156" t="str">
        <f t="shared" si="4"/>
        <v/>
      </c>
      <c r="O20" s="244" t="str">
        <f t="shared" si="5"/>
        <v/>
      </c>
      <c r="P20" s="158" t="str">
        <f>IF($B20=FALSE,"",Length_7!D38)</f>
        <v/>
      </c>
      <c r="Q20" s="159" t="str">
        <f t="shared" si="6"/>
        <v/>
      </c>
      <c r="R20" s="138" t="str">
        <f t="shared" si="7"/>
        <v/>
      </c>
      <c r="S20" s="138" t="str">
        <f>IF(B20=FALSE,"",Length_7!F38)</f>
        <v/>
      </c>
      <c r="T20" s="138" t="str">
        <f t="shared" si="8"/>
        <v/>
      </c>
      <c r="U20" s="137" t="str">
        <f t="shared" si="9"/>
        <v/>
      </c>
      <c r="V20" s="137" t="str">
        <f t="shared" si="10"/>
        <v/>
      </c>
      <c r="W20" s="137" t="str">
        <f t="shared" si="11"/>
        <v/>
      </c>
      <c r="X20" s="160" t="str">
        <f t="shared" si="12"/>
        <v/>
      </c>
      <c r="Y20" s="161" t="str">
        <f t="shared" si="13"/>
        <v/>
      </c>
      <c r="Z20" s="168" t="str">
        <f t="shared" si="14"/>
        <v/>
      </c>
      <c r="AA20" s="137" t="str">
        <f t="shared" si="15"/>
        <v/>
      </c>
      <c r="AB20" s="137" t="str">
        <f t="shared" si="16"/>
        <v/>
      </c>
      <c r="AC20" s="103"/>
      <c r="AD20" s="156">
        <v>12</v>
      </c>
      <c r="AE20" s="156" t="e">
        <f t="shared" ca="1" si="19"/>
        <v>#N/A</v>
      </c>
      <c r="AF20" s="301" t="e">
        <f t="shared" ca="1" si="20"/>
        <v>#N/A</v>
      </c>
      <c r="AG20" s="156" t="e">
        <f t="shared" ca="1" si="21"/>
        <v>#N/A</v>
      </c>
      <c r="AH20" s="156" t="e">
        <f t="shared" ca="1" si="17"/>
        <v>#N/A</v>
      </c>
      <c r="AI20" s="161" t="e">
        <f t="shared" ca="1" si="18"/>
        <v>#N/A</v>
      </c>
      <c r="AJ20" s="168" t="e">
        <f t="shared" ca="1" si="22"/>
        <v>#N/A</v>
      </c>
      <c r="AK20" s="137" t="e">
        <f t="shared" ca="1" si="23"/>
        <v>#N/A</v>
      </c>
      <c r="AL20" s="137" t="e">
        <f t="shared" ca="1" si="24"/>
        <v>#N/A</v>
      </c>
    </row>
    <row r="21" spans="1:38" ht="15" customHeight="1">
      <c r="B21" s="156" t="b">
        <f>IF(TRIM(Length_7!B16)="",FALSE,TRUE)</f>
        <v>0</v>
      </c>
      <c r="C21" s="137" t="str">
        <f>IF($B21=FALSE,"",Length_7!A16)</f>
        <v/>
      </c>
      <c r="D21" s="157" t="str">
        <f>IF($B21=FALSE,"",VALUE(Length_7!B16))</f>
        <v/>
      </c>
      <c r="E21" s="137" t="str">
        <f>IF($B21=FALSE,"",Length_7!C16)</f>
        <v/>
      </c>
      <c r="F21" s="156" t="str">
        <f>IF($B21=FALSE,"",Length_7!N16)</f>
        <v/>
      </c>
      <c r="G21" s="156" t="str">
        <f>IF($B21=FALSE,"",Length_7!O16)</f>
        <v/>
      </c>
      <c r="H21" s="156" t="str">
        <f>IF($B21=FALSE,"",Length_7!P16)</f>
        <v/>
      </c>
      <c r="I21" s="156" t="str">
        <f>IF($B21=FALSE,"",Length_7!Q16)</f>
        <v/>
      </c>
      <c r="J21" s="156" t="str">
        <f>IF($B21=FALSE,"",Length_7!R16)</f>
        <v/>
      </c>
      <c r="K21" s="156" t="str">
        <f t="shared" si="3"/>
        <v/>
      </c>
      <c r="L21" s="156" t="str">
        <f>IF($B21=FALSE,"",Length_7!S16)</f>
        <v/>
      </c>
      <c r="M21" s="156" t="str">
        <f>IF($B21=FALSE,"",Length_7!T16)</f>
        <v/>
      </c>
      <c r="N21" s="156" t="str">
        <f t="shared" si="4"/>
        <v/>
      </c>
      <c r="O21" s="244" t="str">
        <f t="shared" si="5"/>
        <v/>
      </c>
      <c r="P21" s="158" t="str">
        <f>IF($B21=FALSE,"",Length_7!D39)</f>
        <v/>
      </c>
      <c r="Q21" s="159" t="str">
        <f t="shared" si="6"/>
        <v/>
      </c>
      <c r="R21" s="138" t="str">
        <f t="shared" si="7"/>
        <v/>
      </c>
      <c r="S21" s="138" t="str">
        <f>IF(B21=FALSE,"",Length_7!F39)</f>
        <v/>
      </c>
      <c r="T21" s="138" t="str">
        <f t="shared" si="8"/>
        <v/>
      </c>
      <c r="U21" s="137" t="str">
        <f t="shared" si="9"/>
        <v/>
      </c>
      <c r="V21" s="137" t="str">
        <f t="shared" si="10"/>
        <v/>
      </c>
      <c r="W21" s="137" t="str">
        <f t="shared" si="11"/>
        <v/>
      </c>
      <c r="X21" s="160" t="str">
        <f t="shared" si="12"/>
        <v/>
      </c>
      <c r="Y21" s="161" t="str">
        <f t="shared" si="13"/>
        <v/>
      </c>
      <c r="Z21" s="168" t="str">
        <f t="shared" si="14"/>
        <v/>
      </c>
      <c r="AA21" s="137" t="str">
        <f t="shared" si="15"/>
        <v/>
      </c>
      <c r="AB21" s="137" t="str">
        <f t="shared" si="16"/>
        <v/>
      </c>
      <c r="AC21" s="103"/>
      <c r="AD21" s="156">
        <v>13</v>
      </c>
      <c r="AE21" s="156" t="e">
        <f t="shared" ca="1" si="19"/>
        <v>#N/A</v>
      </c>
      <c r="AF21" s="301" t="e">
        <f t="shared" ca="1" si="20"/>
        <v>#N/A</v>
      </c>
      <c r="AG21" s="156" t="e">
        <f t="shared" ca="1" si="21"/>
        <v>#N/A</v>
      </c>
      <c r="AH21" s="156" t="e">
        <f t="shared" ca="1" si="17"/>
        <v>#N/A</v>
      </c>
      <c r="AI21" s="161" t="e">
        <f t="shared" ca="1" si="18"/>
        <v>#N/A</v>
      </c>
      <c r="AJ21" s="168" t="e">
        <f t="shared" ca="1" si="22"/>
        <v>#N/A</v>
      </c>
      <c r="AK21" s="137" t="e">
        <f t="shared" ca="1" si="23"/>
        <v>#N/A</v>
      </c>
      <c r="AL21" s="137" t="e">
        <f t="shared" ca="1" si="24"/>
        <v>#N/A</v>
      </c>
    </row>
    <row r="22" spans="1:38" ht="15" customHeight="1">
      <c r="B22" s="156" t="b">
        <f>IF(TRIM(Length_7!B17)="",FALSE,TRUE)</f>
        <v>0</v>
      </c>
      <c r="C22" s="137" t="str">
        <f>IF($B22=FALSE,"",Length_7!A17)</f>
        <v/>
      </c>
      <c r="D22" s="157" t="str">
        <f>IF($B22=FALSE,"",VALUE(Length_7!B17))</f>
        <v/>
      </c>
      <c r="E22" s="137" t="str">
        <f>IF($B22=FALSE,"",Length_7!C17)</f>
        <v/>
      </c>
      <c r="F22" s="156" t="str">
        <f>IF($B22=FALSE,"",Length_7!N17)</f>
        <v/>
      </c>
      <c r="G22" s="156" t="str">
        <f>IF($B22=FALSE,"",Length_7!O17)</f>
        <v/>
      </c>
      <c r="H22" s="156" t="str">
        <f>IF($B22=FALSE,"",Length_7!P17)</f>
        <v/>
      </c>
      <c r="I22" s="156" t="str">
        <f>IF($B22=FALSE,"",Length_7!Q17)</f>
        <v/>
      </c>
      <c r="J22" s="156" t="str">
        <f>IF($B22=FALSE,"",Length_7!R17)</f>
        <v/>
      </c>
      <c r="K22" s="156" t="str">
        <f t="shared" si="3"/>
        <v/>
      </c>
      <c r="L22" s="156" t="str">
        <f>IF($B22=FALSE,"",Length_7!S17)</f>
        <v/>
      </c>
      <c r="M22" s="156" t="str">
        <f>IF($B22=FALSE,"",Length_7!T17)</f>
        <v/>
      </c>
      <c r="N22" s="156" t="str">
        <f t="shared" si="4"/>
        <v/>
      </c>
      <c r="O22" s="244" t="str">
        <f t="shared" si="5"/>
        <v/>
      </c>
      <c r="P22" s="158" t="str">
        <f>IF($B22=FALSE,"",Length_7!D40)</f>
        <v/>
      </c>
      <c r="Q22" s="159" t="str">
        <f t="shared" si="6"/>
        <v/>
      </c>
      <c r="R22" s="138" t="str">
        <f t="shared" si="7"/>
        <v/>
      </c>
      <c r="S22" s="138" t="str">
        <f>IF(B22=FALSE,"",Length_7!F40)</f>
        <v/>
      </c>
      <c r="T22" s="138" t="str">
        <f t="shared" si="8"/>
        <v/>
      </c>
      <c r="U22" s="137" t="str">
        <f t="shared" si="9"/>
        <v/>
      </c>
      <c r="V22" s="137" t="str">
        <f t="shared" si="10"/>
        <v/>
      </c>
      <c r="W22" s="137" t="str">
        <f t="shared" si="11"/>
        <v/>
      </c>
      <c r="X22" s="160" t="str">
        <f t="shared" si="12"/>
        <v/>
      </c>
      <c r="Y22" s="161" t="str">
        <f t="shared" si="13"/>
        <v/>
      </c>
      <c r="Z22" s="168" t="str">
        <f t="shared" si="14"/>
        <v/>
      </c>
      <c r="AA22" s="137" t="str">
        <f t="shared" si="15"/>
        <v/>
      </c>
      <c r="AB22" s="137" t="str">
        <f t="shared" si="16"/>
        <v/>
      </c>
      <c r="AC22" s="103"/>
      <c r="AD22" s="156">
        <v>14</v>
      </c>
      <c r="AE22" s="156" t="e">
        <f t="shared" ca="1" si="19"/>
        <v>#N/A</v>
      </c>
      <c r="AF22" s="301" t="e">
        <f t="shared" ca="1" si="20"/>
        <v>#N/A</v>
      </c>
      <c r="AG22" s="156" t="e">
        <f t="shared" ca="1" si="21"/>
        <v>#N/A</v>
      </c>
      <c r="AH22" s="156" t="e">
        <f t="shared" ca="1" si="17"/>
        <v>#N/A</v>
      </c>
      <c r="AI22" s="161" t="e">
        <f t="shared" ca="1" si="18"/>
        <v>#N/A</v>
      </c>
      <c r="AJ22" s="168" t="e">
        <f t="shared" ca="1" si="22"/>
        <v>#N/A</v>
      </c>
      <c r="AK22" s="137" t="e">
        <f t="shared" ca="1" si="23"/>
        <v>#N/A</v>
      </c>
      <c r="AL22" s="137" t="e">
        <f t="shared" ca="1" si="24"/>
        <v>#N/A</v>
      </c>
    </row>
    <row r="23" spans="1:38" ht="15" customHeight="1">
      <c r="B23" s="156" t="b">
        <f>IF(TRIM(Length_7!B18)="",FALSE,TRUE)</f>
        <v>0</v>
      </c>
      <c r="C23" s="137" t="str">
        <f>IF($B23=FALSE,"",Length_7!A18)</f>
        <v/>
      </c>
      <c r="D23" s="157" t="str">
        <f>IF($B23=FALSE,"",VALUE(Length_7!B18))</f>
        <v/>
      </c>
      <c r="E23" s="137" t="str">
        <f>IF($B23=FALSE,"",Length_7!C18)</f>
        <v/>
      </c>
      <c r="F23" s="156" t="str">
        <f>IF($B23=FALSE,"",Length_7!N18)</f>
        <v/>
      </c>
      <c r="G23" s="156" t="str">
        <f>IF($B23=FALSE,"",Length_7!O18)</f>
        <v/>
      </c>
      <c r="H23" s="156" t="str">
        <f>IF($B23=FALSE,"",Length_7!P18)</f>
        <v/>
      </c>
      <c r="I23" s="156" t="str">
        <f>IF($B23=FALSE,"",Length_7!Q18)</f>
        <v/>
      </c>
      <c r="J23" s="156" t="str">
        <f>IF($B23=FALSE,"",Length_7!R18)</f>
        <v/>
      </c>
      <c r="K23" s="156" t="str">
        <f t="shared" si="3"/>
        <v/>
      </c>
      <c r="L23" s="156" t="str">
        <f>IF($B23=FALSE,"",Length_7!S18)</f>
        <v/>
      </c>
      <c r="M23" s="156" t="str">
        <f>IF($B23=FALSE,"",Length_7!T18)</f>
        <v/>
      </c>
      <c r="N23" s="156" t="str">
        <f t="shared" si="4"/>
        <v/>
      </c>
      <c r="O23" s="244" t="str">
        <f t="shared" si="5"/>
        <v/>
      </c>
      <c r="P23" s="158" t="str">
        <f>IF($B23=FALSE,"",Length_7!D41)</f>
        <v/>
      </c>
      <c r="Q23" s="159" t="str">
        <f t="shared" si="6"/>
        <v/>
      </c>
      <c r="R23" s="138" t="str">
        <f t="shared" si="7"/>
        <v/>
      </c>
      <c r="S23" s="138" t="str">
        <f>IF(B23=FALSE,"",Length_7!F41)</f>
        <v/>
      </c>
      <c r="T23" s="138" t="str">
        <f t="shared" si="8"/>
        <v/>
      </c>
      <c r="U23" s="137" t="str">
        <f t="shared" si="9"/>
        <v/>
      </c>
      <c r="V23" s="137" t="str">
        <f t="shared" si="10"/>
        <v/>
      </c>
      <c r="W23" s="137" t="str">
        <f t="shared" si="11"/>
        <v/>
      </c>
      <c r="X23" s="160" t="str">
        <f t="shared" si="12"/>
        <v/>
      </c>
      <c r="Y23" s="161" t="str">
        <f t="shared" si="13"/>
        <v/>
      </c>
      <c r="Z23" s="168" t="str">
        <f t="shared" si="14"/>
        <v/>
      </c>
      <c r="AA23" s="137" t="str">
        <f t="shared" si="15"/>
        <v/>
      </c>
      <c r="AB23" s="137" t="str">
        <f t="shared" si="16"/>
        <v/>
      </c>
      <c r="AC23" s="103"/>
      <c r="AD23" s="156">
        <v>15</v>
      </c>
      <c r="AE23" s="156" t="e">
        <f t="shared" ca="1" si="19"/>
        <v>#N/A</v>
      </c>
      <c r="AF23" s="301" t="e">
        <f t="shared" ca="1" si="20"/>
        <v>#N/A</v>
      </c>
      <c r="AG23" s="156" t="e">
        <f t="shared" ca="1" si="21"/>
        <v>#N/A</v>
      </c>
      <c r="AH23" s="156" t="e">
        <f t="shared" ca="1" si="17"/>
        <v>#N/A</v>
      </c>
      <c r="AI23" s="161" t="e">
        <f t="shared" ca="1" si="18"/>
        <v>#N/A</v>
      </c>
      <c r="AJ23" s="168" t="e">
        <f t="shared" ca="1" si="22"/>
        <v>#N/A</v>
      </c>
      <c r="AK23" s="137" t="e">
        <f t="shared" ca="1" si="23"/>
        <v>#N/A</v>
      </c>
      <c r="AL23" s="137" t="e">
        <f t="shared" ca="1" si="24"/>
        <v>#N/A</v>
      </c>
    </row>
    <row r="24" spans="1:38" ht="15" customHeight="1">
      <c r="B24" s="156" t="b">
        <f>IF(TRIM(Length_7!B19)="",FALSE,TRUE)</f>
        <v>0</v>
      </c>
      <c r="C24" s="137" t="str">
        <f>IF($B24=FALSE,"",Length_7!A19)</f>
        <v/>
      </c>
      <c r="D24" s="157" t="str">
        <f>IF($B24=FALSE,"",VALUE(Length_7!B19))</f>
        <v/>
      </c>
      <c r="E24" s="137" t="str">
        <f>IF($B24=FALSE,"",Length_7!C19)</f>
        <v/>
      </c>
      <c r="F24" s="156" t="str">
        <f>IF($B24=FALSE,"",Length_7!N19)</f>
        <v/>
      </c>
      <c r="G24" s="156" t="str">
        <f>IF($B24=FALSE,"",Length_7!O19)</f>
        <v/>
      </c>
      <c r="H24" s="156" t="str">
        <f>IF($B24=FALSE,"",Length_7!P19)</f>
        <v/>
      </c>
      <c r="I24" s="156" t="str">
        <f>IF($B24=FALSE,"",Length_7!Q19)</f>
        <v/>
      </c>
      <c r="J24" s="156" t="str">
        <f>IF($B24=FALSE,"",Length_7!R19)</f>
        <v/>
      </c>
      <c r="K24" s="156" t="str">
        <f t="shared" si="3"/>
        <v/>
      </c>
      <c r="L24" s="156" t="str">
        <f>IF($B24=FALSE,"",Length_7!S19)</f>
        <v/>
      </c>
      <c r="M24" s="156" t="str">
        <f>IF($B24=FALSE,"",Length_7!T19)</f>
        <v/>
      </c>
      <c r="N24" s="156" t="str">
        <f t="shared" si="4"/>
        <v/>
      </c>
      <c r="O24" s="244" t="str">
        <f t="shared" si="5"/>
        <v/>
      </c>
      <c r="P24" s="158" t="str">
        <f>IF($B24=FALSE,"",Length_7!D42)</f>
        <v/>
      </c>
      <c r="Q24" s="159" t="str">
        <f t="shared" si="6"/>
        <v/>
      </c>
      <c r="R24" s="138" t="str">
        <f t="shared" si="7"/>
        <v/>
      </c>
      <c r="S24" s="138" t="str">
        <f>IF(B24=FALSE,"",Length_7!F42)</f>
        <v/>
      </c>
      <c r="T24" s="138" t="str">
        <f t="shared" si="8"/>
        <v/>
      </c>
      <c r="U24" s="137" t="str">
        <f t="shared" si="9"/>
        <v/>
      </c>
      <c r="V24" s="137" t="str">
        <f t="shared" si="10"/>
        <v/>
      </c>
      <c r="W24" s="137" t="str">
        <f t="shared" si="11"/>
        <v/>
      </c>
      <c r="X24" s="160" t="str">
        <f t="shared" si="12"/>
        <v/>
      </c>
      <c r="Y24" s="161" t="str">
        <f t="shared" si="13"/>
        <v/>
      </c>
      <c r="Z24" s="168" t="str">
        <f t="shared" si="14"/>
        <v/>
      </c>
      <c r="AA24" s="137" t="str">
        <f t="shared" si="15"/>
        <v/>
      </c>
      <c r="AB24" s="137" t="str">
        <f t="shared" si="16"/>
        <v/>
      </c>
      <c r="AC24" s="103"/>
      <c r="AD24" s="156">
        <v>16</v>
      </c>
      <c r="AE24" s="156" t="e">
        <f t="shared" ca="1" si="19"/>
        <v>#N/A</v>
      </c>
      <c r="AF24" s="301" t="e">
        <f t="shared" ca="1" si="20"/>
        <v>#N/A</v>
      </c>
      <c r="AG24" s="156" t="e">
        <f t="shared" ca="1" si="21"/>
        <v>#N/A</v>
      </c>
      <c r="AH24" s="156" t="e">
        <f t="shared" ca="1" si="17"/>
        <v>#N/A</v>
      </c>
      <c r="AI24" s="161" t="e">
        <f t="shared" ca="1" si="18"/>
        <v>#N/A</v>
      </c>
      <c r="AJ24" s="168" t="e">
        <f t="shared" ca="1" si="22"/>
        <v>#N/A</v>
      </c>
      <c r="AK24" s="137" t="e">
        <f t="shared" ca="1" si="23"/>
        <v>#N/A</v>
      </c>
      <c r="AL24" s="137" t="e">
        <f t="shared" ca="1" si="24"/>
        <v>#N/A</v>
      </c>
    </row>
    <row r="25" spans="1:38" ht="15" customHeight="1">
      <c r="B25" s="156" t="b">
        <f>IF(TRIM(Length_7!B20)="",FALSE,TRUE)</f>
        <v>0</v>
      </c>
      <c r="C25" s="137" t="str">
        <f>IF($B25=FALSE,"",Length_7!A20)</f>
        <v/>
      </c>
      <c r="D25" s="157" t="str">
        <f>IF($B25=FALSE,"",VALUE(Length_7!B20))</f>
        <v/>
      </c>
      <c r="E25" s="137" t="str">
        <f>IF($B25=FALSE,"",Length_7!C20)</f>
        <v/>
      </c>
      <c r="F25" s="156" t="str">
        <f>IF($B25=FALSE,"",Length_7!N20)</f>
        <v/>
      </c>
      <c r="G25" s="156" t="str">
        <f>IF($B25=FALSE,"",Length_7!O20)</f>
        <v/>
      </c>
      <c r="H25" s="156" t="str">
        <f>IF($B25=FALSE,"",Length_7!P20)</f>
        <v/>
      </c>
      <c r="I25" s="156" t="str">
        <f>IF($B25=FALSE,"",Length_7!Q20)</f>
        <v/>
      </c>
      <c r="J25" s="156" t="str">
        <f>IF($B25=FALSE,"",Length_7!R20)</f>
        <v/>
      </c>
      <c r="K25" s="156" t="str">
        <f t="shared" si="3"/>
        <v/>
      </c>
      <c r="L25" s="156" t="str">
        <f>IF($B25=FALSE,"",Length_7!S20)</f>
        <v/>
      </c>
      <c r="M25" s="156" t="str">
        <f>IF($B25=FALSE,"",Length_7!T20)</f>
        <v/>
      </c>
      <c r="N25" s="156" t="str">
        <f t="shared" si="4"/>
        <v/>
      </c>
      <c r="O25" s="244" t="str">
        <f t="shared" si="5"/>
        <v/>
      </c>
      <c r="P25" s="158" t="str">
        <f>IF($B25=FALSE,"",Length_7!D43)</f>
        <v/>
      </c>
      <c r="Q25" s="159" t="str">
        <f t="shared" si="6"/>
        <v/>
      </c>
      <c r="R25" s="138" t="str">
        <f t="shared" si="7"/>
        <v/>
      </c>
      <c r="S25" s="138" t="str">
        <f>IF(B25=FALSE,"",Length_7!F43)</f>
        <v/>
      </c>
      <c r="T25" s="138" t="str">
        <f t="shared" si="8"/>
        <v/>
      </c>
      <c r="U25" s="137" t="str">
        <f t="shared" si="9"/>
        <v/>
      </c>
      <c r="V25" s="137" t="str">
        <f t="shared" si="10"/>
        <v/>
      </c>
      <c r="W25" s="137" t="str">
        <f t="shared" si="11"/>
        <v/>
      </c>
      <c r="X25" s="160" t="str">
        <f t="shared" si="12"/>
        <v/>
      </c>
      <c r="Y25" s="161" t="str">
        <f t="shared" si="13"/>
        <v/>
      </c>
      <c r="Z25" s="168" t="str">
        <f t="shared" si="14"/>
        <v/>
      </c>
      <c r="AA25" s="137" t="str">
        <f t="shared" si="15"/>
        <v/>
      </c>
      <c r="AB25" s="137" t="str">
        <f t="shared" si="16"/>
        <v/>
      </c>
      <c r="AC25" s="103"/>
      <c r="AD25" s="156">
        <v>17</v>
      </c>
      <c r="AE25" s="156" t="e">
        <f t="shared" ca="1" si="19"/>
        <v>#N/A</v>
      </c>
      <c r="AF25" s="301" t="e">
        <f t="shared" ca="1" si="20"/>
        <v>#N/A</v>
      </c>
      <c r="AG25" s="156" t="e">
        <f t="shared" ca="1" si="21"/>
        <v>#N/A</v>
      </c>
      <c r="AH25" s="156" t="e">
        <f t="shared" ca="1" si="17"/>
        <v>#N/A</v>
      </c>
      <c r="AI25" s="161" t="e">
        <f t="shared" ca="1" si="18"/>
        <v>#N/A</v>
      </c>
      <c r="AJ25" s="168" t="e">
        <f t="shared" ca="1" si="22"/>
        <v>#N/A</v>
      </c>
      <c r="AK25" s="137" t="e">
        <f t="shared" ca="1" si="23"/>
        <v>#N/A</v>
      </c>
      <c r="AL25" s="137" t="e">
        <f t="shared" ca="1" si="24"/>
        <v>#N/A</v>
      </c>
    </row>
    <row r="26" spans="1:38" ht="15" customHeight="1">
      <c r="B26" s="156" t="b">
        <f>IF(TRIM(Length_7!B21)="",FALSE,TRUE)</f>
        <v>0</v>
      </c>
      <c r="C26" s="137" t="str">
        <f>IF($B26=FALSE,"",Length_7!A21)</f>
        <v/>
      </c>
      <c r="D26" s="157" t="str">
        <f>IF($B26=FALSE,"",VALUE(Length_7!B21))</f>
        <v/>
      </c>
      <c r="E26" s="137" t="str">
        <f>IF($B26=FALSE,"",Length_7!C21)</f>
        <v/>
      </c>
      <c r="F26" s="156" t="str">
        <f>IF($B26=FALSE,"",Length_7!N21)</f>
        <v/>
      </c>
      <c r="G26" s="156" t="str">
        <f>IF($B26=FALSE,"",Length_7!O21)</f>
        <v/>
      </c>
      <c r="H26" s="156" t="str">
        <f>IF($B26=FALSE,"",Length_7!P21)</f>
        <v/>
      </c>
      <c r="I26" s="156" t="str">
        <f>IF($B26=FALSE,"",Length_7!Q21)</f>
        <v/>
      </c>
      <c r="J26" s="156" t="str">
        <f>IF($B26=FALSE,"",Length_7!R21)</f>
        <v/>
      </c>
      <c r="K26" s="156" t="str">
        <f t="shared" si="3"/>
        <v/>
      </c>
      <c r="L26" s="156" t="str">
        <f>IF($B26=FALSE,"",Length_7!S21)</f>
        <v/>
      </c>
      <c r="M26" s="156" t="str">
        <f>IF($B26=FALSE,"",Length_7!T21)</f>
        <v/>
      </c>
      <c r="N26" s="156" t="str">
        <f t="shared" si="4"/>
        <v/>
      </c>
      <c r="O26" s="244" t="str">
        <f t="shared" si="5"/>
        <v/>
      </c>
      <c r="P26" s="158" t="str">
        <f>IF($B26=FALSE,"",Length_7!D44)</f>
        <v/>
      </c>
      <c r="Q26" s="159" t="str">
        <f t="shared" si="6"/>
        <v/>
      </c>
      <c r="R26" s="138" t="str">
        <f t="shared" si="7"/>
        <v/>
      </c>
      <c r="S26" s="138" t="str">
        <f>IF(B26=FALSE,"",Length_7!F44)</f>
        <v/>
      </c>
      <c r="T26" s="138" t="str">
        <f t="shared" si="8"/>
        <v/>
      </c>
      <c r="U26" s="137" t="str">
        <f t="shared" si="9"/>
        <v/>
      </c>
      <c r="V26" s="137" t="str">
        <f t="shared" si="10"/>
        <v/>
      </c>
      <c r="W26" s="137" t="str">
        <f t="shared" si="11"/>
        <v/>
      </c>
      <c r="X26" s="160" t="str">
        <f t="shared" si="12"/>
        <v/>
      </c>
      <c r="Y26" s="161" t="str">
        <f t="shared" si="13"/>
        <v/>
      </c>
      <c r="Z26" s="168" t="str">
        <f t="shared" si="14"/>
        <v/>
      </c>
      <c r="AA26" s="137" t="str">
        <f t="shared" si="15"/>
        <v/>
      </c>
      <c r="AB26" s="137" t="str">
        <f t="shared" si="16"/>
        <v/>
      </c>
      <c r="AC26" s="103"/>
      <c r="AD26" s="156">
        <v>18</v>
      </c>
      <c r="AE26" s="156" t="e">
        <f t="shared" ca="1" si="19"/>
        <v>#N/A</v>
      </c>
      <c r="AF26" s="301" t="e">
        <f t="shared" ca="1" si="20"/>
        <v>#N/A</v>
      </c>
      <c r="AG26" s="156" t="e">
        <f t="shared" ca="1" si="21"/>
        <v>#N/A</v>
      </c>
      <c r="AH26" s="156" t="e">
        <f t="shared" ca="1" si="17"/>
        <v>#N/A</v>
      </c>
      <c r="AI26" s="161" t="e">
        <f t="shared" ca="1" si="18"/>
        <v>#N/A</v>
      </c>
      <c r="AJ26" s="168" t="e">
        <f t="shared" ca="1" si="22"/>
        <v>#N/A</v>
      </c>
      <c r="AK26" s="137" t="e">
        <f t="shared" ca="1" si="23"/>
        <v>#N/A</v>
      </c>
      <c r="AL26" s="137" t="e">
        <f t="shared" ca="1" si="24"/>
        <v>#N/A</v>
      </c>
    </row>
    <row r="27" spans="1:38" ht="15" customHeight="1">
      <c r="B27" s="156" t="b">
        <f>IF(TRIM(Length_7!B22)="",FALSE,TRUE)</f>
        <v>0</v>
      </c>
      <c r="C27" s="137" t="str">
        <f>IF($B27=FALSE,"",Length_7!A22)</f>
        <v/>
      </c>
      <c r="D27" s="157" t="str">
        <f>IF($B27=FALSE,"",VALUE(Length_7!B22))</f>
        <v/>
      </c>
      <c r="E27" s="137" t="str">
        <f>IF($B27=FALSE,"",Length_7!C22)</f>
        <v/>
      </c>
      <c r="F27" s="156" t="str">
        <f>IF($B27=FALSE,"",Length_7!N22)</f>
        <v/>
      </c>
      <c r="G27" s="156" t="str">
        <f>IF($B27=FALSE,"",Length_7!O22)</f>
        <v/>
      </c>
      <c r="H27" s="156" t="str">
        <f>IF($B27=FALSE,"",Length_7!P22)</f>
        <v/>
      </c>
      <c r="I27" s="156" t="str">
        <f>IF($B27=FALSE,"",Length_7!Q22)</f>
        <v/>
      </c>
      <c r="J27" s="156" t="str">
        <f>IF($B27=FALSE,"",Length_7!R22)</f>
        <v/>
      </c>
      <c r="K27" s="156" t="str">
        <f t="shared" si="3"/>
        <v/>
      </c>
      <c r="L27" s="156" t="str">
        <f>IF($B27=FALSE,"",Length_7!S22)</f>
        <v/>
      </c>
      <c r="M27" s="156" t="str">
        <f>IF($B27=FALSE,"",Length_7!T22)</f>
        <v/>
      </c>
      <c r="N27" s="156" t="str">
        <f t="shared" si="4"/>
        <v/>
      </c>
      <c r="O27" s="244" t="str">
        <f t="shared" si="5"/>
        <v/>
      </c>
      <c r="P27" s="158" t="str">
        <f>IF($B27=FALSE,"",Length_7!D45)</f>
        <v/>
      </c>
      <c r="Q27" s="159" t="str">
        <f t="shared" si="6"/>
        <v/>
      </c>
      <c r="R27" s="138" t="str">
        <f t="shared" si="7"/>
        <v/>
      </c>
      <c r="S27" s="138" t="str">
        <f>IF(B27=FALSE,"",Length_7!F45)</f>
        <v/>
      </c>
      <c r="T27" s="138" t="str">
        <f t="shared" si="8"/>
        <v/>
      </c>
      <c r="U27" s="137" t="str">
        <f t="shared" si="9"/>
        <v/>
      </c>
      <c r="V27" s="137" t="str">
        <f t="shared" si="10"/>
        <v/>
      </c>
      <c r="W27" s="137" t="str">
        <f t="shared" si="11"/>
        <v/>
      </c>
      <c r="X27" s="160" t="str">
        <f t="shared" si="12"/>
        <v/>
      </c>
      <c r="Y27" s="161" t="str">
        <f t="shared" si="13"/>
        <v/>
      </c>
      <c r="Z27" s="168" t="str">
        <f t="shared" si="14"/>
        <v/>
      </c>
      <c r="AA27" s="137" t="str">
        <f t="shared" si="15"/>
        <v/>
      </c>
      <c r="AB27" s="137" t="str">
        <f t="shared" si="16"/>
        <v/>
      </c>
      <c r="AC27" s="103"/>
      <c r="AD27" s="156">
        <v>19</v>
      </c>
      <c r="AE27" s="156" t="e">
        <f t="shared" ca="1" si="19"/>
        <v>#N/A</v>
      </c>
      <c r="AF27" s="301" t="e">
        <f t="shared" ca="1" si="20"/>
        <v>#N/A</v>
      </c>
      <c r="AG27" s="156" t="e">
        <f t="shared" ca="1" si="21"/>
        <v>#N/A</v>
      </c>
      <c r="AH27" s="156" t="e">
        <f t="shared" ca="1" si="17"/>
        <v>#N/A</v>
      </c>
      <c r="AI27" s="161" t="e">
        <f t="shared" ca="1" si="18"/>
        <v>#N/A</v>
      </c>
      <c r="AJ27" s="168" t="e">
        <f t="shared" ca="1" si="22"/>
        <v>#N/A</v>
      </c>
      <c r="AK27" s="137" t="e">
        <f t="shared" ca="1" si="23"/>
        <v>#N/A</v>
      </c>
      <c r="AL27" s="137" t="e">
        <f t="shared" ca="1" si="24"/>
        <v>#N/A</v>
      </c>
    </row>
    <row r="28" spans="1:38" ht="15" customHeight="1">
      <c r="B28" s="156" t="b">
        <f>IF(TRIM(Length_7!B23)="",FALSE,TRUE)</f>
        <v>0</v>
      </c>
      <c r="C28" s="137" t="str">
        <f>IF($B28=FALSE,"",Length_7!A23)</f>
        <v/>
      </c>
      <c r="D28" s="157" t="str">
        <f>IF($B28=FALSE,"",VALUE(Length_7!B23))</f>
        <v/>
      </c>
      <c r="E28" s="137" t="str">
        <f>IF($B28=FALSE,"",Length_7!C23)</f>
        <v/>
      </c>
      <c r="F28" s="156" t="str">
        <f>IF($B28=FALSE,"",Length_7!N23)</f>
        <v/>
      </c>
      <c r="G28" s="156" t="str">
        <f>IF($B28=FALSE,"",Length_7!O23)</f>
        <v/>
      </c>
      <c r="H28" s="156" t="str">
        <f>IF($B28=FALSE,"",Length_7!P23)</f>
        <v/>
      </c>
      <c r="I28" s="156" t="str">
        <f>IF($B28=FALSE,"",Length_7!Q23)</f>
        <v/>
      </c>
      <c r="J28" s="156" t="str">
        <f>IF($B28=FALSE,"",Length_7!R23)</f>
        <v/>
      </c>
      <c r="K28" s="156" t="str">
        <f t="shared" si="3"/>
        <v/>
      </c>
      <c r="L28" s="156" t="str">
        <f>IF($B28=FALSE,"",Length_7!S23)</f>
        <v/>
      </c>
      <c r="M28" s="156" t="str">
        <f>IF($B28=FALSE,"",Length_7!T23)</f>
        <v/>
      </c>
      <c r="N28" s="156" t="str">
        <f t="shared" si="4"/>
        <v/>
      </c>
      <c r="O28" s="244" t="str">
        <f t="shared" si="5"/>
        <v/>
      </c>
      <c r="P28" s="158" t="str">
        <f>IF($B28=FALSE,"",Length_7!D46)</f>
        <v/>
      </c>
      <c r="Q28" s="159" t="str">
        <f t="shared" si="6"/>
        <v/>
      </c>
      <c r="R28" s="138" t="str">
        <f t="shared" si="7"/>
        <v/>
      </c>
      <c r="S28" s="138" t="str">
        <f>IF(B28=FALSE,"",Length_7!F46)</f>
        <v/>
      </c>
      <c r="T28" s="138" t="str">
        <f t="shared" si="8"/>
        <v/>
      </c>
      <c r="U28" s="137" t="str">
        <f t="shared" si="9"/>
        <v/>
      </c>
      <c r="V28" s="137" t="str">
        <f t="shared" si="10"/>
        <v/>
      </c>
      <c r="W28" s="137" t="str">
        <f t="shared" si="11"/>
        <v/>
      </c>
      <c r="X28" s="160" t="str">
        <f t="shared" si="12"/>
        <v/>
      </c>
      <c r="Y28" s="161" t="str">
        <f t="shared" si="13"/>
        <v/>
      </c>
      <c r="Z28" s="168" t="str">
        <f t="shared" si="14"/>
        <v/>
      </c>
      <c r="AA28" s="137" t="str">
        <f t="shared" si="15"/>
        <v/>
      </c>
      <c r="AB28" s="137" t="str">
        <f t="shared" si="16"/>
        <v/>
      </c>
      <c r="AC28" s="103"/>
      <c r="AD28" s="156">
        <v>20</v>
      </c>
      <c r="AE28" s="156" t="e">
        <f t="shared" ca="1" si="19"/>
        <v>#N/A</v>
      </c>
      <c r="AF28" s="301" t="e">
        <f t="shared" ca="1" si="20"/>
        <v>#N/A</v>
      </c>
      <c r="AG28" s="156" t="e">
        <f t="shared" ca="1" si="21"/>
        <v>#N/A</v>
      </c>
      <c r="AH28" s="156" t="e">
        <f t="shared" ca="1" si="17"/>
        <v>#N/A</v>
      </c>
      <c r="AI28" s="161" t="e">
        <f t="shared" ca="1" si="18"/>
        <v>#N/A</v>
      </c>
      <c r="AJ28" s="168" t="e">
        <f t="shared" ca="1" si="22"/>
        <v>#N/A</v>
      </c>
      <c r="AK28" s="137" t="e">
        <f t="shared" ca="1" si="23"/>
        <v>#N/A</v>
      </c>
      <c r="AL28" s="137" t="e">
        <f t="shared" ca="1" si="24"/>
        <v>#N/A</v>
      </c>
    </row>
    <row r="29" spans="1:38" ht="15" customHeight="1">
      <c r="E29" s="104"/>
      <c r="N29" s="101"/>
      <c r="O29" s="101"/>
      <c r="P29" s="101"/>
      <c r="Q29" s="101"/>
      <c r="R29" s="101"/>
      <c r="U29" s="102"/>
      <c r="V29" s="101"/>
    </row>
    <row r="30" spans="1:38" ht="15" customHeight="1">
      <c r="A30" s="99" t="s">
        <v>252</v>
      </c>
      <c r="C30" s="100"/>
      <c r="D30" s="100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W30" s="105"/>
      <c r="AB30" s="108" t="s">
        <v>253</v>
      </c>
    </row>
    <row r="31" spans="1:38" ht="15" customHeight="1">
      <c r="A31" s="99"/>
      <c r="B31" s="108" t="s">
        <v>254</v>
      </c>
      <c r="C31" s="100"/>
      <c r="D31" s="100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W31" s="105"/>
      <c r="AB31" s="108" t="s">
        <v>254</v>
      </c>
      <c r="AC31" s="104"/>
      <c r="AD31" s="100"/>
      <c r="AE31" s="100"/>
      <c r="AF31" s="105"/>
      <c r="AG31" s="105"/>
      <c r="AH31" s="105"/>
      <c r="AI31" s="103"/>
      <c r="AJ31" s="103"/>
    </row>
    <row r="32" spans="1:38" ht="15" customHeight="1">
      <c r="A32" s="99"/>
      <c r="B32" s="551"/>
      <c r="C32" s="551" t="s">
        <v>255</v>
      </c>
      <c r="D32" s="559" t="s">
        <v>256</v>
      </c>
      <c r="E32" s="551" t="s">
        <v>257</v>
      </c>
      <c r="F32" s="551" t="s">
        <v>258</v>
      </c>
      <c r="G32" s="546">
        <v>1</v>
      </c>
      <c r="H32" s="547"/>
      <c r="I32" s="547"/>
      <c r="J32" s="547"/>
      <c r="K32" s="547"/>
      <c r="L32" s="548"/>
      <c r="M32" s="245">
        <v>2</v>
      </c>
      <c r="N32" s="546">
        <v>3</v>
      </c>
      <c r="O32" s="547"/>
      <c r="P32" s="547"/>
      <c r="Q32" s="548"/>
      <c r="R32" s="546">
        <v>4</v>
      </c>
      <c r="S32" s="547"/>
      <c r="T32" s="548"/>
      <c r="U32" s="245">
        <v>5</v>
      </c>
      <c r="V32" s="551" t="s">
        <v>259</v>
      </c>
      <c r="W32" s="551" t="s">
        <v>260</v>
      </c>
      <c r="X32" s="546" t="s">
        <v>261</v>
      </c>
      <c r="Y32" s="548"/>
      <c r="Z32" s="105"/>
      <c r="AB32" s="561" t="s">
        <v>186</v>
      </c>
      <c r="AC32" s="562" t="s">
        <v>262</v>
      </c>
      <c r="AD32" s="563"/>
      <c r="AE32" s="546" t="s">
        <v>263</v>
      </c>
      <c r="AF32" s="547"/>
      <c r="AG32" s="547"/>
      <c r="AH32" s="547"/>
      <c r="AI32" s="547"/>
      <c r="AJ32" s="547"/>
      <c r="AK32" s="547"/>
      <c r="AL32" s="548"/>
    </row>
    <row r="33" spans="1:38" ht="15" customHeight="1">
      <c r="A33" s="99"/>
      <c r="B33" s="552"/>
      <c r="C33" s="552"/>
      <c r="D33" s="560"/>
      <c r="E33" s="552"/>
      <c r="F33" s="552"/>
      <c r="G33" s="245" t="s">
        <v>135</v>
      </c>
      <c r="H33" s="245" t="s">
        <v>136</v>
      </c>
      <c r="I33" s="245" t="s">
        <v>137</v>
      </c>
      <c r="J33" s="546" t="s">
        <v>264</v>
      </c>
      <c r="K33" s="547"/>
      <c r="L33" s="548"/>
      <c r="M33" s="245" t="s">
        <v>265</v>
      </c>
      <c r="N33" s="546" t="s">
        <v>266</v>
      </c>
      <c r="O33" s="548"/>
      <c r="P33" s="546" t="s">
        <v>267</v>
      </c>
      <c r="Q33" s="548"/>
      <c r="R33" s="546" t="s">
        <v>268</v>
      </c>
      <c r="S33" s="547"/>
      <c r="T33" s="548"/>
      <c r="U33" s="245" t="s">
        <v>269</v>
      </c>
      <c r="V33" s="564"/>
      <c r="W33" s="565"/>
      <c r="X33" s="245" t="s">
        <v>270</v>
      </c>
      <c r="Y33" s="245" t="s">
        <v>271</v>
      </c>
      <c r="Z33" s="105"/>
      <c r="AB33" s="561"/>
      <c r="AC33" s="154" t="s">
        <v>184</v>
      </c>
      <c r="AD33" s="154" t="s">
        <v>272</v>
      </c>
      <c r="AE33" s="245" t="s">
        <v>90</v>
      </c>
      <c r="AF33" s="245" t="s">
        <v>273</v>
      </c>
      <c r="AG33" s="546" t="s">
        <v>274</v>
      </c>
      <c r="AH33" s="548"/>
      <c r="AI33" s="245" t="s">
        <v>275</v>
      </c>
      <c r="AJ33" s="142" t="s">
        <v>67</v>
      </c>
      <c r="AK33" s="142" t="s">
        <v>276</v>
      </c>
      <c r="AL33" s="142" t="s">
        <v>277</v>
      </c>
    </row>
    <row r="34" spans="1:38" ht="15" customHeight="1">
      <c r="B34" s="245" t="s">
        <v>278</v>
      </c>
      <c r="C34" s="163" t="s">
        <v>279</v>
      </c>
      <c r="D34" s="164" t="s">
        <v>280</v>
      </c>
      <c r="E34" s="137" t="e">
        <f ca="1">OFFSET(P$8,MATCH($H$3,$D$9:$D$28,0),0)</f>
        <v>#N/A</v>
      </c>
      <c r="F34" s="165" t="s">
        <v>281</v>
      </c>
      <c r="G34" s="137" t="e">
        <f ca="1">OFFSET(Length_7!Q26,MATCH($H$3,$D$9:$D$28,0),0)</f>
        <v>#N/A</v>
      </c>
      <c r="H34" s="137" t="e">
        <f ca="1">OFFSET(Length_7!R26,MATCH($H$3,$D$9:$D$28,0),0)</f>
        <v>#N/A</v>
      </c>
      <c r="I34" s="137" t="e">
        <f ca="1">OFFSET(Length_7!T26,MATCH($H$3,$D$9:$D$28,0),0)</f>
        <v>#N/A</v>
      </c>
      <c r="J34" s="166" t="e">
        <f ca="1">G34/I34/1000</f>
        <v>#N/A</v>
      </c>
      <c r="K34" s="158" t="e">
        <f ca="1">H34/I34/1000</f>
        <v>#N/A</v>
      </c>
      <c r="L34" s="165" t="s">
        <v>251</v>
      </c>
      <c r="M34" s="167" t="s">
        <v>282</v>
      </c>
      <c r="N34" s="137"/>
      <c r="O34" s="137"/>
      <c r="P34" s="159">
        <v>1</v>
      </c>
      <c r="Q34" s="137"/>
      <c r="R34" s="134" t="e">
        <f ca="1">ABS(J34*P34)</f>
        <v>#N/A</v>
      </c>
      <c r="S34" s="137" t="e">
        <f ca="1">ABS(K34*P34)</f>
        <v>#N/A</v>
      </c>
      <c r="T34" s="165" t="s">
        <v>191</v>
      </c>
      <c r="U34" s="137" t="s">
        <v>192</v>
      </c>
      <c r="V34" s="169" t="e">
        <f t="shared" ref="V34:V39" ca="1" si="25">SQRT(SUMSQ(R34,S34*H$3))</f>
        <v>#N/A</v>
      </c>
      <c r="W34" s="168">
        <f t="shared" ref="W34:W46" si="26">IF(U34="∞",0,V34^4/U34)</f>
        <v>0</v>
      </c>
      <c r="X34" s="134" t="str">
        <f>IF(OR(M34="직사각형",M34="삼각형"),V34,"")</f>
        <v/>
      </c>
      <c r="Y34" s="134" t="e">
        <f ca="1">IF(OR(M34="직사각형",M34="삼각형"),"",V34)</f>
        <v>#N/A</v>
      </c>
      <c r="Z34" s="105"/>
      <c r="AB34" s="561"/>
      <c r="AC34" s="153" t="s">
        <v>191</v>
      </c>
      <c r="AD34" s="153" t="s">
        <v>191</v>
      </c>
      <c r="AE34" s="245" t="s">
        <v>250</v>
      </c>
      <c r="AF34" s="245" t="s">
        <v>281</v>
      </c>
      <c r="AG34" s="245" t="s">
        <v>281</v>
      </c>
      <c r="AH34" s="153" t="s">
        <v>191</v>
      </c>
      <c r="AI34" s="153" t="s">
        <v>191</v>
      </c>
      <c r="AJ34" s="245" t="s">
        <v>281</v>
      </c>
      <c r="AK34" s="283">
        <f ca="1">IF(TYPE(MATCH("FAIL",AK35:AK54,0))=16,0,1)</f>
        <v>0</v>
      </c>
      <c r="AL34" s="142" t="s">
        <v>250</v>
      </c>
    </row>
    <row r="35" spans="1:38" ht="15" customHeight="1">
      <c r="B35" s="245" t="s">
        <v>283</v>
      </c>
      <c r="C35" s="163" t="s">
        <v>284</v>
      </c>
      <c r="D35" s="164" t="s">
        <v>285</v>
      </c>
      <c r="E35" s="137" t="e">
        <f ca="1">OFFSET(Q$8,MATCH($H$3,$D$9:$D$28,0),0)</f>
        <v>#N/A</v>
      </c>
      <c r="F35" s="165" t="s">
        <v>248</v>
      </c>
      <c r="G35" s="244">
        <f>IF(MAX(O9:O28)=0,J3,MAX(O9:O28))</f>
        <v>0</v>
      </c>
      <c r="H35" s="137">
        <f>IF(MAX(O9:O28)=0,2,1)</f>
        <v>2</v>
      </c>
      <c r="I35" s="140">
        <f>IF(MAX(O9:O28)=0,3,5)</f>
        <v>3</v>
      </c>
      <c r="J35" s="169">
        <f>G35/(IF(H35="",1,H35)*SQRT(I35))</f>
        <v>0</v>
      </c>
      <c r="K35" s="169"/>
      <c r="L35" s="165" t="s">
        <v>191</v>
      </c>
      <c r="M35" s="167" t="str">
        <f>IF(MAX(O9:O28)=0,"직사각형","t")</f>
        <v>직사각형</v>
      </c>
      <c r="N35" s="137"/>
      <c r="O35" s="137"/>
      <c r="P35" s="159">
        <v>1</v>
      </c>
      <c r="Q35" s="137"/>
      <c r="R35" s="134">
        <f t="shared" ref="R35:R48" si="27">ABS(J35*P35)</f>
        <v>0</v>
      </c>
      <c r="S35" s="137">
        <f t="shared" ref="S35:S48" si="28">ABS(K35*P35)</f>
        <v>0</v>
      </c>
      <c r="T35" s="165" t="s">
        <v>247</v>
      </c>
      <c r="U35" s="137" t="str">
        <f>IF(MAX(O9:O28)=0,"∞",4)</f>
        <v>∞</v>
      </c>
      <c r="V35" s="169" t="e">
        <f t="shared" ca="1" si="25"/>
        <v>#N/A</v>
      </c>
      <c r="W35" s="168">
        <f t="shared" si="26"/>
        <v>0</v>
      </c>
      <c r="X35" s="134" t="e">
        <f t="shared" ref="X35:X48" ca="1" si="29">IF(OR(M35="직사각형",M35="삼각형"),V35,"")</f>
        <v>#N/A</v>
      </c>
      <c r="Y35" s="134" t="str">
        <f t="shared" ref="Y35:Y48" si="30">IF(OR(M35="직사각형",M35="삼각형"),"",V35)</f>
        <v/>
      </c>
      <c r="Z35" s="105"/>
      <c r="AB35" s="137" t="e">
        <f t="shared" ref="AB35:AB54" ca="1" si="31">AND(B9,H$3&gt;=D9)</f>
        <v>#N/A</v>
      </c>
      <c r="AC35" s="137" t="e">
        <f ca="1">IF($AB35=FALSE,"",ROUND(Length_7!K4,$M$53))</f>
        <v>#N/A</v>
      </c>
      <c r="AD35" s="137" t="e">
        <f ca="1">IF($AB35=FALSE,"",ROUND(Length_7!L4,$M$53))</f>
        <v>#N/A</v>
      </c>
      <c r="AE35" s="137" t="e">
        <f t="shared" ref="AE35:AE54" ca="1" si="32">IF($AB35=FALSE,"",TEXT(D9,IF(D9&gt;=1000,"# ##0","0")))</f>
        <v>#N/A</v>
      </c>
      <c r="AF35" s="137" t="e">
        <f t="shared" ref="AF35:AF54" ca="1" si="33">IF($AB35=FALSE,"",TEXT(AA9,IF(AA9&gt;=1000,"# ##","")&amp;$P$53))</f>
        <v>#N/A</v>
      </c>
      <c r="AG35" s="137" t="e">
        <f t="shared" ref="AG35:AG54" ca="1" si="34">IF($AB35=FALSE,"",TEXT(AB9/1000,$P$53))</f>
        <v>#N/A</v>
      </c>
      <c r="AH35" s="137" t="e">
        <f t="shared" ref="AH35:AH54" ca="1" si="35">IF($AB35=FALSE,"",TEXT(AB9,IF(AB9&gt;=1000,"# ##","")&amp;$O$53))</f>
        <v>#N/A</v>
      </c>
      <c r="AI35" s="137" t="e">
        <f t="shared" ref="AI35:AI54" ca="1" si="36">IF($AB35=FALSE,"",TEXT(N9,IF(N9&gt;=1000,"# ##","")&amp;$O$53))</f>
        <v>#N/A</v>
      </c>
      <c r="AJ35" s="137" t="e">
        <f t="shared" ref="AJ35:AJ54" ca="1" si="37">IF($AB35=FALSE,"",TEXT(AD35,"± "&amp;O$53))</f>
        <v>#N/A</v>
      </c>
      <c r="AK35" s="137" t="e">
        <f t="shared" ref="AK35:AK54" ca="1" si="38">IF($AB35=FALSE,"",IF(AND(AC35&lt;=AB9,AB9&lt;=AD35),"PASS","FAIL"))</f>
        <v>#N/A</v>
      </c>
      <c r="AL35" s="137" t="e">
        <f ca="1">S$53</f>
        <v>#N/A</v>
      </c>
    </row>
    <row r="36" spans="1:38" ht="15" customHeight="1">
      <c r="B36" s="245" t="s">
        <v>286</v>
      </c>
      <c r="C36" s="163" t="s">
        <v>287</v>
      </c>
      <c r="D36" s="164" t="s">
        <v>120</v>
      </c>
      <c r="E36" s="137" t="e">
        <f ca="1">OFFSET(T$8,MATCH($H$3,$D$9:$D$28,0),0)</f>
        <v>#N/A</v>
      </c>
      <c r="F36" s="170" t="s">
        <v>288</v>
      </c>
      <c r="G36" s="138">
        <f>1*10^-6</f>
        <v>9.9999999999999995E-7</v>
      </c>
      <c r="H36" s="139"/>
      <c r="I36" s="140">
        <v>3</v>
      </c>
      <c r="J36" s="171"/>
      <c r="K36" s="171">
        <f>SQRT((G36/SQRT(I36)/2)^2+(G36/SQRT(I36)/2)^2)</f>
        <v>4.0824829046386305E-7</v>
      </c>
      <c r="L36" s="170" t="s">
        <v>288</v>
      </c>
      <c r="M36" s="167" t="s">
        <v>289</v>
      </c>
      <c r="N36" s="165" t="str">
        <f>E37</f>
        <v/>
      </c>
      <c r="O36" s="137" t="s">
        <v>290</v>
      </c>
      <c r="P36" s="159" t="e">
        <f>-N36*1000</f>
        <v>#VALUE!</v>
      </c>
      <c r="Q36" s="137" t="s">
        <v>291</v>
      </c>
      <c r="R36" s="134" t="e">
        <f t="shared" si="27"/>
        <v>#VALUE!</v>
      </c>
      <c r="S36" s="137" t="e">
        <f t="shared" si="28"/>
        <v>#VALUE!</v>
      </c>
      <c r="T36" s="165" t="s">
        <v>247</v>
      </c>
      <c r="U36" s="137">
        <v>100</v>
      </c>
      <c r="V36" s="169" t="e">
        <f t="shared" ca="1" si="25"/>
        <v>#VALUE!</v>
      </c>
      <c r="W36" s="168" t="e">
        <f t="shared" ca="1" si="26"/>
        <v>#VALUE!</v>
      </c>
      <c r="X36" s="134" t="e">
        <f t="shared" ca="1" si="29"/>
        <v>#VALUE!</v>
      </c>
      <c r="Y36" s="134" t="str">
        <f t="shared" si="30"/>
        <v/>
      </c>
      <c r="Z36" s="105"/>
      <c r="AB36" s="137" t="e">
        <f t="shared" ca="1" si="31"/>
        <v>#N/A</v>
      </c>
      <c r="AC36" s="137" t="e">
        <f ca="1">IF($AB36=FALSE,"",ROUND(Length_7!K5,$M$53))</f>
        <v>#N/A</v>
      </c>
      <c r="AD36" s="137" t="e">
        <f ca="1">IF($AB36=FALSE,"",ROUND(Length_7!L5,$M$53))</f>
        <v>#N/A</v>
      </c>
      <c r="AE36" s="137" t="e">
        <f t="shared" ca="1" si="32"/>
        <v>#N/A</v>
      </c>
      <c r="AF36" s="137" t="e">
        <f t="shared" ca="1" si="33"/>
        <v>#N/A</v>
      </c>
      <c r="AG36" s="137" t="e">
        <f t="shared" ca="1" si="34"/>
        <v>#N/A</v>
      </c>
      <c r="AH36" s="137" t="e">
        <f t="shared" ca="1" si="35"/>
        <v>#N/A</v>
      </c>
      <c r="AI36" s="137" t="e">
        <f t="shared" ca="1" si="36"/>
        <v>#N/A</v>
      </c>
      <c r="AJ36" s="137" t="e">
        <f t="shared" ca="1" si="37"/>
        <v>#N/A</v>
      </c>
      <c r="AK36" s="137" t="e">
        <f t="shared" ca="1" si="38"/>
        <v>#N/A</v>
      </c>
      <c r="AL36" s="137" t="e">
        <f t="shared" ref="AL36:AL54" ca="1" si="39">S$53</f>
        <v>#N/A</v>
      </c>
    </row>
    <row r="37" spans="1:38" ht="15" customHeight="1">
      <c r="B37" s="245" t="s">
        <v>292</v>
      </c>
      <c r="C37" s="163" t="s">
        <v>187</v>
      </c>
      <c r="D37" s="164" t="s">
        <v>121</v>
      </c>
      <c r="E37" s="165" t="str">
        <f>U9</f>
        <v/>
      </c>
      <c r="F37" s="170" t="s">
        <v>293</v>
      </c>
      <c r="G37" s="165" t="e">
        <f>MAX(ABS(E37),IF(기본정보!H$12=1,1,0.3))</f>
        <v>#VALUE!</v>
      </c>
      <c r="H37" s="139"/>
      <c r="I37" s="140">
        <v>3</v>
      </c>
      <c r="J37" s="169"/>
      <c r="K37" s="169" t="e">
        <f>G37/(IF(H37="",1,H37)*SQRT(I37))</f>
        <v>#VALUE!</v>
      </c>
      <c r="L37" s="170" t="s">
        <v>294</v>
      </c>
      <c r="M37" s="167" t="s">
        <v>295</v>
      </c>
      <c r="N37" s="138" t="e">
        <f ca="1">E36</f>
        <v>#N/A</v>
      </c>
      <c r="O37" s="137" t="s">
        <v>290</v>
      </c>
      <c r="P37" s="159" t="e">
        <f t="shared" ref="P37:P39" ca="1" si="40">-N37*1000</f>
        <v>#N/A</v>
      </c>
      <c r="Q37" s="137" t="s">
        <v>296</v>
      </c>
      <c r="R37" s="134" t="e">
        <f t="shared" ca="1" si="27"/>
        <v>#N/A</v>
      </c>
      <c r="S37" s="137" t="e">
        <f t="shared" ca="1" si="28"/>
        <v>#VALUE!</v>
      </c>
      <c r="T37" s="165" t="s">
        <v>297</v>
      </c>
      <c r="U37" s="137">
        <f>ROUNDDOWN(1/2*(100/20)^2,0)</f>
        <v>12</v>
      </c>
      <c r="V37" s="169" t="e">
        <f t="shared" ca="1" si="25"/>
        <v>#VALUE!</v>
      </c>
      <c r="W37" s="168" t="e">
        <f t="shared" ca="1" si="26"/>
        <v>#VALUE!</v>
      </c>
      <c r="X37" s="134" t="e">
        <f t="shared" ca="1" si="29"/>
        <v>#VALUE!</v>
      </c>
      <c r="Y37" s="134" t="str">
        <f t="shared" si="30"/>
        <v/>
      </c>
      <c r="Z37" s="105"/>
      <c r="AB37" s="137" t="e">
        <f t="shared" ca="1" si="31"/>
        <v>#N/A</v>
      </c>
      <c r="AC37" s="137" t="e">
        <f ca="1">IF($AB37=FALSE,"",ROUND(Length_7!K6,$M$53))</f>
        <v>#N/A</v>
      </c>
      <c r="AD37" s="137" t="e">
        <f ca="1">IF($AB37=FALSE,"",ROUND(Length_7!L6,$M$53))</f>
        <v>#N/A</v>
      </c>
      <c r="AE37" s="137" t="e">
        <f t="shared" ca="1" si="32"/>
        <v>#N/A</v>
      </c>
      <c r="AF37" s="137" t="e">
        <f t="shared" ca="1" si="33"/>
        <v>#N/A</v>
      </c>
      <c r="AG37" s="137" t="e">
        <f t="shared" ca="1" si="34"/>
        <v>#N/A</v>
      </c>
      <c r="AH37" s="137" t="e">
        <f t="shared" ca="1" si="35"/>
        <v>#N/A</v>
      </c>
      <c r="AI37" s="137" t="e">
        <f t="shared" ca="1" si="36"/>
        <v>#N/A</v>
      </c>
      <c r="AJ37" s="137" t="e">
        <f t="shared" ca="1" si="37"/>
        <v>#N/A</v>
      </c>
      <c r="AK37" s="137" t="e">
        <f t="shared" ca="1" si="38"/>
        <v>#N/A</v>
      </c>
      <c r="AL37" s="137" t="e">
        <f t="shared" ca="1" si="39"/>
        <v>#N/A</v>
      </c>
    </row>
    <row r="38" spans="1:38" ht="15" customHeight="1">
      <c r="B38" s="245" t="s">
        <v>298</v>
      </c>
      <c r="C38" s="163" t="s">
        <v>299</v>
      </c>
      <c r="D38" s="164" t="s">
        <v>122</v>
      </c>
      <c r="E38" s="137" t="e">
        <f ca="1">OFFSET(V$8,MATCH($H$3,$D$9:$D$28,0),0)</f>
        <v>#N/A</v>
      </c>
      <c r="F38" s="170" t="s">
        <v>300</v>
      </c>
      <c r="G38" s="138">
        <f>1*10^-6</f>
        <v>9.9999999999999995E-7</v>
      </c>
      <c r="H38" s="139"/>
      <c r="I38" s="140">
        <v>3</v>
      </c>
      <c r="J38" s="171"/>
      <c r="K38" s="171">
        <f>SQRT((G38/SQRT(I38))^2+(G38/SQRT(I38))^2)</f>
        <v>8.1649658092772609E-7</v>
      </c>
      <c r="L38" s="170" t="s">
        <v>288</v>
      </c>
      <c r="M38" s="167" t="s">
        <v>289</v>
      </c>
      <c r="N38" s="165" t="str">
        <f>E39</f>
        <v/>
      </c>
      <c r="O38" s="137" t="s">
        <v>301</v>
      </c>
      <c r="P38" s="159" t="e">
        <f t="shared" si="40"/>
        <v>#VALUE!</v>
      </c>
      <c r="Q38" s="137" t="s">
        <v>302</v>
      </c>
      <c r="R38" s="134" t="e">
        <f t="shared" si="27"/>
        <v>#VALUE!</v>
      </c>
      <c r="S38" s="137" t="e">
        <f t="shared" si="28"/>
        <v>#VALUE!</v>
      </c>
      <c r="T38" s="165" t="s">
        <v>247</v>
      </c>
      <c r="U38" s="137">
        <v>100</v>
      </c>
      <c r="V38" s="169" t="e">
        <f t="shared" ca="1" si="25"/>
        <v>#VALUE!</v>
      </c>
      <c r="W38" s="168" t="e">
        <f t="shared" ca="1" si="26"/>
        <v>#VALUE!</v>
      </c>
      <c r="X38" s="134" t="e">
        <f t="shared" ca="1" si="29"/>
        <v>#VALUE!</v>
      </c>
      <c r="Y38" s="134" t="str">
        <f t="shared" si="30"/>
        <v/>
      </c>
      <c r="Z38" s="105"/>
      <c r="AB38" s="137" t="e">
        <f t="shared" ca="1" si="31"/>
        <v>#N/A</v>
      </c>
      <c r="AC38" s="137" t="e">
        <f ca="1">IF($AB38=FALSE,"",ROUND(Length_7!K7,$M$53))</f>
        <v>#N/A</v>
      </c>
      <c r="AD38" s="137" t="e">
        <f ca="1">IF($AB38=FALSE,"",ROUND(Length_7!L7,$M$53))</f>
        <v>#N/A</v>
      </c>
      <c r="AE38" s="137" t="e">
        <f t="shared" ca="1" si="32"/>
        <v>#N/A</v>
      </c>
      <c r="AF38" s="137" t="e">
        <f t="shared" ca="1" si="33"/>
        <v>#N/A</v>
      </c>
      <c r="AG38" s="137" t="e">
        <f t="shared" ca="1" si="34"/>
        <v>#N/A</v>
      </c>
      <c r="AH38" s="137" t="e">
        <f t="shared" ca="1" si="35"/>
        <v>#N/A</v>
      </c>
      <c r="AI38" s="137" t="e">
        <f t="shared" ca="1" si="36"/>
        <v>#N/A</v>
      </c>
      <c r="AJ38" s="137" t="e">
        <f t="shared" ca="1" si="37"/>
        <v>#N/A</v>
      </c>
      <c r="AK38" s="137" t="e">
        <f t="shared" ca="1" si="38"/>
        <v>#N/A</v>
      </c>
      <c r="AL38" s="137" t="e">
        <f t="shared" ca="1" si="39"/>
        <v>#N/A</v>
      </c>
    </row>
    <row r="39" spans="1:38" ht="15" customHeight="1">
      <c r="B39" s="245" t="s">
        <v>303</v>
      </c>
      <c r="C39" s="163" t="s">
        <v>123</v>
      </c>
      <c r="D39" s="164" t="s">
        <v>124</v>
      </c>
      <c r="E39" s="165" t="str">
        <f>W9</f>
        <v/>
      </c>
      <c r="F39" s="170" t="s">
        <v>246</v>
      </c>
      <c r="G39" s="165"/>
      <c r="H39" s="139"/>
      <c r="I39" s="140"/>
      <c r="J39" s="169"/>
      <c r="K39" s="169">
        <f>SQRT(SUMSQ(J40:J42))</f>
        <v>0.66833125519211412</v>
      </c>
      <c r="L39" s="170" t="s">
        <v>246</v>
      </c>
      <c r="M39" s="167" t="s">
        <v>304</v>
      </c>
      <c r="N39" s="172" t="e">
        <f ca="1">E38</f>
        <v>#N/A</v>
      </c>
      <c r="O39" s="137" t="s">
        <v>305</v>
      </c>
      <c r="P39" s="159" t="e">
        <f t="shared" ca="1" si="40"/>
        <v>#N/A</v>
      </c>
      <c r="Q39" s="137" t="s">
        <v>306</v>
      </c>
      <c r="R39" s="134" t="e">
        <f t="shared" ca="1" si="27"/>
        <v>#N/A</v>
      </c>
      <c r="S39" s="137" t="e">
        <f t="shared" ca="1" si="28"/>
        <v>#N/A</v>
      </c>
      <c r="T39" s="165" t="s">
        <v>251</v>
      </c>
      <c r="U39" s="137">
        <f>ROUNDDOWN(K39^4/SUM(J41^4/U41,J42^4/U42),0)</f>
        <v>305</v>
      </c>
      <c r="V39" s="169" t="e">
        <f t="shared" ca="1" si="25"/>
        <v>#N/A</v>
      </c>
      <c r="W39" s="168" t="e">
        <f t="shared" ca="1" si="26"/>
        <v>#N/A</v>
      </c>
      <c r="X39" s="134" t="str">
        <f t="shared" si="29"/>
        <v/>
      </c>
      <c r="Y39" s="134" t="e">
        <f t="shared" ca="1" si="30"/>
        <v>#N/A</v>
      </c>
      <c r="Z39" s="105"/>
      <c r="AB39" s="137" t="e">
        <f t="shared" ca="1" si="31"/>
        <v>#N/A</v>
      </c>
      <c r="AC39" s="137" t="e">
        <f ca="1">IF($AB39=FALSE,"",ROUND(Length_7!K8,$M$53))</f>
        <v>#N/A</v>
      </c>
      <c r="AD39" s="137" t="e">
        <f ca="1">IF($AB39=FALSE,"",ROUND(Length_7!L8,$M$53))</f>
        <v>#N/A</v>
      </c>
      <c r="AE39" s="137" t="e">
        <f t="shared" ca="1" si="32"/>
        <v>#N/A</v>
      </c>
      <c r="AF39" s="137" t="e">
        <f t="shared" ca="1" si="33"/>
        <v>#N/A</v>
      </c>
      <c r="AG39" s="137" t="e">
        <f t="shared" ca="1" si="34"/>
        <v>#N/A</v>
      </c>
      <c r="AH39" s="137" t="e">
        <f t="shared" ca="1" si="35"/>
        <v>#N/A</v>
      </c>
      <c r="AI39" s="137" t="e">
        <f t="shared" ca="1" si="36"/>
        <v>#N/A</v>
      </c>
      <c r="AJ39" s="137" t="e">
        <f t="shared" ca="1" si="37"/>
        <v>#N/A</v>
      </c>
      <c r="AK39" s="137" t="e">
        <f t="shared" ca="1" si="38"/>
        <v>#N/A</v>
      </c>
      <c r="AL39" s="137" t="e">
        <f t="shared" ca="1" si="39"/>
        <v>#N/A</v>
      </c>
    </row>
    <row r="40" spans="1:38" ht="15" customHeight="1">
      <c r="B40" s="245" t="s">
        <v>307</v>
      </c>
      <c r="C40" s="163" t="s">
        <v>308</v>
      </c>
      <c r="D40" s="164" t="s">
        <v>309</v>
      </c>
      <c r="E40" s="165"/>
      <c r="F40" s="170"/>
      <c r="G40" s="137">
        <v>1</v>
      </c>
      <c r="H40" s="139"/>
      <c r="I40" s="140">
        <v>3</v>
      </c>
      <c r="J40" s="169">
        <f>G40/(IF(H40="",1,H40)*SQRT(I40))</f>
        <v>0.57735026918962584</v>
      </c>
      <c r="K40" s="169"/>
      <c r="L40" s="170" t="s">
        <v>246</v>
      </c>
      <c r="M40" s="167" t="s">
        <v>310</v>
      </c>
      <c r="N40" s="172"/>
      <c r="O40" s="137"/>
      <c r="P40" s="159">
        <v>1</v>
      </c>
      <c r="Q40" s="137"/>
      <c r="R40" s="134"/>
      <c r="S40" s="137"/>
      <c r="T40" s="165"/>
      <c r="U40" s="137" t="s">
        <v>311</v>
      </c>
      <c r="V40" s="169"/>
      <c r="W40" s="168"/>
      <c r="X40" s="134"/>
      <c r="Y40" s="134"/>
      <c r="Z40" s="105"/>
      <c r="AB40" s="137" t="e">
        <f t="shared" ca="1" si="31"/>
        <v>#N/A</v>
      </c>
      <c r="AC40" s="137" t="e">
        <f ca="1">IF($AB40=FALSE,"",ROUND(Length_7!K9,$M$53))</f>
        <v>#N/A</v>
      </c>
      <c r="AD40" s="137" t="e">
        <f ca="1">IF($AB40=FALSE,"",ROUND(Length_7!L9,$M$53))</f>
        <v>#N/A</v>
      </c>
      <c r="AE40" s="137" t="e">
        <f t="shared" ca="1" si="32"/>
        <v>#N/A</v>
      </c>
      <c r="AF40" s="137" t="e">
        <f t="shared" ca="1" si="33"/>
        <v>#N/A</v>
      </c>
      <c r="AG40" s="137" t="e">
        <f t="shared" ca="1" si="34"/>
        <v>#N/A</v>
      </c>
      <c r="AH40" s="137" t="e">
        <f t="shared" ca="1" si="35"/>
        <v>#N/A</v>
      </c>
      <c r="AI40" s="137" t="e">
        <f t="shared" ca="1" si="36"/>
        <v>#N/A</v>
      </c>
      <c r="AJ40" s="137" t="e">
        <f t="shared" ca="1" si="37"/>
        <v>#N/A</v>
      </c>
      <c r="AK40" s="137" t="e">
        <f t="shared" ca="1" si="38"/>
        <v>#N/A</v>
      </c>
      <c r="AL40" s="137" t="e">
        <f t="shared" ca="1" si="39"/>
        <v>#N/A</v>
      </c>
    </row>
    <row r="41" spans="1:38" ht="15" customHeight="1">
      <c r="B41" s="245" t="s">
        <v>312</v>
      </c>
      <c r="C41" s="163" t="s">
        <v>313</v>
      </c>
      <c r="D41" s="164" t="s">
        <v>314</v>
      </c>
      <c r="E41" s="165"/>
      <c r="F41" s="170"/>
      <c r="G41" s="165">
        <v>0.5</v>
      </c>
      <c r="H41" s="139"/>
      <c r="I41" s="140">
        <v>3</v>
      </c>
      <c r="J41" s="169">
        <f>G41/(IF(H41="",1,H41)*SQRT(I41))</f>
        <v>0.28867513459481292</v>
      </c>
      <c r="K41" s="169"/>
      <c r="L41" s="170" t="s">
        <v>293</v>
      </c>
      <c r="M41" s="167" t="s">
        <v>270</v>
      </c>
      <c r="N41" s="172"/>
      <c r="O41" s="137"/>
      <c r="P41" s="159">
        <v>1</v>
      </c>
      <c r="Q41" s="137"/>
      <c r="R41" s="134"/>
      <c r="S41" s="137"/>
      <c r="T41" s="165"/>
      <c r="U41" s="137">
        <f>ROUNDDOWN(1/2*(100/20)^2,0)</f>
        <v>12</v>
      </c>
      <c r="V41" s="169"/>
      <c r="W41" s="168"/>
      <c r="X41" s="134"/>
      <c r="Y41" s="134"/>
      <c r="Z41" s="105"/>
      <c r="AB41" s="137" t="e">
        <f t="shared" ca="1" si="31"/>
        <v>#N/A</v>
      </c>
      <c r="AC41" s="137" t="e">
        <f ca="1">IF($AB41=FALSE,"",ROUND(Length_7!K10,$M$53))</f>
        <v>#N/A</v>
      </c>
      <c r="AD41" s="137" t="e">
        <f ca="1">IF($AB41=FALSE,"",ROUND(Length_7!L10,$M$53))</f>
        <v>#N/A</v>
      </c>
      <c r="AE41" s="137" t="e">
        <f t="shared" ca="1" si="32"/>
        <v>#N/A</v>
      </c>
      <c r="AF41" s="137" t="e">
        <f t="shared" ca="1" si="33"/>
        <v>#N/A</v>
      </c>
      <c r="AG41" s="137" t="e">
        <f t="shared" ca="1" si="34"/>
        <v>#N/A</v>
      </c>
      <c r="AH41" s="137" t="e">
        <f t="shared" ca="1" si="35"/>
        <v>#N/A</v>
      </c>
      <c r="AI41" s="137" t="e">
        <f t="shared" ca="1" si="36"/>
        <v>#N/A</v>
      </c>
      <c r="AJ41" s="137" t="e">
        <f t="shared" ca="1" si="37"/>
        <v>#N/A</v>
      </c>
      <c r="AK41" s="137" t="e">
        <f t="shared" ca="1" si="38"/>
        <v>#N/A</v>
      </c>
      <c r="AL41" s="137" t="e">
        <f t="shared" ca="1" si="39"/>
        <v>#N/A</v>
      </c>
    </row>
    <row r="42" spans="1:38" ht="15" customHeight="1">
      <c r="B42" s="245" t="s">
        <v>315</v>
      </c>
      <c r="C42" s="163" t="s">
        <v>316</v>
      </c>
      <c r="D42" s="164" t="s">
        <v>317</v>
      </c>
      <c r="E42" s="165"/>
      <c r="F42" s="170"/>
      <c r="G42" s="165">
        <v>0.3</v>
      </c>
      <c r="H42" s="139"/>
      <c r="I42" s="140">
        <v>3</v>
      </c>
      <c r="J42" s="169">
        <f>G42/(IF(H42="",1,H42)*SQRT(I42))</f>
        <v>0.17320508075688773</v>
      </c>
      <c r="K42" s="169"/>
      <c r="L42" s="170" t="s">
        <v>293</v>
      </c>
      <c r="M42" s="167" t="s">
        <v>318</v>
      </c>
      <c r="N42" s="172"/>
      <c r="O42" s="137"/>
      <c r="P42" s="159">
        <v>1</v>
      </c>
      <c r="Q42" s="137"/>
      <c r="R42" s="134"/>
      <c r="S42" s="137"/>
      <c r="T42" s="165"/>
      <c r="U42" s="137">
        <f>ROUNDDOWN(1/2*(100/20)^2,0)</f>
        <v>12</v>
      </c>
      <c r="V42" s="169"/>
      <c r="W42" s="168"/>
      <c r="X42" s="134"/>
      <c r="Y42" s="134"/>
      <c r="Z42" s="105"/>
      <c r="AB42" s="137" t="e">
        <f t="shared" ca="1" si="31"/>
        <v>#N/A</v>
      </c>
      <c r="AC42" s="137" t="e">
        <f ca="1">IF($AB42=FALSE,"",ROUND(Length_7!K11,$M$53))</f>
        <v>#N/A</v>
      </c>
      <c r="AD42" s="137" t="e">
        <f ca="1">IF($AB42=FALSE,"",ROUND(Length_7!L11,$M$53))</f>
        <v>#N/A</v>
      </c>
      <c r="AE42" s="137" t="e">
        <f t="shared" ca="1" si="32"/>
        <v>#N/A</v>
      </c>
      <c r="AF42" s="137" t="e">
        <f t="shared" ca="1" si="33"/>
        <v>#N/A</v>
      </c>
      <c r="AG42" s="137" t="e">
        <f t="shared" ca="1" si="34"/>
        <v>#N/A</v>
      </c>
      <c r="AH42" s="137" t="e">
        <f t="shared" ca="1" si="35"/>
        <v>#N/A</v>
      </c>
      <c r="AI42" s="137" t="e">
        <f t="shared" ca="1" si="36"/>
        <v>#N/A</v>
      </c>
      <c r="AJ42" s="137" t="e">
        <f t="shared" ca="1" si="37"/>
        <v>#N/A</v>
      </c>
      <c r="AK42" s="137" t="e">
        <f t="shared" ca="1" si="38"/>
        <v>#N/A</v>
      </c>
      <c r="AL42" s="137" t="e">
        <f t="shared" ca="1" si="39"/>
        <v>#N/A</v>
      </c>
    </row>
    <row r="43" spans="1:38" ht="24">
      <c r="B43" s="245" t="s">
        <v>319</v>
      </c>
      <c r="C43" s="163" t="s">
        <v>320</v>
      </c>
      <c r="D43" s="164" t="s">
        <v>321</v>
      </c>
      <c r="E43" s="137">
        <v>0</v>
      </c>
      <c r="F43" s="165" t="s">
        <v>281</v>
      </c>
      <c r="G43" s="137">
        <f>J3</f>
        <v>0</v>
      </c>
      <c r="H43" s="137">
        <v>2</v>
      </c>
      <c r="I43" s="140">
        <v>3</v>
      </c>
      <c r="J43" s="169">
        <f>G43/(IF(H43="",1,H43)*SQRT(I43))</f>
        <v>0</v>
      </c>
      <c r="K43" s="169"/>
      <c r="L43" s="165" t="s">
        <v>191</v>
      </c>
      <c r="M43" s="167" t="s">
        <v>270</v>
      </c>
      <c r="N43" s="137"/>
      <c r="O43" s="137"/>
      <c r="P43" s="159">
        <v>1</v>
      </c>
      <c r="Q43" s="137"/>
      <c r="R43" s="134">
        <f t="shared" si="27"/>
        <v>0</v>
      </c>
      <c r="S43" s="137">
        <f t="shared" si="28"/>
        <v>0</v>
      </c>
      <c r="T43" s="165" t="s">
        <v>322</v>
      </c>
      <c r="U43" s="137" t="s">
        <v>192</v>
      </c>
      <c r="V43" s="169" t="e">
        <f t="shared" ref="V43:V48" ca="1" si="41">SQRT(SUMSQ(R43,S43*H$3))</f>
        <v>#N/A</v>
      </c>
      <c r="W43" s="168">
        <f t="shared" si="26"/>
        <v>0</v>
      </c>
      <c r="X43" s="134" t="e">
        <f t="shared" ca="1" si="29"/>
        <v>#N/A</v>
      </c>
      <c r="Y43" s="134" t="str">
        <f t="shared" si="30"/>
        <v/>
      </c>
      <c r="Z43" s="105"/>
      <c r="AB43" s="137" t="e">
        <f t="shared" ca="1" si="31"/>
        <v>#N/A</v>
      </c>
      <c r="AC43" s="137" t="e">
        <f ca="1">IF($AB43=FALSE,"",ROUND(Length_7!K12,$M$53))</f>
        <v>#N/A</v>
      </c>
      <c r="AD43" s="137" t="e">
        <f ca="1">IF($AB43=FALSE,"",ROUND(Length_7!L12,$M$53))</f>
        <v>#N/A</v>
      </c>
      <c r="AE43" s="137" t="e">
        <f t="shared" ca="1" si="32"/>
        <v>#N/A</v>
      </c>
      <c r="AF43" s="137" t="e">
        <f t="shared" ca="1" si="33"/>
        <v>#N/A</v>
      </c>
      <c r="AG43" s="137" t="e">
        <f t="shared" ca="1" si="34"/>
        <v>#N/A</v>
      </c>
      <c r="AH43" s="137" t="e">
        <f t="shared" ca="1" si="35"/>
        <v>#N/A</v>
      </c>
      <c r="AI43" s="137" t="e">
        <f t="shared" ca="1" si="36"/>
        <v>#N/A</v>
      </c>
      <c r="AJ43" s="137" t="e">
        <f t="shared" ca="1" si="37"/>
        <v>#N/A</v>
      </c>
      <c r="AK43" s="137" t="e">
        <f t="shared" ca="1" si="38"/>
        <v>#N/A</v>
      </c>
      <c r="AL43" s="137" t="e">
        <f t="shared" ca="1" si="39"/>
        <v>#N/A</v>
      </c>
    </row>
    <row r="44" spans="1:38" ht="24">
      <c r="B44" s="245" t="s">
        <v>323</v>
      </c>
      <c r="C44" s="163" t="s">
        <v>324</v>
      </c>
      <c r="D44" s="164" t="s">
        <v>325</v>
      </c>
      <c r="E44" s="137">
        <v>0</v>
      </c>
      <c r="F44" s="165" t="s">
        <v>326</v>
      </c>
      <c r="G44" s="137">
        <f>MAX(Length_7!T50:T69)</f>
        <v>0</v>
      </c>
      <c r="H44" s="137">
        <f>MAX(MAX(Length_7!R50:R69),ABS(MIN(Length_7!R50:R69)))</f>
        <v>0</v>
      </c>
      <c r="I44" s="137">
        <f>Length_7!W73</f>
        <v>0</v>
      </c>
      <c r="J44" s="166" t="e">
        <f>G44/I44+H44</f>
        <v>#DIV/0!</v>
      </c>
      <c r="K44" s="169"/>
      <c r="L44" s="165" t="s">
        <v>327</v>
      </c>
      <c r="M44" s="167" t="s">
        <v>328</v>
      </c>
      <c r="N44" s="137"/>
      <c r="O44" s="137"/>
      <c r="P44" s="159">
        <v>1</v>
      </c>
      <c r="Q44" s="137"/>
      <c r="R44" s="134" t="e">
        <f t="shared" si="27"/>
        <v>#DIV/0!</v>
      </c>
      <c r="S44" s="137">
        <f t="shared" si="28"/>
        <v>0</v>
      </c>
      <c r="T44" s="165" t="s">
        <v>247</v>
      </c>
      <c r="U44" s="137" t="s">
        <v>311</v>
      </c>
      <c r="V44" s="169" t="e">
        <f t="shared" ca="1" si="41"/>
        <v>#N/A</v>
      </c>
      <c r="W44" s="168">
        <f t="shared" si="26"/>
        <v>0</v>
      </c>
      <c r="X44" s="134" t="str">
        <f t="shared" si="29"/>
        <v/>
      </c>
      <c r="Y44" s="134" t="e">
        <f t="shared" ca="1" si="30"/>
        <v>#N/A</v>
      </c>
      <c r="Z44" s="105"/>
      <c r="AB44" s="137" t="e">
        <f t="shared" ca="1" si="31"/>
        <v>#N/A</v>
      </c>
      <c r="AC44" s="137" t="e">
        <f ca="1">IF($AB44=FALSE,"",ROUND(Length_7!K13,$M$53))</f>
        <v>#N/A</v>
      </c>
      <c r="AD44" s="137" t="e">
        <f ca="1">IF($AB44=FALSE,"",ROUND(Length_7!L13,$M$53))</f>
        <v>#N/A</v>
      </c>
      <c r="AE44" s="137" t="e">
        <f t="shared" ca="1" si="32"/>
        <v>#N/A</v>
      </c>
      <c r="AF44" s="137" t="e">
        <f t="shared" ca="1" si="33"/>
        <v>#N/A</v>
      </c>
      <c r="AG44" s="137" t="e">
        <f t="shared" ca="1" si="34"/>
        <v>#N/A</v>
      </c>
      <c r="AH44" s="137" t="e">
        <f t="shared" ca="1" si="35"/>
        <v>#N/A</v>
      </c>
      <c r="AI44" s="137" t="e">
        <f t="shared" ca="1" si="36"/>
        <v>#N/A</v>
      </c>
      <c r="AJ44" s="137" t="e">
        <f t="shared" ca="1" si="37"/>
        <v>#N/A</v>
      </c>
      <c r="AK44" s="137" t="e">
        <f t="shared" ca="1" si="38"/>
        <v>#N/A</v>
      </c>
      <c r="AL44" s="137" t="e">
        <f t="shared" ca="1" si="39"/>
        <v>#N/A</v>
      </c>
    </row>
    <row r="45" spans="1:38" ht="15" customHeight="1">
      <c r="B45" s="245" t="s">
        <v>329</v>
      </c>
      <c r="C45" s="163" t="s">
        <v>330</v>
      </c>
      <c r="D45" s="164" t="s">
        <v>331</v>
      </c>
      <c r="E45" s="137">
        <v>0</v>
      </c>
      <c r="F45" s="165" t="s">
        <v>326</v>
      </c>
      <c r="G45" s="137">
        <f>Length_7!P73</f>
        <v>0</v>
      </c>
      <c r="H45" s="137">
        <v>5</v>
      </c>
      <c r="I45" s="140">
        <v>3</v>
      </c>
      <c r="J45" s="169">
        <f>G45/(IF(H45="",1,H45)*SQRT(I45))</f>
        <v>0</v>
      </c>
      <c r="K45" s="169"/>
      <c r="L45" s="165" t="s">
        <v>191</v>
      </c>
      <c r="M45" s="167" t="s">
        <v>310</v>
      </c>
      <c r="N45" s="137"/>
      <c r="O45" s="137"/>
      <c r="P45" s="159">
        <v>1</v>
      </c>
      <c r="Q45" s="137"/>
      <c r="R45" s="134">
        <f t="shared" si="27"/>
        <v>0</v>
      </c>
      <c r="S45" s="137">
        <f t="shared" si="28"/>
        <v>0</v>
      </c>
      <c r="T45" s="165" t="s">
        <v>297</v>
      </c>
      <c r="U45" s="137">
        <f>ROUNDDOWN(1/2*(100/10)^2,0)</f>
        <v>50</v>
      </c>
      <c r="V45" s="169" t="e">
        <f t="shared" ca="1" si="41"/>
        <v>#N/A</v>
      </c>
      <c r="W45" s="168" t="e">
        <f t="shared" ca="1" si="26"/>
        <v>#N/A</v>
      </c>
      <c r="X45" s="134" t="e">
        <f t="shared" ca="1" si="29"/>
        <v>#N/A</v>
      </c>
      <c r="Y45" s="134" t="str">
        <f t="shared" si="30"/>
        <v/>
      </c>
      <c r="Z45" s="105"/>
      <c r="AB45" s="137" t="e">
        <f t="shared" ca="1" si="31"/>
        <v>#N/A</v>
      </c>
      <c r="AC45" s="137" t="e">
        <f ca="1">IF($AB45=FALSE,"",ROUND(Length_7!K14,$M$53))</f>
        <v>#N/A</v>
      </c>
      <c r="AD45" s="137" t="e">
        <f ca="1">IF($AB45=FALSE,"",ROUND(Length_7!L14,$M$53))</f>
        <v>#N/A</v>
      </c>
      <c r="AE45" s="137" t="e">
        <f t="shared" ca="1" si="32"/>
        <v>#N/A</v>
      </c>
      <c r="AF45" s="137" t="e">
        <f t="shared" ca="1" si="33"/>
        <v>#N/A</v>
      </c>
      <c r="AG45" s="137" t="e">
        <f t="shared" ca="1" si="34"/>
        <v>#N/A</v>
      </c>
      <c r="AH45" s="137" t="e">
        <f t="shared" ca="1" si="35"/>
        <v>#N/A</v>
      </c>
      <c r="AI45" s="137" t="e">
        <f t="shared" ca="1" si="36"/>
        <v>#N/A</v>
      </c>
      <c r="AJ45" s="137" t="e">
        <f t="shared" ca="1" si="37"/>
        <v>#N/A</v>
      </c>
      <c r="AK45" s="137" t="e">
        <f t="shared" ca="1" si="38"/>
        <v>#N/A</v>
      </c>
      <c r="AL45" s="137" t="e">
        <f t="shared" ca="1" si="39"/>
        <v>#N/A</v>
      </c>
    </row>
    <row r="46" spans="1:38" ht="15" customHeight="1">
      <c r="B46" s="245" t="s">
        <v>332</v>
      </c>
      <c r="C46" s="163" t="s">
        <v>333</v>
      </c>
      <c r="D46" s="164" t="s">
        <v>334</v>
      </c>
      <c r="E46" s="137">
        <v>0</v>
      </c>
      <c r="F46" s="165" t="s">
        <v>281</v>
      </c>
      <c r="G46" s="137">
        <f>MAX(N9:N28)</f>
        <v>0</v>
      </c>
      <c r="H46" s="137">
        <f>9/2</f>
        <v>4.5</v>
      </c>
      <c r="I46" s="140">
        <v>3</v>
      </c>
      <c r="J46" s="169">
        <f>G46/(IF(H46="",1,H46)*SQRT(I46))</f>
        <v>0</v>
      </c>
      <c r="K46" s="169"/>
      <c r="L46" s="165" t="s">
        <v>247</v>
      </c>
      <c r="M46" s="167" t="s">
        <v>270</v>
      </c>
      <c r="N46" s="137"/>
      <c r="O46" s="137"/>
      <c r="P46" s="159">
        <v>1</v>
      </c>
      <c r="Q46" s="137"/>
      <c r="R46" s="134">
        <f t="shared" si="27"/>
        <v>0</v>
      </c>
      <c r="S46" s="137">
        <f t="shared" si="28"/>
        <v>0</v>
      </c>
      <c r="T46" s="165" t="s">
        <v>335</v>
      </c>
      <c r="U46" s="137">
        <f>ROUNDDOWN(1/2*(100/10)^2,0)</f>
        <v>50</v>
      </c>
      <c r="V46" s="169" t="e">
        <f t="shared" ca="1" si="41"/>
        <v>#N/A</v>
      </c>
      <c r="W46" s="168" t="e">
        <f t="shared" ca="1" si="26"/>
        <v>#N/A</v>
      </c>
      <c r="X46" s="134" t="e">
        <f t="shared" ca="1" si="29"/>
        <v>#N/A</v>
      </c>
      <c r="Y46" s="134" t="str">
        <f t="shared" si="30"/>
        <v/>
      </c>
      <c r="Z46" s="105"/>
      <c r="AB46" s="137" t="e">
        <f t="shared" ca="1" si="31"/>
        <v>#N/A</v>
      </c>
      <c r="AC46" s="137" t="e">
        <f ca="1">IF($AB46=FALSE,"",ROUND(Length_7!K15,$M$53))</f>
        <v>#N/A</v>
      </c>
      <c r="AD46" s="137" t="e">
        <f ca="1">IF($AB46=FALSE,"",ROUND(Length_7!L15,$M$53))</f>
        <v>#N/A</v>
      </c>
      <c r="AE46" s="137" t="e">
        <f t="shared" ca="1" si="32"/>
        <v>#N/A</v>
      </c>
      <c r="AF46" s="137" t="e">
        <f t="shared" ca="1" si="33"/>
        <v>#N/A</v>
      </c>
      <c r="AG46" s="137" t="e">
        <f t="shared" ca="1" si="34"/>
        <v>#N/A</v>
      </c>
      <c r="AH46" s="137" t="e">
        <f t="shared" ca="1" si="35"/>
        <v>#N/A</v>
      </c>
      <c r="AI46" s="137" t="e">
        <f t="shared" ca="1" si="36"/>
        <v>#N/A</v>
      </c>
      <c r="AJ46" s="137" t="e">
        <f t="shared" ca="1" si="37"/>
        <v>#N/A</v>
      </c>
      <c r="AK46" s="137" t="e">
        <f t="shared" ca="1" si="38"/>
        <v>#N/A</v>
      </c>
      <c r="AL46" s="137" t="e">
        <f t="shared" ca="1" si="39"/>
        <v>#N/A</v>
      </c>
    </row>
    <row r="47" spans="1:38" ht="15" customHeight="1">
      <c r="B47" s="245" t="s">
        <v>336</v>
      </c>
      <c r="C47" s="163" t="s">
        <v>337</v>
      </c>
      <c r="D47" s="164" t="s">
        <v>338</v>
      </c>
      <c r="E47" s="137"/>
      <c r="F47" s="165"/>
      <c r="G47" s="179" t="e">
        <f>K36*K37</f>
        <v>#VALUE!</v>
      </c>
      <c r="H47" s="137"/>
      <c r="I47" s="137"/>
      <c r="J47" s="180"/>
      <c r="K47" s="180" t="e">
        <f>IF(P36=0,G47,0)</f>
        <v>#VALUE!</v>
      </c>
      <c r="L47" s="165"/>
      <c r="M47" s="167" t="s">
        <v>328</v>
      </c>
      <c r="N47" s="137"/>
      <c r="O47" s="137" t="s">
        <v>301</v>
      </c>
      <c r="P47" s="159">
        <v>1000</v>
      </c>
      <c r="Q47" s="137"/>
      <c r="R47" s="134">
        <f t="shared" si="27"/>
        <v>0</v>
      </c>
      <c r="S47" s="137" t="e">
        <f t="shared" si="28"/>
        <v>#VALUE!</v>
      </c>
      <c r="T47" s="165" t="s">
        <v>191</v>
      </c>
      <c r="U47" s="137" t="s">
        <v>339</v>
      </c>
      <c r="V47" s="169" t="e">
        <f t="shared" ca="1" si="41"/>
        <v>#VALUE!</v>
      </c>
      <c r="W47" s="168">
        <f>IF(U47="∞",0,V47^4/U47)</f>
        <v>0</v>
      </c>
      <c r="X47" s="134" t="str">
        <f t="shared" si="29"/>
        <v/>
      </c>
      <c r="Y47" s="134" t="e">
        <f t="shared" ca="1" si="30"/>
        <v>#VALUE!</v>
      </c>
      <c r="Z47" s="105"/>
      <c r="AB47" s="137" t="e">
        <f t="shared" ca="1" si="31"/>
        <v>#N/A</v>
      </c>
      <c r="AC47" s="137" t="e">
        <f ca="1">IF($AB47=FALSE,"",ROUND(Length_7!K16,$M$53))</f>
        <v>#N/A</v>
      </c>
      <c r="AD47" s="137" t="e">
        <f ca="1">IF($AB47=FALSE,"",ROUND(Length_7!L16,$M$53))</f>
        <v>#N/A</v>
      </c>
      <c r="AE47" s="137" t="e">
        <f t="shared" ca="1" si="32"/>
        <v>#N/A</v>
      </c>
      <c r="AF47" s="137" t="e">
        <f t="shared" ca="1" si="33"/>
        <v>#N/A</v>
      </c>
      <c r="AG47" s="137" t="e">
        <f t="shared" ca="1" si="34"/>
        <v>#N/A</v>
      </c>
      <c r="AH47" s="137" t="e">
        <f t="shared" ca="1" si="35"/>
        <v>#N/A</v>
      </c>
      <c r="AI47" s="137" t="e">
        <f t="shared" ca="1" si="36"/>
        <v>#N/A</v>
      </c>
      <c r="AJ47" s="137" t="e">
        <f t="shared" ca="1" si="37"/>
        <v>#N/A</v>
      </c>
      <c r="AK47" s="137" t="e">
        <f t="shared" ca="1" si="38"/>
        <v>#N/A</v>
      </c>
      <c r="AL47" s="137" t="e">
        <f t="shared" ca="1" si="39"/>
        <v>#N/A</v>
      </c>
    </row>
    <row r="48" spans="1:38" ht="15" customHeight="1">
      <c r="B48" s="245" t="s">
        <v>340</v>
      </c>
      <c r="C48" s="163" t="s">
        <v>337</v>
      </c>
      <c r="D48" s="164" t="s">
        <v>341</v>
      </c>
      <c r="E48" s="137"/>
      <c r="F48" s="165"/>
      <c r="G48" s="179">
        <f>K38*K39</f>
        <v>5.456901847914968E-7</v>
      </c>
      <c r="H48" s="137"/>
      <c r="I48" s="140"/>
      <c r="J48" s="180"/>
      <c r="K48" s="180" t="e">
        <f ca="1">IF(P39=0,G48,0)</f>
        <v>#N/A</v>
      </c>
      <c r="L48" s="165"/>
      <c r="M48" s="167" t="s">
        <v>342</v>
      </c>
      <c r="N48" s="137"/>
      <c r="O48" s="137" t="s">
        <v>305</v>
      </c>
      <c r="P48" s="159">
        <v>1000</v>
      </c>
      <c r="Q48" s="137"/>
      <c r="R48" s="134">
        <f t="shared" si="27"/>
        <v>0</v>
      </c>
      <c r="S48" s="137" t="e">
        <f t="shared" ca="1" si="28"/>
        <v>#N/A</v>
      </c>
      <c r="T48" s="165" t="s">
        <v>297</v>
      </c>
      <c r="U48" s="137" t="s">
        <v>311</v>
      </c>
      <c r="V48" s="169" t="e">
        <f t="shared" ca="1" si="41"/>
        <v>#N/A</v>
      </c>
      <c r="W48" s="168">
        <f>IF(U48="∞",0,V48^4/U48)</f>
        <v>0</v>
      </c>
      <c r="X48" s="134" t="str">
        <f t="shared" si="29"/>
        <v/>
      </c>
      <c r="Y48" s="134" t="e">
        <f t="shared" ca="1" si="30"/>
        <v>#N/A</v>
      </c>
      <c r="Z48" s="105"/>
      <c r="AB48" s="137" t="e">
        <f t="shared" ca="1" si="31"/>
        <v>#N/A</v>
      </c>
      <c r="AC48" s="137" t="e">
        <f ca="1">IF($AB48=FALSE,"",ROUND(Length_7!K17,$M$53))</f>
        <v>#N/A</v>
      </c>
      <c r="AD48" s="137" t="e">
        <f ca="1">IF($AB48=FALSE,"",ROUND(Length_7!L17,$M$53))</f>
        <v>#N/A</v>
      </c>
      <c r="AE48" s="137" t="e">
        <f t="shared" ca="1" si="32"/>
        <v>#N/A</v>
      </c>
      <c r="AF48" s="137" t="e">
        <f t="shared" ca="1" si="33"/>
        <v>#N/A</v>
      </c>
      <c r="AG48" s="137" t="e">
        <f t="shared" ca="1" si="34"/>
        <v>#N/A</v>
      </c>
      <c r="AH48" s="137" t="e">
        <f t="shared" ca="1" si="35"/>
        <v>#N/A</v>
      </c>
      <c r="AI48" s="137" t="e">
        <f t="shared" ca="1" si="36"/>
        <v>#N/A</v>
      </c>
      <c r="AJ48" s="137" t="e">
        <f t="shared" ca="1" si="37"/>
        <v>#N/A</v>
      </c>
      <c r="AK48" s="137" t="e">
        <f t="shared" ca="1" si="38"/>
        <v>#N/A</v>
      </c>
      <c r="AL48" s="137" t="e">
        <f t="shared" ca="1" si="39"/>
        <v>#N/A</v>
      </c>
    </row>
    <row r="49" spans="2:38" ht="15" customHeight="1">
      <c r="B49" s="245" t="s">
        <v>343</v>
      </c>
      <c r="C49" s="163" t="s">
        <v>344</v>
      </c>
      <c r="D49" s="164" t="s">
        <v>345</v>
      </c>
      <c r="E49" s="137" t="e">
        <f ca="1">E35+E34-(E36*E37+E38*E39)*H3</f>
        <v>#N/A</v>
      </c>
      <c r="F49" s="165" t="s">
        <v>281</v>
      </c>
      <c r="G49" s="175"/>
      <c r="H49" s="176"/>
      <c r="I49" s="176"/>
      <c r="J49" s="176"/>
      <c r="K49" s="176"/>
      <c r="L49" s="176"/>
      <c r="M49" s="176"/>
      <c r="N49" s="176"/>
      <c r="O49" s="176"/>
      <c r="P49" s="176"/>
      <c r="Q49" s="177"/>
      <c r="R49" s="166" t="e">
        <f ca="1">SQRT(SUMSQ(R34:R48))</f>
        <v>#N/A</v>
      </c>
      <c r="S49" s="272" t="e">
        <f ca="1">SQRT(SUMSQ(S34:S48))</f>
        <v>#N/A</v>
      </c>
      <c r="T49" s="165" t="s">
        <v>191</v>
      </c>
      <c r="U49" s="161" t="e">
        <f ca="1">IF(W49=0,"∞",ROUNDDOWN(V49^4/W49,0))</f>
        <v>#VALUE!</v>
      </c>
      <c r="V49" s="141" t="e">
        <f ca="1">SQRT(SUMSQ(V34:V48))</f>
        <v>#N/A</v>
      </c>
      <c r="W49" s="157" t="e">
        <f ca="1">SUM(W34:W48)</f>
        <v>#VALUE!</v>
      </c>
      <c r="X49" s="141" t="e">
        <f ca="1">SQRT(SUMSQ(X34:X48))</f>
        <v>#N/A</v>
      </c>
      <c r="Y49" s="141" t="e">
        <f ca="1">SQRT(SUMSQ(Y34:Y48))</f>
        <v>#N/A</v>
      </c>
      <c r="Z49" s="103"/>
      <c r="AB49" s="137" t="e">
        <f t="shared" ca="1" si="31"/>
        <v>#N/A</v>
      </c>
      <c r="AC49" s="137" t="e">
        <f ca="1">IF($AB49=FALSE,"",ROUND(Length_7!K18,$M$53))</f>
        <v>#N/A</v>
      </c>
      <c r="AD49" s="137" t="e">
        <f ca="1">IF($AB49=FALSE,"",ROUND(Length_7!L18,$M$53))</f>
        <v>#N/A</v>
      </c>
      <c r="AE49" s="137" t="e">
        <f t="shared" ca="1" si="32"/>
        <v>#N/A</v>
      </c>
      <c r="AF49" s="137" t="e">
        <f t="shared" ca="1" si="33"/>
        <v>#N/A</v>
      </c>
      <c r="AG49" s="137" t="e">
        <f t="shared" ca="1" si="34"/>
        <v>#N/A</v>
      </c>
      <c r="AH49" s="137" t="e">
        <f t="shared" ca="1" si="35"/>
        <v>#N/A</v>
      </c>
      <c r="AI49" s="137" t="e">
        <f t="shared" ca="1" si="36"/>
        <v>#N/A</v>
      </c>
      <c r="AJ49" s="137" t="e">
        <f t="shared" ca="1" si="37"/>
        <v>#N/A</v>
      </c>
      <c r="AK49" s="137" t="e">
        <f t="shared" ca="1" si="38"/>
        <v>#N/A</v>
      </c>
      <c r="AL49" s="137" t="e">
        <f t="shared" ca="1" si="39"/>
        <v>#N/A</v>
      </c>
    </row>
    <row r="50" spans="2:38" ht="15" customHeight="1"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5"/>
      <c r="AB50" s="137" t="e">
        <f t="shared" ca="1" si="31"/>
        <v>#N/A</v>
      </c>
      <c r="AC50" s="137" t="e">
        <f ca="1">IF($AB50=FALSE,"",ROUND(Length_7!K19,$M$53))</f>
        <v>#N/A</v>
      </c>
      <c r="AD50" s="137" t="e">
        <f ca="1">IF($AB50=FALSE,"",ROUND(Length_7!L19,$M$53))</f>
        <v>#N/A</v>
      </c>
      <c r="AE50" s="137" t="e">
        <f t="shared" ca="1" si="32"/>
        <v>#N/A</v>
      </c>
      <c r="AF50" s="137" t="e">
        <f t="shared" ca="1" si="33"/>
        <v>#N/A</v>
      </c>
      <c r="AG50" s="137" t="e">
        <f t="shared" ca="1" si="34"/>
        <v>#N/A</v>
      </c>
      <c r="AH50" s="137" t="e">
        <f t="shared" ca="1" si="35"/>
        <v>#N/A</v>
      </c>
      <c r="AI50" s="137" t="e">
        <f t="shared" ca="1" si="36"/>
        <v>#N/A</v>
      </c>
      <c r="AJ50" s="137" t="e">
        <f t="shared" ca="1" si="37"/>
        <v>#N/A</v>
      </c>
      <c r="AK50" s="137" t="e">
        <f t="shared" ca="1" si="38"/>
        <v>#N/A</v>
      </c>
      <c r="AL50" s="137" t="e">
        <f t="shared" ca="1" si="39"/>
        <v>#N/A</v>
      </c>
    </row>
    <row r="51" spans="2:38" ht="15" customHeight="1">
      <c r="B51" s="148"/>
      <c r="C51" s="546" t="s">
        <v>346</v>
      </c>
      <c r="D51" s="547"/>
      <c r="E51" s="547"/>
      <c r="F51" s="547"/>
      <c r="G51" s="548"/>
      <c r="H51" s="245" t="s">
        <v>347</v>
      </c>
      <c r="I51" s="245" t="s">
        <v>348</v>
      </c>
      <c r="J51" s="556" t="s">
        <v>349</v>
      </c>
      <c r="K51" s="557"/>
      <c r="L51" s="557"/>
      <c r="M51" s="558"/>
      <c r="N51" s="551" t="s">
        <v>350</v>
      </c>
      <c r="O51" s="546" t="s">
        <v>351</v>
      </c>
      <c r="P51" s="547"/>
      <c r="Q51" s="548"/>
      <c r="R51" s="551" t="s">
        <v>352</v>
      </c>
      <c r="S51" s="546" t="s">
        <v>353</v>
      </c>
      <c r="T51" s="547"/>
      <c r="U51" s="548"/>
      <c r="AB51" s="137" t="e">
        <f t="shared" ca="1" si="31"/>
        <v>#N/A</v>
      </c>
      <c r="AC51" s="137" t="e">
        <f ca="1">IF($AB51=FALSE,"",ROUND(Length_7!K20,$M$53))</f>
        <v>#N/A</v>
      </c>
      <c r="AD51" s="137" t="e">
        <f ca="1">IF($AB51=FALSE,"",ROUND(Length_7!L20,$M$53))</f>
        <v>#N/A</v>
      </c>
      <c r="AE51" s="137" t="e">
        <f t="shared" ca="1" si="32"/>
        <v>#N/A</v>
      </c>
      <c r="AF51" s="137" t="e">
        <f t="shared" ca="1" si="33"/>
        <v>#N/A</v>
      </c>
      <c r="AG51" s="137" t="e">
        <f t="shared" ca="1" si="34"/>
        <v>#N/A</v>
      </c>
      <c r="AH51" s="137" t="e">
        <f t="shared" ca="1" si="35"/>
        <v>#N/A</v>
      </c>
      <c r="AI51" s="137" t="e">
        <f t="shared" ca="1" si="36"/>
        <v>#N/A</v>
      </c>
      <c r="AJ51" s="137" t="e">
        <f t="shared" ca="1" si="37"/>
        <v>#N/A</v>
      </c>
      <c r="AK51" s="137" t="e">
        <f t="shared" ca="1" si="38"/>
        <v>#N/A</v>
      </c>
      <c r="AL51" s="137" t="e">
        <f t="shared" ca="1" si="39"/>
        <v>#N/A</v>
      </c>
    </row>
    <row r="52" spans="2:38" ht="15" customHeight="1">
      <c r="B52" s="148"/>
      <c r="C52" s="148">
        <v>1</v>
      </c>
      <c r="D52" s="148">
        <v>2</v>
      </c>
      <c r="E52" s="148" t="s">
        <v>354</v>
      </c>
      <c r="F52" s="148" t="s">
        <v>355</v>
      </c>
      <c r="G52" s="148" t="s">
        <v>356</v>
      </c>
      <c r="H52" s="148" t="s">
        <v>247</v>
      </c>
      <c r="I52" s="148" t="s">
        <v>327</v>
      </c>
      <c r="J52" s="245" t="s">
        <v>277</v>
      </c>
      <c r="K52" s="245" t="s">
        <v>856</v>
      </c>
      <c r="L52" s="245" t="s">
        <v>130</v>
      </c>
      <c r="M52" s="245" t="s">
        <v>357</v>
      </c>
      <c r="N52" s="552"/>
      <c r="O52" s="245" t="s">
        <v>277</v>
      </c>
      <c r="P52" s="245" t="s">
        <v>856</v>
      </c>
      <c r="Q52" s="245" t="s">
        <v>358</v>
      </c>
      <c r="R52" s="552"/>
      <c r="S52" s="245" t="s">
        <v>359</v>
      </c>
      <c r="T52" s="546" t="s">
        <v>361</v>
      </c>
      <c r="U52" s="548"/>
      <c r="V52" s="104"/>
      <c r="AB52" s="137" t="e">
        <f t="shared" ca="1" si="31"/>
        <v>#N/A</v>
      </c>
      <c r="AC52" s="137" t="e">
        <f ca="1">IF($AB52=FALSE,"",ROUND(Length_7!K21,$M$53))</f>
        <v>#N/A</v>
      </c>
      <c r="AD52" s="137" t="e">
        <f ca="1">IF($AB52=FALSE,"",ROUND(Length_7!L21,$M$53))</f>
        <v>#N/A</v>
      </c>
      <c r="AE52" s="137" t="e">
        <f t="shared" ca="1" si="32"/>
        <v>#N/A</v>
      </c>
      <c r="AF52" s="137" t="e">
        <f t="shared" ca="1" si="33"/>
        <v>#N/A</v>
      </c>
      <c r="AG52" s="137" t="e">
        <f t="shared" ca="1" si="34"/>
        <v>#N/A</v>
      </c>
      <c r="AH52" s="137" t="e">
        <f t="shared" ca="1" si="35"/>
        <v>#N/A</v>
      </c>
      <c r="AI52" s="137" t="e">
        <f t="shared" ca="1" si="36"/>
        <v>#N/A</v>
      </c>
      <c r="AJ52" s="137" t="e">
        <f t="shared" ca="1" si="37"/>
        <v>#N/A</v>
      </c>
      <c r="AK52" s="137" t="e">
        <f t="shared" ca="1" si="38"/>
        <v>#N/A</v>
      </c>
      <c r="AL52" s="137" t="e">
        <f t="shared" ca="1" si="39"/>
        <v>#N/A</v>
      </c>
    </row>
    <row r="53" spans="2:38" ht="15" customHeight="1">
      <c r="B53" s="148" t="s">
        <v>346</v>
      </c>
      <c r="C53" s="181" t="e">
        <f ca="1">E64*R49</f>
        <v>#N/A</v>
      </c>
      <c r="D53" s="182" t="e">
        <f ca="1">S49*E64</f>
        <v>#N/A</v>
      </c>
      <c r="E53" s="183" t="e">
        <f ca="1">H3</f>
        <v>#N/A</v>
      </c>
      <c r="F53" s="106" t="str">
        <f>T49</f>
        <v>μm</v>
      </c>
      <c r="G53" s="120" t="e">
        <f ca="1">SQRT(SUMSQ(C53,D53*E53))</f>
        <v>#N/A</v>
      </c>
      <c r="H53" s="109" t="e">
        <f ca="1">MAX(G53:G54)</f>
        <v>#N/A</v>
      </c>
      <c r="I53" s="118">
        <f>J3</f>
        <v>0</v>
      </c>
      <c r="J53" s="184" t="e">
        <f ca="1">IF(H53&lt;0.00001,6,IF(H53&lt;0.0001,5,IF(H53&lt;0.001,4,IF(H53&lt;0.01,3,IF(H53&lt;0.1,2,IF(H53&lt;1,1,IF(H53&lt;10,0,IF(H53&lt;100,-1,-2))))))))+K54</f>
        <v>#N/A</v>
      </c>
      <c r="K53" s="184" t="e">
        <f ca="1">J53+3</f>
        <v>#N/A</v>
      </c>
      <c r="L53" s="137">
        <f>LEN(I53)-IFERROR(FIND(".",I53),0)</f>
        <v>1</v>
      </c>
      <c r="M53" s="168" t="e">
        <f ca="1">J53</f>
        <v>#N/A</v>
      </c>
      <c r="N53" s="185" t="e">
        <f ca="1">ABS((H53-ROUND(H53,J53))/H53*100)</f>
        <v>#N/A</v>
      </c>
      <c r="O53" s="137" t="e">
        <f ca="1">OFFSET($P$57,MATCH(J53,$O$58:$O$67,0),0)</f>
        <v>#N/A</v>
      </c>
      <c r="P53" s="137" t="e">
        <f ca="1">OFFSET($P$57,MATCH(K53,$O$58:$O$67,0),0)</f>
        <v>#N/A</v>
      </c>
      <c r="Q53" s="137" t="str">
        <f ca="1">OFFSET($P$57,MATCH(L53,$O$58:$O$67,0),0)</f>
        <v>0.0</v>
      </c>
      <c r="R53" s="107" t="e">
        <f ca="1">IF(H53=G53,0,1)</f>
        <v>#N/A</v>
      </c>
      <c r="S53" s="110" t="e">
        <f ca="1">TEXT(IF(N53&gt;5,ROUNDUP(H53,M53),ROUND(H53,M53)),O53)</f>
        <v>#N/A</v>
      </c>
      <c r="T53" s="110" t="e">
        <f ca="1">TEXT(T54,OFFSET(P57,MATCH(J53,O58:O67,0),0))</f>
        <v>#N/A</v>
      </c>
      <c r="U53" s="110" t="e">
        <f ca="1">TEXT(U54,OFFSET(P57,MATCH(3,O58:O67,0),0))</f>
        <v>#N/A</v>
      </c>
      <c r="AB53" s="137" t="e">
        <f t="shared" ca="1" si="31"/>
        <v>#N/A</v>
      </c>
      <c r="AC53" s="137" t="e">
        <f ca="1">IF($AB53=FALSE,"",ROUND(Length_7!K22,$M$53))</f>
        <v>#N/A</v>
      </c>
      <c r="AD53" s="137" t="e">
        <f ca="1">IF($AB53=FALSE,"",ROUND(Length_7!L22,$M$53))</f>
        <v>#N/A</v>
      </c>
      <c r="AE53" s="137" t="e">
        <f t="shared" ca="1" si="32"/>
        <v>#N/A</v>
      </c>
      <c r="AF53" s="137" t="e">
        <f t="shared" ca="1" si="33"/>
        <v>#N/A</v>
      </c>
      <c r="AG53" s="137" t="e">
        <f t="shared" ca="1" si="34"/>
        <v>#N/A</v>
      </c>
      <c r="AH53" s="137" t="e">
        <f t="shared" ca="1" si="35"/>
        <v>#N/A</v>
      </c>
      <c r="AI53" s="137" t="e">
        <f t="shared" ca="1" si="36"/>
        <v>#N/A</v>
      </c>
      <c r="AJ53" s="137" t="e">
        <f t="shared" ca="1" si="37"/>
        <v>#N/A</v>
      </c>
      <c r="AK53" s="137" t="e">
        <f t="shared" ca="1" si="38"/>
        <v>#N/A</v>
      </c>
      <c r="AL53" s="137" t="e">
        <f t="shared" ca="1" si="39"/>
        <v>#N/A</v>
      </c>
    </row>
    <row r="54" spans="2:38" ht="15" customHeight="1">
      <c r="B54" s="148" t="s">
        <v>57</v>
      </c>
      <c r="C54" s="131" t="str">
        <f ca="1">OFFSET(Length_7!D3,COUNTIF($B9:$B28,TRUE),0)</f>
        <v>CMC_1</v>
      </c>
      <c r="D54" s="131" t="str">
        <f ca="1">OFFSET(Length_7!E3,COUNTIF($B9:$B28,TRUE),0)</f>
        <v>CMC_2</v>
      </c>
      <c r="E54" s="131" t="e">
        <f ca="1">H3</f>
        <v>#N/A</v>
      </c>
      <c r="F54" s="131" t="str">
        <f ca="1">OFFSET(Length_7!F3,COUNTIF($B9:$B28,TRUE),0)</f>
        <v>CMC_UNIT</v>
      </c>
      <c r="G54" s="120" t="e">
        <f ca="1">SQRT(SUMSQ(C54,D54*E54))</f>
        <v>#VALUE!</v>
      </c>
      <c r="I54" s="104"/>
      <c r="J54" s="245" t="s">
        <v>362</v>
      </c>
      <c r="K54" s="159">
        <v>1</v>
      </c>
      <c r="L54" s="245" t="s">
        <v>363</v>
      </c>
      <c r="M54" s="137" t="b">
        <f>IF(O54=TRUE,FALSE,기본정보!$A$52)</f>
        <v>0</v>
      </c>
      <c r="N54" s="245" t="s">
        <v>364</v>
      </c>
      <c r="O54" s="137" t="b">
        <f>기본정보!$A$46=0</f>
        <v>1</v>
      </c>
      <c r="S54" s="102"/>
      <c r="T54" s="110" t="e">
        <f ca="1">ROUND(IF(G53=H53,C53,C54),J53)</f>
        <v>#N/A</v>
      </c>
      <c r="U54" s="110" t="e">
        <f ca="1">ROUNDUP(IF(G53=H53,D53,D54),3)</f>
        <v>#N/A</v>
      </c>
      <c r="AB54" s="137" t="e">
        <f t="shared" ca="1" si="31"/>
        <v>#N/A</v>
      </c>
      <c r="AC54" s="137" t="e">
        <f ca="1">IF($AB54=FALSE,"",ROUND(Length_7!K23,$M$53))</f>
        <v>#N/A</v>
      </c>
      <c r="AD54" s="137" t="e">
        <f ca="1">IF($AB54=FALSE,"",ROUND(Length_7!L23,$M$53))</f>
        <v>#N/A</v>
      </c>
      <c r="AE54" s="137" t="e">
        <f t="shared" ca="1" si="32"/>
        <v>#N/A</v>
      </c>
      <c r="AF54" s="137" t="e">
        <f t="shared" ca="1" si="33"/>
        <v>#N/A</v>
      </c>
      <c r="AG54" s="137" t="e">
        <f t="shared" ca="1" si="34"/>
        <v>#N/A</v>
      </c>
      <c r="AH54" s="137" t="e">
        <f t="shared" ca="1" si="35"/>
        <v>#N/A</v>
      </c>
      <c r="AI54" s="137" t="e">
        <f t="shared" ca="1" si="36"/>
        <v>#N/A</v>
      </c>
      <c r="AJ54" s="137" t="e">
        <f t="shared" ca="1" si="37"/>
        <v>#N/A</v>
      </c>
      <c r="AK54" s="137" t="e">
        <f t="shared" ca="1" si="38"/>
        <v>#N/A</v>
      </c>
      <c r="AL54" s="137" t="e">
        <f t="shared" ca="1" si="39"/>
        <v>#N/A</v>
      </c>
    </row>
    <row r="55" spans="2:38" ht="15" customHeight="1">
      <c r="B55" s="103"/>
      <c r="C55" s="103"/>
      <c r="D55" s="103"/>
      <c r="R55" s="102"/>
      <c r="S55" s="102"/>
    </row>
    <row r="56" spans="2:38" ht="15" customHeight="1">
      <c r="B56" s="108" t="s">
        <v>398</v>
      </c>
      <c r="C56" s="103"/>
      <c r="D56" s="103"/>
      <c r="H56" s="102"/>
      <c r="I56" s="163" t="s">
        <v>50</v>
      </c>
      <c r="J56" s="163" t="s">
        <v>399</v>
      </c>
      <c r="O56" s="243" t="s">
        <v>400</v>
      </c>
      <c r="P56" s="243" t="s">
        <v>401</v>
      </c>
      <c r="R56" s="102"/>
      <c r="S56" s="102"/>
      <c r="T56" s="102"/>
      <c r="U56" s="102"/>
      <c r="AB56" s="108" t="s">
        <v>365</v>
      </c>
    </row>
    <row r="57" spans="2:38" ht="15" customHeight="1">
      <c r="B57" s="549" t="s">
        <v>402</v>
      </c>
      <c r="C57" s="550"/>
      <c r="D57" s="551" t="s">
        <v>403</v>
      </c>
      <c r="E57" s="245" t="s">
        <v>270</v>
      </c>
      <c r="F57" s="245" t="s">
        <v>404</v>
      </c>
      <c r="G57" s="245" t="s">
        <v>405</v>
      </c>
      <c r="H57" s="102"/>
      <c r="I57" s="163"/>
      <c r="J57" s="163">
        <v>95.45</v>
      </c>
      <c r="O57" s="242" t="s">
        <v>406</v>
      </c>
      <c r="P57" s="242" t="s">
        <v>407</v>
      </c>
      <c r="Q57" s="102"/>
      <c r="R57" s="102"/>
      <c r="S57" s="102"/>
      <c r="T57" s="102"/>
      <c r="U57" s="102"/>
      <c r="AB57" s="561" t="s">
        <v>186</v>
      </c>
      <c r="AC57" s="562" t="s">
        <v>370</v>
      </c>
      <c r="AD57" s="563"/>
      <c r="AE57" s="546" t="s">
        <v>371</v>
      </c>
      <c r="AF57" s="547"/>
      <c r="AG57" s="547"/>
      <c r="AH57" s="547"/>
      <c r="AI57" s="547"/>
      <c r="AJ57" s="547"/>
      <c r="AK57" s="547"/>
      <c r="AL57" s="548"/>
    </row>
    <row r="58" spans="2:38" ht="15" customHeight="1">
      <c r="B58" s="148" t="s">
        <v>217</v>
      </c>
      <c r="C58" s="162" t="s">
        <v>408</v>
      </c>
      <c r="D58" s="552"/>
      <c r="E58" s="244" t="e">
        <f ca="1">X49</f>
        <v>#N/A</v>
      </c>
      <c r="F58" s="244" t="e">
        <f ca="1">Y49</f>
        <v>#N/A</v>
      </c>
      <c r="G58" s="135" t="e">
        <f ca="1">F58/E58</f>
        <v>#N/A</v>
      </c>
      <c r="H58" s="102"/>
      <c r="I58" s="137">
        <v>1</v>
      </c>
      <c r="J58" s="137">
        <v>13.97</v>
      </c>
      <c r="O58" s="173">
        <v>0</v>
      </c>
      <c r="P58" s="174" t="s">
        <v>409</v>
      </c>
      <c r="Q58" s="102"/>
      <c r="R58" s="102"/>
      <c r="S58" s="102"/>
      <c r="T58" s="102"/>
      <c r="U58" s="102"/>
      <c r="AB58" s="561"/>
      <c r="AC58" s="154" t="s">
        <v>376</v>
      </c>
      <c r="AD58" s="154" t="s">
        <v>377</v>
      </c>
      <c r="AE58" s="245" t="s">
        <v>90</v>
      </c>
      <c r="AF58" s="245" t="s">
        <v>273</v>
      </c>
      <c r="AG58" s="546" t="s">
        <v>215</v>
      </c>
      <c r="AH58" s="548"/>
      <c r="AI58" s="245" t="s">
        <v>378</v>
      </c>
      <c r="AJ58" s="142" t="s">
        <v>67</v>
      </c>
      <c r="AK58" s="142" t="s">
        <v>379</v>
      </c>
      <c r="AL58" s="142" t="s">
        <v>380</v>
      </c>
    </row>
    <row r="59" spans="2:38" ht="15" customHeight="1">
      <c r="B59" s="137">
        <v>1</v>
      </c>
      <c r="C59" s="134">
        <f ca="1">IFERROR(LARGE(X34:X48,B59),0)</f>
        <v>0</v>
      </c>
      <c r="D59" s="245" t="s">
        <v>410</v>
      </c>
      <c r="E59" s="553">
        <f ca="1">SQRT(SUMSQ(C61:C70,Z34:Z48))</f>
        <v>0</v>
      </c>
      <c r="F59" s="553"/>
      <c r="G59" s="554" t="e">
        <f ca="1">E59/SQRT(SUMSQ(E60,F60))</f>
        <v>#DIV/0!</v>
      </c>
      <c r="H59" s="102"/>
      <c r="I59" s="137">
        <v>2</v>
      </c>
      <c r="J59" s="137">
        <v>4.53</v>
      </c>
      <c r="O59" s="173">
        <v>1</v>
      </c>
      <c r="P59" s="174" t="s">
        <v>411</v>
      </c>
      <c r="Q59" s="102"/>
      <c r="R59" s="102"/>
      <c r="S59" s="102"/>
      <c r="T59" s="102"/>
      <c r="U59" s="102"/>
      <c r="AB59" s="561"/>
      <c r="AC59" s="153" t="s">
        <v>247</v>
      </c>
      <c r="AD59" s="153" t="s">
        <v>247</v>
      </c>
      <c r="AE59" s="245" t="s">
        <v>248</v>
      </c>
      <c r="AF59" s="245" t="s">
        <v>248</v>
      </c>
      <c r="AG59" s="245" t="s">
        <v>248</v>
      </c>
      <c r="AH59" s="153" t="s">
        <v>247</v>
      </c>
      <c r="AI59" s="153" t="s">
        <v>247</v>
      </c>
      <c r="AJ59" s="245" t="s">
        <v>248</v>
      </c>
      <c r="AK59" s="283">
        <f ca="1">IF(TYPE(MATCH("FAIL",AK60:AK79,0))=16,0,1)</f>
        <v>0</v>
      </c>
      <c r="AL59" s="142" t="s">
        <v>248</v>
      </c>
    </row>
    <row r="60" spans="2:38" ht="15" customHeight="1">
      <c r="B60" s="137">
        <v>2</v>
      </c>
      <c r="C60" s="134">
        <f ca="1">IFERROR(LARGE(X34:X48,B60),0)</f>
        <v>0</v>
      </c>
      <c r="D60" s="245" t="s">
        <v>412</v>
      </c>
      <c r="E60" s="244">
        <f ca="1">C59</f>
        <v>0</v>
      </c>
      <c r="F60" s="244">
        <f ca="1">C60</f>
        <v>0</v>
      </c>
      <c r="G60" s="555"/>
      <c r="H60" s="102"/>
      <c r="I60" s="137">
        <v>3</v>
      </c>
      <c r="J60" s="137">
        <v>3.31</v>
      </c>
      <c r="O60" s="173">
        <v>2</v>
      </c>
      <c r="P60" s="174" t="s">
        <v>413</v>
      </c>
      <c r="Q60" s="102"/>
      <c r="R60" s="102"/>
      <c r="S60" s="102"/>
      <c r="T60" s="102"/>
      <c r="U60" s="102"/>
      <c r="AB60" s="137" t="e">
        <f t="shared" ref="AB60:AB68" ca="1" si="42">AE9</f>
        <v>#N/A</v>
      </c>
      <c r="AC60" s="137" t="e">
        <f t="shared" ref="AC60:AD79" ca="1" si="43">IF($AB60=FALSE,"",AC35)</f>
        <v>#N/A</v>
      </c>
      <c r="AD60" s="137" t="e">
        <f t="shared" ca="1" si="43"/>
        <v>#N/A</v>
      </c>
      <c r="AE60" s="137" t="e">
        <f ca="1">IF($AB60=FALSE,"",TEXT(AF9,IF(AF9&gt;=1000,"# ##0","0")))</f>
        <v>#N/A</v>
      </c>
      <c r="AF60" s="137" t="e">
        <f t="shared" ref="AF60:AF79" ca="1" si="44">IF($AB60=FALSE,"",TEXT(AK9,IF(AK9&gt;=1000,"# ##","")&amp;$P$53))</f>
        <v>#N/A</v>
      </c>
      <c r="AG60" s="137" t="e">
        <f t="shared" ref="AG60:AG79" ca="1" si="45">IF($AB60=FALSE,"",TEXT(AL9/1000,$P$53))</f>
        <v>#N/A</v>
      </c>
      <c r="AH60" s="137" t="e">
        <f t="shared" ref="AH60:AH79" ca="1" si="46">IF($AB60=FALSE,"",TEXT(AL9,IF(AL9&gt;=1000,"# ##","")&amp;$O$53))</f>
        <v>#N/A</v>
      </c>
      <c r="AI60" s="137" t="e">
        <f t="shared" ref="AI60:AI79" ca="1" si="47">IF($AB60=FALSE,"",TEXT(N9,IF(N9&gt;=1000,"# ##","")&amp;$O$53))</f>
        <v>#N/A</v>
      </c>
      <c r="AJ60" s="137" t="e">
        <f t="shared" ref="AJ60:AJ79" ca="1" si="48">IF($AB60=FALSE,"",TEXT(AD60,"± "&amp;O$53))</f>
        <v>#N/A</v>
      </c>
      <c r="AK60" s="137" t="e">
        <f t="shared" ref="AK60:AK79" ca="1" si="49">IF($AB60=FALSE,"",IF(AND(AC60&lt;=AL9,AL9&lt;=AD60),"PASS","FAIL"))</f>
        <v>#N/A</v>
      </c>
      <c r="AL60" s="137" t="e">
        <f ca="1">S$81</f>
        <v>#N/A</v>
      </c>
    </row>
    <row r="61" spans="2:38" ht="15" customHeight="1">
      <c r="B61" s="137">
        <v>3</v>
      </c>
      <c r="C61" s="166">
        <f t="shared" ref="C61:C70" ca="1" si="50">IFERROR(LARGE(X$34:X$48,B61),0)</f>
        <v>0</v>
      </c>
      <c r="D61" s="551" t="s">
        <v>414</v>
      </c>
      <c r="E61" s="136" t="s">
        <v>415</v>
      </c>
      <c r="F61" s="136" t="s">
        <v>416</v>
      </c>
      <c r="G61" s="136" t="s">
        <v>417</v>
      </c>
      <c r="H61" s="102"/>
      <c r="I61" s="137">
        <v>4</v>
      </c>
      <c r="J61" s="137">
        <v>2.87</v>
      </c>
      <c r="O61" s="173">
        <v>3</v>
      </c>
      <c r="P61" s="174" t="s">
        <v>418</v>
      </c>
      <c r="Q61" s="102"/>
      <c r="R61" s="102"/>
      <c r="S61" s="102"/>
      <c r="T61" s="102"/>
      <c r="U61" s="102"/>
      <c r="AB61" s="137" t="e">
        <f t="shared" ca="1" si="42"/>
        <v>#N/A</v>
      </c>
      <c r="AC61" s="137" t="e">
        <f t="shared" ca="1" si="43"/>
        <v>#N/A</v>
      </c>
      <c r="AD61" s="137" t="e">
        <f t="shared" ca="1" si="43"/>
        <v>#N/A</v>
      </c>
      <c r="AE61" s="137" t="e">
        <f t="shared" ref="AE61:AE79" ca="1" si="51">IF($AB61=FALSE,"",TEXT(AF10,IF(AF10&gt;=1000,"# ##0","0")))</f>
        <v>#N/A</v>
      </c>
      <c r="AF61" s="137" t="e">
        <f t="shared" ca="1" si="44"/>
        <v>#N/A</v>
      </c>
      <c r="AG61" s="137" t="e">
        <f t="shared" ca="1" si="45"/>
        <v>#N/A</v>
      </c>
      <c r="AH61" s="137" t="e">
        <f t="shared" ca="1" si="46"/>
        <v>#N/A</v>
      </c>
      <c r="AI61" s="137" t="e">
        <f t="shared" ca="1" si="47"/>
        <v>#N/A</v>
      </c>
      <c r="AJ61" s="137" t="e">
        <f t="shared" ca="1" si="48"/>
        <v>#N/A</v>
      </c>
      <c r="AK61" s="137" t="e">
        <f t="shared" ca="1" si="49"/>
        <v>#N/A</v>
      </c>
      <c r="AL61" s="137" t="e">
        <f t="shared" ref="AL61:AL79" ca="1" si="52">S$81</f>
        <v>#N/A</v>
      </c>
    </row>
    <row r="62" spans="2:38" ht="15" customHeight="1">
      <c r="B62" s="137">
        <v>4</v>
      </c>
      <c r="C62" s="166">
        <f t="shared" ca="1" si="50"/>
        <v>0</v>
      </c>
      <c r="D62" s="552"/>
      <c r="E62" s="137" t="e">
        <f ca="1">OFFSET(G33,MATCH(E60,X34:X48,0),0)/IF(OFFSET(H33,MATCH(E60,X34:X48,0),0)="",1,OFFSET(H33,MATCH(E60,X34:X48,0),0))</f>
        <v>#N/A</v>
      </c>
      <c r="F62" s="137" t="e">
        <f ca="1">OFFSET(G33,MATCH(F60,X34:X48,0),0)/IF(OFFSET(H33,MATCH(F60,X34:X48,0),0)="",1,OFFSET(H33,MATCH(F60,X34:X48,0),0))</f>
        <v>#N/A</v>
      </c>
      <c r="G62" s="244" t="e">
        <f ca="1">ABS(E62-F62)/(E62+F62)</f>
        <v>#N/A</v>
      </c>
      <c r="H62" s="102"/>
      <c r="I62" s="137">
        <v>5</v>
      </c>
      <c r="J62" s="137">
        <v>2.65</v>
      </c>
      <c r="O62" s="173">
        <v>4</v>
      </c>
      <c r="P62" s="174" t="s">
        <v>419</v>
      </c>
      <c r="Q62" s="102"/>
      <c r="R62" s="102"/>
      <c r="S62" s="102"/>
      <c r="T62" s="102"/>
      <c r="U62" s="102"/>
      <c r="AB62" s="137" t="e">
        <f t="shared" ca="1" si="42"/>
        <v>#N/A</v>
      </c>
      <c r="AC62" s="137" t="e">
        <f t="shared" ca="1" si="43"/>
        <v>#N/A</v>
      </c>
      <c r="AD62" s="137" t="e">
        <f t="shared" ca="1" si="43"/>
        <v>#N/A</v>
      </c>
      <c r="AE62" s="137" t="e">
        <f t="shared" ca="1" si="51"/>
        <v>#N/A</v>
      </c>
      <c r="AF62" s="137" t="e">
        <f t="shared" ca="1" si="44"/>
        <v>#N/A</v>
      </c>
      <c r="AG62" s="137" t="e">
        <f t="shared" ca="1" si="45"/>
        <v>#N/A</v>
      </c>
      <c r="AH62" s="137" t="e">
        <f t="shared" ca="1" si="46"/>
        <v>#N/A</v>
      </c>
      <c r="AI62" s="137" t="e">
        <f t="shared" ca="1" si="47"/>
        <v>#N/A</v>
      </c>
      <c r="AJ62" s="137" t="e">
        <f t="shared" ca="1" si="48"/>
        <v>#N/A</v>
      </c>
      <c r="AK62" s="137" t="e">
        <f t="shared" ca="1" si="49"/>
        <v>#N/A</v>
      </c>
      <c r="AL62" s="137" t="e">
        <f t="shared" ca="1" si="52"/>
        <v>#N/A</v>
      </c>
    </row>
    <row r="63" spans="2:38" ht="15" customHeight="1">
      <c r="B63" s="137">
        <v>5</v>
      </c>
      <c r="C63" s="166">
        <f t="shared" ca="1" si="50"/>
        <v>0</v>
      </c>
      <c r="D63" s="245" t="s">
        <v>265</v>
      </c>
      <c r="E63" s="117" t="e">
        <f ca="1">IF(AND(G58&lt;0.3,G59&lt;0.3),"사다리꼴","정규")</f>
        <v>#N/A</v>
      </c>
      <c r="H63" s="102"/>
      <c r="I63" s="137">
        <v>6</v>
      </c>
      <c r="J63" s="137">
        <v>2.52</v>
      </c>
      <c r="O63" s="173">
        <v>5</v>
      </c>
      <c r="P63" s="174" t="s">
        <v>420</v>
      </c>
      <c r="Q63" s="102"/>
      <c r="R63" s="102"/>
      <c r="S63" s="102"/>
      <c r="T63" s="102"/>
      <c r="U63" s="102"/>
      <c r="AB63" s="137" t="e">
        <f t="shared" ca="1" si="42"/>
        <v>#N/A</v>
      </c>
      <c r="AC63" s="137" t="e">
        <f t="shared" ca="1" si="43"/>
        <v>#N/A</v>
      </c>
      <c r="AD63" s="137" t="e">
        <f t="shared" ca="1" si="43"/>
        <v>#N/A</v>
      </c>
      <c r="AE63" s="137" t="e">
        <f t="shared" ca="1" si="51"/>
        <v>#N/A</v>
      </c>
      <c r="AF63" s="137" t="e">
        <f t="shared" ca="1" si="44"/>
        <v>#N/A</v>
      </c>
      <c r="AG63" s="137" t="e">
        <f t="shared" ca="1" si="45"/>
        <v>#N/A</v>
      </c>
      <c r="AH63" s="137" t="e">
        <f t="shared" ca="1" si="46"/>
        <v>#N/A</v>
      </c>
      <c r="AI63" s="137" t="e">
        <f t="shared" ca="1" si="47"/>
        <v>#N/A</v>
      </c>
      <c r="AJ63" s="137" t="e">
        <f t="shared" ca="1" si="48"/>
        <v>#N/A</v>
      </c>
      <c r="AK63" s="137" t="e">
        <f t="shared" ca="1" si="49"/>
        <v>#N/A</v>
      </c>
      <c r="AL63" s="137" t="e">
        <f t="shared" ca="1" si="52"/>
        <v>#N/A</v>
      </c>
    </row>
    <row r="64" spans="2:38" ht="15" customHeight="1">
      <c r="B64" s="137">
        <v>6</v>
      </c>
      <c r="C64" s="166">
        <f t="shared" ca="1" si="50"/>
        <v>0</v>
      </c>
      <c r="D64" s="245" t="s">
        <v>190</v>
      </c>
      <c r="E64" s="137" t="e">
        <f ca="1">IF(E63="정규",IF(OR(U49="∞",U49&gt;=10),2,OFFSET(J57,MATCH(U49,I58:I67,0),0)),ROUND((1-SQRT((1-0.95)*(1-G62^2)))/SQRT((1+G62^2)/6),2))</f>
        <v>#N/A</v>
      </c>
      <c r="H64" s="102"/>
      <c r="I64" s="137">
        <v>7</v>
      </c>
      <c r="J64" s="137">
        <v>2.4300000000000002</v>
      </c>
      <c r="O64" s="173">
        <v>6</v>
      </c>
      <c r="P64" s="174" t="s">
        <v>421</v>
      </c>
      <c r="Q64" s="102"/>
      <c r="R64" s="102"/>
      <c r="S64" s="102"/>
      <c r="T64" s="102"/>
      <c r="U64" s="102"/>
      <c r="AB64" s="137" t="e">
        <f t="shared" ca="1" si="42"/>
        <v>#N/A</v>
      </c>
      <c r="AC64" s="137" t="e">
        <f t="shared" ca="1" si="43"/>
        <v>#N/A</v>
      </c>
      <c r="AD64" s="137" t="e">
        <f t="shared" ca="1" si="43"/>
        <v>#N/A</v>
      </c>
      <c r="AE64" s="137" t="e">
        <f t="shared" ca="1" si="51"/>
        <v>#N/A</v>
      </c>
      <c r="AF64" s="137" t="e">
        <f t="shared" ca="1" si="44"/>
        <v>#N/A</v>
      </c>
      <c r="AG64" s="137" t="e">
        <f t="shared" ca="1" si="45"/>
        <v>#N/A</v>
      </c>
      <c r="AH64" s="137" t="e">
        <f t="shared" ca="1" si="46"/>
        <v>#N/A</v>
      </c>
      <c r="AI64" s="137" t="e">
        <f t="shared" ca="1" si="47"/>
        <v>#N/A</v>
      </c>
      <c r="AJ64" s="137" t="e">
        <f t="shared" ca="1" si="48"/>
        <v>#N/A</v>
      </c>
      <c r="AK64" s="137" t="e">
        <f t="shared" ca="1" si="49"/>
        <v>#N/A</v>
      </c>
      <c r="AL64" s="137" t="e">
        <f t="shared" ca="1" si="52"/>
        <v>#N/A</v>
      </c>
    </row>
    <row r="65" spans="1:38" ht="15" customHeight="1">
      <c r="B65" s="137">
        <v>7</v>
      </c>
      <c r="C65" s="166">
        <f t="shared" ca="1" si="50"/>
        <v>0</v>
      </c>
      <c r="D65" s="103"/>
      <c r="H65" s="102"/>
      <c r="I65" s="137">
        <v>8</v>
      </c>
      <c r="J65" s="137">
        <v>2.37</v>
      </c>
      <c r="O65" s="173">
        <v>7</v>
      </c>
      <c r="P65" s="174" t="s">
        <v>422</v>
      </c>
      <c r="Q65" s="102"/>
      <c r="R65" s="102"/>
      <c r="S65" s="102"/>
      <c r="T65" s="102"/>
      <c r="U65" s="102"/>
      <c r="AB65" s="137" t="e">
        <f t="shared" ca="1" si="42"/>
        <v>#N/A</v>
      </c>
      <c r="AC65" s="137" t="e">
        <f t="shared" ca="1" si="43"/>
        <v>#N/A</v>
      </c>
      <c r="AD65" s="137" t="e">
        <f t="shared" ca="1" si="43"/>
        <v>#N/A</v>
      </c>
      <c r="AE65" s="137" t="e">
        <f t="shared" ca="1" si="51"/>
        <v>#N/A</v>
      </c>
      <c r="AF65" s="137" t="e">
        <f t="shared" ca="1" si="44"/>
        <v>#N/A</v>
      </c>
      <c r="AG65" s="137" t="e">
        <f t="shared" ca="1" si="45"/>
        <v>#N/A</v>
      </c>
      <c r="AH65" s="137" t="e">
        <f t="shared" ca="1" si="46"/>
        <v>#N/A</v>
      </c>
      <c r="AI65" s="137" t="e">
        <f t="shared" ca="1" si="47"/>
        <v>#N/A</v>
      </c>
      <c r="AJ65" s="137" t="e">
        <f t="shared" ca="1" si="48"/>
        <v>#N/A</v>
      </c>
      <c r="AK65" s="137" t="e">
        <f t="shared" ca="1" si="49"/>
        <v>#N/A</v>
      </c>
      <c r="AL65" s="137" t="e">
        <f t="shared" ca="1" si="52"/>
        <v>#N/A</v>
      </c>
    </row>
    <row r="66" spans="1:38" ht="15" customHeight="1">
      <c r="B66" s="137">
        <v>8</v>
      </c>
      <c r="C66" s="166">
        <f t="shared" ca="1" si="50"/>
        <v>0</v>
      </c>
      <c r="D66" s="103"/>
      <c r="H66" s="102"/>
      <c r="I66" s="137">
        <v>9</v>
      </c>
      <c r="J66" s="137">
        <v>2.3199999999999998</v>
      </c>
      <c r="O66" s="173">
        <v>8</v>
      </c>
      <c r="P66" s="174" t="s">
        <v>423</v>
      </c>
      <c r="Q66" s="102"/>
      <c r="R66" s="102"/>
      <c r="S66" s="102"/>
      <c r="T66" s="102"/>
      <c r="U66" s="102"/>
      <c r="AB66" s="137" t="e">
        <f t="shared" ca="1" si="42"/>
        <v>#N/A</v>
      </c>
      <c r="AC66" s="137" t="e">
        <f t="shared" ca="1" si="43"/>
        <v>#N/A</v>
      </c>
      <c r="AD66" s="137" t="e">
        <f t="shared" ca="1" si="43"/>
        <v>#N/A</v>
      </c>
      <c r="AE66" s="137" t="e">
        <f t="shared" ca="1" si="51"/>
        <v>#N/A</v>
      </c>
      <c r="AF66" s="137" t="e">
        <f t="shared" ca="1" si="44"/>
        <v>#N/A</v>
      </c>
      <c r="AG66" s="137" t="e">
        <f t="shared" ca="1" si="45"/>
        <v>#N/A</v>
      </c>
      <c r="AH66" s="137" t="e">
        <f t="shared" ca="1" si="46"/>
        <v>#N/A</v>
      </c>
      <c r="AI66" s="137" t="e">
        <f t="shared" ca="1" si="47"/>
        <v>#N/A</v>
      </c>
      <c r="AJ66" s="137" t="e">
        <f t="shared" ca="1" si="48"/>
        <v>#N/A</v>
      </c>
      <c r="AK66" s="137" t="e">
        <f t="shared" ca="1" si="49"/>
        <v>#N/A</v>
      </c>
      <c r="AL66" s="137" t="e">
        <f t="shared" ca="1" si="52"/>
        <v>#N/A</v>
      </c>
    </row>
    <row r="67" spans="1:38" ht="15" customHeight="1">
      <c r="B67" s="137">
        <v>9</v>
      </c>
      <c r="C67" s="166">
        <f t="shared" ca="1" si="50"/>
        <v>0</v>
      </c>
      <c r="D67" s="103"/>
      <c r="H67" s="102"/>
      <c r="I67" s="137" t="s">
        <v>51</v>
      </c>
      <c r="J67" s="137">
        <v>2</v>
      </c>
      <c r="O67" s="173">
        <v>9</v>
      </c>
      <c r="P67" s="174" t="s">
        <v>424</v>
      </c>
      <c r="Q67" s="102"/>
      <c r="R67" s="102"/>
      <c r="S67" s="102"/>
      <c r="T67" s="102"/>
      <c r="U67" s="102"/>
      <c r="AB67" s="137" t="e">
        <f t="shared" ca="1" si="42"/>
        <v>#N/A</v>
      </c>
      <c r="AC67" s="137" t="e">
        <f t="shared" ca="1" si="43"/>
        <v>#N/A</v>
      </c>
      <c r="AD67" s="137" t="e">
        <f t="shared" ca="1" si="43"/>
        <v>#N/A</v>
      </c>
      <c r="AE67" s="137" t="e">
        <f t="shared" ca="1" si="51"/>
        <v>#N/A</v>
      </c>
      <c r="AF67" s="137" t="e">
        <f t="shared" ca="1" si="44"/>
        <v>#N/A</v>
      </c>
      <c r="AG67" s="137" t="e">
        <f t="shared" ca="1" si="45"/>
        <v>#N/A</v>
      </c>
      <c r="AH67" s="137" t="e">
        <f t="shared" ca="1" si="46"/>
        <v>#N/A</v>
      </c>
      <c r="AI67" s="137" t="e">
        <f t="shared" ca="1" si="47"/>
        <v>#N/A</v>
      </c>
      <c r="AJ67" s="137" t="e">
        <f t="shared" ca="1" si="48"/>
        <v>#N/A</v>
      </c>
      <c r="AK67" s="137" t="e">
        <f t="shared" ca="1" si="49"/>
        <v>#N/A</v>
      </c>
      <c r="AL67" s="137" t="e">
        <f t="shared" ca="1" si="52"/>
        <v>#N/A</v>
      </c>
    </row>
    <row r="68" spans="1:38" ht="15" customHeight="1">
      <c r="B68" s="137">
        <v>10</v>
      </c>
      <c r="C68" s="166">
        <f t="shared" ca="1" si="50"/>
        <v>0</v>
      </c>
      <c r="D68" s="103"/>
      <c r="H68" s="102"/>
      <c r="I68" s="100"/>
      <c r="J68" s="100"/>
      <c r="O68" s="101"/>
      <c r="P68" s="178"/>
      <c r="Q68" s="102"/>
      <c r="R68" s="102"/>
      <c r="S68" s="102"/>
      <c r="T68" s="102"/>
      <c r="U68" s="102"/>
      <c r="AB68" s="137" t="e">
        <f t="shared" ca="1" si="42"/>
        <v>#N/A</v>
      </c>
      <c r="AC68" s="137" t="e">
        <f t="shared" ca="1" si="43"/>
        <v>#N/A</v>
      </c>
      <c r="AD68" s="137" t="e">
        <f t="shared" ca="1" si="43"/>
        <v>#N/A</v>
      </c>
      <c r="AE68" s="137" t="e">
        <f t="shared" ca="1" si="51"/>
        <v>#N/A</v>
      </c>
      <c r="AF68" s="137" t="e">
        <f t="shared" ca="1" si="44"/>
        <v>#N/A</v>
      </c>
      <c r="AG68" s="137" t="e">
        <f t="shared" ca="1" si="45"/>
        <v>#N/A</v>
      </c>
      <c r="AH68" s="137" t="e">
        <f t="shared" ca="1" si="46"/>
        <v>#N/A</v>
      </c>
      <c r="AI68" s="137" t="e">
        <f t="shared" ca="1" si="47"/>
        <v>#N/A</v>
      </c>
      <c r="AJ68" s="137" t="e">
        <f t="shared" ca="1" si="48"/>
        <v>#N/A</v>
      </c>
      <c r="AK68" s="137" t="e">
        <f t="shared" ca="1" si="49"/>
        <v>#N/A</v>
      </c>
      <c r="AL68" s="137" t="e">
        <f t="shared" ca="1" si="52"/>
        <v>#N/A</v>
      </c>
    </row>
    <row r="69" spans="1:38" ht="15" customHeight="1">
      <c r="B69" s="137">
        <v>11</v>
      </c>
      <c r="C69" s="166">
        <f t="shared" ca="1" si="50"/>
        <v>0</v>
      </c>
      <c r="D69" s="103"/>
      <c r="H69" s="102"/>
      <c r="I69" s="100"/>
      <c r="J69" s="100"/>
      <c r="O69" s="101"/>
      <c r="P69" s="178"/>
      <c r="Q69" s="102"/>
      <c r="R69" s="102"/>
      <c r="S69" s="102"/>
      <c r="T69" s="102"/>
      <c r="U69" s="102"/>
      <c r="AB69" s="137" t="e">
        <f t="shared" ref="AB69:AB79" ca="1" si="53">AE18</f>
        <v>#N/A</v>
      </c>
      <c r="AC69" s="137" t="e">
        <f t="shared" ca="1" si="43"/>
        <v>#N/A</v>
      </c>
      <c r="AD69" s="137" t="e">
        <f t="shared" ca="1" si="43"/>
        <v>#N/A</v>
      </c>
      <c r="AE69" s="137" t="e">
        <f t="shared" ca="1" si="51"/>
        <v>#N/A</v>
      </c>
      <c r="AF69" s="137" t="e">
        <f t="shared" ca="1" si="44"/>
        <v>#N/A</v>
      </c>
      <c r="AG69" s="137" t="e">
        <f t="shared" ca="1" si="45"/>
        <v>#N/A</v>
      </c>
      <c r="AH69" s="137" t="e">
        <f t="shared" ca="1" si="46"/>
        <v>#N/A</v>
      </c>
      <c r="AI69" s="137" t="e">
        <f t="shared" ca="1" si="47"/>
        <v>#N/A</v>
      </c>
      <c r="AJ69" s="137" t="e">
        <f t="shared" ca="1" si="48"/>
        <v>#N/A</v>
      </c>
      <c r="AK69" s="137" t="e">
        <f t="shared" ca="1" si="49"/>
        <v>#N/A</v>
      </c>
      <c r="AL69" s="137" t="e">
        <f t="shared" ca="1" si="52"/>
        <v>#N/A</v>
      </c>
    </row>
    <row r="70" spans="1:38" ht="15" customHeight="1">
      <c r="B70" s="137">
        <v>12</v>
      </c>
      <c r="C70" s="166">
        <f t="shared" ca="1" si="50"/>
        <v>0</v>
      </c>
      <c r="D70" s="103"/>
      <c r="H70" s="102"/>
      <c r="I70" s="100"/>
      <c r="J70" s="100"/>
      <c r="O70" s="101"/>
      <c r="P70" s="178"/>
      <c r="Q70" s="102"/>
      <c r="R70" s="102"/>
      <c r="S70" s="102"/>
      <c r="T70" s="102"/>
      <c r="U70" s="102"/>
      <c r="AB70" s="137" t="e">
        <f t="shared" ca="1" si="53"/>
        <v>#N/A</v>
      </c>
      <c r="AC70" s="137" t="e">
        <f t="shared" ca="1" si="43"/>
        <v>#N/A</v>
      </c>
      <c r="AD70" s="137" t="e">
        <f t="shared" ca="1" si="43"/>
        <v>#N/A</v>
      </c>
      <c r="AE70" s="137" t="e">
        <f t="shared" ca="1" si="51"/>
        <v>#N/A</v>
      </c>
      <c r="AF70" s="137" t="e">
        <f t="shared" ca="1" si="44"/>
        <v>#N/A</v>
      </c>
      <c r="AG70" s="137" t="e">
        <f t="shared" ca="1" si="45"/>
        <v>#N/A</v>
      </c>
      <c r="AH70" s="137" t="e">
        <f t="shared" ca="1" si="46"/>
        <v>#N/A</v>
      </c>
      <c r="AI70" s="137" t="e">
        <f t="shared" ca="1" si="47"/>
        <v>#N/A</v>
      </c>
      <c r="AJ70" s="137" t="e">
        <f t="shared" ca="1" si="48"/>
        <v>#N/A</v>
      </c>
      <c r="AK70" s="137" t="e">
        <f t="shared" ca="1" si="49"/>
        <v>#N/A</v>
      </c>
      <c r="AL70" s="137" t="e">
        <f t="shared" ca="1" si="52"/>
        <v>#N/A</v>
      </c>
    </row>
    <row r="71" spans="1:38" ht="15" customHeight="1">
      <c r="B71" s="103"/>
      <c r="C71" s="103"/>
      <c r="D71" s="103"/>
      <c r="Q71" s="102"/>
      <c r="R71" s="102"/>
      <c r="S71" s="102"/>
      <c r="T71" s="102"/>
      <c r="U71" s="102"/>
      <c r="AB71" s="137" t="e">
        <f t="shared" ca="1" si="53"/>
        <v>#N/A</v>
      </c>
      <c r="AC71" s="137" t="e">
        <f t="shared" ca="1" si="43"/>
        <v>#N/A</v>
      </c>
      <c r="AD71" s="137" t="e">
        <f t="shared" ca="1" si="43"/>
        <v>#N/A</v>
      </c>
      <c r="AE71" s="137" t="e">
        <f t="shared" ca="1" si="51"/>
        <v>#N/A</v>
      </c>
      <c r="AF71" s="137" t="e">
        <f t="shared" ca="1" si="44"/>
        <v>#N/A</v>
      </c>
      <c r="AG71" s="137" t="e">
        <f t="shared" ca="1" si="45"/>
        <v>#N/A</v>
      </c>
      <c r="AH71" s="137" t="e">
        <f t="shared" ca="1" si="46"/>
        <v>#N/A</v>
      </c>
      <c r="AI71" s="137" t="e">
        <f t="shared" ca="1" si="47"/>
        <v>#N/A</v>
      </c>
      <c r="AJ71" s="137" t="e">
        <f t="shared" ca="1" si="48"/>
        <v>#N/A</v>
      </c>
      <c r="AK71" s="137" t="e">
        <f t="shared" ca="1" si="49"/>
        <v>#N/A</v>
      </c>
      <c r="AL71" s="137" t="e">
        <f t="shared" ca="1" si="52"/>
        <v>#N/A</v>
      </c>
    </row>
    <row r="72" spans="1:38" ht="15" customHeight="1">
      <c r="A72" s="99"/>
      <c r="B72" s="108" t="s">
        <v>365</v>
      </c>
      <c r="C72" s="100"/>
      <c r="D72" s="100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W72" s="105"/>
      <c r="AB72" s="137" t="e">
        <f t="shared" ca="1" si="53"/>
        <v>#N/A</v>
      </c>
      <c r="AC72" s="137" t="e">
        <f t="shared" ca="1" si="43"/>
        <v>#N/A</v>
      </c>
      <c r="AD72" s="137" t="e">
        <f t="shared" ca="1" si="43"/>
        <v>#N/A</v>
      </c>
      <c r="AE72" s="137" t="e">
        <f t="shared" ca="1" si="51"/>
        <v>#N/A</v>
      </c>
      <c r="AF72" s="137" t="e">
        <f t="shared" ca="1" si="44"/>
        <v>#N/A</v>
      </c>
      <c r="AG72" s="137" t="e">
        <f t="shared" ca="1" si="45"/>
        <v>#N/A</v>
      </c>
      <c r="AH72" s="137" t="e">
        <f t="shared" ca="1" si="46"/>
        <v>#N/A</v>
      </c>
      <c r="AI72" s="137" t="e">
        <f t="shared" ca="1" si="47"/>
        <v>#N/A</v>
      </c>
      <c r="AJ72" s="137" t="e">
        <f t="shared" ca="1" si="48"/>
        <v>#N/A</v>
      </c>
      <c r="AK72" s="137" t="e">
        <f t="shared" ca="1" si="49"/>
        <v>#N/A</v>
      </c>
      <c r="AL72" s="137" t="e">
        <f t="shared" ca="1" si="52"/>
        <v>#N/A</v>
      </c>
    </row>
    <row r="73" spans="1:38" ht="15" customHeight="1">
      <c r="A73" s="99"/>
      <c r="B73" s="551"/>
      <c r="C73" s="551" t="s">
        <v>366</v>
      </c>
      <c r="D73" s="559" t="s">
        <v>367</v>
      </c>
      <c r="E73" s="551" t="s">
        <v>257</v>
      </c>
      <c r="F73" s="551" t="s">
        <v>355</v>
      </c>
      <c r="G73" s="546">
        <v>1</v>
      </c>
      <c r="H73" s="547"/>
      <c r="I73" s="547"/>
      <c r="J73" s="547"/>
      <c r="K73" s="547"/>
      <c r="L73" s="548"/>
      <c r="M73" s="245">
        <v>2</v>
      </c>
      <c r="N73" s="546">
        <v>3</v>
      </c>
      <c r="O73" s="547"/>
      <c r="P73" s="547"/>
      <c r="Q73" s="548"/>
      <c r="R73" s="546">
        <v>4</v>
      </c>
      <c r="S73" s="547"/>
      <c r="T73" s="548"/>
      <c r="U73" s="245">
        <v>5</v>
      </c>
      <c r="V73" s="551" t="s">
        <v>368</v>
      </c>
      <c r="W73" s="551" t="s">
        <v>369</v>
      </c>
      <c r="Z73" s="105"/>
      <c r="AB73" s="137" t="e">
        <f t="shared" ca="1" si="53"/>
        <v>#N/A</v>
      </c>
      <c r="AC73" s="137" t="e">
        <f t="shared" ca="1" si="43"/>
        <v>#N/A</v>
      </c>
      <c r="AD73" s="137" t="e">
        <f t="shared" ca="1" si="43"/>
        <v>#N/A</v>
      </c>
      <c r="AE73" s="137" t="e">
        <f t="shared" ca="1" si="51"/>
        <v>#N/A</v>
      </c>
      <c r="AF73" s="137" t="e">
        <f t="shared" ca="1" si="44"/>
        <v>#N/A</v>
      </c>
      <c r="AG73" s="137" t="e">
        <f t="shared" ca="1" si="45"/>
        <v>#N/A</v>
      </c>
      <c r="AH73" s="137" t="e">
        <f t="shared" ca="1" si="46"/>
        <v>#N/A</v>
      </c>
      <c r="AI73" s="137" t="e">
        <f t="shared" ca="1" si="47"/>
        <v>#N/A</v>
      </c>
      <c r="AJ73" s="137" t="e">
        <f t="shared" ca="1" si="48"/>
        <v>#N/A</v>
      </c>
      <c r="AK73" s="137" t="e">
        <f t="shared" ca="1" si="49"/>
        <v>#N/A</v>
      </c>
      <c r="AL73" s="137" t="e">
        <f t="shared" ca="1" si="52"/>
        <v>#N/A</v>
      </c>
    </row>
    <row r="74" spans="1:38" ht="15" customHeight="1">
      <c r="A74" s="99"/>
      <c r="B74" s="552"/>
      <c r="C74" s="552"/>
      <c r="D74" s="560"/>
      <c r="E74" s="552"/>
      <c r="F74" s="552"/>
      <c r="G74" s="245" t="s">
        <v>135</v>
      </c>
      <c r="H74" s="245" t="s">
        <v>136</v>
      </c>
      <c r="I74" s="245" t="s">
        <v>137</v>
      </c>
      <c r="J74" s="546" t="s">
        <v>368</v>
      </c>
      <c r="K74" s="547"/>
      <c r="L74" s="548"/>
      <c r="M74" s="245" t="s">
        <v>265</v>
      </c>
      <c r="N74" s="546" t="s">
        <v>372</v>
      </c>
      <c r="O74" s="548"/>
      <c r="P74" s="546" t="s">
        <v>373</v>
      </c>
      <c r="Q74" s="548"/>
      <c r="R74" s="546" t="s">
        <v>374</v>
      </c>
      <c r="S74" s="547"/>
      <c r="T74" s="548"/>
      <c r="U74" s="245" t="s">
        <v>375</v>
      </c>
      <c r="V74" s="564"/>
      <c r="W74" s="565"/>
      <c r="Z74" s="105"/>
      <c r="AB74" s="137" t="e">
        <f t="shared" ca="1" si="53"/>
        <v>#N/A</v>
      </c>
      <c r="AC74" s="137" t="e">
        <f t="shared" ca="1" si="43"/>
        <v>#N/A</v>
      </c>
      <c r="AD74" s="137" t="e">
        <f t="shared" ca="1" si="43"/>
        <v>#N/A</v>
      </c>
      <c r="AE74" s="137" t="e">
        <f t="shared" ca="1" si="51"/>
        <v>#N/A</v>
      </c>
      <c r="AF74" s="137" t="e">
        <f t="shared" ca="1" si="44"/>
        <v>#N/A</v>
      </c>
      <c r="AG74" s="137" t="e">
        <f t="shared" ca="1" si="45"/>
        <v>#N/A</v>
      </c>
      <c r="AH74" s="137" t="e">
        <f t="shared" ca="1" si="46"/>
        <v>#N/A</v>
      </c>
      <c r="AI74" s="137" t="e">
        <f t="shared" ca="1" si="47"/>
        <v>#N/A</v>
      </c>
      <c r="AJ74" s="137" t="e">
        <f t="shared" ca="1" si="48"/>
        <v>#N/A</v>
      </c>
      <c r="AK74" s="137" t="e">
        <f t="shared" ca="1" si="49"/>
        <v>#N/A</v>
      </c>
      <c r="AL74" s="137" t="e">
        <f t="shared" ca="1" si="52"/>
        <v>#N/A</v>
      </c>
    </row>
    <row r="75" spans="1:38" ht="15" customHeight="1">
      <c r="B75" s="245" t="s">
        <v>278</v>
      </c>
      <c r="C75" s="163" t="s">
        <v>381</v>
      </c>
      <c r="D75" s="164" t="s">
        <v>382</v>
      </c>
      <c r="E75" s="137" t="e">
        <f ca="1">G3</f>
        <v>#N/A</v>
      </c>
      <c r="F75" s="165" t="s">
        <v>281</v>
      </c>
      <c r="G75" s="137" t="e">
        <f ca="1">T54</f>
        <v>#N/A</v>
      </c>
      <c r="H75" s="134" t="e">
        <f ca="1">U54</f>
        <v>#N/A</v>
      </c>
      <c r="I75" s="137" t="e">
        <f ca="1">E3</f>
        <v>#N/A</v>
      </c>
      <c r="J75" s="246" t="e">
        <f ca="1">SQRT(SUMSQ(G75,H75*I75))</f>
        <v>#N/A</v>
      </c>
      <c r="K75" s="166"/>
      <c r="L75" s="165" t="s">
        <v>297</v>
      </c>
      <c r="M75" s="167" t="s">
        <v>383</v>
      </c>
      <c r="N75" s="137"/>
      <c r="O75" s="137"/>
      <c r="P75" s="159">
        <v>1</v>
      </c>
      <c r="Q75" s="137"/>
      <c r="R75" s="134" t="e">
        <f ca="1">ABS(J75*P75)</f>
        <v>#N/A</v>
      </c>
      <c r="S75" s="137">
        <f>ABS(K75*P75)</f>
        <v>0</v>
      </c>
      <c r="T75" s="165" t="s">
        <v>384</v>
      </c>
      <c r="U75" s="137" t="s">
        <v>192</v>
      </c>
      <c r="V75" s="169" t="e">
        <f ca="1">SQRT(SUMSQ(R75,S75*H$3))</f>
        <v>#N/A</v>
      </c>
      <c r="W75" s="168">
        <f t="shared" ref="W75:W76" si="54">IF(U75="∞",0,V75^4/U75)</f>
        <v>0</v>
      </c>
      <c r="Z75" s="105"/>
      <c r="AB75" s="137" t="e">
        <f t="shared" ca="1" si="53"/>
        <v>#N/A</v>
      </c>
      <c r="AC75" s="137" t="e">
        <f t="shared" ca="1" si="43"/>
        <v>#N/A</v>
      </c>
      <c r="AD75" s="137" t="e">
        <f t="shared" ca="1" si="43"/>
        <v>#N/A</v>
      </c>
      <c r="AE75" s="137" t="e">
        <f t="shared" ca="1" si="51"/>
        <v>#N/A</v>
      </c>
      <c r="AF75" s="137" t="e">
        <f t="shared" ca="1" si="44"/>
        <v>#N/A</v>
      </c>
      <c r="AG75" s="137" t="e">
        <f t="shared" ca="1" si="45"/>
        <v>#N/A</v>
      </c>
      <c r="AH75" s="137" t="e">
        <f t="shared" ca="1" si="46"/>
        <v>#N/A</v>
      </c>
      <c r="AI75" s="137" t="e">
        <f t="shared" ca="1" si="47"/>
        <v>#N/A</v>
      </c>
      <c r="AJ75" s="137" t="e">
        <f t="shared" ca="1" si="48"/>
        <v>#N/A</v>
      </c>
      <c r="AK75" s="137" t="e">
        <f t="shared" ca="1" si="49"/>
        <v>#N/A</v>
      </c>
      <c r="AL75" s="137" t="e">
        <f t="shared" ca="1" si="52"/>
        <v>#N/A</v>
      </c>
    </row>
    <row r="76" spans="1:38" ht="15" customHeight="1">
      <c r="B76" s="245" t="s">
        <v>283</v>
      </c>
      <c r="C76" s="163" t="s">
        <v>385</v>
      </c>
      <c r="D76" s="164" t="s">
        <v>386</v>
      </c>
      <c r="E76" s="137" t="e">
        <f ca="1">OFFSET(AH8,MATCH(H3,D9:D28,0),0)</f>
        <v>#N/A</v>
      </c>
      <c r="F76" s="165" t="s">
        <v>248</v>
      </c>
      <c r="G76" s="137" t="e">
        <f ca="1">G75</f>
        <v>#N/A</v>
      </c>
      <c r="H76" s="134" t="e">
        <f ca="1">H75</f>
        <v>#N/A</v>
      </c>
      <c r="I76" s="140"/>
      <c r="J76" s="159" t="e">
        <f ca="1">G76</f>
        <v>#N/A</v>
      </c>
      <c r="K76" s="169" t="e">
        <f ca="1">H76</f>
        <v>#N/A</v>
      </c>
      <c r="L76" s="165" t="s">
        <v>387</v>
      </c>
      <c r="M76" s="167" t="s">
        <v>328</v>
      </c>
      <c r="N76" s="137"/>
      <c r="O76" s="137"/>
      <c r="P76" s="159">
        <v>-1</v>
      </c>
      <c r="Q76" s="137"/>
      <c r="R76" s="134" t="e">
        <f t="shared" ref="R76" ca="1" si="55">ABS(J76*P76)</f>
        <v>#N/A</v>
      </c>
      <c r="S76" s="137" t="e">
        <f t="shared" ref="S76" ca="1" si="56">ABS(K76*P76)</f>
        <v>#N/A</v>
      </c>
      <c r="T76" s="165" t="s">
        <v>191</v>
      </c>
      <c r="U76" s="137" t="s">
        <v>192</v>
      </c>
      <c r="V76" s="169" t="e">
        <f ca="1">SQRT(SUMSQ(R76,S76*H$3))</f>
        <v>#N/A</v>
      </c>
      <c r="W76" s="168">
        <f t="shared" si="54"/>
        <v>0</v>
      </c>
      <c r="Z76" s="105"/>
      <c r="AB76" s="137" t="e">
        <f t="shared" ca="1" si="53"/>
        <v>#N/A</v>
      </c>
      <c r="AC76" s="137" t="e">
        <f t="shared" ca="1" si="43"/>
        <v>#N/A</v>
      </c>
      <c r="AD76" s="137" t="e">
        <f t="shared" ca="1" si="43"/>
        <v>#N/A</v>
      </c>
      <c r="AE76" s="137" t="e">
        <f t="shared" ca="1" si="51"/>
        <v>#N/A</v>
      </c>
      <c r="AF76" s="137" t="e">
        <f t="shared" ca="1" si="44"/>
        <v>#N/A</v>
      </c>
      <c r="AG76" s="137" t="e">
        <f t="shared" ca="1" si="45"/>
        <v>#N/A</v>
      </c>
      <c r="AH76" s="137" t="e">
        <f t="shared" ca="1" si="46"/>
        <v>#N/A</v>
      </c>
      <c r="AI76" s="137" t="e">
        <f t="shared" ca="1" si="47"/>
        <v>#N/A</v>
      </c>
      <c r="AJ76" s="137" t="e">
        <f t="shared" ca="1" si="48"/>
        <v>#N/A</v>
      </c>
      <c r="AK76" s="137" t="e">
        <f t="shared" ca="1" si="49"/>
        <v>#N/A</v>
      </c>
      <c r="AL76" s="137" t="e">
        <f t="shared" ca="1" si="52"/>
        <v>#N/A</v>
      </c>
    </row>
    <row r="77" spans="1:38" ht="15" customHeight="1">
      <c r="B77" s="245" t="s">
        <v>286</v>
      </c>
      <c r="C77" s="163" t="s">
        <v>344</v>
      </c>
      <c r="D77" s="164" t="s">
        <v>501</v>
      </c>
      <c r="E77" s="137" t="e">
        <f ca="1">E75-E76</f>
        <v>#N/A</v>
      </c>
      <c r="F77" s="165" t="s">
        <v>281</v>
      </c>
      <c r="G77" s="175"/>
      <c r="H77" s="176"/>
      <c r="I77" s="176"/>
      <c r="J77" s="176"/>
      <c r="K77" s="176"/>
      <c r="L77" s="176"/>
      <c r="M77" s="176"/>
      <c r="N77" s="176"/>
      <c r="O77" s="176"/>
      <c r="P77" s="176"/>
      <c r="Q77" s="177"/>
      <c r="R77" s="166" t="e">
        <f ca="1">SQRT(SUMSQ(R75:R76))</f>
        <v>#N/A</v>
      </c>
      <c r="S77" s="272" t="e">
        <f ca="1">SQRT(SUMSQ(S75:S76))</f>
        <v>#N/A</v>
      </c>
      <c r="T77" s="165" t="s">
        <v>191</v>
      </c>
      <c r="U77" s="161" t="str">
        <f>IF(W77=0,"∞",ROUNDDOWN(V77^4/W77,0))</f>
        <v>∞</v>
      </c>
      <c r="V77" s="141" t="e">
        <f ca="1">SQRT(SUMSQ(V75:V76))</f>
        <v>#N/A</v>
      </c>
      <c r="W77" s="157">
        <f>SUM(W75:W76)</f>
        <v>0</v>
      </c>
      <c r="Z77" s="103"/>
      <c r="AB77" s="137" t="e">
        <f t="shared" ca="1" si="53"/>
        <v>#N/A</v>
      </c>
      <c r="AC77" s="137" t="e">
        <f t="shared" ca="1" si="43"/>
        <v>#N/A</v>
      </c>
      <c r="AD77" s="137" t="e">
        <f t="shared" ca="1" si="43"/>
        <v>#N/A</v>
      </c>
      <c r="AE77" s="137" t="e">
        <f t="shared" ca="1" si="51"/>
        <v>#N/A</v>
      </c>
      <c r="AF77" s="137" t="e">
        <f t="shared" ca="1" si="44"/>
        <v>#N/A</v>
      </c>
      <c r="AG77" s="137" t="e">
        <f t="shared" ca="1" si="45"/>
        <v>#N/A</v>
      </c>
      <c r="AH77" s="137" t="e">
        <f t="shared" ca="1" si="46"/>
        <v>#N/A</v>
      </c>
      <c r="AI77" s="137" t="e">
        <f t="shared" ca="1" si="47"/>
        <v>#N/A</v>
      </c>
      <c r="AJ77" s="137" t="e">
        <f t="shared" ca="1" si="48"/>
        <v>#N/A</v>
      </c>
      <c r="AK77" s="137" t="e">
        <f t="shared" ca="1" si="49"/>
        <v>#N/A</v>
      </c>
      <c r="AL77" s="137" t="e">
        <f t="shared" ca="1" si="52"/>
        <v>#N/A</v>
      </c>
    </row>
    <row r="78" spans="1:38" ht="15" customHeight="1"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5"/>
      <c r="AB78" s="137" t="e">
        <f t="shared" ca="1" si="53"/>
        <v>#N/A</v>
      </c>
      <c r="AC78" s="137" t="e">
        <f t="shared" ca="1" si="43"/>
        <v>#N/A</v>
      </c>
      <c r="AD78" s="137" t="e">
        <f t="shared" ca="1" si="43"/>
        <v>#N/A</v>
      </c>
      <c r="AE78" s="137" t="e">
        <f t="shared" ca="1" si="51"/>
        <v>#N/A</v>
      </c>
      <c r="AF78" s="137" t="e">
        <f t="shared" ca="1" si="44"/>
        <v>#N/A</v>
      </c>
      <c r="AG78" s="137" t="e">
        <f t="shared" ca="1" si="45"/>
        <v>#N/A</v>
      </c>
      <c r="AH78" s="137" t="e">
        <f t="shared" ca="1" si="46"/>
        <v>#N/A</v>
      </c>
      <c r="AI78" s="137" t="e">
        <f t="shared" ca="1" si="47"/>
        <v>#N/A</v>
      </c>
      <c r="AJ78" s="137" t="e">
        <f t="shared" ca="1" si="48"/>
        <v>#N/A</v>
      </c>
      <c r="AK78" s="137" t="e">
        <f t="shared" ca="1" si="49"/>
        <v>#N/A</v>
      </c>
      <c r="AL78" s="137" t="e">
        <f t="shared" ca="1" si="52"/>
        <v>#N/A</v>
      </c>
    </row>
    <row r="79" spans="1:38" ht="15" customHeight="1">
      <c r="B79" s="148"/>
      <c r="C79" s="546" t="s">
        <v>388</v>
      </c>
      <c r="D79" s="547"/>
      <c r="E79" s="547"/>
      <c r="F79" s="547"/>
      <c r="G79" s="548"/>
      <c r="H79" s="245" t="s">
        <v>347</v>
      </c>
      <c r="I79" s="245" t="s">
        <v>130</v>
      </c>
      <c r="J79" s="556" t="s">
        <v>349</v>
      </c>
      <c r="K79" s="557"/>
      <c r="L79" s="557"/>
      <c r="M79" s="558"/>
      <c r="N79" s="551" t="s">
        <v>389</v>
      </c>
      <c r="O79" s="546" t="s">
        <v>351</v>
      </c>
      <c r="P79" s="547"/>
      <c r="Q79" s="548"/>
      <c r="R79" s="551" t="s">
        <v>390</v>
      </c>
      <c r="S79" s="546" t="s">
        <v>391</v>
      </c>
      <c r="T79" s="547"/>
      <c r="U79" s="548"/>
      <c r="AB79" s="137" t="e">
        <f t="shared" ca="1" si="53"/>
        <v>#N/A</v>
      </c>
      <c r="AC79" s="137" t="e">
        <f t="shared" ca="1" si="43"/>
        <v>#N/A</v>
      </c>
      <c r="AD79" s="137" t="e">
        <f t="shared" ca="1" si="43"/>
        <v>#N/A</v>
      </c>
      <c r="AE79" s="137" t="e">
        <f t="shared" ca="1" si="51"/>
        <v>#N/A</v>
      </c>
      <c r="AF79" s="137" t="e">
        <f t="shared" ca="1" si="44"/>
        <v>#N/A</v>
      </c>
      <c r="AG79" s="137" t="e">
        <f t="shared" ca="1" si="45"/>
        <v>#N/A</v>
      </c>
      <c r="AH79" s="137" t="e">
        <f t="shared" ca="1" si="46"/>
        <v>#N/A</v>
      </c>
      <c r="AI79" s="137" t="e">
        <f t="shared" ca="1" si="47"/>
        <v>#N/A</v>
      </c>
      <c r="AJ79" s="137" t="e">
        <f t="shared" ca="1" si="48"/>
        <v>#N/A</v>
      </c>
      <c r="AK79" s="137" t="e">
        <f t="shared" ca="1" si="49"/>
        <v>#N/A</v>
      </c>
      <c r="AL79" s="137" t="e">
        <f t="shared" ca="1" si="52"/>
        <v>#N/A</v>
      </c>
    </row>
    <row r="80" spans="1:38" ht="15" customHeight="1">
      <c r="B80" s="148"/>
      <c r="C80" s="148">
        <v>1</v>
      </c>
      <c r="D80" s="148">
        <v>2</v>
      </c>
      <c r="E80" s="148" t="s">
        <v>392</v>
      </c>
      <c r="F80" s="148" t="s">
        <v>56</v>
      </c>
      <c r="G80" s="148" t="s">
        <v>393</v>
      </c>
      <c r="H80" s="148" t="s">
        <v>191</v>
      </c>
      <c r="I80" s="148" t="s">
        <v>297</v>
      </c>
      <c r="J80" s="245" t="s">
        <v>277</v>
      </c>
      <c r="K80" s="245" t="s">
        <v>857</v>
      </c>
      <c r="L80" s="245" t="s">
        <v>130</v>
      </c>
      <c r="M80" s="245" t="s">
        <v>347</v>
      </c>
      <c r="N80" s="552"/>
      <c r="O80" s="245" t="s">
        <v>277</v>
      </c>
      <c r="P80" s="245" t="s">
        <v>856</v>
      </c>
      <c r="Q80" s="245" t="s">
        <v>394</v>
      </c>
      <c r="R80" s="552"/>
      <c r="S80" s="245" t="s">
        <v>395</v>
      </c>
      <c r="T80" s="546" t="s">
        <v>360</v>
      </c>
      <c r="U80" s="548"/>
      <c r="V80" s="104"/>
    </row>
    <row r="81" spans="2:27" ht="15" customHeight="1">
      <c r="B81" s="148" t="s">
        <v>396</v>
      </c>
      <c r="C81" s="181" t="e">
        <f ca="1">C83*R77</f>
        <v>#N/A</v>
      </c>
      <c r="D81" s="182" t="e">
        <f ca="1">S77*C83</f>
        <v>#N/A</v>
      </c>
      <c r="E81" s="183" t="e">
        <f ca="1">E53</f>
        <v>#N/A</v>
      </c>
      <c r="F81" s="106" t="str">
        <f>T77</f>
        <v>μm</v>
      </c>
      <c r="G81" s="120" t="e">
        <f ca="1">SQRT(SUMSQ(C81,D81*E81))</f>
        <v>#N/A</v>
      </c>
      <c r="H81" s="109" t="e">
        <f ca="1">MAX(G81:G82)</f>
        <v>#N/A</v>
      </c>
      <c r="I81" s="118">
        <f>F70</f>
        <v>0</v>
      </c>
      <c r="J81" s="184" t="e">
        <f ca="1">IF(H81&lt;0.00001,6,IF(H81&lt;0.0001,5,IF(H81&lt;0.001,4,IF(H81&lt;0.01,3,IF(H81&lt;0.1,2,IF(H81&lt;1,1,IF(H81&lt;10,0,IF(H81&lt;100,-1,-2))))))))+K82</f>
        <v>#N/A</v>
      </c>
      <c r="K81" s="184" t="e">
        <f ca="1">J81+3</f>
        <v>#N/A</v>
      </c>
      <c r="L81" s="137">
        <f>LEN(I81)-IFERROR(FIND(".",I81),0)</f>
        <v>1</v>
      </c>
      <c r="M81" s="168" t="e">
        <f ca="1">J81</f>
        <v>#N/A</v>
      </c>
      <c r="N81" s="185" t="e">
        <f ca="1">ABS((H81-ROUND(H81,J81))/H81*100)</f>
        <v>#N/A</v>
      </c>
      <c r="O81" s="137" t="e">
        <f ca="1">OFFSET($P$57,MATCH(J81,$O$58:$O$67,0),0)</f>
        <v>#N/A</v>
      </c>
      <c r="P81" s="137" t="e">
        <f ca="1">OFFSET($P$57,MATCH(K81,$O$58:$O$67,0),0)</f>
        <v>#N/A</v>
      </c>
      <c r="Q81" s="137" t="str">
        <f ca="1">OFFSET($P$57,MATCH(L81,$O$58:$O$67,0),0)</f>
        <v>0.0</v>
      </c>
      <c r="R81" s="107" t="e">
        <f ca="1">IF(H81=G81,0,1)</f>
        <v>#N/A</v>
      </c>
      <c r="S81" s="110" t="e">
        <f ca="1">TEXT(IF(N81&gt;5,ROUNDUP(H81,M81),ROUND(H81,M81)),O81)</f>
        <v>#N/A</v>
      </c>
      <c r="T81" s="110" t="e">
        <f ca="1">TEXT(ROUND(IF(G81=H81,C81,C82),J81),OFFSET(P57,MATCH(J81,O58:O67,0),0))</f>
        <v>#N/A</v>
      </c>
      <c r="U81" s="110" t="e">
        <f ca="1">TEXT(ROUNDUP(IF(G81=H81,D81,D82),3),OFFSET(P57,MATCH(3,O58:O67,0),0))</f>
        <v>#N/A</v>
      </c>
    </row>
    <row r="82" spans="2:27" ht="15" customHeight="1">
      <c r="B82" s="148" t="s">
        <v>57</v>
      </c>
      <c r="C82" s="131" t="str">
        <f ca="1">C54</f>
        <v>CMC_1</v>
      </c>
      <c r="D82" s="131" t="str">
        <f ca="1">D54</f>
        <v>CMC_2</v>
      </c>
      <c r="E82" s="131" t="e">
        <f ca="1">E54</f>
        <v>#N/A</v>
      </c>
      <c r="F82" s="131" t="str">
        <f ca="1">F54</f>
        <v>CMC_UNIT</v>
      </c>
      <c r="G82" s="120" t="e">
        <f ca="1">SQRT(SUMSQ(C82,D82*E82))</f>
        <v>#VALUE!</v>
      </c>
      <c r="I82" s="104"/>
      <c r="J82" s="245" t="s">
        <v>362</v>
      </c>
      <c r="K82" s="159">
        <v>1</v>
      </c>
      <c r="L82" s="245" t="s">
        <v>363</v>
      </c>
      <c r="M82" s="137" t="b">
        <f>IF(O82=TRUE,FALSE,기본정보!$A$52)</f>
        <v>0</v>
      </c>
      <c r="N82" s="245" t="s">
        <v>397</v>
      </c>
      <c r="O82" s="137" t="b">
        <f>기본정보!$A$46=0</f>
        <v>1</v>
      </c>
      <c r="S82" s="102"/>
    </row>
    <row r="83" spans="2:27" ht="15" customHeight="1">
      <c r="B83" s="245" t="s">
        <v>190</v>
      </c>
      <c r="C83" s="137">
        <v>2</v>
      </c>
      <c r="D83" s="103"/>
      <c r="Q83" s="102"/>
      <c r="R83" s="102"/>
      <c r="S83" s="102"/>
      <c r="T83" s="102"/>
      <c r="U83" s="102"/>
    </row>
    <row r="84" spans="2:27" ht="15" customHeight="1">
      <c r="B84" s="102"/>
      <c r="C84" s="102"/>
      <c r="D84" s="102"/>
      <c r="E84" s="102"/>
      <c r="F84" s="102"/>
      <c r="G84" s="102"/>
      <c r="H84" s="102"/>
      <c r="I84" s="100"/>
      <c r="J84" s="100"/>
      <c r="O84" s="101"/>
      <c r="Q84" s="102"/>
      <c r="R84" s="102"/>
      <c r="S84" s="102"/>
      <c r="T84" s="102"/>
      <c r="U84" s="102"/>
    </row>
    <row r="85" spans="2:27" ht="15" customHeight="1">
      <c r="B85" s="112" t="s">
        <v>425</v>
      </c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86"/>
      <c r="O85" s="113"/>
      <c r="P85" s="105"/>
      <c r="Q85" s="102"/>
      <c r="T85" s="105"/>
      <c r="U85" s="105"/>
      <c r="V85" s="105"/>
      <c r="W85" s="105"/>
    </row>
    <row r="86" spans="2:27" ht="15" customHeight="1">
      <c r="B86" s="113"/>
      <c r="C86" s="570" t="s">
        <v>858</v>
      </c>
      <c r="D86" s="571"/>
      <c r="E86" s="285" t="s">
        <v>859</v>
      </c>
      <c r="F86" s="285" t="s">
        <v>861</v>
      </c>
      <c r="G86" s="113"/>
      <c r="H86" s="285" t="s">
        <v>183</v>
      </c>
      <c r="I86" s="285" t="s">
        <v>859</v>
      </c>
      <c r="J86" s="285" t="s">
        <v>866</v>
      </c>
      <c r="K86" s="285" t="s">
        <v>867</v>
      </c>
      <c r="L86" s="295" t="s">
        <v>868</v>
      </c>
      <c r="M86" s="285" t="s">
        <v>869</v>
      </c>
      <c r="N86" s="295" t="s">
        <v>860</v>
      </c>
      <c r="O86" s="285" t="s">
        <v>870</v>
      </c>
      <c r="P86" s="285" t="s">
        <v>871</v>
      </c>
      <c r="R86" s="104"/>
      <c r="S86" s="102"/>
      <c r="V86" s="105"/>
      <c r="W86" s="105"/>
    </row>
    <row r="87" spans="2:27" ht="15" customHeight="1">
      <c r="B87" s="113"/>
      <c r="C87" s="286">
        <v>300</v>
      </c>
      <c r="D87" s="287" t="s">
        <v>862</v>
      </c>
      <c r="E87" s="288">
        <v>100500</v>
      </c>
      <c r="F87" s="289" t="s">
        <v>863</v>
      </c>
      <c r="G87" s="113"/>
      <c r="H87" s="285" t="e">
        <f ca="1">H3</f>
        <v>#N/A</v>
      </c>
      <c r="I87" s="296" t="e">
        <f ca="1">IF(H87&lt;=300,E87,E88)</f>
        <v>#N/A</v>
      </c>
      <c r="J87" s="285" t="e">
        <f ca="1">MAX(H87-C88,0)</f>
        <v>#N/A</v>
      </c>
      <c r="K87" s="285" t="e">
        <f ca="1">ROUNDDOWN(J87/F88,0)</f>
        <v>#N/A</v>
      </c>
      <c r="L87" s="285" t="b">
        <f>I3="inch"</f>
        <v>0</v>
      </c>
      <c r="M87" s="288" t="e">
        <f ca="1">I87*IF(L87=TRUE,1.8,1)</f>
        <v>#N/A</v>
      </c>
      <c r="N87" s="297" t="e">
        <f ca="1">M87*(K87*F90)</f>
        <v>#N/A</v>
      </c>
      <c r="O87" s="298" t="e">
        <f ca="1">SUM(M87:N87)</f>
        <v>#N/A</v>
      </c>
      <c r="P87" s="543" t="e">
        <f ca="1">SUM(O87:O89)</f>
        <v>#N/A</v>
      </c>
      <c r="R87" s="104"/>
      <c r="S87" s="102"/>
    </row>
    <row r="88" spans="2:27" ht="15" customHeight="1">
      <c r="B88" s="113"/>
      <c r="C88" s="286">
        <v>300</v>
      </c>
      <c r="D88" s="287" t="s">
        <v>864</v>
      </c>
      <c r="E88" s="288">
        <v>114200</v>
      </c>
      <c r="F88" s="130">
        <v>100</v>
      </c>
      <c r="G88" s="113"/>
      <c r="H88" s="285"/>
      <c r="I88" s="285"/>
      <c r="J88" s="285"/>
      <c r="K88" s="285"/>
      <c r="L88" s="285"/>
      <c r="M88" s="288"/>
      <c r="N88" s="297"/>
      <c r="O88" s="298"/>
      <c r="P88" s="544"/>
      <c r="R88" s="104"/>
      <c r="S88" s="102"/>
    </row>
    <row r="89" spans="2:27" ht="15" customHeight="1">
      <c r="B89" s="113"/>
      <c r="C89" s="290"/>
      <c r="D89" s="287"/>
      <c r="E89" s="288"/>
      <c r="F89" s="291" t="s">
        <v>865</v>
      </c>
      <c r="G89" s="113"/>
      <c r="H89" s="285"/>
      <c r="I89" s="285"/>
      <c r="J89" s="285"/>
      <c r="K89" s="285"/>
      <c r="L89" s="285"/>
      <c r="M89" s="288"/>
      <c r="N89" s="299"/>
      <c r="O89" s="298"/>
      <c r="P89" s="545"/>
      <c r="R89" s="102"/>
      <c r="S89" s="102"/>
    </row>
    <row r="90" spans="2:27" ht="15" customHeight="1">
      <c r="B90" s="113"/>
      <c r="C90" s="290"/>
      <c r="D90" s="287"/>
      <c r="E90" s="288"/>
      <c r="F90" s="292">
        <v>0.2</v>
      </c>
      <c r="G90" s="113"/>
      <c r="H90" s="113"/>
      <c r="I90" s="113"/>
      <c r="J90" s="113"/>
      <c r="K90" s="113"/>
      <c r="L90" s="113"/>
      <c r="M90" s="113"/>
      <c r="N90" s="114"/>
      <c r="O90" s="113"/>
      <c r="P90" s="102"/>
      <c r="S90" s="102"/>
      <c r="T90" s="102"/>
      <c r="U90" s="102"/>
    </row>
    <row r="91" spans="2:27" ht="15" customHeight="1">
      <c r="B91" s="113"/>
      <c r="C91" s="290"/>
      <c r="D91" s="287"/>
      <c r="E91" s="288"/>
      <c r="F91" s="291" t="s">
        <v>863</v>
      </c>
      <c r="G91" s="113"/>
      <c r="H91" s="115" t="s">
        <v>872</v>
      </c>
      <c r="I91" s="113"/>
      <c r="J91" s="113"/>
      <c r="K91" s="113"/>
      <c r="L91" s="113"/>
      <c r="M91" s="113"/>
      <c r="N91" s="113"/>
      <c r="O91" s="113"/>
      <c r="P91" s="102"/>
      <c r="Q91" s="105"/>
      <c r="R91" s="105"/>
      <c r="S91" s="102"/>
      <c r="T91" s="102"/>
      <c r="U91" s="102"/>
      <c r="Y91" s="103"/>
      <c r="Z91" s="103"/>
      <c r="AA91" s="103"/>
    </row>
    <row r="92" spans="2:27" ht="15" customHeight="1">
      <c r="B92" s="113"/>
      <c r="C92" s="290"/>
      <c r="D92" s="287"/>
      <c r="E92" s="288"/>
      <c r="F92" s="291"/>
      <c r="G92" s="113"/>
      <c r="H92" s="116"/>
      <c r="L92" s="113"/>
      <c r="M92" s="113"/>
      <c r="N92" s="113"/>
      <c r="O92" s="113"/>
      <c r="P92" s="102"/>
      <c r="Q92" s="113"/>
      <c r="U92" s="102"/>
      <c r="W92" s="103"/>
    </row>
    <row r="93" spans="2:27" ht="15" customHeight="1">
      <c r="B93" s="113"/>
      <c r="C93" s="290"/>
      <c r="D93" s="293"/>
      <c r="E93" s="285"/>
      <c r="F93" s="294"/>
      <c r="G93" s="113"/>
      <c r="H93" s="113"/>
      <c r="I93" s="116"/>
      <c r="M93" s="113"/>
      <c r="N93" s="113"/>
      <c r="O93" s="113"/>
      <c r="P93" s="102"/>
      <c r="Q93" s="113"/>
      <c r="R93" s="113"/>
      <c r="X93" s="103"/>
    </row>
    <row r="94" spans="2:27" ht="15" customHeight="1">
      <c r="B94" s="113"/>
      <c r="C94" s="103"/>
      <c r="D94" s="103"/>
      <c r="H94" s="113"/>
      <c r="I94" s="116"/>
      <c r="M94" s="113"/>
      <c r="N94" s="113"/>
      <c r="O94" s="113"/>
      <c r="P94" s="102"/>
      <c r="Q94" s="113"/>
      <c r="R94" s="113"/>
      <c r="X94" s="103"/>
    </row>
    <row r="95" spans="2:27" ht="15" customHeight="1">
      <c r="B95" s="113"/>
      <c r="C95" s="103"/>
      <c r="D95" s="103"/>
      <c r="H95" s="113"/>
      <c r="I95" s="116"/>
      <c r="M95" s="113"/>
      <c r="N95" s="113"/>
      <c r="O95" s="113"/>
      <c r="P95" s="102"/>
      <c r="Q95" s="113"/>
      <c r="R95" s="113"/>
      <c r="X95" s="103"/>
    </row>
    <row r="96" spans="2:27" ht="15" customHeight="1">
      <c r="B96" s="113"/>
      <c r="C96" s="103"/>
      <c r="D96" s="103"/>
      <c r="H96" s="113"/>
      <c r="I96" s="116"/>
      <c r="M96" s="113"/>
      <c r="N96" s="113"/>
      <c r="O96" s="113"/>
      <c r="P96" s="102"/>
      <c r="Q96" s="113"/>
      <c r="R96" s="113"/>
      <c r="X96" s="103"/>
    </row>
    <row r="97" spans="2:28" ht="18" customHeight="1">
      <c r="B97" s="113"/>
      <c r="C97" s="103"/>
      <c r="D97" s="103"/>
      <c r="H97" s="113"/>
      <c r="I97" s="116"/>
      <c r="M97" s="113"/>
      <c r="N97" s="113"/>
      <c r="O97" s="113"/>
      <c r="R97" s="102"/>
      <c r="S97" s="102"/>
      <c r="T97" s="102"/>
      <c r="U97" s="102"/>
      <c r="V97" s="103"/>
      <c r="W97" s="103"/>
      <c r="X97" s="103"/>
    </row>
    <row r="98" spans="2:28" ht="18" customHeight="1">
      <c r="B98" s="61"/>
      <c r="C98" s="103"/>
      <c r="D98" s="103"/>
      <c r="H98" s="61"/>
      <c r="M98" s="61"/>
      <c r="N98" s="61"/>
      <c r="O98" s="61"/>
      <c r="R98" s="102"/>
      <c r="S98" s="102"/>
      <c r="T98" s="102"/>
      <c r="U98" s="102"/>
      <c r="V98" s="103"/>
      <c r="W98" s="103"/>
      <c r="X98" s="103"/>
    </row>
    <row r="99" spans="2:28" ht="18" customHeight="1">
      <c r="B99" s="103"/>
      <c r="C99" s="103"/>
      <c r="D99" s="103"/>
      <c r="I99" s="116"/>
      <c r="J99" s="113"/>
      <c r="K99" s="113"/>
      <c r="L99" s="113"/>
      <c r="U99" s="102"/>
      <c r="V99" s="103"/>
      <c r="W99" s="103"/>
      <c r="X99" s="103"/>
    </row>
    <row r="100" spans="2:28" ht="18" customHeight="1">
      <c r="B100" s="103"/>
      <c r="I100" s="116"/>
      <c r="J100" s="113"/>
      <c r="K100" s="113"/>
      <c r="L100" s="113"/>
      <c r="U100" s="102"/>
      <c r="V100" s="103"/>
      <c r="W100" s="103"/>
      <c r="Z100" s="103"/>
      <c r="AA100" s="103"/>
      <c r="AB100" s="103"/>
    </row>
    <row r="101" spans="2:28" ht="18" customHeight="1">
      <c r="B101" s="103"/>
      <c r="C101" s="103"/>
      <c r="D101" s="103"/>
      <c r="J101" s="61"/>
      <c r="K101" s="61"/>
      <c r="L101" s="61"/>
      <c r="Q101" s="113"/>
      <c r="R101" s="113"/>
      <c r="Z101" s="103"/>
      <c r="AA101" s="103"/>
      <c r="AB101" s="103"/>
    </row>
    <row r="102" spans="2:28" ht="18" customHeight="1">
      <c r="B102" s="103"/>
      <c r="C102" s="103"/>
      <c r="D102" s="103"/>
      <c r="I102" s="116"/>
      <c r="J102" s="105"/>
      <c r="K102" s="105"/>
      <c r="Q102" s="113"/>
      <c r="R102" s="113"/>
      <c r="Z102" s="103"/>
      <c r="AA102" s="103"/>
      <c r="AB102" s="103"/>
    </row>
    <row r="103" spans="2:28" ht="18" customHeight="1">
      <c r="B103" s="103"/>
      <c r="C103" s="103"/>
      <c r="D103" s="103"/>
      <c r="I103" s="116"/>
      <c r="J103" s="105"/>
      <c r="K103" s="105"/>
      <c r="P103" s="102"/>
      <c r="Q103" s="113"/>
      <c r="R103" s="113"/>
      <c r="Z103" s="103"/>
      <c r="AA103" s="103"/>
      <c r="AB103" s="103"/>
    </row>
    <row r="104" spans="2:28" ht="18" customHeight="1">
      <c r="B104" s="103"/>
      <c r="C104" s="103"/>
      <c r="D104" s="103"/>
      <c r="J104" s="105"/>
      <c r="K104" s="105"/>
      <c r="P104" s="102"/>
      <c r="Q104" s="113"/>
      <c r="R104" s="113"/>
      <c r="Z104" s="103"/>
      <c r="AA104" s="103"/>
      <c r="AB104" s="103"/>
    </row>
    <row r="105" spans="2:28" ht="18" customHeight="1">
      <c r="B105" s="103"/>
      <c r="C105" s="103"/>
      <c r="D105" s="103"/>
      <c r="I105" s="116"/>
      <c r="P105" s="102"/>
      <c r="Q105" s="113"/>
      <c r="R105" s="113"/>
      <c r="Z105" s="103"/>
      <c r="AA105" s="103"/>
      <c r="AB105" s="103"/>
    </row>
    <row r="106" spans="2:28" ht="18" customHeight="1">
      <c r="P106" s="102"/>
      <c r="Q106" s="102"/>
      <c r="R106" s="102"/>
      <c r="Z106" s="103"/>
      <c r="AA106" s="103"/>
      <c r="AB106" s="103"/>
    </row>
    <row r="107" spans="2:28" ht="18" customHeight="1">
      <c r="Q107" s="102"/>
      <c r="R107" s="102"/>
      <c r="Z107" s="103"/>
      <c r="AA107" s="103"/>
      <c r="AB107" s="103"/>
    </row>
    <row r="108" spans="2:28" ht="18" customHeight="1">
      <c r="Q108" s="102"/>
      <c r="R108" s="102"/>
      <c r="Z108" s="103"/>
      <c r="AA108" s="103"/>
      <c r="AB108" s="103"/>
    </row>
    <row r="109" spans="2:28" ht="18" customHeight="1">
      <c r="Q109" s="102"/>
      <c r="R109" s="102"/>
      <c r="Y109" s="103"/>
      <c r="Z109" s="103"/>
      <c r="AA109" s="103"/>
      <c r="AB109" s="103"/>
    </row>
    <row r="110" spans="2:28" ht="18" customHeight="1">
      <c r="Q110" s="102"/>
      <c r="R110" s="102"/>
      <c r="Y110" s="103"/>
    </row>
    <row r="111" spans="2:28" ht="18" customHeight="1">
      <c r="Q111" s="102"/>
      <c r="R111" s="102"/>
    </row>
    <row r="112" spans="2:28" ht="18" customHeight="1">
      <c r="Q112" s="102"/>
      <c r="R112" s="102"/>
    </row>
  </sheetData>
  <mergeCells count="71">
    <mergeCell ref="AF6:AF7"/>
    <mergeCell ref="C86:D86"/>
    <mergeCell ref="R32:T32"/>
    <mergeCell ref="D61:D62"/>
    <mergeCell ref="B6:B8"/>
    <mergeCell ref="E6:E8"/>
    <mergeCell ref="D6:D7"/>
    <mergeCell ref="F6:K6"/>
    <mergeCell ref="C6:C8"/>
    <mergeCell ref="F73:F74"/>
    <mergeCell ref="N33:O33"/>
    <mergeCell ref="P33:Q33"/>
    <mergeCell ref="R33:T33"/>
    <mergeCell ref="AD6:AD8"/>
    <mergeCell ref="AA6:AB6"/>
    <mergeCell ref="L6:N6"/>
    <mergeCell ref="O6:O7"/>
    <mergeCell ref="R6:T6"/>
    <mergeCell ref="AE6:AE8"/>
    <mergeCell ref="AK6:AL6"/>
    <mergeCell ref="B32:B33"/>
    <mergeCell ref="C32:C33"/>
    <mergeCell ref="D32:D33"/>
    <mergeCell ref="E32:E33"/>
    <mergeCell ref="F32:F33"/>
    <mergeCell ref="G32:L32"/>
    <mergeCell ref="N32:Q32"/>
    <mergeCell ref="V32:V33"/>
    <mergeCell ref="W32:W33"/>
    <mergeCell ref="X32:Y32"/>
    <mergeCell ref="AB32:AB34"/>
    <mergeCell ref="AC32:AD32"/>
    <mergeCell ref="AE32:AL32"/>
    <mergeCell ref="J33:L33"/>
    <mergeCell ref="AG33:AH33"/>
    <mergeCell ref="C51:G51"/>
    <mergeCell ref="J51:M51"/>
    <mergeCell ref="N51:N52"/>
    <mergeCell ref="O51:Q51"/>
    <mergeCell ref="R51:R52"/>
    <mergeCell ref="S51:U51"/>
    <mergeCell ref="T52:U52"/>
    <mergeCell ref="AB57:AB59"/>
    <mergeCell ref="AC57:AD57"/>
    <mergeCell ref="AE57:AL57"/>
    <mergeCell ref="J74:L74"/>
    <mergeCell ref="N74:O74"/>
    <mergeCell ref="P74:Q74"/>
    <mergeCell ref="R74:T74"/>
    <mergeCell ref="AG58:AH58"/>
    <mergeCell ref="G73:L73"/>
    <mergeCell ref="N73:Q73"/>
    <mergeCell ref="R73:T73"/>
    <mergeCell ref="V73:V74"/>
    <mergeCell ref="W73:W74"/>
    <mergeCell ref="P87:P89"/>
    <mergeCell ref="S79:U79"/>
    <mergeCell ref="T80:U80"/>
    <mergeCell ref="B57:C57"/>
    <mergeCell ref="D57:D58"/>
    <mergeCell ref="E59:F59"/>
    <mergeCell ref="G59:G60"/>
    <mergeCell ref="C79:G79"/>
    <mergeCell ref="J79:M79"/>
    <mergeCell ref="N79:N80"/>
    <mergeCell ref="O79:Q79"/>
    <mergeCell ref="R79:R80"/>
    <mergeCell ref="B73:B74"/>
    <mergeCell ref="C73:C74"/>
    <mergeCell ref="D73:D74"/>
    <mergeCell ref="E73:E7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20</vt:i4>
      </vt:variant>
    </vt:vector>
  </HeadingPairs>
  <TitlesOfParts>
    <vt:vector size="31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Length_7_Result2</vt:lpstr>
      <vt:lpstr>Length_7!Length_7_Spec</vt:lpstr>
      <vt:lpstr>Length_7!Length_7_STD1</vt:lpstr>
      <vt:lpstr>Length_7_STD2</vt:lpstr>
      <vt:lpstr>Length_7_STD3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2021-09-30T00:28:43Z</cp:lastPrinted>
  <dcterms:created xsi:type="dcterms:W3CDTF">2004-11-10T00:11:43Z</dcterms:created>
  <dcterms:modified xsi:type="dcterms:W3CDTF">2021-10-08T05:35:47Z</dcterms:modified>
</cp:coreProperties>
</file>